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name="シフト印刷">'②シフト_原本'!$I$7:$AS$100</definedName>
    <definedName localSheetId="5" name="シフト印刷">'②R8_5シフト'!$I$7:$AS$102</definedName>
    <definedName localSheetId="13" name="シフト印刷">'②R8_3シフト'!$I$7:$AS$100</definedName>
    <definedName localSheetId="9" name="シフト印刷">'②R8_4シフト'!$I$7:$AS$102</definedName>
    <definedName localSheetId="17" name="シフト印刷">'②R8_2シフト'!$I$7:$AS$100</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<sst xmlns="http://schemas.openxmlformats.org/spreadsheetml/2006/main" count="9701" uniqueCount="1232">
  <si>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</si>
  <si>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</si>
  <si>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</si>
  <si>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</si>
  <si>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</si>
  <si>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</si>
  <si>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</si>
  <si>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</si>
  <si>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</si>
  <si>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</si>
  <si>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</si>
  <si>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</si>
  <si>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</si>
  <si>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</si>
  <si>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</si>
  <si>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</si>
  <si>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</si>
  <si>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</si>
  <si>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</si>
  <si>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</si>
  <si>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</si>
  <si>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</si>
  <si>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</si>
  <si>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</si>
  <si>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</si>
  <si>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</si>
  <si>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</si>
  <si>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</si>
  <si>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</si>
  <si>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</si>
  <si>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</si>
  <si>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</si>
  <si>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</si>
  <si>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</si>
  <si>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</si>
  <si>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</si>
  <si>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</si>
  <si>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</si>
  <si>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</si>
  <si>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</si>
  <si>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</si>
  <si>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</si>
  <si>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</si>
  <si>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</si>
  <si>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</si>
  <si>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</si>
  <si>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</si>
  <si>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</si>
  <si>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</si>
  <si>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</si>
  <si>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</si>
  <si>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</si>
  <si>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</si>
  <si>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</si>
  <si>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</si>
  <si>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</si>
  <si>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</si>
  <si>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</si>
  <si>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</si>
  <si>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</si>
  <si>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</si>
  <si>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</si>
  <si>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</si>
  <si>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</si>
  <si>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</si>
  <si>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</si>
  <si>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</si>
  <si>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</si>
  <si>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</si>
  <si>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</si>
  <si>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</si>
  <si>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</si>
  <si>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</si>
  <si>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</si>
  <si>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</si>
  <si>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</si>
  <si>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</si>
  <si>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</si>
  <si>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</si>
  <si>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</si>
  <si>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</si>
  <si>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</si>
  <si>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</si>
  <si>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</si>
  <si>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</si>
  <si>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</si>
  <si>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</si>
  <si>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</si>
  <si>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</si>
  <si>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</si>
  <si>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</si>
  <si>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</si>
  <si>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</si>
  <si>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</si>
  <si>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</si>
  <si>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</si>
  <si>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</si>
  <si>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</si>
  <si>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</si>
  <si>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</si>
  <si>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</si>
  <si>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</si>
  <si>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</si>
  <si>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</si>
  <si>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</si>
  <si>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</si>
  <si>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</si>
  <si>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</si>
  <si>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</si>
  <si>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</si>
  <si>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</si>
  <si>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</si>
  <si>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</si>
  <si>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</si>
  <si>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</si>
  <si>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</si>
  <si>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</si>
  <si>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</si>
  <si>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</si>
  <si>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</si>
  <si>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</si>
  <si>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</si>
  <si>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</si>
  <si>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</si>
  <si>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</si>
  <si>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</si>
  <si>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</si>
  <si>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</si>
  <si>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</si>
  <si>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</si>
  <si>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</si>
  <si>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</si>
  <si>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</si>
  <si>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</si>
  <si>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</si>
  <si>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</si>
  <si>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</si>
  <si>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</si>
  <si>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</si>
  <si>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</si>
  <si>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</si>
  <si>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</si>
  <si>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</si>
  <si>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</si>
  <si>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</si>
  <si>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</si>
  <si>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</si>
  <si>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</si>
  <si>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</si>
  <si>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</si>
  <si>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</si>
  <si>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</si>
  <si>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</si>
  <si>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</si>
  <si>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</si>
  <si>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</si>
  <si>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</si>
  <si>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</si>
  <si>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</si>
  <si>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</si>
  <si>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</si>
  <si>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</si>
  <si>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</si>
  <si>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</si>
  <si>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</si>
  <si>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</si>
  <si>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</si>
  <si>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</si>
  <si>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</si>
  <si>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</si>
  <si>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</si>
  <si>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</si>
  <si>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</si>
  <si>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</si>
  <si>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</si>
  <si>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</si>
  <si>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</si>
  <si>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</si>
  <si>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</si>
  <si>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</si>
  <si>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</si>
  <si>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</si>
  <si>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</si>
  <si>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</si>
  <si>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</si>
  <si>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</si>
  <si>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</si>
  <si>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</si>
  <si>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</si>
  <si>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</si>
  <si>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</si>
  <si>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</si>
  <si>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</si>
  <si>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</si>
  <si>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</si>
  <si>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</si>
  <si>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</si>
  <si>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</si>
  <si>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</si>
  <si>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</si>
  <si>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</si>
  <si>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</si>
  <si>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</si>
  <si>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</si>
  <si>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</si>
  <si>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</si>
  <si>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</si>
  <si>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</si>
  <si>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</si>
  <si>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</si>
  <si>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</si>
  <si>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</si>
  <si>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</si>
  <si>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</si>
  <si>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</si>
  <si>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</si>
  <si>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</si>
  <si>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</si>
  <si>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</si>
  <si>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</si>
  <si>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</si>
  <si>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</si>
  <si>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</si>
  <si>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</si>
  <si>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</si>
  <si>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</si>
  <si>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</si>
  <si>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</si>
  <si>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</si>
  <si>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</si>
  <si>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</si>
  <si>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</si>
  <si>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</si>
  <si>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</si>
  <si>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</si>
  <si>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</si>
  <si>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</si>
  <si>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</si>
  <si>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</si>
  <si>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</si>
  <si>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</si>
  <si>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</si>
  <si>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</si>
  <si>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</si>
  <si>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</si>
  <si>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</si>
  <si>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</si>
  <si>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</si>
  <si>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</si>
  <si>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</si>
  <si>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</si>
  <si>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</si>
  <si>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</si>
  <si>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</si>
  <si>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</si>
  <si>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</si>
  <si>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</si>
  <si>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</si>
  <si>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</si>
  <si>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</si>
  <si>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</si>
  <si>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</si>
  <si>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</si>
  <si>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</si>
  <si>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</si>
  <si>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</si>
  <si>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</si>
  <si>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</si>
  <si>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</si>
  <si>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</si>
  <si>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</si>
  <si>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</si>
  <si>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</si>
  <si>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</si>
  <si>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</si>
  <si>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</si>
  <si>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</si>
  <si>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</si>
  <si>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</si>
  <si>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</si>
  <si>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</si>
  <si>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</si>
  <si>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</si>
  <si>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</si>
  <si>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</si>
  <si>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</si>
  <si>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</si>
  <si>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</si>
  <si>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</si>
  <si>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</si>
  <si>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</si>
  <si>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</si>
  <si>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</si>
  <si>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</si>
  <si>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</si>
  <si>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</si>
  <si>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</si>
  <si>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</si>
  <si>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</si>
  <si>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</si>
  <si>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</si>
  <si>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</si>
  <si>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</si>
  <si>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</si>
  <si>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</si>
  <si>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</si>
  <si>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</si>
  <si>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</si>
  <si>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</si>
  <si>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</si>
  <si>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</si>
  <si>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</si>
  <si>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</si>
  <si>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</si>
  <si>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</si>
  <si>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</si>
  <si>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</si>
  <si>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</si>
  <si>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</si>
  <si>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</si>
  <si>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</si>
  <si>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</si>
  <si>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</si>
  <si>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</si>
  <si>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</si>
  <si>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</si>
  <si>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</si>
  <si>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</si>
  <si>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</si>
  <si>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</si>
  <si>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</si>
  <si>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</si>
  <si>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</si>
  <si>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</si>
  <si>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</si>
  <si>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</si>
  <si>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</si>
  <si>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</si>
  <si>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</si>
  <si>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</si>
  <si>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</si>
  <si>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</si>
  <si>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</si>
  <si>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</si>
  <si>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</si>
  <si>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</si>
  <si>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</si>
  <si>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</si>
  <si>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</si>
  <si>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</si>
  <si>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</si>
  <si>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</si>
  <si>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</si>
  <si>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</si>
  <si>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</si>
  <si>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</si>
  <si>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</si>
  <si>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</si>
  <si>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</si>
  <si>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</si>
  <si>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</si>
  <si>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</si>
  <si>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</si>
  <si>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</si>
  <si>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</si>
  <si>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</si>
  <si>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</si>
  <si>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</si>
  <si>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</si>
  <si>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</si>
  <si>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</si>
  <si>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</si>
  <si>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</si>
  <si>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</si>
  <si>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</si>
  <si>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</si>
  <si>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</si>
  <si>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</si>
  <si>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</si>
  <si>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</si>
  <si>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</si>
  <si>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</si>
  <si>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</si>
  <si>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</si>
  <si>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</si>
  <si>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</si>
  <si>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</si>
  <si>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</si>
  <si>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</si>
  <si>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</si>
  <si>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</si>
  <si>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</si>
  <si>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</si>
  <si>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</si>
  <si>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</si>
  <si>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</si>
  <si>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</si>
  <si>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</si>
  <si>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</si>
  <si>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</si>
  <si>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</si>
  <si>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</si>
  <si>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</si>
  <si>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</si>
  <si>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</si>
  <si>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</si>
  <si>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</si>
  <si>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</si>
  <si>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</si>
  <si>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</si>
  <si>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</si>
  <si>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</si>
  <si>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</si>
  <si>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</si>
  <si>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</si>
  <si>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</si>
  <si>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</si>
  <si>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</si>
  <si>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</si>
  <si>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</si>
  <si>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</si>
  <si>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</si>
  <si>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</si>
  <si>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</si>
  <si>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</si>
  <si>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</si>
  <si>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</si>
  <si>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</si>
  <si>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</si>
  <si>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</si>
  <si>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</si>
  <si>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</si>
  <si>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</si>
  <si>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</si>
  <si>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</si>
  <si>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</si>
  <si>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</si>
  <si>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</si>
  <si>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</si>
  <si>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</si>
  <si>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</si>
  <si>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</si>
  <si>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</si>
  <si>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</si>
  <si>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</si>
  <si>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</si>
  <si>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</si>
  <si>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</si>
  <si>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</si>
  <si>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</si>
  <si>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</si>
  <si>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</si>
  <si>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</si>
  <si>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</si>
  <si>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</si>
  <si>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</si>
  <si>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</si>
  <si>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</si>
  <si>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</si>
  <si>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</si>
  <si>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</si>
  <si>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</si>
  <si>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</si>
  <si>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</si>
  <si>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</si>
  <si>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</si>
  <si>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</si>
  <si>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</si>
  <si>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</si>
  <si>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</si>
  <si>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</si>
  <si>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</si>
  <si>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</si>
  <si>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</si>
  <si>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</si>
  <si>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</si>
  <si>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</si>
  <si>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</si>
  <si>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</si>
  <si>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</si>
  <si>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</si>
  <si>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</si>
  <si>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</si>
  <si>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</si>
  <si>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</si>
  <si>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</si>
  <si>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</si>
  <si>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</si>
  <si>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</si>
  <si>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</si>
  <si>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</si>
  <si>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</si>
  <si>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</si>
  <si>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</si>
  <si>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</si>
  <si>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</si>
  <si>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</si>
  <si>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</si>
  <si>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</si>
  <si>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</si>
  <si>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</si>
  <si>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</si>
  <si>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</si>
  <si>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</si>
  <si>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</si>
  <si>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</si>
  <si>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</si>
  <si>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</si>
  <si>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</si>
  <si>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</si>
  <si>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</si>
  <si>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</si>
  <si>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</si>
  <si>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</si>
  <si>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クエン</t>
  </si>
  <si>
    <t>アナリン</t>
  </si>
  <si>
    <t>阿部</t>
  </si>
  <si>
    <t>プラティマ</t>
  </si>
  <si>
    <t>木戸</t>
  </si>
  <si>
    <t>アカシュ</t>
  </si>
  <si>
    <t>ムナ</t>
  </si>
  <si>
    <t>毛利</t>
  </si>
  <si>
    <t>ペロ</t>
  </si>
  <si>
    <t>ラナ</t>
  </si>
  <si>
    <t>西村</t>
  </si>
  <si>
    <t>シタ</t>
  </si>
  <si>
    <t>田中</t>
  </si>
  <si>
    <t>ジジ</t>
  </si>
  <si>
    <t>ナロミ</t>
  </si>
  <si>
    <t>小野</t>
  </si>
  <si>
    <t>森崎</t>
  </si>
  <si>
    <t>火曜日以外相談可能</t>
  </si>
  <si>
    <t>石垣</t>
  </si>
  <si>
    <t>アイリシ</t>
  </si>
  <si>
    <t>リン</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</si>
  <si>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</si>
  <si>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</si>
  <si>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</si>
  <si>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</si>
  <si>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</si>
  <si>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</si>
  <si>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</si>
  <si>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</si>
  <si>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</si>
  <si>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</si>
  <si>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</si>
  <si>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</si>
  <si>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</si>
  <si>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</si>
  <si>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</si>
  <si>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</si>
  <si>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</si>
  <si>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</si>
  <si>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</si>
  <si>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</si>
  <si>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</si>
  <si>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</si>
  <si>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</si>
  <si>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サンジャナ</t>
  </si>
  <si>
    <t>テレシータ</t>
  </si>
  <si>
    <t>MGから</t>
  </si>
  <si>
    <t>クシャニ</t>
  </si>
  <si>
    <t>ジャヤニ</t>
  </si>
  <si>
    <t>山下</t>
  </si>
  <si>
    <t>アムリタ</t>
  </si>
  <si>
    <t>ラキブ</t>
  </si>
  <si>
    <t>アジズル</t>
  </si>
  <si>
    <t>サパナ</t>
  </si>
  <si>
    <t>アリサ</t>
  </si>
  <si>
    <t>ダハル</t>
  </si>
  <si>
    <t>マリア</t>
  </si>
  <si>
    <t>アミン</t>
  </si>
  <si>
    <t>サムドゥニ</t>
  </si>
  <si>
    <t>イムラン</t>
  </si>
  <si>
    <t>レイマンド</t>
  </si>
  <si>
    <t>シトミ</t>
  </si>
  <si>
    <t>中坊</t>
  </si>
  <si>
    <t>アプ</t>
  </si>
  <si>
    <t>タルハ</t>
  </si>
  <si>
    <t>リチェル</t>
  </si>
  <si>
    <t>ヨギ</t>
  </si>
  <si>
    <t>アイン</t>
  </si>
  <si>
    <t>シャウン</t>
  </si>
  <si>
    <t>👈05日～10日の日報</t>
  </si>
  <si>
    <t>ゴマ</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</si>
  <si>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</si>
  <si>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</si>
  <si>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</si>
  <si>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</si>
  <si>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</si>
  <si>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</si>
  <si>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</si>
  <si>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</si>
  <si>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</si>
  <si>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</si>
  <si>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</si>
  <si>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</si>
  <si>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</si>
  <si>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</si>
  <si>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</si>
  <si>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</si>
  <si>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</si>
  <si>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</si>
  <si>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</si>
  <si>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</si>
  <si>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</si>
  <si>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</si>
  <si>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</si>
  <si>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</si>
  <si>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</si>
  <si>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</si>
  <si>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</si>
  <si>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</si>
  <si>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</si>
  <si>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</si>
  <si>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</si>
  <si>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</si>
  <si>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</si>
  <si>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</si>
  <si>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</si>
  <si>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</si>
  <si>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</si>
  <si>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</si>
  <si>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</si>
  <si>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</si>
  <si>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</si>
  <si>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</si>
  <si>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</si>
  <si>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</si>
  <si>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</si>
  <si>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</si>
  <si>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</si>
  <si>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</si>
  <si>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</si>
  <si>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</si>
  <si>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</si>
  <si>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</si>
  <si>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</si>
  <si>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</si>
  <si>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</si>
  <si>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</si>
  <si>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</si>
  <si>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</si>
  <si>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</si>
  <si>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4/8から入社予定</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</si>
  <si>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</si>
  <si>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</si>
  <si>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</si>
  <si>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</si>
  <si>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</si>
  <si>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</si>
  <si>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</si>
  <si>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</si>
  <si>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</si>
  <si>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</si>
  <si>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</si>
  <si>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</si>
  <si>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</si>
  <si>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</si>
  <si>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</si>
  <si>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</si>
  <si>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</si>
  <si>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</si>
  <si>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</si>
  <si>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</si>
  <si>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</si>
  <si>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</si>
  <si>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</si>
  <si>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</si>
  <si>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</si>
  <si>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</si>
  <si>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</si>
  <si>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</si>
  <si>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</si>
  <si>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</si>
  <si>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</si>
  <si>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</si>
  <si>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</si>
  <si>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</si>
  <si>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</si>
  <si>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</si>
  <si>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</si>
  <si>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</si>
  <si>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</si>
  <si>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</si>
  <si>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</si>
  <si>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</si>
  <si>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</si>
  <si>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</si>
  <si>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</si>
  <si>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</si>
  <si>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</si>
  <si>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</si>
  <si>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</si>
  <si>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</si>
  <si>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</si>
  <si>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</si>
  <si>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</si>
  <si>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</si>
  <si>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</si>
  <si>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</si>
  <si>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</si>
  <si>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</si>
  <si>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</si>
  <si>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</si>
  <si>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</si>
  <si>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</si>
  <si>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</si>
  <si>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</si>
  <si>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</si>
  <si>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</si>
  <si>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</si>
  <si>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</si>
  <si>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</si>
  <si>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</si>
  <si>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</si>
  <si>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</si>
  <si>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</si>
  <si>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</si>
  <si>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</si>
  <si>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</si>
  <si>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</si>
  <si>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</si>
  <si>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</si>
  <si>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</si>
  <si>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</si>
  <si>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</si>
  <si>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</si>
  <si>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</si>
  <si>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</si>
  <si>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</si>
  <si>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</si>
  <si>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</si>
  <si>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</si>
  <si>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</si>
  <si>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3月いっぱいで退職</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</si>
  <si>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</si>
  <si>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</si>
  <si>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</si>
  <si>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</si>
  <si>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</si>
  <si>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</si>
  <si>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</si>
  <si>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</si>
  <si>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</si>
  <si>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</si>
  <si>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</si>
  <si>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</si>
  <si>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</si>
  <si>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</si>
  <si>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</si>
  <si>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</si>
  <si>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</si>
  <si>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</si>
  <si>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</si>
  <si>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</si>
  <si>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</si>
  <si>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</si>
  <si>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</si>
  <si>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</si>
  <si>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</si>
  <si>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</si>
  <si>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</si>
  <si>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</si>
  <si>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</si>
  <si>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</si>
  <si>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</si>
  <si>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</si>
  <si>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</si>
  <si>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</si>
  <si>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</si>
  <si>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</si>
  <si>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</si>
  <si>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</si>
  <si>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</si>
  <si>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</si>
  <si>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</si>
  <si>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</si>
  <si>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</si>
  <si>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</si>
  <si>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</si>
  <si>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</si>
  <si>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</si>
  <si>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</si>
  <si>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</si>
  <si>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</si>
  <si>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</si>
  <si>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</si>
  <si>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</si>
  <si>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</si>
  <si>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</si>
  <si>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</si>
  <si>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</si>
  <si>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</si>
  <si>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</si>
  <si>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</si>
  <si>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</si>
  <si>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</si>
  <si>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</si>
  <si>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</si>
  <si>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</si>
  <si>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</si>
  <si>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</si>
  <si>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</si>
  <si>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</si>
  <si>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</si>
  <si>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</si>
  <si>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</si>
  <si>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</si>
  <si>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</si>
  <si>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</si>
  <si>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</si>
  <si>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</si>
  <si>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</si>
  <si>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</si>
  <si>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</si>
  <si>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</si>
  <si>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</si>
  <si>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</si>
  <si>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</si>
  <si>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</si>
  <si>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</si>
  <si>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</si>
  <si>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</si>
  <si>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</si>
  <si>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</si>
  <si>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</si>
  <si>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</si>
  <si>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</si>
  <si>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</si>
  <si>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</si>
  <si>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</si>
  <si>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</si>
  <si>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</si>
  <si>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</si>
  <si>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ズバエルなどいままで休んでいないメイドの当欠が
増えています。他の仕事を始めた可能性があるかもしれないので
聞き取りと万が一に備えて早めの人員補充を考えていきましょう。</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</si>
  <si>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</si>
  <si>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</si>
  <si>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</si>
  <si>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</si>
  <si>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</si>
  <si>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</si>
  <si>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</si>
  <si>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</si>
  <si>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</si>
  <si>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</si>
  <si>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</si>
  <si>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</si>
  <si>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</si>
  <si>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</si>
  <si>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</si>
  <si>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</si>
  <si>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</si>
  <si>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</si>
  <si>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</si>
  <si>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</si>
  <si>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</si>
  <si>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</si>
  <si>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</si>
  <si>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</si>
  <si>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</si>
  <si>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</si>
  <si>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</si>
  <si>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</si>
  <si>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</si>
  <si>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</si>
  <si>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</si>
  <si>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</si>
  <si>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</si>
  <si>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</si>
  <si>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</si>
  <si>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</si>
  <si>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</si>
  <si>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</si>
  <si>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</si>
  <si>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</si>
  <si>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</si>
  <si>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</si>
  <si>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</si>
  <si>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</si>
  <si>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</si>
  <si>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</si>
  <si>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</si>
  <si>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</si>
  <si>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</si>
  <si>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</si>
  <si>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</si>
  <si>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</si>
  <si>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</si>
  <si>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</si>
  <si>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</si>
  <si>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</si>
  <si>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</si>
  <si>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</si>
  <si>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</si>
  <si>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</si>
  <si>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</si>
  <si>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</si>
  <si>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</si>
  <si>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</si>
  <si>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</si>
  <si>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</si>
  <si>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</si>
  <si>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</si>
  <si>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</si>
  <si>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</si>
  <si>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</si>
  <si>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</si>
  <si>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</si>
  <si>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</si>
  <si>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</si>
  <si>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</si>
  <si>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</si>
  <si>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</si>
  <si>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</si>
  <si>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</si>
  <si>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</si>
  <si>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</si>
  <si>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</si>
  <si>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</si>
  <si>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</si>
  <si>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</si>
  <si>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</si>
  <si>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</si>
  <si>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</si>
  <si>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</si>
  <si>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</si>
  <si>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</si>
  <si>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</si>
  <si>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</si>
  <si>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</si>
  <si>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</si>
  <si>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</si>
  <si>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</si>
  <si>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</si>
  <si>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</si>
  <si>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</si>
  <si>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</si>
  <si>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</si>
  <si>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</si>
  <si>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</si>
  <si>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</si>
  <si>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</si>
  <si>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</si>
  <si>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</si>
  <si>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</si>
  <si>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</si>
  <si>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</si>
  <si>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</si>
  <si>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</si>
  <si>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</si>
  <si>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</si>
  <si>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</si>
  <si>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</si>
  <si>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</si>
  <si>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</si>
  <si>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</si>
  <si>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</si>
  <si>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</si>
  <si>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</si>
  <si>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</si>
  <si>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</si>
  <si>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</si>
  <si>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</si>
  <si>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</si>
  <si>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</si>
  <si>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</si>
  <si>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</si>
  <si>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</si>
  <si>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</si>
  <si>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</si>
  <si>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</si>
  <si>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</si>
  <si>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</si>
  <si>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</si>
  <si>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</si>
  <si>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</si>
  <si>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</si>
  <si>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</si>
  <si>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</si>
  <si>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</si>
  <si>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</si>
  <si>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</si>
  <si>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</si>
  <si>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</si>
  <si>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</si>
  <si>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</si>
  <si>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</si>
  <si>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</si>
  <si>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</si>
  <si>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</si>
  <si>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</si>
  <si>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</si>
  <si>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</si>
  <si>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</si>
  <si>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</si>
  <si>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</si>
  <si>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</si>
  <si>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</si>
  <si>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</si>
  <si>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</si>
  <si>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</si>
  <si>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</si>
  <si>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</si>
  <si>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</si>
  <si>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</si>
  <si>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</si>
  <si>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</si>
  <si>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</si>
  <si>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</si>
  <si>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</si>
  <si>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</si>
  <si>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</si>
  <si>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</si>
  <si>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</si>
  <si>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</si>
  <si>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</si>
  <si>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</si>
  <si>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</si>
  <si>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</si>
  <si>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</si>
  <si>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</si>
  <si>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</si>
  <si>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</si>
  <si>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</si>
  <si>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</si>
  <si>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</si>
  <si>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</si>
  <si>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</si>
  <si>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</si>
  <si>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</si>
  <si>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</si>
  <si>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</si>
  <si>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</si>
  <si>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</si>
  <si>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</si>
  <si>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</si>
  <si>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</si>
  <si>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</si>
  <si>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</si>
  <si>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</si>
  <si>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</si>
  <si>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</si>
  <si>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</si>
  <si>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</si>
  <si>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</si>
  <si>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</si>
  <si>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</si>
  <si>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</si>
  <si>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</si>
  <si>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</si>
  <si>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</si>
  <si>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</si>
  <si>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</si>
  <si>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</si>
  <si>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</si>
  <si>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</si>
  <si>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</si>
  <si>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</si>
  <si>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</si>
  <si>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</si>
  <si>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</si>
  <si>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</si>
  <si>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</si>
  <si>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歩+時</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</si>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</sst>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0000"/>
        <bgColor rgb="FFFF000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58">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169" xfId="0" applyAlignment="1" applyBorder="1" applyFont="1" applyNumberForma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1"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2"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1"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1"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1"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1"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9" xfId="0" applyAlignment="1" applyBorder="1" applyFont="1" applyNumberFormat="1">
      <alignment horizontal="center" vertical="center"/>
    </xf>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3" xfId="0" applyAlignment="1" applyFont="1" applyNumberFormat="1">
      <alignment horizontal="center" readingOrder="0" vertical="center"/>
    </xf>
    <xf borderId="0" fillId="36"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70" xfId="0" applyAlignment="1" applyFont="1" applyNumberFormat="1">
      <alignment readingOrder="0"/>
    </xf>
    <xf borderId="0" fillId="0" fontId="95" numFmtId="0" xfId="0" applyAlignment="1" applyFont="1">
      <alignment readingOrder="0"/>
    </xf>
    <xf borderId="0" fillId="0" fontId="95" numFmtId="173" xfId="0" applyAlignment="1" applyFont="1" applyNumberFormat="1">
      <alignment horizontal="center" readingOrder="0" vertical="center"/>
    </xf>
    <xf borderId="0" fillId="0" fontId="95" numFmtId="173"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3"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31" fillId="3" fontId="105" numFmtId="175" xfId="0" applyAlignment="1" applyBorder="1" applyFont="1" applyNumberFormat="1">
      <alignment horizontal="center" readingOrder="0" vertical="center"/>
    </xf>
    <xf borderId="132" fillId="0" fontId="3" numFmtId="0" xfId="0" applyBorder="1" applyFont="1"/>
    <xf borderId="133" fillId="3" fontId="105" numFmtId="176"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3"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4" xfId="0" applyAlignment="1" applyBorder="1" applyFont="1" applyNumberFormat="1">
      <alignment horizontal="center" vertical="center"/>
    </xf>
    <xf borderId="18" fillId="28" fontId="53" numFmtId="174"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0" fontId="93" numFmtId="0" xfId="0" applyAlignment="1" applyBorder="1" applyFont="1">
      <alignment horizontal="center" shrinkToFit="0" vertical="center" wrapText="1"/>
    </xf>
    <xf borderId="18" fillId="5" fontId="53" numFmtId="0" xfId="0" applyAlignment="1" applyBorder="1" applyFont="1">
      <alignment horizontal="center" readingOrder="0" shrinkToFit="0" vertical="center" wrapText="1"/>
    </xf>
    <xf borderId="18" fillId="0" fontId="1" numFmtId="0" xfId="0" applyAlignment="1" applyBorder="1" applyFont="1">
      <alignment horizontal="center" readingOrder="0"/>
    </xf>
    <xf borderId="18" fillId="0" fontId="1" numFmtId="0" xfId="0" applyAlignment="1" applyBorder="1" applyFont="1">
      <alignment horizontal="center"/>
    </xf>
    <xf borderId="18" fillId="5" fontId="53" numFmtId="0" xfId="0" applyAlignment="1" applyBorder="1" applyFont="1">
      <alignment horizontal="center" shrinkToFit="0" wrapText="1"/>
    </xf>
    <xf borderId="18" fillId="5"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Border="1" applyFont="1"/>
    <xf borderId="18" fillId="0" fontId="53" numFmtId="0" xfId="0" applyAlignment="1" applyBorder="1" applyFont="1">
      <alignment readingOrder="0"/>
    </xf>
    <xf borderId="18" fillId="42" fontId="1" numFmtId="0" xfId="0" applyAlignment="1" applyBorder="1" applyFill="1" applyFont="1">
      <alignment horizontal="center" readingOrder="0"/>
    </xf>
    <xf borderId="18" fillId="0" fontId="53"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40" fontId="53" numFmtId="0" xfId="0" applyAlignment="1" applyBorder="1" applyFont="1">
      <alignment horizontal="center"/>
    </xf>
    <xf borderId="18" fillId="0" fontId="53" numFmtId="0" xfId="0" applyAlignment="1" applyBorder="1" applyFont="1">
      <alignment horizontal="center" shrinkToFit="0" vertical="bottom" wrapText="1"/>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53" numFmtId="0" xfId="0" applyAlignment="1" applyBorder="1" applyFont="1">
      <alignment horizontal="center" shrinkToFit="0" wrapText="1"/>
    </xf>
    <xf borderId="18" fillId="0" fontId="100" numFmtId="0" xfId="0" applyAlignment="1" applyBorder="1" applyFont="1">
      <alignment readingOrder="0"/>
    </xf>
    <xf borderId="18" fillId="0" fontId="53" numFmtId="0" xfId="0" applyAlignment="1" applyBorder="1" applyFont="1">
      <alignment horizontal="center" readingOrder="0" shrinkToFit="0" vertical="bottom" wrapText="1"/>
    </xf>
    <xf borderId="18" fillId="5" fontId="53" numFmtId="0" xfId="0" applyAlignment="1" applyBorder="1" applyFont="1">
      <alignment horizontal="center" readingOrder="0" shrinkToFit="0" vertical="bottom" wrapText="1"/>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4" fontId="111" numFmtId="170"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5" fontId="2" numFmtId="0" xfId="0" applyAlignment="1" applyBorder="1" applyFill="1" applyFont="1">
      <alignment horizontal="center" shrinkToFit="0" vertical="center" wrapText="1"/>
    </xf>
    <xf borderId="146" fillId="0" fontId="3" numFmtId="0" xfId="0" applyBorder="1" applyFont="1"/>
    <xf borderId="143" fillId="46"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7"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117"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8" fillId="7" fontId="118" numFmtId="0" xfId="0" applyAlignment="1" applyBorder="1" applyFont="1">
      <alignment readingOrder="0" shrinkToFit="0" vertical="center" wrapText="1"/>
    </xf>
    <xf borderId="159" fillId="7" fontId="119" numFmtId="171" xfId="0" applyAlignment="1" applyBorder="1" applyFont="1" applyNumberFormat="1">
      <alignment horizontal="center" shrinkToFit="0" vertical="center" wrapText="1"/>
    </xf>
    <xf borderId="159" fillId="7" fontId="119"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9" numFmtId="0" xfId="0" applyAlignment="1" applyBorder="1" applyFont="1">
      <alignment horizontal="center" readingOrder="0" shrinkToFit="0" vertical="center" wrapText="1"/>
    </xf>
    <xf borderId="159" fillId="7" fontId="119" numFmtId="177"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20" numFmtId="0" xfId="0" applyAlignment="1" applyBorder="1" applyFont="1">
      <alignment horizontal="left" readingOrder="0" shrinkToFit="0" vertical="center" wrapText="1"/>
    </xf>
    <xf borderId="111" fillId="0" fontId="3" numFmtId="0" xfId="0" applyBorder="1" applyFont="1"/>
    <xf borderId="166" fillId="7" fontId="120" numFmtId="0" xfId="0" applyAlignment="1" applyBorder="1" applyFont="1">
      <alignment horizontal="left" readingOrder="0" shrinkToFit="0" vertical="center" wrapText="1"/>
    </xf>
    <xf borderId="167" fillId="6" fontId="118" numFmtId="0" xfId="0" applyAlignment="1" applyBorder="1" applyFont="1">
      <alignment readingOrder="0" shrinkToFit="0" vertical="center" wrapText="1"/>
    </xf>
    <xf borderId="163" fillId="6" fontId="119" numFmtId="171" xfId="0" applyAlignment="1" applyBorder="1" applyFont="1" applyNumberFormat="1">
      <alignment horizontal="center" shrinkToFit="0" vertical="center" wrapText="1"/>
    </xf>
    <xf borderId="163" fillId="6" fontId="119"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9" numFmtId="0" xfId="0" applyAlignment="1" applyBorder="1" applyFont="1">
      <alignment horizontal="center" readingOrder="0" shrinkToFit="0" vertical="center" wrapText="1"/>
    </xf>
    <xf borderId="159" fillId="6" fontId="119" numFmtId="177" xfId="0" applyAlignment="1" applyBorder="1" applyFont="1" applyNumberFormat="1">
      <alignment horizontal="center" readingOrder="0" shrinkToFit="0" vertical="center" wrapText="1"/>
    </xf>
    <xf borderId="159" fillId="6" fontId="119" numFmtId="0" xfId="0" applyAlignment="1" applyBorder="1" applyFont="1">
      <alignment horizontal="center"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4" fillId="6" fontId="62" numFmtId="0" xfId="0" applyAlignment="1" applyBorder="1" applyFont="1">
      <alignment horizontal="left" readingOrder="0" shrinkToFit="0" vertical="center" wrapText="1"/>
    </xf>
    <xf borderId="111" fillId="6" fontId="120" numFmtId="0" xfId="0" applyAlignment="1" applyBorder="1" applyFont="1">
      <alignment horizontal="left" readingOrder="0" shrinkToFit="0" vertical="center" wrapText="1"/>
    </xf>
    <xf borderId="166" fillId="6" fontId="120" numFmtId="0" xfId="0" applyAlignment="1" applyBorder="1" applyFont="1">
      <alignment horizontal="left" readingOrder="0" shrinkToFit="0" vertical="center" wrapText="1"/>
    </xf>
    <xf borderId="167" fillId="0" fontId="118" numFmtId="0" xfId="0" applyAlignment="1" applyBorder="1" applyFont="1">
      <alignment readingOrder="0" shrinkToFit="0" vertical="center" wrapText="1"/>
    </xf>
    <xf borderId="163" fillId="0" fontId="119" numFmtId="171" xfId="0" applyAlignment="1" applyBorder="1" applyFont="1" applyNumberFormat="1">
      <alignment horizontal="center" shrinkToFit="0" vertical="center" wrapText="1"/>
    </xf>
    <xf borderId="163" fillId="0" fontId="119"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9" numFmtId="0" xfId="0" applyAlignment="1" applyBorder="1" applyFont="1">
      <alignment horizontal="center" readingOrder="0" shrinkToFit="0" vertical="center" wrapText="1"/>
    </xf>
    <xf borderId="163" fillId="0" fontId="119" numFmtId="177"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8" fillId="6" fontId="82" numFmtId="0" xfId="0" applyAlignment="1" applyBorder="1" applyFont="1">
      <alignment readingOrder="0" shrinkToFit="0" vertical="center" wrapText="1"/>
    </xf>
    <xf borderId="163" fillId="6" fontId="119" numFmtId="0" xfId="0" applyAlignment="1" applyBorder="1" applyFont="1">
      <alignment horizontal="center" readingOrder="0" shrinkToFit="0" vertical="center" wrapText="1"/>
    </xf>
    <xf borderId="163" fillId="6" fontId="119" numFmtId="177"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8" fillId="0" fontId="24"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7"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20" numFmtId="0" xfId="0" applyAlignment="1" applyBorder="1" applyFont="1">
      <alignment horizontal="left" readingOrder="0" shrinkToFit="0" vertical="center" wrapText="1"/>
    </xf>
    <xf borderId="178" fillId="0" fontId="3" numFmtId="0" xfId="0" applyBorder="1" applyFont="1"/>
    <xf borderId="179" fillId="7" fontId="120" numFmtId="0" xfId="0" applyAlignment="1" applyBorder="1" applyFont="1">
      <alignment horizontal="left" readingOrder="0" shrinkToFit="0" vertical="center" wrapText="1"/>
    </xf>
    <xf borderId="0" fillId="0" fontId="62" numFmtId="171"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1" numFmtId="0" xfId="0" applyAlignment="1" applyFont="1">
      <alignment readingOrder="0" shrinkToFit="0" vertical="center" wrapText="0"/>
    </xf>
    <xf borderId="0" fillId="0" fontId="104" numFmtId="0" xfId="0" applyAlignment="1" applyFont="1">
      <alignment horizontal="center" readingOrder="0" vertical="center"/>
    </xf>
    <xf borderId="0" fillId="0" fontId="122"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7" fontId="90" numFmtId="0" xfId="0" applyAlignment="1" applyFill="1" applyFont="1">
      <alignment horizontal="center" readingOrder="0" vertical="center"/>
    </xf>
    <xf borderId="0" fillId="46" fontId="90" numFmtId="0" xfId="0" applyAlignment="1" applyFont="1">
      <alignment horizontal="center" readingOrder="0" vertical="center"/>
    </xf>
    <xf borderId="18" fillId="19" fontId="129" numFmtId="0" xfId="0" applyAlignment="1" applyBorder="1" applyFont="1">
      <alignment horizontal="left" readingOrder="0" vertical="center"/>
    </xf>
    <xf borderId="79" fillId="0" fontId="119" numFmtId="0" xfId="0" applyAlignment="1" applyBorder="1" applyFont="1">
      <alignment readingOrder="0"/>
    </xf>
    <xf borderId="0" fillId="0" fontId="119" numFmtId="0" xfId="0" applyAlignment="1" applyFont="1">
      <alignment readingOrder="0"/>
    </xf>
    <xf borderId="32" fillId="48" fontId="119" numFmtId="0" xfId="0" applyAlignment="1" applyBorder="1" applyFill="1" applyFont="1">
      <alignment readingOrder="0" vertical="center"/>
    </xf>
    <xf borderId="0" fillId="0" fontId="128" numFmtId="0" xfId="0" applyAlignment="1" applyFont="1">
      <alignment horizontal="center" readingOrder="0" vertical="center"/>
    </xf>
    <xf borderId="1" fillId="49" fontId="119" numFmtId="0" xfId="0" applyAlignment="1" applyBorder="1" applyFill="1" applyFont="1">
      <alignment readingOrder="0" vertical="center"/>
    </xf>
    <xf borderId="1" fillId="50" fontId="105" numFmtId="0" xfId="0" applyAlignment="1" applyBorder="1" applyFill="1" applyFont="1">
      <alignment horizontal="left" readingOrder="0" vertical="center"/>
    </xf>
    <xf borderId="2" fillId="50"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50" fontId="26"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8"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5" numFmtId="0" xfId="0" applyAlignment="1" applyBorder="1" applyFont="1">
      <alignment horizontal="center" vertical="center"/>
    </xf>
    <xf borderId="95" fillId="11" fontId="20"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3" fillId="11" fontId="20" numFmtId="178"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8" fontId="119" numFmtId="0" xfId="0" applyAlignment="1" applyBorder="1" applyFont="1">
      <alignment readingOrder="0" vertical="center"/>
    </xf>
    <xf borderId="1" fillId="5" fontId="131" numFmtId="0" xfId="0" applyAlignment="1" applyBorder="1" applyFont="1">
      <alignment horizontal="left" readingOrder="0" vertical="center"/>
    </xf>
    <xf borderId="73"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79"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0" fontId="100" numFmtId="0" xfId="0" applyAlignment="1" applyBorder="1" applyFont="1">
      <alignment horizontal="center" readingOrder="0" vertical="center"/>
    </xf>
    <xf borderId="18" fillId="51" fontId="1" numFmtId="0" xfId="0" applyAlignment="1" applyBorder="1" applyFill="1" applyFont="1">
      <alignment horizontal="center" readingOrder="0"/>
    </xf>
    <xf borderId="18" fillId="51"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42" fontId="37"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20" fontId="1" numFmtId="0" xfId="0" applyAlignment="1" applyBorder="1" applyFont="1">
      <alignment horizontal="center" readingOrder="0"/>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61" fillId="7" fontId="82" numFmtId="0" xfId="0" applyAlignment="1" applyBorder="1" applyFont="1">
      <alignment readingOrder="0"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50"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9"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4" numFmtId="0" xfId="0" applyAlignment="1" applyFont="1">
      <alignment readingOrder="0"/>
    </xf>
    <xf borderId="0" fillId="0" fontId="82" numFmtId="0" xfId="0" applyAlignment="1" applyFont="1">
      <alignment readingOrder="0"/>
    </xf>
    <xf borderId="163" fillId="0" fontId="119" numFmtId="20" xfId="0" applyAlignment="1" applyBorder="1" applyFont="1" applyNumberFormat="1">
      <alignment horizontal="center" readingOrder="0" shrinkToFit="0" vertical="center" wrapText="1"/>
    </xf>
    <xf borderId="90" fillId="0" fontId="93"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91" fillId="0" fontId="93"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5"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4"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52" fontId="137" numFmtId="0" xfId="0" applyAlignment="1" applyBorder="1" applyFill="1" applyFont="1">
      <alignment vertical="center"/>
    </xf>
    <xf borderId="18" fillId="28" fontId="137" numFmtId="0" xfId="0" applyAlignment="1" applyBorder="1" applyFont="1">
      <alignment horizontal="center" readingOrder="0" vertical="center"/>
    </xf>
    <xf borderId="18" fillId="7" fontId="137" numFmtId="0" xfId="0" applyAlignment="1" applyBorder="1" applyFont="1">
      <alignment vertical="center"/>
    </xf>
    <xf borderId="18" fillId="53" fontId="137" numFmtId="0" xfId="0" applyAlignment="1" applyBorder="1" applyFill="1" applyFont="1">
      <alignment vertical="center"/>
    </xf>
    <xf borderId="18" fillId="28"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4" fontId="137" numFmtId="0" xfId="0" applyAlignment="1" applyBorder="1" applyFill="1" applyFont="1">
      <alignment vertical="center"/>
    </xf>
    <xf borderId="18" fillId="0" fontId="138"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9" numFmtId="0" xfId="0" applyAlignment="1" applyBorder="1" applyFill="1" applyFont="1">
      <alignment vertical="center"/>
    </xf>
    <xf borderId="18" fillId="34"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0" fillId="0" fontId="13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5"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1" numFmtId="0" xfId="0" applyFont="1"/>
    <xf borderId="3" fillId="0" fontId="141" numFmtId="0" xfId="0" applyBorder="1" applyFont="1"/>
    <xf borderId="3" fillId="58" fontId="141" numFmtId="0" xfId="0" applyAlignment="1" applyBorder="1" applyFill="1" applyFont="1">
      <alignment horizontal="right"/>
    </xf>
    <xf borderId="3" fillId="59" fontId="141" numFmtId="0" xfId="0" applyBorder="1" applyFill="1" applyFont="1"/>
    <xf borderId="3" fillId="9" fontId="141" numFmtId="0" xfId="0" applyAlignment="1" applyBorder="1" applyFont="1">
      <alignment horizontal="right"/>
    </xf>
    <xf borderId="3" fillId="2" fontId="141" numFmtId="175"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1" numFmtId="0" xfId="0" applyAlignment="1" applyBorder="1" applyFont="1">
      <alignment horizontal="right"/>
    </xf>
    <xf borderId="3" fillId="0" fontId="1" numFmtId="0" xfId="0" applyBorder="1" applyFont="1"/>
    <xf borderId="3" fillId="0" fontId="141" numFmtId="1" xfId="0" applyAlignment="1" applyBorder="1" applyFont="1" applyNumberFormat="1">
      <alignment horizontal="right"/>
    </xf>
    <xf borderId="3" fillId="0" fontId="141" numFmtId="0" xfId="0" applyAlignment="1" applyBorder="1" applyFont="1">
      <alignment horizontal="center"/>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3" fillId="0" fontId="141" numFmtId="38" xfId="0" applyAlignment="1" applyBorder="1" applyFont="1" applyNumberFormat="1">
      <alignment horizontal="right"/>
    </xf>
    <xf borderId="187" fillId="9" fontId="141" numFmtId="0" xfId="0" applyAlignment="1" applyBorder="1" applyFont="1">
      <alignment horizontal="right" readingOrder="0"/>
    </xf>
    <xf borderId="1" fillId="59" fontId="141" numFmtId="0" xfId="0" applyAlignment="1" applyBorder="1" applyFont="1">
      <alignment horizontal="center"/>
    </xf>
    <xf borderId="3" fillId="0" fontId="48" numFmtId="0" xfId="0" applyBorder="1" applyFont="1"/>
    <xf borderId="3" fillId="0" fontId="141" numFmtId="10" xfId="0" applyAlignment="1" applyBorder="1" applyFont="1" applyNumberFormat="1">
      <alignment horizontal="right"/>
    </xf>
    <xf borderId="0" fillId="0" fontId="53" numFmtId="0" xfId="0" applyFont="1"/>
    <xf borderId="1" fillId="0" fontId="53" numFmtId="0" xfId="0" applyBorder="1" applyFont="1"/>
    <xf borderId="3" fillId="9" fontId="141" numFmtId="0" xfId="0" applyAlignment="1" applyBorder="1" applyFont="1">
      <alignment horizontal="right" shrinkToFit="0" wrapText="1"/>
    </xf>
    <xf borderId="188" fillId="59" fontId="141" numFmtId="0" xfId="0" applyAlignment="1" applyBorder="1" applyFont="1">
      <alignment horizontal="center"/>
    </xf>
    <xf borderId="0" fillId="0" fontId="100" numFmtId="0" xfId="0" applyFont="1"/>
    <xf borderId="1" fillId="0" fontId="100" numFmtId="0" xfId="0" applyBorder="1" applyFont="1"/>
    <xf borderId="189" fillId="59" fontId="141" numFmtId="0" xfId="0" applyBorder="1" applyFont="1"/>
    <xf borderId="1" fillId="0" fontId="141"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1" numFmtId="0" xfId="0" applyAlignment="1" applyBorder="1" applyFont="1">
      <alignment horizontal="right"/>
    </xf>
    <xf borderId="3" fillId="7" fontId="48" numFmtId="0" xfId="0" applyBorder="1" applyFont="1"/>
    <xf borderId="190" fillId="7" fontId="141" numFmtId="0" xfId="0" applyAlignment="1" applyBorder="1" applyFont="1">
      <alignment horizontal="right"/>
    </xf>
    <xf borderId="190" fillId="7" fontId="48" numFmtId="0" xfId="0" applyBorder="1" applyFont="1"/>
    <xf borderId="3" fillId="7" fontId="141" numFmtId="0" xfId="0" applyAlignment="1" applyBorder="1" applyFont="1">
      <alignment horizontal="right" readingOrder="0"/>
    </xf>
    <xf borderId="191" fillId="7" fontId="48" numFmtId="0" xfId="0" applyBorder="1" applyFont="1"/>
    <xf borderId="191" fillId="59" fontId="141"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1" numFmtId="0" xfId="0" applyAlignment="1" applyBorder="1" applyFont="1">
      <alignment horizontal="right"/>
    </xf>
    <xf borderId="3" fillId="9" fontId="141" numFmtId="1" xfId="0" applyAlignment="1" applyBorder="1" applyFont="1" applyNumberFormat="1">
      <alignment horizontal="right"/>
    </xf>
    <xf borderId="3" fillId="0" fontId="141" numFmtId="9" xfId="0" applyAlignment="1" applyBorder="1" applyFont="1" applyNumberFormat="1">
      <alignment horizontal="right"/>
    </xf>
    <xf borderId="187" fillId="9" fontId="141" numFmtId="0" xfId="0" applyAlignment="1" applyBorder="1" applyFon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1" xfId="0" applyAlignment="1" applyBorder="1" applyFont="1" applyNumberFormat="1">
      <alignment horizontal="center" vertical="bottom"/>
    </xf>
    <xf borderId="124" fillId="56" fontId="35" numFmtId="0" xfId="0" applyAlignment="1" applyBorder="1" applyFont="1">
      <alignment horizontal="center" vertical="bottom"/>
    </xf>
    <xf borderId="124" fillId="44" fontId="3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9"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49"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2" xfId="0" applyAlignment="1" applyBorder="1" applyFont="1" applyNumberFormat="1">
      <alignment horizontal="center" vertical="bottom"/>
    </xf>
    <xf borderId="124" fillId="0" fontId="148" numFmtId="0" xfId="0" applyAlignment="1" applyBorder="1" applyFont="1">
      <alignment horizontal="center" vertical="bottom"/>
    </xf>
    <xf borderId="124" fillId="0" fontId="1" numFmtId="0" xfId="0" applyAlignment="1" applyBorder="1" applyFont="1">
      <alignment horizontal="center" vertical="bottom"/>
    </xf>
    <xf borderId="124" fillId="0" fontId="1" numFmtId="181"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3"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4" numFmtId="0" xfId="0" applyAlignment="1" applyBorder="1" applyFont="1">
      <alignment readingOrder="0" vertical="center"/>
    </xf>
    <xf borderId="18" fillId="60"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2" numFmtId="0" xfId="0" applyAlignment="1" applyBorder="1" applyFont="1">
      <alignment readingOrder="0" vertical="center"/>
    </xf>
    <xf borderId="18" fillId="60" fontId="153" numFmtId="0" xfId="0" applyAlignment="1" applyBorder="1" applyFont="1">
      <alignment readingOrder="0"/>
    </xf>
    <xf borderId="18" fillId="60" fontId="4" numFmtId="0" xfId="0" applyAlignment="1" applyBorder="1" applyFont="1">
      <alignment readingOrder="0" vertical="center"/>
    </xf>
    <xf borderId="124" fillId="0" fontId="154"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8" numFmtId="186"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59" numFmtId="3" xfId="0" applyAlignment="1" applyBorder="1" applyFont="1" applyNumberFormat="1">
      <alignment horizontal="center" readingOrder="0" shrinkToFit="0" wrapText="0"/>
    </xf>
    <xf borderId="33" fillId="31" fontId="53" numFmtId="172" xfId="0" applyAlignment="1" applyBorder="1" applyFont="1" applyNumberFormat="1">
      <alignment horizontal="right" readingOrder="0" vertical="center"/>
    </xf>
    <xf borderId="81" fillId="7" fontId="159" numFmtId="0" xfId="0" applyAlignment="1" applyBorder="1" applyFont="1">
      <alignment horizontal="center" readingOrder="0" shrinkToFit="0" vertical="center" wrapText="0"/>
    </xf>
    <xf borderId="4" fillId="61" fontId="159" numFmtId="0" xfId="0" applyAlignment="1" applyBorder="1" applyFill="1" applyFont="1">
      <alignment horizontal="center" readingOrder="0" shrinkToFit="0" wrapText="0"/>
    </xf>
    <xf borderId="3" fillId="61" fontId="159" numFmtId="0" xfId="0" applyAlignment="1" applyBorder="1" applyFont="1">
      <alignment horizontal="center" readingOrder="0" shrinkToFit="0" wrapText="0"/>
    </xf>
    <xf borderId="181" fillId="48" fontId="159" numFmtId="0" xfId="0" applyAlignment="1" applyBorder="1" applyFont="1">
      <alignment horizontal="center" readingOrder="0" shrinkToFit="0" vertical="center" wrapText="0"/>
    </xf>
    <xf borderId="3" fillId="48" fontId="159" numFmtId="9" xfId="0" applyAlignment="1" applyBorder="1" applyFont="1" applyNumberFormat="1">
      <alignment horizontal="center" readingOrder="0" shrinkToFit="0" wrapText="0"/>
    </xf>
    <xf borderId="3" fillId="7" fontId="159" numFmtId="10" xfId="0" applyAlignment="1" applyBorder="1" applyFont="1" applyNumberFormat="1">
      <alignment horizontal="center" readingOrder="0" shrinkToFit="0" wrapText="0"/>
    </xf>
    <xf borderId="181" fillId="0" fontId="3" numFmtId="0" xfId="0" applyBorder="1" applyFont="1"/>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8"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0"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1"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2" numFmtId="0" xfId="0" applyAlignment="1" applyBorder="1" applyFont="1">
      <alignment horizontal="center" readingOrder="0" vertical="bottom"/>
    </xf>
    <xf borderId="195" fillId="0" fontId="3" numFmtId="0" xfId="0" applyBorder="1" applyFont="1"/>
    <xf borderId="133" fillId="7" fontId="162"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1" numFmtId="0" xfId="0" applyAlignment="1" applyBorder="1" applyFont="1">
      <alignment horizontal="center" readingOrder="0" vertical="bottom"/>
    </xf>
    <xf borderId="77" fillId="0" fontId="161"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1" numFmtId="0" xfId="0" applyAlignment="1" applyBorder="1" applyFont="1">
      <alignment horizontal="center" vertical="bottom"/>
    </xf>
    <xf borderId="202" fillId="3" fontId="161" numFmtId="49"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3" fontId="164" numFmtId="10" xfId="0" applyAlignment="1" applyBorder="1" applyFont="1" applyNumberFormat="1">
      <alignment horizontal="center" vertical="bottom"/>
    </xf>
    <xf borderId="202" fillId="0" fontId="161" numFmtId="0" xfId="0" applyAlignment="1" applyBorder="1" applyFont="1">
      <alignment horizontal="center" vertical="bottom"/>
    </xf>
    <xf borderId="202" fillId="7" fontId="161" numFmtId="49" xfId="0" applyAlignment="1" applyBorder="1" applyFont="1" applyNumberFormat="1">
      <alignment horizontal="center" vertical="bottom"/>
    </xf>
    <xf borderId="202" fillId="7" fontId="161" numFmtId="10" xfId="0" applyAlignment="1" applyBorder="1" applyFont="1" applyNumberFormat="1">
      <alignment horizontal="center" vertical="bottom"/>
    </xf>
    <xf borderId="203"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5" numFmtId="0" xfId="0" applyAlignment="1" applyBorder="1" applyFont="1">
      <alignment horizontal="center" readingOrder="0"/>
    </xf>
    <xf borderId="207" fillId="0" fontId="165" numFmtId="0" xfId="0" applyAlignment="1" applyBorder="1" applyFont="1">
      <alignment horizontal="center"/>
    </xf>
    <xf borderId="208" fillId="0" fontId="165"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6" numFmtId="0" xfId="0" applyAlignment="1" applyBorder="1" applyFont="1">
      <alignment horizontal="center" vertical="bottom"/>
    </xf>
    <xf borderId="204" fillId="0" fontId="167"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4"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4" numFmtId="0" xfId="0" applyAlignment="1" applyBorder="1" applyFont="1">
      <alignment horizontal="center" vertical="bottom"/>
    </xf>
    <xf borderId="212" fillId="0" fontId="164" numFmtId="0" xfId="0" applyAlignment="1" applyBorder="1" applyFont="1">
      <alignment horizontal="center" vertical="bottom"/>
    </xf>
    <xf borderId="18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1" numFmtId="0" xfId="0" applyAlignment="1" applyBorder="1" applyFont="1">
      <alignment horizontal="center" vertical="bottom"/>
    </xf>
    <xf borderId="76" fillId="0" fontId="164" numFmtId="0" xfId="0" applyAlignment="1" applyBorder="1" applyFont="1">
      <alignment horizontal="center" vertical="bottom"/>
    </xf>
    <xf borderId="215" fillId="0" fontId="164"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4"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68" numFmtId="0" xfId="0" applyAlignment="1" applyBorder="1" applyFont="1">
      <alignment horizontal="center" readingOrder="0"/>
    </xf>
    <xf borderId="223" fillId="0" fontId="169" numFmtId="0" xfId="0" applyAlignment="1" applyBorder="1" applyFont="1">
      <alignment horizontal="center" readingOrder="0" shrinkToFit="0" vertical="center" wrapText="1"/>
    </xf>
    <xf borderId="0" fillId="0" fontId="169" numFmtId="0" xfId="0" applyAlignment="1" applyFont="1">
      <alignment horizontal="center" readingOrder="0" vertical="center"/>
    </xf>
    <xf borderId="224" fillId="0" fontId="165" numFmtId="0" xfId="0" applyAlignment="1" applyBorder="1" applyFont="1">
      <alignment horizontal="center" readingOrder="0"/>
    </xf>
    <xf borderId="225" fillId="0" fontId="165" numFmtId="0" xfId="0" applyAlignment="1" applyBorder="1" applyFont="1">
      <alignment horizontal="center" readingOrder="0"/>
    </xf>
    <xf borderId="226" fillId="0" fontId="165" numFmtId="0" xfId="0" applyAlignment="1" applyBorder="1" applyFont="1">
      <alignment horizontal="center" readingOrder="0"/>
    </xf>
    <xf borderId="125" fillId="0" fontId="165"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95209663"/>
        <c:axId val="1082311230"/>
      </c:lineChart>
      <c:catAx>
        <c:axId val="20952096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82311230"/>
      </c:catAx>
      <c:valAx>
        <c:axId val="10823112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520966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19152898"/>
        <c:axId val="1370228934"/>
      </c:lineChart>
      <c:catAx>
        <c:axId val="5191528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70228934"/>
      </c:catAx>
      <c:valAx>
        <c:axId val="13702289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915289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619214002"/>
        <c:axId val="1702053398"/>
      </c:lineChart>
      <c:catAx>
        <c:axId val="16192140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2053398"/>
      </c:catAx>
      <c:valAx>
        <c:axId val="170205339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92140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87184952"/>
        <c:axId val="224191633"/>
      </c:barChart>
      <c:catAx>
        <c:axId val="1871849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24191633"/>
      </c:catAx>
      <c:valAx>
        <c:axId val="2241916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18495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73811252"/>
        <c:axId val="437438824"/>
      </c:lineChart>
      <c:catAx>
        <c:axId val="1473811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7438824"/>
      </c:catAx>
      <c:valAx>
        <c:axId val="4374388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38112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35638664"/>
        <c:axId val="415716792"/>
      </c:barChart>
      <c:catAx>
        <c:axId val="10356386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5716792"/>
      </c:catAx>
      <c:valAx>
        <c:axId val="4157167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56386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{DC9B9800-5622-42F8-84C2-3F3FCE65F59B}</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trip.com" TargetMode="Externa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230" Type="http://schemas.openxmlformats.org/officeDocument/2006/relationships/drawing" Target="../drawings/drawing1.xm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p3OMTDan46R-6pHk-oMV8hlYLSvzRDhk-LvoTWGLD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Lvu6255MGjDaRfMoXn9v3azoQ88l8UtQ7mcOGt2PQ/edit?gid=984695742"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TzeCxZNyHxLZOQwGP8D_DUwer7xfWBAa7VnCV1Fs7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TzeCxZNyHxLZOQwGP8D_DUwer7xfWBAa7VnCV1Fs7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p3OMTDan46R-6pHk-oMV8hlYLSvzRDhk-LvoTWGLD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TzeCxZNyHxLZOQwGP8D_DUwer7xfWBAa7VnCV1Fs7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nTzeCxZNyHxLZOQwGP8D_DUwer7xfWBAa7VnCV1Fs74/edit?gid=984695742"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ap3OMTDan46R-6pHk-oMV8hlYLSvzRDhk-LvoTWGLDA/edit" TargetMode="External"/><Relationship Id="rId176" Type="http://schemas.openxmlformats.org/officeDocument/2006/relationships/hyperlink" Target="https://docs.google.com/spreadsheets/d/1YpLvu6255MGjDaRfMoXn9v3azoQ88l8UtQ7mcOGt2PQ/edit" TargetMode="External"/><Relationship Id="rId175" Type="http://schemas.openxmlformats.org/officeDocument/2006/relationships/hyperlink" Target="https://docs.google.com/spreadsheets/d/1ap3OMTDan46R-6pHk-oMV8hlYLSvzRDhk-LvoTWGLDA/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ap3OMTDan46R-6pHk-oMV8hlYLSvzRDhk-LvoTWGLD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YpLvu6255MGjDaRfMoXn9v3azoQ88l8UtQ7mcOGt2PQ/edit" TargetMode="External"/><Relationship Id="rId165" Type="http://schemas.openxmlformats.org/officeDocument/2006/relationships/hyperlink" Target="https://docs.google.com/spreadsheets/d/1ap3OMTDan46R-6pHk-oMV8hlYLSvzRDhk-LvoTWGLDA/edit" TargetMode="External"/><Relationship Id="rId164" Type="http://schemas.openxmlformats.org/officeDocument/2006/relationships/hyperlink" Target="https://docs.google.com/spreadsheets/d/1YpLvu6255MGjDaRfMoXn9v3azoQ88l8UtQ7mcOGt2PQ/edit" TargetMode="External"/><Relationship Id="rId163" Type="http://schemas.openxmlformats.org/officeDocument/2006/relationships/hyperlink" Target="https://docs.google.com/spreadsheets/d/1ap3OMTDan46R-6pHk-oMV8hlYLSvzRDhk-LvoTWGLDA/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ap3OMTDan46R-6pHk-oMV8hlYLSvzRDhk-LvoTWGLDA/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YpLvu6255MGjDaRfMoXn9v3azoQ88l8UtQ7mcOGt2PQ/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YpLvu6255MGjDaRfMoXn9v3azoQ88l8UtQ7mcOGt2PQ/edit" TargetMode="External"/><Relationship Id="rId159" Type="http://schemas.openxmlformats.org/officeDocument/2006/relationships/hyperlink" Target="https://docs.google.com/spreadsheets/d/1ap3OMTDan46R-6pHk-oMV8hlYLSvzRDhk-LvoTWGLDA/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YpLvu6255MGjDaRfMoXn9v3azoQ88l8UtQ7mcOGt2PQ/edit" TargetMode="External"/><Relationship Id="rId157" Type="http://schemas.openxmlformats.org/officeDocument/2006/relationships/hyperlink" Target="https://docs.google.com/spreadsheets/d/1ap3OMTDan46R-6pHk-oMV8hlYLSvzRDhk-LvoTWGLDA/edit" TargetMode="External"/><Relationship Id="rId156" Type="http://schemas.openxmlformats.org/officeDocument/2006/relationships/hyperlink" Target="https://docs.google.com/spreadsheets/d/1YpLvu6255MGjDaRfMoXn9v3azoQ88l8UtQ7mcOGt2PQ/edit" TargetMode="External"/><Relationship Id="rId155" Type="http://schemas.openxmlformats.org/officeDocument/2006/relationships/hyperlink" Target="https://docs.google.com/spreadsheets/d/1ap3OMTDan46R-6pHk-oMV8hlYLSvzRDhk-LvoTWGLD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3.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5.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IFERROR(__xludf.DUMMYFUNCTION("""COMPUTED_VALUE"""),8.0)</f>
        <v>8</v>
      </c>
      <c r="E6" s="22">
        <f>IFERROR(__xludf.DUMMYFUNCTION("""COMPUTED_VALUE"""),46138.0)</f>
        <v>46138</v>
      </c>
      <c r="F6" s="6"/>
      <c r="G6" s="6" t="str">
        <f>IFERROR(__xludf.DUMMYFUNCTION("""COMPUTED_VALUE"""),"Large twin room to open luggage.")</f>
        <v>Large twin room to open luggage.</v>
      </c>
      <c r="H6"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6" s="6" t="str">
        <f>IFERROR(__xludf.DUMMYFUNCTION("""COMPUTED_VALUE"""),"")</f>
        <v/>
      </c>
      <c r="J6" s="6" t="str">
        <f>IFERROR(__xludf.DUMMYFUNCTION("""COMPUTED_VALUE"""),"荷物を広げられる広いツインルーム。")</f>
        <v>荷物を広げられる広いツインルーム。</v>
      </c>
      <c r="K6"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L6" s="6" t="str">
        <f>IFERROR(__xludf.DUMMYFUNCTION("""COMPUTED_VALUE"""),"Michael")</f>
        <v>Michael</v>
      </c>
      <c r="N6" s="23" t="b">
        <f>IFERROR(__xludf.DUMMYFUNCTION("IMPORTRANGE(C3,Q3&amp;R3&amp;T3)"),FALSE)</f>
        <v>0</v>
      </c>
      <c r="O6" s="21" t="str">
        <f>IFERROR(__xludf.DUMMYFUNCTION("""COMPUTED_VALUE"""),"Booking.com")</f>
        <v>Booking.com</v>
      </c>
      <c r="P6" s="23">
        <f>IFERROR(__xludf.DUMMYFUNCTION("""COMPUTED_VALUE"""),8.0)</f>
        <v>8</v>
      </c>
      <c r="Q6" s="24">
        <f>IFERROR(__xludf.DUMMYFUNCTION("""COMPUTED_VALUE"""),46138.0)</f>
        <v>46138</v>
      </c>
      <c r="R6" s="23"/>
      <c r="S6" s="23" t="str">
        <f>IFERROR(__xludf.DUMMYFUNCTION("""COMPUTED_VALUE"""),"Large twin room to open luggage.")</f>
        <v>Large twin room to open luggage.</v>
      </c>
      <c r="T6"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6" s="23" t="str">
        <f>IFERROR(__xludf.DUMMYFUNCTION("""COMPUTED_VALUE"""),"")</f>
        <v/>
      </c>
      <c r="V6" s="23" t="str">
        <f>IFERROR(__xludf.DUMMYFUNCTION("""COMPUTED_VALUE"""),"荷物を広げられる広いツインルーム。")</f>
        <v>荷物を広げられる広いツインルーム。</v>
      </c>
      <c r="W6"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X6" s="23" t="str">
        <f>IFERROR(__xludf.DUMMYFUNCTION("""COMPUTED_VALUE"""),"Michael")</f>
        <v>Michael</v>
      </c>
    </row>
    <row r="7">
      <c r="B7" s="20" t="b">
        <f>IFERROR(__xludf.DUMMYFUNCTION("""COMPUTED_VALUE"""),FALSE)</f>
        <v>0</v>
      </c>
      <c r="C7" s="21" t="str">
        <f>IFERROR(__xludf.DUMMYFUNCTION("""COMPUTED_VALUE"""),"Trip.com")</f>
        <v>Trip.com</v>
      </c>
      <c r="D7" s="6">
        <f>IFERROR(__xludf.DUMMYFUNCTION("""COMPUTED_VALUE"""),9.0)</f>
        <v>9</v>
      </c>
      <c r="E7" s="25">
        <f>IFERROR(__xludf.DUMMYFUNCTION("""COMPUTED_VALUE"""),46138.0)</f>
        <v>46138</v>
      </c>
      <c r="F7"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7" s="6"/>
      <c r="H7" s="6"/>
      <c r="I7"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IFERROR(__xludf.DUMMYFUNCTION("""COMPUTED_VALUE"""),9.0)</f>
        <v>9</v>
      </c>
      <c r="Q7" s="24">
        <f>IFERROR(__xludf.DUMMYFUNCTION("""COMPUTED_VALUE"""),46138.0)</f>
        <v>46138</v>
      </c>
      <c r="R7"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7" s="23"/>
      <c r="T7" s="23"/>
      <c r="U7"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1" t="str">
        <f>IFERROR(__xludf.DUMMYFUNCTION("""COMPUTED_VALUE"""),"Trip.com")</f>
        <v>Trip.com</v>
      </c>
      <c r="D8" s="6">
        <f>IFERROR(__xludf.DUMMYFUNCTION("""COMPUTED_VALUE"""),10.0)</f>
        <v>10</v>
      </c>
      <c r="E8" s="22">
        <f>IFERROR(__xludf.DUMMYFUNCTION("""COMPUTED_VALUE"""),46138.0)</f>
        <v>46138</v>
      </c>
      <c r="F8" s="6" t="str">
        <f>IFERROR(__xludf.DUMMYFUNCTION("""COMPUTED_VALUE"""),"Location is great")</f>
        <v>Location is great</v>
      </c>
      <c r="G8" s="6"/>
      <c r="H8" s="6"/>
      <c r="I8" s="6" t="str">
        <f>IFERROR(__xludf.DUMMYFUNCTION("""COMPUTED_VALUE"""),"立地は最高です")</f>
        <v>立地は最高です</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IFERROR(__xludf.DUMMYFUNCTION("""COMPUTED_VALUE"""),10.0)</f>
        <v>10</v>
      </c>
      <c r="Q8" s="24">
        <f>IFERROR(__xludf.DUMMYFUNCTION("""COMPUTED_VALUE"""),46138.0)</f>
        <v>46138</v>
      </c>
      <c r="R8" s="23" t="str">
        <f>IFERROR(__xludf.DUMMYFUNCTION("""COMPUTED_VALUE"""),"Location is great")</f>
        <v>Location is great</v>
      </c>
      <c r="S8" s="23"/>
      <c r="T8" s="23"/>
      <c r="U8" s="23" t="str">
        <f>IFERROR(__xludf.DUMMYFUNCTION("""COMPUTED_VALUE"""),"立地は最高です")</f>
        <v>立地は最高です</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3" t="str">
        <f>IFERROR(__xludf.DUMMYFUNCTION("""COMPUTED_VALUE"""),"Google")</f>
        <v>Google</v>
      </c>
      <c r="D9" s="6">
        <f>IFERROR(__xludf.DUMMYFUNCTION("""COMPUTED_VALUE"""),1.0)</f>
        <v>1</v>
      </c>
      <c r="E9" s="22">
        <f>IFERROR(__xludf.DUMMYFUNCTION("""COMPUTED_VALUE"""),46138.0)</f>
        <v>46138</v>
      </c>
      <c r="F9"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9" s="6"/>
      <c r="H9" s="26"/>
      <c r="I9"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9" s="26" t="str">
        <f>IFERROR(__xludf.DUMMYFUNCTION("""COMPUTED_VALUE"""),"")</f>
        <v/>
      </c>
      <c r="K9" s="6" t="str">
        <f>IFERROR(__xludf.DUMMYFUNCTION("""COMPUTED_VALUE"""),"")</f>
        <v/>
      </c>
      <c r="L9" s="6" t="str">
        <f>IFERROR(__xludf.DUMMYFUNCTION("""COMPUTED_VALUE"""),"Jonathan Chua")</f>
        <v>Jonathan Chua</v>
      </c>
      <c r="N9" s="23" t="b">
        <f>IFERROR(__xludf.DUMMYFUNCTION("""COMPUTED_VALUE"""),FALSE)</f>
        <v>0</v>
      </c>
      <c r="O9" s="23" t="str">
        <f>IFERROR(__xludf.DUMMYFUNCTION("""COMPUTED_VALUE"""),"Google")</f>
        <v>Google</v>
      </c>
      <c r="P9" s="23">
        <f>IFERROR(__xludf.DUMMYFUNCTION("""COMPUTED_VALUE"""),1.0)</f>
        <v>1</v>
      </c>
      <c r="Q9" s="24">
        <f>IFERROR(__xludf.DUMMYFUNCTION("""COMPUTED_VALUE"""),46138.0)</f>
        <v>46138</v>
      </c>
      <c r="R9"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9" s="23"/>
      <c r="T9" s="23"/>
      <c r="U9"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9" s="23" t="str">
        <f>IFERROR(__xludf.DUMMYFUNCTION("""COMPUTED_VALUE"""),"")</f>
        <v/>
      </c>
      <c r="W9" s="23" t="str">
        <f>IFERROR(__xludf.DUMMYFUNCTION("""COMPUTED_VALUE"""),"")</f>
        <v/>
      </c>
      <c r="X9" s="23" t="str">
        <f>IFERROR(__xludf.DUMMYFUNCTION("""COMPUTED_VALUE"""),"Jonathan Chua")</f>
        <v>Jonathan Chua</v>
      </c>
    </row>
    <row r="10">
      <c r="B10" s="20" t="b">
        <f>IFERROR(__xludf.DUMMYFUNCTION("""COMPUTED_VALUE"""),FALSE)</f>
        <v>0</v>
      </c>
      <c r="C10" s="21" t="str">
        <f>IFERROR(__xludf.DUMMYFUNCTION("""COMPUTED_VALUE"""),"Trip.com")</f>
        <v>Trip.com</v>
      </c>
      <c r="D10" s="6">
        <f>IFERROR(__xludf.DUMMYFUNCTION("""COMPUTED_VALUE"""),8.0)</f>
        <v>8</v>
      </c>
      <c r="E10" s="22">
        <f>IFERROR(__xludf.DUMMYFUNCTION("""COMPUTED_VALUE"""),46138.0)</f>
        <v>46138</v>
      </c>
      <c r="F10" s="6" t="str">
        <f>IFERROR(__xludf.DUMMYFUNCTION("""COMPUTED_VALUE"""),"希望早餐可以豐富啲")</f>
        <v>希望早餐可以豐富啲</v>
      </c>
      <c r="G10" s="6"/>
      <c r="H10" s="6"/>
      <c r="I10" s="6" t="str">
        <f>IFERROR(__xludf.DUMMYFUNCTION("""COMPUTED_VALUE"""),"朝食がもっと充実することを願っています")</f>
        <v>朝食がもっと充実することを願っています</v>
      </c>
      <c r="J10" s="6" t="str">
        <f>IFERROR(__xludf.DUMMYFUNCTION("""COMPUTED_VALUE"""),"")</f>
        <v/>
      </c>
      <c r="K10" s="6" t="str">
        <f>IFERROR(__xludf.DUMMYFUNCTION("""COMPUTED_VALUE"""),"")</f>
        <v/>
      </c>
      <c r="L10" s="6" t="str">
        <f>IFERROR(__xludf.DUMMYFUNCTION("""COMPUTED_VALUE"""),"S‍a‍m‍0‍1‍0‍7")</f>
        <v>S‍a‍m‍0‍1‍0‍7</v>
      </c>
      <c r="N10" s="23" t="b">
        <f>IFERROR(__xludf.DUMMYFUNCTION("""COMPUTED_VALUE"""),FALSE)</f>
        <v>0</v>
      </c>
      <c r="O10" s="21" t="str">
        <f>IFERROR(__xludf.DUMMYFUNCTION("""COMPUTED_VALUE"""),"Trip.com")</f>
        <v>Trip.com</v>
      </c>
      <c r="P10" s="23">
        <f>IFERROR(__xludf.DUMMYFUNCTION("""COMPUTED_VALUE"""),8.0)</f>
        <v>8</v>
      </c>
      <c r="Q10" s="24">
        <f>IFERROR(__xludf.DUMMYFUNCTION("""COMPUTED_VALUE"""),46138.0)</f>
        <v>46138</v>
      </c>
      <c r="R10" s="23" t="str">
        <f>IFERROR(__xludf.DUMMYFUNCTION("""COMPUTED_VALUE"""),"希望早餐可以豐富啲")</f>
        <v>希望早餐可以豐富啲</v>
      </c>
      <c r="S10" s="23"/>
      <c r="T10" s="23"/>
      <c r="U10" s="23" t="str">
        <f>IFERROR(__xludf.DUMMYFUNCTION("""COMPUTED_VALUE"""),"朝食がもっと充実することを願っています")</f>
        <v>朝食がもっと充実することを願っています</v>
      </c>
      <c r="V10" s="23" t="str">
        <f>IFERROR(__xludf.DUMMYFUNCTION("""COMPUTED_VALUE"""),"")</f>
        <v/>
      </c>
      <c r="W10" s="23" t="str">
        <f>IFERROR(__xludf.DUMMYFUNCTION("""COMPUTED_VALUE"""),"")</f>
        <v/>
      </c>
      <c r="X10" s="23" t="str">
        <f>IFERROR(__xludf.DUMMYFUNCTION("""COMPUTED_VALUE"""),"S‍a‍m‍0‍1‍0‍7")</f>
        <v>S‍a‍m‍0‍1‍0‍7</v>
      </c>
    </row>
    <row r="11">
      <c r="B11" s="20" t="b">
        <f>IFERROR(__xludf.DUMMYFUNCTION("""COMPUTED_VALUE"""),FALSE)</f>
        <v>0</v>
      </c>
      <c r="C11" s="21" t="str">
        <f>IFERROR(__xludf.DUMMYFUNCTION("""COMPUTED_VALUE"""),"Trip.com")</f>
        <v>Trip.com</v>
      </c>
      <c r="D11" s="6">
        <f>IFERROR(__xludf.DUMMYFUNCTION("""COMPUTED_VALUE"""),8.0)</f>
        <v>8</v>
      </c>
      <c r="E11" s="22">
        <f>IFERROR(__xludf.DUMMYFUNCTION("""COMPUTED_VALUE"""),46138.0)</f>
        <v>46138</v>
      </c>
      <c r="F11"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11" s="6"/>
      <c r="H11" s="6"/>
      <c r="I11"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IFERROR(__xludf.DUMMYFUNCTION("""COMPUTED_VALUE"""),8.0)</f>
        <v>8</v>
      </c>
      <c r="Q11" s="24">
        <f>IFERROR(__xludf.DUMMYFUNCTION("""COMPUTED_VALUE"""),46138.0)</f>
        <v>46138</v>
      </c>
      <c r="R11"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11" s="23"/>
      <c r="T11" s="23"/>
      <c r="U11"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1" t="str">
        <f>IFERROR(__xludf.DUMMYFUNCTION("""COMPUTED_VALUE"""),"Trip.com")</f>
        <v>Trip.com</v>
      </c>
      <c r="D12" s="6">
        <f>IFERROR(__xludf.DUMMYFUNCTION("""COMPUTED_VALUE"""),9.0)</f>
        <v>9</v>
      </c>
      <c r="E12" s="22">
        <f>IFERROR(__xludf.DUMMYFUNCTION("""COMPUTED_VALUE"""),46136.0)</f>
        <v>46136</v>
      </c>
      <c r="F12"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12" s="6"/>
      <c r="H12" s="6"/>
      <c r="I12"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12" s="6" t="str">
        <f>IFERROR(__xludf.DUMMYFUNCTION("""COMPUTED_VALUE"""),"")</f>
        <v/>
      </c>
      <c r="K12" s="6" t="str">
        <f>IFERROR(__xludf.DUMMYFUNCTION("""COMPUTED_VALUE"""),"")</f>
        <v/>
      </c>
      <c r="L12" s="6" t="str">
        <f>IFERROR(__xludf.DUMMYFUNCTION("""COMPUTED_VALUE"""),"A‍m‍a‍n‍d‍a‍ ‍O‍n‍g‍s‍t")</f>
        <v>A‍m‍a‍n‍d‍a‍ ‍O‍n‍g‍s‍t</v>
      </c>
      <c r="N12" s="23" t="b">
        <f>IFERROR(__xludf.DUMMYFUNCTION("""COMPUTED_VALUE"""),FALSE)</f>
        <v>0</v>
      </c>
      <c r="O12" s="21" t="str">
        <f>IFERROR(__xludf.DUMMYFUNCTION("""COMPUTED_VALUE"""),"Trip.com")</f>
        <v>Trip.com</v>
      </c>
      <c r="P12" s="23">
        <f>IFERROR(__xludf.DUMMYFUNCTION("""COMPUTED_VALUE"""),9.0)</f>
        <v>9</v>
      </c>
      <c r="Q12" s="24">
        <f>IFERROR(__xludf.DUMMYFUNCTION("""COMPUTED_VALUE"""),46136.0)</f>
        <v>46136</v>
      </c>
      <c r="R12"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12" s="23"/>
      <c r="T12" s="23"/>
      <c r="U12"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12" s="23" t="str">
        <f>IFERROR(__xludf.DUMMYFUNCTION("""COMPUTED_VALUE"""),"")</f>
        <v/>
      </c>
      <c r="W12" s="23" t="str">
        <f>IFERROR(__xludf.DUMMYFUNCTION("""COMPUTED_VALUE"""),"")</f>
        <v/>
      </c>
      <c r="X12" s="23" t="str">
        <f>IFERROR(__xludf.DUMMYFUNCTION("""COMPUTED_VALUE"""),"A‍m‍a‍n‍d‍a‍ ‍O‍n‍g‍s‍t")</f>
        <v>A‍m‍a‍n‍d‍a‍ ‍O‍n‍g‍s‍t</v>
      </c>
    </row>
    <row r="13">
      <c r="B13" s="20" t="b">
        <f>IFERROR(__xludf.DUMMYFUNCTION("""COMPUTED_VALUE"""),FALSE)</f>
        <v>0</v>
      </c>
      <c r="C13" s="21" t="str">
        <f>IFERROR(__xludf.DUMMYFUNCTION("""COMPUTED_VALUE"""),"Booking.com")</f>
        <v>Booking.com</v>
      </c>
      <c r="D13" s="6">
        <f>IFERROR(__xludf.DUMMYFUNCTION("""COMPUTED_VALUE"""),8.0)</f>
        <v>8</v>
      </c>
      <c r="E13" s="22">
        <f>IFERROR(__xludf.DUMMYFUNCTION("""COMPUTED_VALUE"""),46135.0)</f>
        <v>46135</v>
      </c>
      <c r="F13" s="6"/>
      <c r="G13" s="26"/>
      <c r="H13" s="6"/>
      <c r="I13" s="6" t="str">
        <f>IFERROR(__xludf.DUMMYFUNCTION("""COMPUTED_VALUE"""),"")</f>
        <v/>
      </c>
      <c r="J13" s="6" t="str">
        <f>IFERROR(__xludf.DUMMYFUNCTION("""COMPUTED_VALUE"""),"")</f>
        <v/>
      </c>
      <c r="K13" s="6" t="str">
        <f>IFERROR(__xludf.DUMMYFUNCTION("""COMPUTED_VALUE"""),"")</f>
        <v/>
      </c>
      <c r="L13" s="6" t="str">
        <f>IFERROR(__xludf.DUMMYFUNCTION("""COMPUTED_VALUE"""),"Tachimoto")</f>
        <v>Tachimoto</v>
      </c>
      <c r="N13" s="23" t="b">
        <f>IFERROR(__xludf.DUMMYFUNCTION("""COMPUTED_VALUE"""),FALSE)</f>
        <v>0</v>
      </c>
      <c r="O13" s="21" t="str">
        <f>IFERROR(__xludf.DUMMYFUNCTION("""COMPUTED_VALUE"""),"Booking.com")</f>
        <v>Booking.com</v>
      </c>
      <c r="P13" s="23">
        <f>IFERROR(__xludf.DUMMYFUNCTION("""COMPUTED_VALUE"""),8.0)</f>
        <v>8</v>
      </c>
      <c r="Q13" s="24">
        <f>IFERROR(__xludf.DUMMYFUNCTION("""COMPUTED_VALUE"""),46135.0)</f>
        <v>46135</v>
      </c>
      <c r="R13" s="23"/>
      <c r="S13" s="23"/>
      <c r="T13" s="23"/>
      <c r="U13" s="23" t="str">
        <f>IFERROR(__xludf.DUMMYFUNCTION("""COMPUTED_VALUE"""),"")</f>
        <v/>
      </c>
      <c r="V13" s="23" t="str">
        <f>IFERROR(__xludf.DUMMYFUNCTION("""COMPUTED_VALUE"""),"")</f>
        <v/>
      </c>
      <c r="W13" s="23" t="str">
        <f>IFERROR(__xludf.DUMMYFUNCTION("""COMPUTED_VALUE"""),"")</f>
        <v/>
      </c>
      <c r="X13" s="23" t="str">
        <f>IFERROR(__xludf.DUMMYFUNCTION("""COMPUTED_VALUE"""),"Tachimoto")</f>
        <v>Tachimoto</v>
      </c>
    </row>
    <row r="14">
      <c r="B14" s="20" t="b">
        <f>IFERROR(__xludf.DUMMYFUNCTION("""COMPUTED_VALUE"""),FALSE)</f>
        <v>0</v>
      </c>
      <c r="C14" s="21" t="str">
        <f>IFERROR(__xludf.DUMMYFUNCTION("""COMPUTED_VALUE"""),"Trip.com")</f>
        <v>Trip.com</v>
      </c>
      <c r="D14" s="6">
        <f>IFERROR(__xludf.DUMMYFUNCTION("""COMPUTED_VALUE"""),8.0)</f>
        <v>8</v>
      </c>
      <c r="E14" s="22">
        <f>IFERROR(__xludf.DUMMYFUNCTION("""COMPUTED_VALUE"""),46135.0)</f>
        <v>46135</v>
      </c>
      <c r="F14" s="6" t="str">
        <f>IFERROR(__xludf.DUMMYFUNCTION("""COMPUTED_VALUE"""),"感覺還良好，舒服的床褥整潔的，早餐十分之多人，還豐富…")</f>
        <v>感覺還良好，舒服的床褥整潔的，早餐十分之多人，還豐富…</v>
      </c>
      <c r="G14" s="26"/>
      <c r="H14" s="6"/>
      <c r="I14" s="6" t="str">
        <f>IFERROR(__xludf.DUMMYFUNCTION("""COMPUTED_VALUE"""),"全体的に快適でした。ベッドは快適で清潔でしたし、朝食もボリューム満点でした。")</f>
        <v>全体的に快適でした。ベッドは快適で清潔でしたし、朝食もボリューム満点でした。</v>
      </c>
      <c r="J14" s="6" t="str">
        <f>IFERROR(__xludf.DUMMYFUNCTION("""COMPUTED_VALUE"""),"")</f>
        <v/>
      </c>
      <c r="K14" s="6" t="str">
        <f>IFERROR(__xludf.DUMMYFUNCTION("""COMPUTED_VALUE"""),"")</f>
        <v/>
      </c>
      <c r="L14" s="6" t="str">
        <f>IFERROR(__xludf.DUMMYFUNCTION("""COMPUTED_VALUE"""),"P‍i‍a‍n‍H‍o")</f>
        <v>P‍i‍a‍n‍H‍o</v>
      </c>
      <c r="N14" s="23" t="b">
        <f>IFERROR(__xludf.DUMMYFUNCTION("""COMPUTED_VALUE"""),FALSE)</f>
        <v>0</v>
      </c>
      <c r="O14" s="21" t="str">
        <f>IFERROR(__xludf.DUMMYFUNCTION("""COMPUTED_VALUE"""),"Trip.com")</f>
        <v>Trip.com</v>
      </c>
      <c r="P14" s="23">
        <f>IFERROR(__xludf.DUMMYFUNCTION("""COMPUTED_VALUE"""),8.0)</f>
        <v>8</v>
      </c>
      <c r="Q14" s="24">
        <f>IFERROR(__xludf.DUMMYFUNCTION("""COMPUTED_VALUE"""),46135.0)</f>
        <v>46135</v>
      </c>
      <c r="R14" s="23" t="str">
        <f>IFERROR(__xludf.DUMMYFUNCTION("""COMPUTED_VALUE"""),"感覺還良好，舒服的床褥整潔的，早餐十分之多人，還豐富…")</f>
        <v>感覺還良好，舒服的床褥整潔的，早餐十分之多人，還豐富…</v>
      </c>
      <c r="S14" s="23"/>
      <c r="T14" s="23"/>
      <c r="U14" s="23" t="str">
        <f>IFERROR(__xludf.DUMMYFUNCTION("""COMPUTED_VALUE"""),"全体的に快適でした。ベッドは快適で清潔でしたし、朝食もボリューム満点でした。")</f>
        <v>全体的に快適でした。ベッドは快適で清潔でしたし、朝食もボリューム満点でした。</v>
      </c>
      <c r="V14" s="23" t="str">
        <f>IFERROR(__xludf.DUMMYFUNCTION("""COMPUTED_VALUE"""),"")</f>
        <v/>
      </c>
      <c r="W14" s="23" t="str">
        <f>IFERROR(__xludf.DUMMYFUNCTION("""COMPUTED_VALUE"""),"")</f>
        <v/>
      </c>
      <c r="X14" s="23" t="str">
        <f>IFERROR(__xludf.DUMMYFUNCTION("""COMPUTED_VALUE"""),"P‍i‍a‍n‍H‍o")</f>
        <v>P‍i‍a‍n‍H‍o</v>
      </c>
    </row>
    <row r="15">
      <c r="B15" s="20" t="b">
        <f>IFERROR(__xludf.DUMMYFUNCTION("""COMPUTED_VALUE"""),FALSE)</f>
        <v>0</v>
      </c>
      <c r="C15" s="21" t="str">
        <f>IFERROR(__xludf.DUMMYFUNCTION("""COMPUTED_VALUE"""),"Booking.com")</f>
        <v>Booking.com</v>
      </c>
      <c r="D15" s="6">
        <f>IFERROR(__xludf.DUMMYFUNCTION("""COMPUTED_VALUE"""),6.0)</f>
        <v>6</v>
      </c>
      <c r="E15" s="22">
        <f>IFERROR(__xludf.DUMMYFUNCTION("""COMPUTED_VALUE"""),46135.0)</f>
        <v>46135</v>
      </c>
      <c r="F15" s="6"/>
      <c r="G15" s="6"/>
      <c r="H15" s="6" t="str">
        <f>IFERROR(__xludf.DUMMYFUNCTION("""COMPUTED_VALUE"""),"非宿泊者が、容易に宿泊階に入ってくる可能性あり。")</f>
        <v>非宿泊者が、容易に宿泊階に入ってくる可能性あり。</v>
      </c>
      <c r="I15" s="6" t="str">
        <f>IFERROR(__xludf.DUMMYFUNCTION("""COMPUTED_VALUE"""),"")</f>
        <v/>
      </c>
      <c r="J15" s="6" t="str">
        <f>IFERROR(__xludf.DUMMYFUNCTION("""COMPUTED_VALUE"""),"")</f>
        <v/>
      </c>
      <c r="K15" s="6" t="str">
        <f>IFERROR(__xludf.DUMMYFUNCTION("""COMPUTED_VALUE"""),"非宿泊者が、容易に宿泊階に入ってくる可能性あり。")</f>
        <v>非宿泊者が、容易に宿泊階に入ってくる可能性あり。</v>
      </c>
      <c r="L15" s="6" t="str">
        <f>IFERROR(__xludf.DUMMYFUNCTION("""COMPUTED_VALUE"""),"Akihiko")</f>
        <v>Akihiko</v>
      </c>
      <c r="N15" s="23" t="b">
        <f>IFERROR(__xludf.DUMMYFUNCTION("""COMPUTED_VALUE"""),FALSE)</f>
        <v>0</v>
      </c>
      <c r="O15" s="21" t="str">
        <f>IFERROR(__xludf.DUMMYFUNCTION("""COMPUTED_VALUE"""),"Booking.com")</f>
        <v>Booking.com</v>
      </c>
      <c r="P15" s="23">
        <f>IFERROR(__xludf.DUMMYFUNCTION("""COMPUTED_VALUE"""),6.0)</f>
        <v>6</v>
      </c>
      <c r="Q15" s="24">
        <f>IFERROR(__xludf.DUMMYFUNCTION("""COMPUTED_VALUE"""),46135.0)</f>
        <v>46135</v>
      </c>
      <c r="R15" s="23"/>
      <c r="S15" s="23"/>
      <c r="T15" s="23" t="str">
        <f>IFERROR(__xludf.DUMMYFUNCTION("""COMPUTED_VALUE"""),"非宿泊者が、容易に宿泊階に入ってくる可能性あり。")</f>
        <v>非宿泊者が、容易に宿泊階に入ってくる可能性あり。</v>
      </c>
      <c r="U15" s="23" t="str">
        <f>IFERROR(__xludf.DUMMYFUNCTION("""COMPUTED_VALUE"""),"")</f>
        <v/>
      </c>
      <c r="V15" s="23" t="str">
        <f>IFERROR(__xludf.DUMMYFUNCTION("""COMPUTED_VALUE"""),"")</f>
        <v/>
      </c>
      <c r="W15" s="23" t="str">
        <f>IFERROR(__xludf.DUMMYFUNCTION("""COMPUTED_VALUE"""),"非宿泊者が、容易に宿泊階に入ってくる可能性あり。")</f>
        <v>非宿泊者が、容易に宿泊階に入ってくる可能性あり。</v>
      </c>
      <c r="X15" s="23" t="str">
        <f>IFERROR(__xludf.DUMMYFUNCTION("""COMPUTED_VALUE"""),"Akihiko")</f>
        <v>Akihiko</v>
      </c>
    </row>
    <row r="16">
      <c r="B16" s="20" t="b">
        <f>IFERROR(__xludf.DUMMYFUNCTION("""COMPUTED_VALUE"""),FALSE)</f>
        <v>0</v>
      </c>
      <c r="C16" s="21" t="str">
        <f>IFERROR(__xludf.DUMMYFUNCTION("""COMPUTED_VALUE"""),"Booking.com")</f>
        <v>Booking.com</v>
      </c>
      <c r="D16" s="6">
        <f>IFERROR(__xludf.DUMMYFUNCTION("""COMPUTED_VALUE"""),9.0)</f>
        <v>9</v>
      </c>
      <c r="E16" s="22">
        <f>IFERROR(__xludf.DUMMYFUNCTION("""COMPUTED_VALUE"""),46135.0)</f>
        <v>46135</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IFERROR(__xludf.DUMMYFUNCTION("""COMPUTED_VALUE"""),"Hsiang-chen")</f>
        <v>Hsiang-chen</v>
      </c>
      <c r="N16" s="23" t="b">
        <f>IFERROR(__xludf.DUMMYFUNCTION("""COMPUTED_VALUE"""),FALSE)</f>
        <v>0</v>
      </c>
      <c r="O16" s="21" t="str">
        <f>IFERROR(__xludf.DUMMYFUNCTION("""COMPUTED_VALUE"""),"Booking.com")</f>
        <v>Booking.com</v>
      </c>
      <c r="P16" s="23">
        <f>IFERROR(__xludf.DUMMYFUNCTION("""COMPUTED_VALUE"""),9.0)</f>
        <v>9</v>
      </c>
      <c r="Q16" s="24">
        <f>IFERROR(__xludf.DUMMYFUNCTION("""COMPUTED_VALUE"""),46135.0)</f>
        <v>46135</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IFERROR(__xludf.DUMMYFUNCTION("""COMPUTED_VALUE"""),"Hsiang-chen")</f>
        <v>Hsiang-chen</v>
      </c>
    </row>
    <row r="17">
      <c r="B17" s="20" t="b">
        <f>IFERROR(__xludf.DUMMYFUNCTION("""COMPUTED_VALUE"""),FALSE)</f>
        <v>0</v>
      </c>
      <c r="C17" s="21" t="str">
        <f>IFERROR(__xludf.DUMMYFUNCTION("""COMPUTED_VALUE"""),"Booking.com")</f>
        <v>Booking.com</v>
      </c>
      <c r="D17" s="6">
        <f>IFERROR(__xludf.DUMMYFUNCTION("""COMPUTED_VALUE"""),5.0)</f>
        <v>5</v>
      </c>
      <c r="E17" s="22">
        <f>IFERROR(__xludf.DUMMYFUNCTION("""COMPUTED_VALUE"""),46135.0)</f>
        <v>46135</v>
      </c>
      <c r="F17" s="6"/>
      <c r="G17"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17"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17" s="6" t="str">
        <f>IFERROR(__xludf.DUMMYFUNCTION("""COMPUTED_VALUE"""),"")</f>
        <v/>
      </c>
      <c r="J17"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17"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17" s="6" t="str">
        <f>IFERROR(__xludf.DUMMYFUNCTION("""COMPUTED_VALUE"""),"Yau")</f>
        <v>Yau</v>
      </c>
      <c r="N17" s="23" t="b">
        <f>IFERROR(__xludf.DUMMYFUNCTION("""COMPUTED_VALUE"""),FALSE)</f>
        <v>0</v>
      </c>
      <c r="O17" s="21" t="str">
        <f>IFERROR(__xludf.DUMMYFUNCTION("""COMPUTED_VALUE"""),"Booking.com")</f>
        <v>Booking.com</v>
      </c>
      <c r="P17" s="23">
        <f>IFERROR(__xludf.DUMMYFUNCTION("""COMPUTED_VALUE"""),5.0)</f>
        <v>5</v>
      </c>
      <c r="Q17" s="24">
        <f>IFERROR(__xludf.DUMMYFUNCTION("""COMPUTED_VALUE"""),46135.0)</f>
        <v>46135</v>
      </c>
      <c r="R17" s="23"/>
      <c r="S17"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17"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17" s="23" t="str">
        <f>IFERROR(__xludf.DUMMYFUNCTION("""COMPUTED_VALUE"""),"")</f>
        <v/>
      </c>
      <c r="V17"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17"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17" s="23" t="str">
        <f>IFERROR(__xludf.DUMMYFUNCTION("""COMPUTED_VALUE"""),"Yau")</f>
        <v>Yau</v>
      </c>
    </row>
    <row r="18">
      <c r="B18" s="20" t="b">
        <f>IFERROR(__xludf.DUMMYFUNCTION("""COMPUTED_VALUE"""),FALSE)</f>
        <v>0</v>
      </c>
      <c r="C18" s="23" t="str">
        <f>IFERROR(__xludf.DUMMYFUNCTION("""COMPUTED_VALUE"""),"Google")</f>
        <v>Google</v>
      </c>
      <c r="D18" s="6">
        <f>IFERROR(__xludf.DUMMYFUNCTION("""COMPUTED_VALUE"""),5.0)</f>
        <v>5</v>
      </c>
      <c r="E18" s="22">
        <f>IFERROR(__xludf.DUMMYFUNCTION("""COMPUTED_VALUE"""),46134.0)</f>
        <v>46134</v>
      </c>
      <c r="F18"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18" s="6"/>
      <c r="H18" s="6"/>
      <c r="I18"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18" s="6" t="str">
        <f>IFERROR(__xludf.DUMMYFUNCTION("""COMPUTED_VALUE"""),"")</f>
        <v/>
      </c>
      <c r="K18" s="6" t="str">
        <f>IFERROR(__xludf.DUMMYFUNCTION("""COMPUTED_VALUE"""),"")</f>
        <v/>
      </c>
      <c r="L18" s="6" t="str">
        <f>IFERROR(__xludf.DUMMYFUNCTION("""COMPUTED_VALUE"""),"시골똥개")</f>
        <v>시골똥개</v>
      </c>
      <c r="N18" s="23" t="b">
        <f>IFERROR(__xludf.DUMMYFUNCTION("""COMPUTED_VALUE"""),FALSE)</f>
        <v>0</v>
      </c>
      <c r="O18" s="23" t="str">
        <f>IFERROR(__xludf.DUMMYFUNCTION("""COMPUTED_VALUE"""),"Google")</f>
        <v>Google</v>
      </c>
      <c r="P18" s="23">
        <f>IFERROR(__xludf.DUMMYFUNCTION("""COMPUTED_VALUE"""),5.0)</f>
        <v>5</v>
      </c>
      <c r="Q18" s="24">
        <f>IFERROR(__xludf.DUMMYFUNCTION("""COMPUTED_VALUE"""),46134.0)</f>
        <v>46134</v>
      </c>
      <c r="R18"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18" s="23"/>
      <c r="T18" s="23"/>
      <c r="U18"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18" s="23" t="str">
        <f>IFERROR(__xludf.DUMMYFUNCTION("""COMPUTED_VALUE"""),"")</f>
        <v/>
      </c>
      <c r="W18" s="23" t="str">
        <f>IFERROR(__xludf.DUMMYFUNCTION("""COMPUTED_VALUE"""),"")</f>
        <v/>
      </c>
      <c r="X18" s="23" t="str">
        <f>IFERROR(__xludf.DUMMYFUNCTION("""COMPUTED_VALUE"""),"시골똥개")</f>
        <v>시골똥개</v>
      </c>
    </row>
    <row r="19">
      <c r="B19" s="20" t="b">
        <f>IFERROR(__xludf.DUMMYFUNCTION("""COMPUTED_VALUE"""),FALSE)</f>
        <v>0</v>
      </c>
      <c r="C19" s="23" t="str">
        <f>IFERROR(__xludf.DUMMYFUNCTION("""COMPUTED_VALUE"""),"Google")</f>
        <v>Google</v>
      </c>
      <c r="D19" s="6">
        <f>IFERROR(__xludf.DUMMYFUNCTION("""COMPUTED_VALUE"""),5.0)</f>
        <v>5</v>
      </c>
      <c r="E19" s="22">
        <f>IFERROR(__xludf.DUMMYFUNCTION("""COMPUTED_VALUE"""),46134.0)</f>
        <v>46134</v>
      </c>
      <c r="F19"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19" s="6"/>
      <c r="H19" s="6"/>
      <c r="I19"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19" s="6" t="str">
        <f>IFERROR(__xludf.DUMMYFUNCTION("""COMPUTED_VALUE"""),"")</f>
        <v/>
      </c>
      <c r="K19" s="6" t="str">
        <f>IFERROR(__xludf.DUMMYFUNCTION("""COMPUTED_VALUE"""),"")</f>
        <v/>
      </c>
      <c r="L19" s="6" t="str">
        <f>IFERROR(__xludf.DUMMYFUNCTION("""COMPUTED_VALUE"""),"시골똥개")</f>
        <v>시골똥개</v>
      </c>
      <c r="N19" s="23" t="b">
        <f>IFERROR(__xludf.DUMMYFUNCTION("""COMPUTED_VALUE"""),FALSE)</f>
        <v>0</v>
      </c>
      <c r="O19" s="23" t="str">
        <f>IFERROR(__xludf.DUMMYFUNCTION("""COMPUTED_VALUE"""),"Google")</f>
        <v>Google</v>
      </c>
      <c r="P19" s="23">
        <f>IFERROR(__xludf.DUMMYFUNCTION("""COMPUTED_VALUE"""),5.0)</f>
        <v>5</v>
      </c>
      <c r="Q19" s="24">
        <f>IFERROR(__xludf.DUMMYFUNCTION("""COMPUTED_VALUE"""),46134.0)</f>
        <v>46134</v>
      </c>
      <c r="R19"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19" s="23"/>
      <c r="T19" s="23"/>
      <c r="U19"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19" s="23" t="str">
        <f>IFERROR(__xludf.DUMMYFUNCTION("""COMPUTED_VALUE"""),"")</f>
        <v/>
      </c>
      <c r="W19" s="23" t="str">
        <f>IFERROR(__xludf.DUMMYFUNCTION("""COMPUTED_VALUE"""),"")</f>
        <v/>
      </c>
      <c r="X19" s="23" t="str">
        <f>IFERROR(__xludf.DUMMYFUNCTION("""COMPUTED_VALUE"""),"시골똥개")</f>
        <v>시골똥개</v>
      </c>
    </row>
    <row r="20">
      <c r="B20" s="20" t="b">
        <f>IFERROR(__xludf.DUMMYFUNCTION("""COMPUTED_VALUE"""),FALSE)</f>
        <v>0</v>
      </c>
      <c r="C20" s="23" t="str">
        <f>IFERROR(__xludf.DUMMYFUNCTION("""COMPUTED_VALUE"""),"Google")</f>
        <v>Google</v>
      </c>
      <c r="D20" s="6">
        <f>IFERROR(__xludf.DUMMYFUNCTION("""COMPUTED_VALUE"""),1.0)</f>
        <v>1</v>
      </c>
      <c r="E20" s="22">
        <f>IFERROR(__xludf.DUMMYFUNCTION("""COMPUTED_VALUE"""),46133.0)</f>
        <v>46133</v>
      </c>
      <c r="F20"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20" s="6"/>
      <c r="H20" s="6"/>
      <c r="I20"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20" s="6" t="str">
        <f>IFERROR(__xludf.DUMMYFUNCTION("""COMPUTED_VALUE"""),"")</f>
        <v/>
      </c>
      <c r="K20" s="6" t="str">
        <f>IFERROR(__xludf.DUMMYFUNCTION("""COMPUTED_VALUE"""),"")</f>
        <v/>
      </c>
      <c r="L20" s="6" t="str">
        <f>IFERROR(__xludf.DUMMYFUNCTION("""COMPUTED_VALUE"""),"Orli Catman")</f>
        <v>Orli Catman</v>
      </c>
      <c r="N20" s="23" t="b">
        <f>IFERROR(__xludf.DUMMYFUNCTION("""COMPUTED_VALUE"""),FALSE)</f>
        <v>0</v>
      </c>
      <c r="O20" s="23" t="str">
        <f>IFERROR(__xludf.DUMMYFUNCTION("""COMPUTED_VALUE"""),"Google")</f>
        <v>Google</v>
      </c>
      <c r="P20" s="23">
        <f>IFERROR(__xludf.DUMMYFUNCTION("""COMPUTED_VALUE"""),1.0)</f>
        <v>1</v>
      </c>
      <c r="Q20" s="24">
        <f>IFERROR(__xludf.DUMMYFUNCTION("""COMPUTED_VALUE"""),46133.0)</f>
        <v>46133</v>
      </c>
      <c r="R20"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20" s="23"/>
      <c r="T20" s="23"/>
      <c r="U20"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20" s="23" t="str">
        <f>IFERROR(__xludf.DUMMYFUNCTION("""COMPUTED_VALUE"""),"")</f>
        <v/>
      </c>
      <c r="W20" s="23" t="str">
        <f>IFERROR(__xludf.DUMMYFUNCTION("""COMPUTED_VALUE"""),"")</f>
        <v/>
      </c>
      <c r="X20" s="23" t="str">
        <f>IFERROR(__xludf.DUMMYFUNCTION("""COMPUTED_VALUE"""),"Orli Catman")</f>
        <v>Orli Catman</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IFERROR(__xludf.DUMMYFUNCTION("""COMPUTED_VALUE"""),46133.0)</f>
        <v>46133</v>
      </c>
      <c r="F21"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21" s="6"/>
      <c r="H21" s="6"/>
      <c r="I21"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IFERROR(__xludf.DUMMYFUNCTION("""COMPUTED_VALUE"""),46133.0)</f>
        <v>46133</v>
      </c>
      <c r="R21"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21" s="23"/>
      <c r="T21" s="23"/>
      <c r="U21"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3" t="str">
        <f>IFERROR(__xludf.DUMMYFUNCTION("""COMPUTED_VALUE"""),"Google")</f>
        <v>Google</v>
      </c>
      <c r="D22" s="6">
        <f>IFERROR(__xludf.DUMMYFUNCTION("""COMPUTED_VALUE"""),1.0)</f>
        <v>1</v>
      </c>
      <c r="E22" s="22">
        <f>IFERROR(__xludf.DUMMYFUNCTION("""COMPUTED_VALUE"""),46133.0)</f>
        <v>46133</v>
      </c>
      <c r="F22"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22" s="6"/>
      <c r="H22" s="6"/>
      <c r="I22"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22" s="6" t="str">
        <f>IFERROR(__xludf.DUMMYFUNCTION("""COMPUTED_VALUE"""),"")</f>
        <v/>
      </c>
      <c r="K22" s="6" t="str">
        <f>IFERROR(__xludf.DUMMYFUNCTION("""COMPUTED_VALUE"""),"")</f>
        <v/>
      </c>
      <c r="L22" s="6" t="str">
        <f>IFERROR(__xludf.DUMMYFUNCTION("""COMPUTED_VALUE"""),"Orli Catman")</f>
        <v>Orli Catman</v>
      </c>
      <c r="N22" s="23" t="b">
        <f>IFERROR(__xludf.DUMMYFUNCTION("""COMPUTED_VALUE"""),FALSE)</f>
        <v>0</v>
      </c>
      <c r="O22" s="23" t="str">
        <f>IFERROR(__xludf.DUMMYFUNCTION("""COMPUTED_VALUE"""),"Google")</f>
        <v>Google</v>
      </c>
      <c r="P22" s="23">
        <f>IFERROR(__xludf.DUMMYFUNCTION("""COMPUTED_VALUE"""),1.0)</f>
        <v>1</v>
      </c>
      <c r="Q22" s="24">
        <f>IFERROR(__xludf.DUMMYFUNCTION("""COMPUTED_VALUE"""),46133.0)</f>
        <v>46133</v>
      </c>
      <c r="R22"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22" s="23"/>
      <c r="T22" s="23"/>
      <c r="U22"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22" s="23" t="str">
        <f>IFERROR(__xludf.DUMMYFUNCTION("""COMPUTED_VALUE"""),"")</f>
        <v/>
      </c>
      <c r="W22" s="23" t="str">
        <f>IFERROR(__xludf.DUMMYFUNCTION("""COMPUTED_VALUE"""),"")</f>
        <v/>
      </c>
      <c r="X22" s="23" t="str">
        <f>IFERROR(__xludf.DUMMYFUNCTION("""COMPUTED_VALUE"""),"Orli Catman")</f>
        <v>Orli Catman</v>
      </c>
    </row>
    <row r="23">
      <c r="B23" s="20" t="b">
        <f>IFERROR(__xludf.DUMMYFUNCTION("""COMPUTED_VALUE"""),FALSE)</f>
        <v>0</v>
      </c>
      <c r="C23" s="21" t="str">
        <f>IFERROR(__xludf.DUMMYFUNCTION("""COMPUTED_VALUE"""),"Booking.com")</f>
        <v>Booking.com</v>
      </c>
      <c r="D23" s="6">
        <f>IFERROR(__xludf.DUMMYFUNCTION("""COMPUTED_VALUE"""),2.0)</f>
        <v>2</v>
      </c>
      <c r="E23" s="22">
        <f>IFERROR(__xludf.DUMMYFUNCTION("""COMPUTED_VALUE"""),46132.0)</f>
        <v>46132</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IFERROR(__xludf.DUMMYFUNCTION("""COMPUTED_VALUE"""),"Shinjiy")</f>
        <v>Shinjiy</v>
      </c>
      <c r="N23" s="23" t="b">
        <f>IFERROR(__xludf.DUMMYFUNCTION("""COMPUTED_VALUE"""),FALSE)</f>
        <v>0</v>
      </c>
      <c r="O23" s="21" t="str">
        <f>IFERROR(__xludf.DUMMYFUNCTION("""COMPUTED_VALUE"""),"Booking.com")</f>
        <v>Booking.com</v>
      </c>
      <c r="P23" s="23">
        <f>IFERROR(__xludf.DUMMYFUNCTION("""COMPUTED_VALUE"""),2.0)</f>
        <v>2</v>
      </c>
      <c r="Q23" s="24">
        <f>IFERROR(__xludf.DUMMYFUNCTION("""COMPUTED_VALUE"""),46132.0)</f>
        <v>46132</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IFERROR(__xludf.DUMMYFUNCTION("""COMPUTED_VALUE"""),"Shinjiy")</f>
        <v>Shinjiy</v>
      </c>
    </row>
    <row r="24">
      <c r="B24" s="20" t="b">
        <f>IFERROR(__xludf.DUMMYFUNCTION("""COMPUTED_VALUE"""),FALSE)</f>
        <v>0</v>
      </c>
      <c r="C24" s="21" t="str">
        <f>IFERROR(__xludf.DUMMYFUNCTION("""COMPUTED_VALUE"""),"Booking.com")</f>
        <v>Booking.com</v>
      </c>
      <c r="D24" s="6">
        <f>IFERROR(__xludf.DUMMYFUNCTION("""COMPUTED_VALUE"""),10.0)</f>
        <v>10</v>
      </c>
      <c r="E24" s="22">
        <f>IFERROR(__xludf.DUMMYFUNCTION("""COMPUTED_VALUE"""),46132.0)</f>
        <v>46132</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IFERROR(__xludf.DUMMYFUNCTION("""COMPUTED_VALUE"""),"薏慈")</f>
        <v>薏慈</v>
      </c>
      <c r="N24" s="23" t="b">
        <f>IFERROR(__xludf.DUMMYFUNCTION("""COMPUTED_VALUE"""),FALSE)</f>
        <v>0</v>
      </c>
      <c r="O24" s="21" t="str">
        <f>IFERROR(__xludf.DUMMYFUNCTION("""COMPUTED_VALUE"""),"Booking.com")</f>
        <v>Booking.com</v>
      </c>
      <c r="P24" s="23">
        <f>IFERROR(__xludf.DUMMYFUNCTION("""COMPUTED_VALUE"""),10.0)</f>
        <v>10</v>
      </c>
      <c r="Q24" s="24">
        <f>IFERROR(__xludf.DUMMYFUNCTION("""COMPUTED_VALUE"""),46132.0)</f>
        <v>46132</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IFERROR(__xludf.DUMMYFUNCTION("""COMPUTED_VALUE"""),"薏慈")</f>
        <v>薏慈</v>
      </c>
    </row>
    <row r="25">
      <c r="B25" s="20" t="b">
        <f>IFERROR(__xludf.DUMMYFUNCTION("""COMPUTED_VALUE"""),FALSE)</f>
        <v>0</v>
      </c>
      <c r="C25" s="21" t="str">
        <f>IFERROR(__xludf.DUMMYFUNCTION("""COMPUTED_VALUE"""),"Trip.com")</f>
        <v>Trip.com</v>
      </c>
      <c r="D25" s="6">
        <f>IFERROR(__xludf.DUMMYFUNCTION("""COMPUTED_VALUE"""),5.0)</f>
        <v>5</v>
      </c>
      <c r="E25" s="22">
        <f>IFERROR(__xludf.DUMMYFUNCTION("""COMPUTED_VALUE"""),46132.0)</f>
        <v>46132</v>
      </c>
      <c r="F25"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25" s="6"/>
      <c r="H25" s="6"/>
      <c r="I25" s="6"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IFERROR(__xludf.DUMMYFUNCTION("""COMPUTED_VALUE"""),5.0)</f>
        <v>5</v>
      </c>
      <c r="Q25" s="24">
        <f>IFERROR(__xludf.DUMMYFUNCTION("""COMPUTED_VALUE"""),46132.0)</f>
        <v>46132</v>
      </c>
      <c r="R25"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25" s="23"/>
      <c r="T25" s="23"/>
      <c r="U25" s="23"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IFERROR(__xludf.DUMMYFUNCTION("""COMPUTED_VALUE"""),"Trip.com")</f>
        <v>Trip.com</v>
      </c>
      <c r="D26" s="6">
        <f>IFERROR(__xludf.DUMMYFUNCTION("""COMPUTED_VALUE"""),8.0)</f>
        <v>8</v>
      </c>
      <c r="E26" s="22">
        <f>IFERROR(__xludf.DUMMYFUNCTION("""COMPUTED_VALUE"""),46132.0)</f>
        <v>46132</v>
      </c>
      <c r="F26"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26" s="6"/>
      <c r="H26" s="6"/>
      <c r="I26"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26" s="6" t="str">
        <f>IFERROR(__xludf.DUMMYFUNCTION("""COMPUTED_VALUE"""),"")</f>
        <v/>
      </c>
      <c r="K26" s="6" t="str">
        <f>IFERROR(__xludf.DUMMYFUNCTION("""COMPUTED_VALUE"""),"")</f>
        <v/>
      </c>
      <c r="L26" s="6" t="str">
        <f>IFERROR(__xludf.DUMMYFUNCTION("""COMPUTED_VALUE"""),"C‍h‍o‍i‍8‍0")</f>
        <v>C‍h‍o‍i‍8‍0</v>
      </c>
      <c r="N26" s="23" t="b">
        <f>IFERROR(__xludf.DUMMYFUNCTION("""COMPUTED_VALUE"""),FALSE)</f>
        <v>0</v>
      </c>
      <c r="O26" s="21" t="str">
        <f>IFERROR(__xludf.DUMMYFUNCTION("""COMPUTED_VALUE"""),"Trip.com")</f>
        <v>Trip.com</v>
      </c>
      <c r="P26" s="23">
        <f>IFERROR(__xludf.DUMMYFUNCTION("""COMPUTED_VALUE"""),8.0)</f>
        <v>8</v>
      </c>
      <c r="Q26" s="24">
        <f>IFERROR(__xludf.DUMMYFUNCTION("""COMPUTED_VALUE"""),46132.0)</f>
        <v>46132</v>
      </c>
      <c r="R26"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26" s="23"/>
      <c r="T26" s="23"/>
      <c r="U26"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26" s="23" t="str">
        <f>IFERROR(__xludf.DUMMYFUNCTION("""COMPUTED_VALUE"""),"")</f>
        <v/>
      </c>
      <c r="W26" s="23" t="str">
        <f>IFERROR(__xludf.DUMMYFUNCTION("""COMPUTED_VALUE"""),"")</f>
        <v/>
      </c>
      <c r="X26" s="23" t="str">
        <f>IFERROR(__xludf.DUMMYFUNCTION("""COMPUTED_VALUE"""),"C‍h‍o‍i‍8‍0")</f>
        <v>C‍h‍o‍i‍8‍0</v>
      </c>
    </row>
    <row r="27">
      <c r="B27" s="20" t="b">
        <f>IFERROR(__xludf.DUMMYFUNCTION("""COMPUTED_VALUE"""),FALSE)</f>
        <v>0</v>
      </c>
      <c r="C27" s="21" t="str">
        <f>IFERROR(__xludf.DUMMYFUNCTION("""COMPUTED_VALUE"""),"Trip.com")</f>
        <v>Trip.com</v>
      </c>
      <c r="D27" s="6">
        <f>IFERROR(__xludf.DUMMYFUNCTION("""COMPUTED_VALUE"""),10.0)</f>
        <v>10</v>
      </c>
      <c r="E27" s="22">
        <f>IFERROR(__xludf.DUMMYFUNCTION("""COMPUTED_VALUE"""),46132.0)</f>
        <v>46132</v>
      </c>
      <c r="F27"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27" s="6"/>
      <c r="H27" s="6"/>
      <c r="I27"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27" s="6" t="str">
        <f>IFERROR(__xludf.DUMMYFUNCTION("""COMPUTED_VALUE"""),"")</f>
        <v/>
      </c>
      <c r="K27" s="6" t="str">
        <f>IFERROR(__xludf.DUMMYFUNCTION("""COMPUTED_VALUE"""),"")</f>
        <v/>
      </c>
      <c r="L27" s="6" t="str">
        <f>IFERROR(__xludf.DUMMYFUNCTION("""COMPUTED_VALUE"""),"ゲ‍ス‍ト")</f>
        <v>ゲ‍ス‍ト</v>
      </c>
      <c r="N27" s="23" t="b">
        <f>IFERROR(__xludf.DUMMYFUNCTION("""COMPUTED_VALUE"""),FALSE)</f>
        <v>0</v>
      </c>
      <c r="O27" s="21" t="str">
        <f>IFERROR(__xludf.DUMMYFUNCTION("""COMPUTED_VALUE"""),"Trip.com")</f>
        <v>Trip.com</v>
      </c>
      <c r="P27" s="23">
        <f>IFERROR(__xludf.DUMMYFUNCTION("""COMPUTED_VALUE"""),10.0)</f>
        <v>10</v>
      </c>
      <c r="Q27" s="24">
        <f>IFERROR(__xludf.DUMMYFUNCTION("""COMPUTED_VALUE"""),46132.0)</f>
        <v>46132</v>
      </c>
      <c r="R27"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27" s="23"/>
      <c r="T27" s="23"/>
      <c r="U27"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27" s="23" t="str">
        <f>IFERROR(__xludf.DUMMYFUNCTION("""COMPUTED_VALUE"""),"")</f>
        <v/>
      </c>
      <c r="W27" s="23" t="str">
        <f>IFERROR(__xludf.DUMMYFUNCTION("""COMPUTED_VALUE"""),"")</f>
        <v/>
      </c>
      <c r="X27" s="23" t="str">
        <f>IFERROR(__xludf.DUMMYFUNCTION("""COMPUTED_VALUE"""),"ゲ‍ス‍ト")</f>
        <v>ゲ‍ス‍ト</v>
      </c>
    </row>
    <row r="28">
      <c r="B28" s="20" t="b">
        <f>IFERROR(__xludf.DUMMYFUNCTION("""COMPUTED_VALUE"""),FALSE)</f>
        <v>0</v>
      </c>
      <c r="C28" s="21" t="str">
        <f>IFERROR(__xludf.DUMMYFUNCTION("""COMPUTED_VALUE"""),"Trip.com")</f>
        <v>Trip.com</v>
      </c>
      <c r="D28" s="6">
        <f>IFERROR(__xludf.DUMMYFUNCTION("""COMPUTED_VALUE"""),10.0)</f>
        <v>10</v>
      </c>
      <c r="E28" s="22">
        <f>IFERROR(__xludf.DUMMYFUNCTION("""COMPUTED_VALUE"""),46132.0)</f>
        <v>46132</v>
      </c>
      <c r="F28" s="6" t="str">
        <f>IFERROR(__xludf.DUMMYFUNCTION("""COMPUTED_VALUE"""),"Great time there")</f>
        <v>Great time there</v>
      </c>
      <c r="G28" s="6"/>
      <c r="H28" s="6"/>
      <c r="I28" s="6" t="str">
        <f>IFERROR(__xludf.DUMMYFUNCTION("""COMPUTED_VALUE"""),"そこで素晴らしい時間を過ごしました。")</f>
        <v>そこで素晴らしい時間を過ごしました。</v>
      </c>
      <c r="J28" s="6" t="str">
        <f>IFERROR(__xludf.DUMMYFUNCTION("""COMPUTED_VALUE"""),"")</f>
        <v/>
      </c>
      <c r="K28" s="6" t="str">
        <f>IFERROR(__xludf.DUMMYFUNCTION("""COMPUTED_VALUE"""),"")</f>
        <v/>
      </c>
      <c r="L28" s="6" t="str">
        <f>IFERROR(__xludf.DUMMYFUNCTION("""COMPUTED_VALUE"""),"S‍u‍p‍e‍r‍1‍1")</f>
        <v>S‍u‍p‍e‍r‍1‍1</v>
      </c>
      <c r="N28" s="23" t="b">
        <f>IFERROR(__xludf.DUMMYFUNCTION("""COMPUTED_VALUE"""),FALSE)</f>
        <v>0</v>
      </c>
      <c r="O28" s="21" t="str">
        <f>IFERROR(__xludf.DUMMYFUNCTION("""COMPUTED_VALUE"""),"Trip.com")</f>
        <v>Trip.com</v>
      </c>
      <c r="P28" s="23">
        <f>IFERROR(__xludf.DUMMYFUNCTION("""COMPUTED_VALUE"""),10.0)</f>
        <v>10</v>
      </c>
      <c r="Q28" s="24">
        <f>IFERROR(__xludf.DUMMYFUNCTION("""COMPUTED_VALUE"""),46132.0)</f>
        <v>46132</v>
      </c>
      <c r="R28" s="23" t="str">
        <f>IFERROR(__xludf.DUMMYFUNCTION("""COMPUTED_VALUE"""),"Great time there")</f>
        <v>Great time there</v>
      </c>
      <c r="S28" s="23"/>
      <c r="T28" s="23"/>
      <c r="U28" s="23" t="str">
        <f>IFERROR(__xludf.DUMMYFUNCTION("""COMPUTED_VALUE"""),"そこで素晴らしい時間を過ごしました。")</f>
        <v>そこで素晴らしい時間を過ごしました。</v>
      </c>
      <c r="V28" s="23" t="str">
        <f>IFERROR(__xludf.DUMMYFUNCTION("""COMPUTED_VALUE"""),"")</f>
        <v/>
      </c>
      <c r="W28" s="23" t="str">
        <f>IFERROR(__xludf.DUMMYFUNCTION("""COMPUTED_VALUE"""),"")</f>
        <v/>
      </c>
      <c r="X28" s="23" t="str">
        <f>IFERROR(__xludf.DUMMYFUNCTION("""COMPUTED_VALUE"""),"S‍u‍p‍e‍r‍1‍1")</f>
        <v>S‍u‍p‍e‍r‍1‍1</v>
      </c>
    </row>
    <row r="29">
      <c r="B29" s="20" t="b">
        <f>IFERROR(__xludf.DUMMYFUNCTION("""COMPUTED_VALUE"""),FALSE)</f>
        <v>0</v>
      </c>
      <c r="C29" s="21" t="str">
        <f>IFERROR(__xludf.DUMMYFUNCTION("""COMPUTED_VALUE"""),"Booking.com")</f>
        <v>Booking.com</v>
      </c>
      <c r="D29" s="6">
        <f>IFERROR(__xludf.DUMMYFUNCTION("""COMPUTED_VALUE"""),6.0)</f>
        <v>6</v>
      </c>
      <c r="E29" s="22">
        <f>IFERROR(__xludf.DUMMYFUNCTION("""COMPUTED_VALUE"""),46131.0)</f>
        <v>46131</v>
      </c>
      <c r="F29" s="6"/>
      <c r="G29" s="6" t="str">
        <f>IFERROR(__xludf.DUMMYFUNCTION("""COMPUTED_VALUE"""),"Location close to station")</f>
        <v>Location close to station</v>
      </c>
      <c r="H29"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29" s="6" t="str">
        <f>IFERROR(__xludf.DUMMYFUNCTION("""COMPUTED_VALUE"""),"")</f>
        <v/>
      </c>
      <c r="J29" s="6" t="str">
        <f>IFERROR(__xludf.DUMMYFUNCTION("""COMPUTED_VALUE"""),"駅に近い立地")</f>
        <v>駅に近い立地</v>
      </c>
      <c r="K29"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29" s="6" t="str">
        <f>IFERROR(__xludf.DUMMYFUNCTION("""COMPUTED_VALUE"""),"Steven")</f>
        <v>Steven</v>
      </c>
      <c r="N29" s="23" t="b">
        <f>IFERROR(__xludf.DUMMYFUNCTION("""COMPUTED_VALUE"""),FALSE)</f>
        <v>0</v>
      </c>
      <c r="O29" s="21" t="str">
        <f>IFERROR(__xludf.DUMMYFUNCTION("""COMPUTED_VALUE"""),"Booking.com")</f>
        <v>Booking.com</v>
      </c>
      <c r="P29" s="23">
        <f>IFERROR(__xludf.DUMMYFUNCTION("""COMPUTED_VALUE"""),6.0)</f>
        <v>6</v>
      </c>
      <c r="Q29" s="24">
        <f>IFERROR(__xludf.DUMMYFUNCTION("""COMPUTED_VALUE"""),46131.0)</f>
        <v>46131</v>
      </c>
      <c r="R29" s="23"/>
      <c r="S29" s="23" t="str">
        <f>IFERROR(__xludf.DUMMYFUNCTION("""COMPUTED_VALUE"""),"Location close to station")</f>
        <v>Location close to station</v>
      </c>
      <c r="T29"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29" s="23" t="str">
        <f>IFERROR(__xludf.DUMMYFUNCTION("""COMPUTED_VALUE"""),"")</f>
        <v/>
      </c>
      <c r="V29" s="23" t="str">
        <f>IFERROR(__xludf.DUMMYFUNCTION("""COMPUTED_VALUE"""),"駅に近い立地")</f>
        <v>駅に近い立地</v>
      </c>
      <c r="W29"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29" s="23" t="str">
        <f>IFERROR(__xludf.DUMMYFUNCTION("""COMPUTED_VALUE"""),"Steven")</f>
        <v>Steven</v>
      </c>
    </row>
    <row r="30">
      <c r="B30" s="20" t="b">
        <f>IFERROR(__xludf.DUMMYFUNCTION("""COMPUTED_VALUE"""),FALSE)</f>
        <v>0</v>
      </c>
      <c r="C30" s="21" t="str">
        <f>IFERROR(__xludf.DUMMYFUNCTION("""COMPUTED_VALUE"""),"Trip.com")</f>
        <v>Trip.com</v>
      </c>
      <c r="D30" s="6">
        <f>IFERROR(__xludf.DUMMYFUNCTION("""COMPUTED_VALUE"""),8.0)</f>
        <v>8</v>
      </c>
      <c r="E30" s="22">
        <f>IFERROR(__xludf.DUMMYFUNCTION("""COMPUTED_VALUE"""),46131.0)</f>
        <v>46131</v>
      </c>
      <c r="F30" s="6" t="str">
        <f>IFERROR(__xludf.DUMMYFUNCTION("""COMPUTED_VALUE"""),"Excellent location for travel around North Kyushu area")</f>
        <v>Excellent location for travel around North Kyushu area</v>
      </c>
      <c r="G30" s="6"/>
      <c r="H30" s="6"/>
      <c r="I30" s="6" t="str">
        <f>IFERROR(__xludf.DUMMYFUNCTION("""COMPUTED_VALUE"""),"北九州地方への旅行に最適な立地です。")</f>
        <v>北九州地方への旅行に最適な立地です。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IFERROR(__xludf.DUMMYFUNCTION("""COMPUTED_VALUE"""),8.0)</f>
        <v>8</v>
      </c>
      <c r="Q30" s="24">
        <f>IFERROR(__xludf.DUMMYFUNCTION("""COMPUTED_VALUE"""),46131.0)</f>
        <v>46131</v>
      </c>
      <c r="R30" s="23" t="str">
        <f>IFERROR(__xludf.DUMMYFUNCTION("""COMPUTED_VALUE"""),"Excellent location for travel around North Kyushu area")</f>
        <v>Excellent location for travel around North Kyushu area</v>
      </c>
      <c r="S30" s="23"/>
      <c r="T30" s="23"/>
      <c r="U30" s="23" t="str">
        <f>IFERROR(__xludf.DUMMYFUNCTION("""COMPUTED_VALUE"""),"北九州地方への旅行に最適な立地です。")</f>
        <v>北九州地方への旅行に最適な立地です。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3" t="str">
        <f>IFERROR(__xludf.DUMMYFUNCTION("""COMPUTED_VALUE"""),"Google")</f>
        <v>Google</v>
      </c>
      <c r="D31" s="6">
        <f>IFERROR(__xludf.DUMMYFUNCTION("""COMPUTED_VALUE"""),3.0)</f>
        <v>3</v>
      </c>
      <c r="E31" s="22">
        <f>IFERROR(__xludf.DUMMYFUNCTION("""COMPUTED_VALUE"""),46131.0)</f>
        <v>46131</v>
      </c>
      <c r="F31" s="6"/>
      <c r="G31" s="6"/>
      <c r="H31" s="6"/>
      <c r="I31" s="6" t="str">
        <f>IFERROR(__xludf.DUMMYFUNCTION("""COMPUTED_VALUE"""),"")</f>
        <v/>
      </c>
      <c r="J31" s="6" t="str">
        <f>IFERROR(__xludf.DUMMYFUNCTION("""COMPUTED_VALUE"""),"")</f>
        <v/>
      </c>
      <c r="K31" s="6" t="str">
        <f>IFERROR(__xludf.DUMMYFUNCTION("""COMPUTED_VALUE"""),"")</f>
        <v/>
      </c>
      <c r="L31" s="6" t="str">
        <f>IFERROR(__xludf.DUMMYFUNCTION("""COMPUTED_VALUE"""),"Naoto Kitajima")</f>
        <v>Naoto Kitajima</v>
      </c>
      <c r="N31" s="23" t="b">
        <f>IFERROR(__xludf.DUMMYFUNCTION("""COMPUTED_VALUE"""),FALSE)</f>
        <v>0</v>
      </c>
      <c r="O31" s="23" t="str">
        <f>IFERROR(__xludf.DUMMYFUNCTION("""COMPUTED_VALUE"""),"Google")</f>
        <v>Google</v>
      </c>
      <c r="P31" s="23">
        <f>IFERROR(__xludf.DUMMYFUNCTION("""COMPUTED_VALUE"""),3.0)</f>
        <v>3</v>
      </c>
      <c r="Q31" s="24">
        <f>IFERROR(__xludf.DUMMYFUNCTION("""COMPUTED_VALUE"""),46131.0)</f>
        <v>46131</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IFERROR(__xludf.DUMMYFUNCTION("""COMPUTED_VALUE"""),"Naoto Kitajima")</f>
        <v>Naoto Kitajima</v>
      </c>
    </row>
    <row r="32">
      <c r="B32" s="20" t="b">
        <f>IFERROR(__xludf.DUMMYFUNCTION("""COMPUTED_VALUE"""),FALSE)</f>
        <v>0</v>
      </c>
      <c r="C32" s="21" t="str">
        <f>IFERROR(__xludf.DUMMYFUNCTION("""COMPUTED_VALUE"""),"Booking.com")</f>
        <v>Booking.com</v>
      </c>
      <c r="D32" s="6">
        <f>IFERROR(__xludf.DUMMYFUNCTION("""COMPUTED_VALUE"""),7.0)</f>
        <v>7</v>
      </c>
      <c r="E32" s="22">
        <f>IFERROR(__xludf.DUMMYFUNCTION("""COMPUTED_VALUE"""),46128.0)</f>
        <v>46128</v>
      </c>
      <c r="F32" s="6"/>
      <c r="G32" s="6"/>
      <c r="H32" s="6"/>
      <c r="I32" s="6" t="str">
        <f>IFERROR(__xludf.DUMMYFUNCTION("""COMPUTED_VALUE"""),"")</f>
        <v/>
      </c>
      <c r="J32" s="6" t="str">
        <f>IFERROR(__xludf.DUMMYFUNCTION("""COMPUTED_VALUE"""),"")</f>
        <v/>
      </c>
      <c r="K32" s="6" t="str">
        <f>IFERROR(__xludf.DUMMYFUNCTION("""COMPUTED_VALUE"""),"")</f>
        <v/>
      </c>
      <c r="L32" s="6" t="str">
        <f>IFERROR(__xludf.DUMMYFUNCTION("""COMPUTED_VALUE"""),"Weipyng")</f>
        <v>Weipyng</v>
      </c>
      <c r="N32" s="23" t="b">
        <f>IFERROR(__xludf.DUMMYFUNCTION("""COMPUTED_VALUE"""),FALSE)</f>
        <v>0</v>
      </c>
      <c r="O32" s="21" t="str">
        <f>IFERROR(__xludf.DUMMYFUNCTION("""COMPUTED_VALUE"""),"Booking.com")</f>
        <v>Booking.com</v>
      </c>
      <c r="P32" s="23">
        <f>IFERROR(__xludf.DUMMYFUNCTION("""COMPUTED_VALUE"""),7.0)</f>
        <v>7</v>
      </c>
      <c r="Q32" s="24">
        <f>IFERROR(__xludf.DUMMYFUNCTION("""COMPUTED_VALUE"""),46128.0)</f>
        <v>46128</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IFERROR(__xludf.DUMMYFUNCTION("""COMPUTED_VALUE"""),"Weipyng")</f>
        <v>Weipyng</v>
      </c>
    </row>
    <row r="33">
      <c r="B33" s="20" t="b">
        <f>IFERROR(__xludf.DUMMYFUNCTION("""COMPUTED_VALUE"""),FALSE)</f>
        <v>0</v>
      </c>
      <c r="C33" s="23" t="str">
        <f>IFERROR(__xludf.DUMMYFUNCTION("""COMPUTED_VALUE"""),"楽天トラベル")</f>
        <v>楽天トラベル</v>
      </c>
      <c r="D33" s="6">
        <f>IFERROR(__xludf.DUMMYFUNCTION("""COMPUTED_VALUE"""),3.0)</f>
        <v>3</v>
      </c>
      <c r="E33" s="22">
        <f>IFERROR(__xludf.DUMMYFUNCTION("""COMPUTED_VALUE"""),46128.0)</f>
        <v>46128</v>
      </c>
      <c r="F33"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33" s="6"/>
      <c r="H33" s="6"/>
      <c r="I33"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33" s="6" t="str">
        <f>IFERROR(__xludf.DUMMYFUNCTION("""COMPUTED_VALUE"""),"")</f>
        <v/>
      </c>
      <c r="K33" s="6" t="str">
        <f>IFERROR(__xludf.DUMMYFUNCTION("""COMPUTED_VALUE"""),"")</f>
        <v/>
      </c>
      <c r="L33" s="6" t="str">
        <f>IFERROR(__xludf.DUMMYFUNCTION("""COMPUTED_VALUE"""),"ちゃっぴー1026")</f>
        <v>ちゃっぴー1026</v>
      </c>
      <c r="N33" s="23" t="b">
        <f>IFERROR(__xludf.DUMMYFUNCTION("""COMPUTED_VALUE"""),FALSE)</f>
        <v>0</v>
      </c>
      <c r="O33" s="23" t="str">
        <f>IFERROR(__xludf.DUMMYFUNCTION("""COMPUTED_VALUE"""),"楽天トラベル")</f>
        <v>楽天トラベル</v>
      </c>
      <c r="P33" s="23">
        <f>IFERROR(__xludf.DUMMYFUNCTION("""COMPUTED_VALUE"""),3.0)</f>
        <v>3</v>
      </c>
      <c r="Q33" s="24">
        <f>IFERROR(__xludf.DUMMYFUNCTION("""COMPUTED_VALUE"""),46128.0)</f>
        <v>46128</v>
      </c>
      <c r="R33"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33" s="23"/>
      <c r="T33" s="23"/>
      <c r="U33"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33" s="23" t="str">
        <f>IFERROR(__xludf.DUMMYFUNCTION("""COMPUTED_VALUE"""),"")</f>
        <v/>
      </c>
      <c r="W33" s="23" t="str">
        <f>IFERROR(__xludf.DUMMYFUNCTION("""COMPUTED_VALUE"""),"")</f>
        <v/>
      </c>
      <c r="X33" s="23" t="str">
        <f>IFERROR(__xludf.DUMMYFUNCTION("""COMPUTED_VALUE"""),"ちゃっぴー1026")</f>
        <v>ちゃっぴー1026</v>
      </c>
    </row>
    <row r="34">
      <c r="B34" s="20" t="b">
        <f>IFERROR(__xludf.DUMMYFUNCTION("""COMPUTED_VALUE"""),FALSE)</f>
        <v>0</v>
      </c>
      <c r="C34" s="21" t="str">
        <f>IFERROR(__xludf.DUMMYFUNCTION("""COMPUTED_VALUE"""),"Trip.com")</f>
        <v>Trip.com</v>
      </c>
      <c r="D34" s="6">
        <f>IFERROR(__xludf.DUMMYFUNCTION("""COMPUTED_VALUE"""),7.0)</f>
        <v>7</v>
      </c>
      <c r="E34" s="22">
        <f>IFERROR(__xludf.DUMMYFUNCTION("""COMPUTED_VALUE"""),46128.0)</f>
        <v>46128</v>
      </c>
      <c r="F34" s="6" t="str">
        <f>IFERROR(__xludf.DUMMYFUNCTION("""COMPUTED_VALUE"""),"位置很不錯")</f>
        <v>位置很不錯</v>
      </c>
      <c r="G34" s="6"/>
      <c r="H34" s="6"/>
      <c r="I34" s="6" t="str">
        <f>IFERROR(__xludf.DUMMYFUNCTION("""COMPUTED_VALUE"""),"立地はとても良いです。")</f>
        <v>立地はとても良いです。</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IFERROR(__xludf.DUMMYFUNCTION("""COMPUTED_VALUE"""),7.0)</f>
        <v>7</v>
      </c>
      <c r="Q34" s="24">
        <f>IFERROR(__xludf.DUMMYFUNCTION("""COMPUTED_VALUE"""),46128.0)</f>
        <v>46128</v>
      </c>
      <c r="R34" s="23" t="str">
        <f>IFERROR(__xludf.DUMMYFUNCTION("""COMPUTED_VALUE"""),"位置很不錯")</f>
        <v>位置很不錯</v>
      </c>
      <c r="S34" s="23"/>
      <c r="T34" s="23"/>
      <c r="U34" s="23" t="str">
        <f>IFERROR(__xludf.DUMMYFUNCTION("""COMPUTED_VALUE"""),"立地はとても良いです。")</f>
        <v>立地はとても良いです。</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1" t="str">
        <f>IFERROR(__xludf.DUMMYFUNCTION("""COMPUTED_VALUE"""),"Trip.com")</f>
        <v>Trip.com</v>
      </c>
      <c r="D35" s="6">
        <f>IFERROR(__xludf.DUMMYFUNCTION("""COMPUTED_VALUE"""),10.0)</f>
        <v>10</v>
      </c>
      <c r="E35" s="22">
        <f>IFERROR(__xludf.DUMMYFUNCTION("""COMPUTED_VALUE"""),46128.0)</f>
        <v>46128</v>
      </c>
      <c r="F35"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35" s="6"/>
      <c r="H35" s="6"/>
      <c r="I35"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35" s="6" t="str">
        <f>IFERROR(__xludf.DUMMYFUNCTION("""COMPUTED_VALUE"""),"")</f>
        <v/>
      </c>
      <c r="K35" s="6" t="str">
        <f>IFERROR(__xludf.DUMMYFUNCTION("""COMPUTED_VALUE"""),"")</f>
        <v/>
      </c>
      <c r="L35" s="6" t="str">
        <f>IFERROR(__xludf.DUMMYFUNCTION("""COMPUTED_VALUE"""),"ラ‍ミ‍ー")</f>
        <v>ラ‍ミ‍ー</v>
      </c>
      <c r="N35" s="23" t="b">
        <f>IFERROR(__xludf.DUMMYFUNCTION("""COMPUTED_VALUE"""),FALSE)</f>
        <v>0</v>
      </c>
      <c r="O35" s="21" t="str">
        <f>IFERROR(__xludf.DUMMYFUNCTION("""COMPUTED_VALUE"""),"Trip.com")</f>
        <v>Trip.com</v>
      </c>
      <c r="P35" s="23">
        <f>IFERROR(__xludf.DUMMYFUNCTION("""COMPUTED_VALUE"""),10.0)</f>
        <v>10</v>
      </c>
      <c r="Q35" s="24">
        <f>IFERROR(__xludf.DUMMYFUNCTION("""COMPUTED_VALUE"""),46128.0)</f>
        <v>46128</v>
      </c>
      <c r="R35"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35" s="23"/>
      <c r="T35" s="23"/>
      <c r="U35"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35" s="23" t="str">
        <f>IFERROR(__xludf.DUMMYFUNCTION("""COMPUTED_VALUE"""),"")</f>
        <v/>
      </c>
      <c r="W35" s="23" t="str">
        <f>IFERROR(__xludf.DUMMYFUNCTION("""COMPUTED_VALUE"""),"")</f>
        <v/>
      </c>
      <c r="X35" s="23" t="str">
        <f>IFERROR(__xludf.DUMMYFUNCTION("""COMPUTED_VALUE"""),"ラ‍ミ‍ー")</f>
        <v>ラ‍ミ‍ー</v>
      </c>
    </row>
    <row r="36">
      <c r="B36" s="20" t="b">
        <f>IFERROR(__xludf.DUMMYFUNCTION("""COMPUTED_VALUE"""),FALSE)</f>
        <v>0</v>
      </c>
      <c r="C36" s="21" t="str">
        <f>IFERROR(__xludf.DUMMYFUNCTION("""COMPUTED_VALUE"""),"Trip.com")</f>
        <v>Trip.com</v>
      </c>
      <c r="D36" s="6">
        <f>IFERROR(__xludf.DUMMYFUNCTION("""COMPUTED_VALUE"""),10.0)</f>
        <v>10</v>
      </c>
      <c r="E36" s="22">
        <f>IFERROR(__xludf.DUMMYFUNCTION("""COMPUTED_VALUE"""),46128.0)</f>
        <v>46128</v>
      </c>
      <c r="F36"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36" s="6"/>
      <c r="H36" s="6"/>
      <c r="I36"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36" s="6" t="str">
        <f>IFERROR(__xludf.DUMMYFUNCTION("""COMPUTED_VALUE"""),"")</f>
        <v/>
      </c>
      <c r="K36" s="6" t="str">
        <f>IFERROR(__xludf.DUMMYFUNCTION("""COMPUTED_VALUE"""),"")</f>
        <v/>
      </c>
      <c r="L36" s="6" t="str">
        <f>IFERROR(__xludf.DUMMYFUNCTION("""COMPUTED_VALUE"""),"ゲ‍ス‍ト")</f>
        <v>ゲ‍ス‍ト</v>
      </c>
      <c r="N36" s="23" t="b">
        <f>IFERROR(__xludf.DUMMYFUNCTION("""COMPUTED_VALUE"""),FALSE)</f>
        <v>0</v>
      </c>
      <c r="O36" s="21" t="str">
        <f>IFERROR(__xludf.DUMMYFUNCTION("""COMPUTED_VALUE"""),"Trip.com")</f>
        <v>Trip.com</v>
      </c>
      <c r="P36" s="23">
        <f>IFERROR(__xludf.DUMMYFUNCTION("""COMPUTED_VALUE"""),10.0)</f>
        <v>10</v>
      </c>
      <c r="Q36" s="24">
        <f>IFERROR(__xludf.DUMMYFUNCTION("""COMPUTED_VALUE"""),46128.0)</f>
        <v>46128</v>
      </c>
      <c r="R36"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36" s="23"/>
      <c r="T36" s="23"/>
      <c r="U36"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36" s="23" t="str">
        <f>IFERROR(__xludf.DUMMYFUNCTION("""COMPUTED_VALUE"""),"")</f>
        <v/>
      </c>
      <c r="W36" s="23" t="str">
        <f>IFERROR(__xludf.DUMMYFUNCTION("""COMPUTED_VALUE"""),"")</f>
        <v/>
      </c>
      <c r="X36" s="23" t="str">
        <f>IFERROR(__xludf.DUMMYFUNCTION("""COMPUTED_VALUE"""),"ゲ‍ス‍ト")</f>
        <v>ゲ‍ス‍ト</v>
      </c>
    </row>
    <row r="37">
      <c r="B37" s="20" t="b">
        <f>IFERROR(__xludf.DUMMYFUNCTION("""COMPUTED_VALUE"""),FALSE)</f>
        <v>0</v>
      </c>
      <c r="C37" s="21" t="str">
        <f>IFERROR(__xludf.DUMMYFUNCTION("""COMPUTED_VALUE"""),"Trip.com")</f>
        <v>Trip.com</v>
      </c>
      <c r="D37" s="6">
        <f>IFERROR(__xludf.DUMMYFUNCTION("""COMPUTED_VALUE"""),9.0)</f>
        <v>9</v>
      </c>
      <c r="E37" s="22">
        <f>IFERROR(__xludf.DUMMYFUNCTION("""COMPUTED_VALUE"""),46127.0)</f>
        <v>46127</v>
      </c>
      <c r="F37"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37" s="6"/>
      <c r="H37" s="6"/>
      <c r="I37" s="6" t="str">
        <f>IFERROR(__xludf.DUMMYFUNCTION("""COMPUTED_VALUE"""),"チェックインの際、中国語を話せるスタッフに出会いました。ホテルは博多駅から信号を渡ったすぐの場所にあり、非常に便利なので、またぜひ利用したいと思います。")</f>
        <v>チェックインの際、中国語を話せるスタッフに出会いました。ホテルは博多駅から信号を渡ったすぐの場所にあり、非常に便利なので、またぜひ利用したいと思います。</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IFERROR(__xludf.DUMMYFUNCTION("""COMPUTED_VALUE"""),9.0)</f>
        <v>9</v>
      </c>
      <c r="Q37" s="24">
        <f>IFERROR(__xludf.DUMMYFUNCTION("""COMPUTED_VALUE"""),46127.0)</f>
        <v>46127</v>
      </c>
      <c r="R37"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37" s="23"/>
      <c r="T37" s="23"/>
      <c r="U37" s="23" t="str">
        <f>IFERROR(__xludf.DUMMYFUNCTION("""COMPUTED_VALUE"""),"チェックインの際、中国語を話せるスタッフに出会いました。ホテルは博多駅から信号を渡ったすぐの場所にあり、非常に便利なので、またぜひ利用したいと思います。")</f>
        <v>チェックインの際、中国語を話せるスタッフに出会いました。ホテルは博多駅から信号を渡ったすぐの場所にあり、非常に便利なので、またぜひ利用したいと思います。</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1" t="str">
        <f>IFERROR(__xludf.DUMMYFUNCTION("""COMPUTED_VALUE"""),"Trip.com")</f>
        <v>Trip.com</v>
      </c>
      <c r="D38" s="6">
        <f>IFERROR(__xludf.DUMMYFUNCTION("""COMPUTED_VALUE"""),9.0)</f>
        <v>9</v>
      </c>
      <c r="E38" s="22">
        <f>IFERROR(__xludf.DUMMYFUNCTION("""COMPUTED_VALUE"""),46127.0)</f>
        <v>46127</v>
      </c>
      <c r="F38"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38" s="6"/>
      <c r="H38" s="6"/>
      <c r="I38"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IFERROR(__xludf.DUMMYFUNCTION("""COMPUTED_VALUE"""),9.0)</f>
        <v>9</v>
      </c>
      <c r="Q38" s="24">
        <f>IFERROR(__xludf.DUMMYFUNCTION("""COMPUTED_VALUE"""),46127.0)</f>
        <v>46127</v>
      </c>
      <c r="R38"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38" s="23"/>
      <c r="T38" s="23"/>
      <c r="U38"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IFERROR(__xludf.DUMMYFUNCTION("""COMPUTED_VALUE"""),46127.0)</f>
        <v>46127</v>
      </c>
      <c r="F39"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39" s="6"/>
      <c r="H39" s="6"/>
      <c r="I39"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39" s="6" t="str">
        <f>IFERROR(__xludf.DUMMYFUNCTION("""COMPUTED_VALUE"""),"")</f>
        <v/>
      </c>
      <c r="K39" s="6" t="str">
        <f>IFERROR(__xludf.DUMMYFUNCTION("""COMPUTED_VALUE"""),"")</f>
        <v/>
      </c>
      <c r="L39" s="6" t="str">
        <f>IFERROR(__xludf.DUMMYFUNCTION("""COMPUTED_VALUE"""),"M‍i‍s‍h‍o‍_‍O")</f>
        <v>M‍i‍s‍h‍o‍_‍O</v>
      </c>
      <c r="N39" s="23" t="b">
        <f>IFERROR(__xludf.DUMMYFUNCTION("""COMPUTED_VALUE"""),FALSE)</f>
        <v>0</v>
      </c>
      <c r="O39" s="21" t="str">
        <f>IFERROR(__xludf.DUMMYFUNCTION("""COMPUTED_VALUE"""),"Trip.com")</f>
        <v>Trip.com</v>
      </c>
      <c r="P39" s="23">
        <f>IFERROR(__xludf.DUMMYFUNCTION("""COMPUTED_VALUE"""),10.0)</f>
        <v>10</v>
      </c>
      <c r="Q39" s="24">
        <f>IFERROR(__xludf.DUMMYFUNCTION("""COMPUTED_VALUE"""),46127.0)</f>
        <v>46127</v>
      </c>
      <c r="R39"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39" s="23"/>
      <c r="T39" s="23"/>
      <c r="U39"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39" s="23" t="str">
        <f>IFERROR(__xludf.DUMMYFUNCTION("""COMPUTED_VALUE"""),"")</f>
        <v/>
      </c>
      <c r="W39" s="23" t="str">
        <f>IFERROR(__xludf.DUMMYFUNCTION("""COMPUTED_VALUE"""),"")</f>
        <v/>
      </c>
      <c r="X39" s="23" t="str">
        <f>IFERROR(__xludf.DUMMYFUNCTION("""COMPUTED_VALUE"""),"M‍i‍s‍h‍o‍_‍O")</f>
        <v>M‍i‍s‍h‍o‍_‍O</v>
      </c>
    </row>
    <row r="40">
      <c r="B40" s="20" t="b">
        <f>IFERROR(__xludf.DUMMYFUNCTION("""COMPUTED_VALUE"""),FALSE)</f>
        <v>0</v>
      </c>
      <c r="C40" s="21" t="str">
        <f>IFERROR(__xludf.DUMMYFUNCTION("""COMPUTED_VALUE"""),"Trip.com")</f>
        <v>Trip.com</v>
      </c>
      <c r="D40" s="6">
        <f>IFERROR(__xludf.DUMMYFUNCTION("""COMPUTED_VALUE"""),9.0)</f>
        <v>9</v>
      </c>
      <c r="E40" s="22">
        <f>IFERROR(__xludf.DUMMYFUNCTION("""COMPUTED_VALUE"""),46127.0)</f>
        <v>46127</v>
      </c>
      <c r="F40"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40" s="6"/>
      <c r="H40" s="6"/>
      <c r="I40" s="6"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J40" s="6" t="str">
        <f>IFERROR(__xludf.DUMMYFUNCTION("""COMPUTED_VALUE"""),"")</f>
        <v/>
      </c>
      <c r="K40" s="6" t="str">
        <f>IFERROR(__xludf.DUMMYFUNCTION("""COMPUTED_VALUE"""),"")</f>
        <v/>
      </c>
      <c r="L40" s="6" t="str">
        <f>IFERROR(__xludf.DUMMYFUNCTION("""COMPUTED_VALUE"""),"洪‍俞‍任")</f>
        <v>洪‍俞‍任</v>
      </c>
      <c r="N40" s="23" t="b">
        <f>IFERROR(__xludf.DUMMYFUNCTION("""COMPUTED_VALUE"""),FALSE)</f>
        <v>0</v>
      </c>
      <c r="O40" s="21" t="str">
        <f>IFERROR(__xludf.DUMMYFUNCTION("""COMPUTED_VALUE"""),"Trip.com")</f>
        <v>Trip.com</v>
      </c>
      <c r="P40" s="23">
        <f>IFERROR(__xludf.DUMMYFUNCTION("""COMPUTED_VALUE"""),9.0)</f>
        <v>9</v>
      </c>
      <c r="Q40" s="24">
        <f>IFERROR(__xludf.DUMMYFUNCTION("""COMPUTED_VALUE"""),46127.0)</f>
        <v>46127</v>
      </c>
      <c r="R40"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40" s="23"/>
      <c r="T40" s="23"/>
      <c r="U40" s="23"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V40" s="23" t="str">
        <f>IFERROR(__xludf.DUMMYFUNCTION("""COMPUTED_VALUE"""),"")</f>
        <v/>
      </c>
      <c r="W40" s="23" t="str">
        <f>IFERROR(__xludf.DUMMYFUNCTION("""COMPUTED_VALUE"""),"")</f>
        <v/>
      </c>
      <c r="X40" s="23" t="str">
        <f>IFERROR(__xludf.DUMMYFUNCTION("""COMPUTED_VALUE"""),"洪‍俞‍任")</f>
        <v>洪‍俞‍任</v>
      </c>
    </row>
    <row r="41">
      <c r="B41" s="20" t="b">
        <f>IFERROR(__xludf.DUMMYFUNCTION("""COMPUTED_VALUE"""),FALSE)</f>
        <v>0</v>
      </c>
      <c r="C41" s="23" t="str">
        <f>IFERROR(__xludf.DUMMYFUNCTION("""COMPUTED_VALUE"""),"楽天トラベル")</f>
        <v>楽天トラベル</v>
      </c>
      <c r="D41" s="6">
        <f>IFERROR(__xludf.DUMMYFUNCTION("""COMPUTED_VALUE"""),4.0)</f>
        <v>4</v>
      </c>
      <c r="E41" s="22">
        <f>IFERROR(__xludf.DUMMYFUNCTION("""COMPUTED_VALUE"""),46125.0)</f>
        <v>46125</v>
      </c>
      <c r="F41" s="6" t="str">
        <f>IFERROR(__xludf.DUMMYFUNCTION("""COMPUTED_VALUE"""),"コスパ最強！")</f>
        <v>コスパ最強！</v>
      </c>
      <c r="G41" s="6"/>
      <c r="H41" s="6"/>
      <c r="I41" s="6" t="str">
        <f>IFERROR(__xludf.DUMMYFUNCTION("""COMPUTED_VALUE"""),"コスパ最強！")</f>
        <v>コスパ最強！</v>
      </c>
      <c r="J41" s="6" t="str">
        <f>IFERROR(__xludf.DUMMYFUNCTION("""COMPUTED_VALUE"""),"")</f>
        <v/>
      </c>
      <c r="K41" s="6" t="str">
        <f>IFERROR(__xludf.DUMMYFUNCTION("""COMPUTED_VALUE"""),"")</f>
        <v/>
      </c>
      <c r="L41" s="6" t="str">
        <f>IFERROR(__xludf.DUMMYFUNCTION("""COMPUTED_VALUE"""),"はなよさくよ")</f>
        <v>はなよさくよ</v>
      </c>
      <c r="N41" s="23" t="b">
        <f>IFERROR(__xludf.DUMMYFUNCTION("""COMPUTED_VALUE"""),FALSE)</f>
        <v>0</v>
      </c>
      <c r="O41" s="23" t="str">
        <f>IFERROR(__xludf.DUMMYFUNCTION("""COMPUTED_VALUE"""),"楽天トラベル")</f>
        <v>楽天トラベル</v>
      </c>
      <c r="P41" s="23">
        <f>IFERROR(__xludf.DUMMYFUNCTION("""COMPUTED_VALUE"""),4.0)</f>
        <v>4</v>
      </c>
      <c r="Q41" s="24">
        <f>IFERROR(__xludf.DUMMYFUNCTION("""COMPUTED_VALUE"""),46125.0)</f>
        <v>46125</v>
      </c>
      <c r="R41" s="23" t="str">
        <f>IFERROR(__xludf.DUMMYFUNCTION("""COMPUTED_VALUE"""),"コスパ最強！")</f>
        <v>コスパ最強！</v>
      </c>
      <c r="S41" s="23"/>
      <c r="T41" s="23"/>
      <c r="U41" s="23" t="str">
        <f>IFERROR(__xludf.DUMMYFUNCTION("""COMPUTED_VALUE"""),"コスパ最強！")</f>
        <v>コスパ最強！</v>
      </c>
      <c r="V41" s="23" t="str">
        <f>IFERROR(__xludf.DUMMYFUNCTION("""COMPUTED_VALUE"""),"")</f>
        <v/>
      </c>
      <c r="W41" s="23" t="str">
        <f>IFERROR(__xludf.DUMMYFUNCTION("""COMPUTED_VALUE"""),"")</f>
        <v/>
      </c>
      <c r="X41" s="23" t="str">
        <f>IFERROR(__xludf.DUMMYFUNCTION("""COMPUTED_VALUE"""),"はなよさくよ")</f>
        <v>はなよさくよ</v>
      </c>
    </row>
    <row r="42">
      <c r="B42" s="20" t="b">
        <f>IFERROR(__xludf.DUMMYFUNCTION("""COMPUTED_VALUE"""),FALSE)</f>
        <v>0</v>
      </c>
      <c r="C42" s="21" t="str">
        <f>IFERROR(__xludf.DUMMYFUNCTION("""COMPUTED_VALUE"""),"Trip.com")</f>
        <v>Trip.com</v>
      </c>
      <c r="D42" s="6">
        <f>IFERROR(__xludf.DUMMYFUNCTION("""COMPUTED_VALUE"""),7.0)</f>
        <v>7</v>
      </c>
      <c r="E42" s="22">
        <f>IFERROR(__xludf.DUMMYFUNCTION("""COMPUTED_VALUE"""),46125.0)</f>
        <v>46125</v>
      </c>
      <c r="F42" s="6" t="str">
        <f>IFERROR(__xludf.DUMMYFUNCTION("""COMPUTED_VALUE"""),"ทำเลดี อาหารเช้าไม่ดี ห้แงแคบ แอร์ไม่เย็น")</f>
        <v>ทำเลดี อาหารเช้าไม่ดี ห้แงแคบ แอร์ไม่เย็น</v>
      </c>
      <c r="G42" s="6"/>
      <c r="H42" s="6"/>
      <c r="I42" s="6" t="str">
        <f>IFERROR(__xludf.DUMMYFUNCTION("""COMPUTED_VALUE"""),"立地は良かったが、朝食はまずく、部屋は狭く、エアコンも故障していた。")</f>
        <v>立地は良かったが、朝食はまずく、部屋は狭く、エアコンも故障していた。</v>
      </c>
      <c r="J42" s="6" t="str">
        <f>IFERROR(__xludf.DUMMYFUNCTION("""COMPUTED_VALUE"""),"")</f>
        <v/>
      </c>
      <c r="K42" s="6" t="str">
        <f>IFERROR(__xludf.DUMMYFUNCTION("""COMPUTED_VALUE"""),"")</f>
        <v/>
      </c>
      <c r="L42" s="6" t="str">
        <f>IFERROR(__xludf.DUMMYFUNCTION("""COMPUTED_VALUE"""),"R‍o‍n‍g‍n‍a‍j‍a")</f>
        <v>R‍o‍n‍g‍n‍a‍j‍a</v>
      </c>
      <c r="N42" s="23" t="b">
        <f>IFERROR(__xludf.DUMMYFUNCTION("""COMPUTED_VALUE"""),FALSE)</f>
        <v>0</v>
      </c>
      <c r="O42" s="21" t="str">
        <f>IFERROR(__xludf.DUMMYFUNCTION("""COMPUTED_VALUE"""),"Trip.com")</f>
        <v>Trip.com</v>
      </c>
      <c r="P42" s="23">
        <f>IFERROR(__xludf.DUMMYFUNCTION("""COMPUTED_VALUE"""),7.0)</f>
        <v>7</v>
      </c>
      <c r="Q42" s="24">
        <f>IFERROR(__xludf.DUMMYFUNCTION("""COMPUTED_VALUE"""),46125.0)</f>
        <v>46125</v>
      </c>
      <c r="R42" s="23" t="str">
        <f>IFERROR(__xludf.DUMMYFUNCTION("""COMPUTED_VALUE"""),"ทำเลดี อาหารเช้าไม่ดี ห้แงแคบ แอร์ไม่เย็น")</f>
        <v>ทำเลดี อาหารเช้าไม่ดี ห้แงแคบ แอร์ไม่เย็น</v>
      </c>
      <c r="S42" s="23"/>
      <c r="T42" s="23"/>
      <c r="U42" s="23" t="str">
        <f>IFERROR(__xludf.DUMMYFUNCTION("""COMPUTED_VALUE"""),"立地は良かったが、朝食はまずく、部屋は狭く、エアコンも故障していた。")</f>
        <v>立地は良かったが、朝食はまずく、部屋は狭く、エアコンも故障していた。</v>
      </c>
      <c r="V42" s="23" t="str">
        <f>IFERROR(__xludf.DUMMYFUNCTION("""COMPUTED_VALUE"""),"")</f>
        <v/>
      </c>
      <c r="W42" s="23" t="str">
        <f>IFERROR(__xludf.DUMMYFUNCTION("""COMPUTED_VALUE"""),"")</f>
        <v/>
      </c>
      <c r="X42" s="23" t="str">
        <f>IFERROR(__xludf.DUMMYFUNCTION("""COMPUTED_VALUE"""),"R‍o‍n‍g‍n‍a‍j‍a")</f>
        <v>R‍o‍n‍g‍n‍a‍j‍a</v>
      </c>
    </row>
    <row r="43">
      <c r="B43" s="20" t="b">
        <f>IFERROR(__xludf.DUMMYFUNCTION("""COMPUTED_VALUE"""),FALSE)</f>
        <v>0</v>
      </c>
      <c r="C43" s="21" t="str">
        <f>IFERROR(__xludf.DUMMYFUNCTION("""COMPUTED_VALUE"""),"Trip.com")</f>
        <v>Trip.com</v>
      </c>
      <c r="D43" s="6">
        <f>IFERROR(__xludf.DUMMYFUNCTION("""COMPUTED_VALUE"""),8.0)</f>
        <v>8</v>
      </c>
      <c r="E43" s="22">
        <f>IFERROR(__xludf.DUMMYFUNCTION("""COMPUTED_VALUE"""),46125.0)</f>
        <v>46125</v>
      </c>
      <c r="F43" s="6" t="str">
        <f>IFERROR(__xludf.DUMMYFUNCTION("""COMPUTED_VALUE"""),"직원분들 모두 친절하시고 위치가 굉장히 좋네요 조식도 나름 괜찮았습니다")</f>
        <v>직원분들 모두 친절하시고 위치가 굉장히 좋네요 조식도 나름 괜찮았습니다</v>
      </c>
      <c r="G43" s="6"/>
      <c r="H43" s="6"/>
      <c r="I43" s="6" t="str">
        <f>IFERROR(__xludf.DUMMYFUNCTION("""COMPUTED_VALUE"""),"スタッフ全員親切で場所がとても良いですね朝食もそれなり大丈夫でした")</f>
        <v>スタッフ全員親切で場所がとても良いですね朝食もそれなり大丈夫でした</v>
      </c>
      <c r="J43" s="6" t="str">
        <f>IFERROR(__xludf.DUMMYFUNCTION("""COMPUTED_VALUE"""),"")</f>
        <v/>
      </c>
      <c r="K43" s="6" t="str">
        <f>IFERROR(__xludf.DUMMYFUNCTION("""COMPUTED_VALUE"""),"")</f>
        <v/>
      </c>
      <c r="L43" s="6" t="str">
        <f>IFERROR(__xludf.DUMMYFUNCTION("""COMPUTED_VALUE"""),"ゲ‍ス‍ト")</f>
        <v>ゲ‍ス‍ト</v>
      </c>
      <c r="N43" s="23" t="b">
        <f>IFERROR(__xludf.DUMMYFUNCTION("""COMPUTED_VALUE"""),FALSE)</f>
        <v>0</v>
      </c>
      <c r="O43" s="21" t="str">
        <f>IFERROR(__xludf.DUMMYFUNCTION("""COMPUTED_VALUE"""),"Trip.com")</f>
        <v>Trip.com</v>
      </c>
      <c r="P43" s="23">
        <f>IFERROR(__xludf.DUMMYFUNCTION("""COMPUTED_VALUE"""),8.0)</f>
        <v>8</v>
      </c>
      <c r="Q43" s="24">
        <f>IFERROR(__xludf.DUMMYFUNCTION("""COMPUTED_VALUE"""),46125.0)</f>
        <v>46125</v>
      </c>
      <c r="R43" s="23" t="str">
        <f>IFERROR(__xludf.DUMMYFUNCTION("""COMPUTED_VALUE"""),"직원분들 모두 친절하시고 위치가 굉장히 좋네요 조식도 나름 괜찮았습니다")</f>
        <v>직원분들 모두 친절하시고 위치가 굉장히 좋네요 조식도 나름 괜찮았습니다</v>
      </c>
      <c r="S43" s="23"/>
      <c r="T43" s="23"/>
      <c r="U43" s="23" t="str">
        <f>IFERROR(__xludf.DUMMYFUNCTION("""COMPUTED_VALUE"""),"スタッフ全員親切で場所がとても良いですね朝食もそれなり大丈夫でした")</f>
        <v>スタッフ全員親切で場所がとても良いですね朝食もそれなり大丈夫でした</v>
      </c>
      <c r="V43" s="23" t="str">
        <f>IFERROR(__xludf.DUMMYFUNCTION("""COMPUTED_VALUE"""),"")</f>
        <v/>
      </c>
      <c r="W43" s="23" t="str">
        <f>IFERROR(__xludf.DUMMYFUNCTION("""COMPUTED_VALUE"""),"")</f>
        <v/>
      </c>
      <c r="X43" s="23" t="str">
        <f>IFERROR(__xludf.DUMMYFUNCTION("""COMPUTED_VALUE"""),"ゲ‍ス‍ト")</f>
        <v>ゲ‍ス‍ト</v>
      </c>
    </row>
    <row r="44">
      <c r="B44" s="20" t="b">
        <f>IFERROR(__xludf.DUMMYFUNCTION("""COMPUTED_VALUE"""),FALSE)</f>
        <v>0</v>
      </c>
      <c r="C44" s="21" t="str">
        <f>IFERROR(__xludf.DUMMYFUNCTION("""COMPUTED_VALUE"""),"Trip.com")</f>
        <v>Trip.com</v>
      </c>
      <c r="D44" s="6">
        <f>IFERROR(__xludf.DUMMYFUNCTION("""COMPUTED_VALUE"""),9.0)</f>
        <v>9</v>
      </c>
      <c r="E44" s="22">
        <f>IFERROR(__xludf.DUMMYFUNCTION("""COMPUTED_VALUE"""),46125.0)</f>
        <v>46125</v>
      </c>
      <c r="F44" s="6" t="str">
        <f>IFERROR(__xludf.DUMMYFUNCTION("""COMPUTED_VALUE"""),"가성비 최고")</f>
        <v>가성비 최고</v>
      </c>
      <c r="G44" s="6"/>
      <c r="H44" s="6"/>
      <c r="I44" s="6" t="str">
        <f>IFERROR(__xludf.DUMMYFUNCTION("""COMPUTED_VALUE"""),"コスパ最高")</f>
        <v>コスパ最高</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IFERROR(__xludf.DUMMYFUNCTION("""COMPUTED_VALUE"""),9.0)</f>
        <v>9</v>
      </c>
      <c r="Q44" s="24">
        <f>IFERROR(__xludf.DUMMYFUNCTION("""COMPUTED_VALUE"""),46125.0)</f>
        <v>46125</v>
      </c>
      <c r="R44" s="23" t="str">
        <f>IFERROR(__xludf.DUMMYFUNCTION("""COMPUTED_VALUE"""),"가성비 최고")</f>
        <v>가성비 최고</v>
      </c>
      <c r="S44" s="23"/>
      <c r="T44" s="23"/>
      <c r="U44" s="23" t="str">
        <f>IFERROR(__xludf.DUMMYFUNCTION("""COMPUTED_VALUE"""),"コスパ最高")</f>
        <v>コスパ最高</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1" t="str">
        <f>IFERROR(__xludf.DUMMYFUNCTION("""COMPUTED_VALUE"""),"Trip.com")</f>
        <v>Trip.com</v>
      </c>
      <c r="D45" s="6">
        <f>IFERROR(__xludf.DUMMYFUNCTION("""COMPUTED_VALUE"""),10.0)</f>
        <v>10</v>
      </c>
      <c r="E45" s="22">
        <f>IFERROR(__xludf.DUMMYFUNCTION("""COMPUTED_VALUE"""),46125.0)</f>
        <v>46125</v>
      </c>
      <c r="F45"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45" s="6"/>
      <c r="H45" s="6"/>
      <c r="I45"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45" s="6" t="str">
        <f>IFERROR(__xludf.DUMMYFUNCTION("""COMPUTED_VALUE"""),"")</f>
        <v/>
      </c>
      <c r="K45" s="6" t="str">
        <f>IFERROR(__xludf.DUMMYFUNCTION("""COMPUTED_VALUE"""),"")</f>
        <v/>
      </c>
      <c r="L45" s="6" t="str">
        <f>IFERROR(__xludf.DUMMYFUNCTION("""COMPUTED_VALUE"""),"ゲ‍ス‍ト")</f>
        <v>ゲ‍ス‍ト</v>
      </c>
      <c r="N45" s="23" t="b">
        <f>IFERROR(__xludf.DUMMYFUNCTION("""COMPUTED_VALUE"""),FALSE)</f>
        <v>0</v>
      </c>
      <c r="O45" s="21" t="str">
        <f>IFERROR(__xludf.DUMMYFUNCTION("""COMPUTED_VALUE"""),"Trip.com")</f>
        <v>Trip.com</v>
      </c>
      <c r="P45" s="23">
        <f>IFERROR(__xludf.DUMMYFUNCTION("""COMPUTED_VALUE"""),10.0)</f>
        <v>10</v>
      </c>
      <c r="Q45" s="24">
        <f>IFERROR(__xludf.DUMMYFUNCTION("""COMPUTED_VALUE"""),46125.0)</f>
        <v>46125</v>
      </c>
      <c r="R45"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45" s="23"/>
      <c r="T45" s="23"/>
      <c r="U45"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45" s="23" t="str">
        <f>IFERROR(__xludf.DUMMYFUNCTION("""COMPUTED_VALUE"""),"")</f>
        <v/>
      </c>
      <c r="W45" s="23" t="str">
        <f>IFERROR(__xludf.DUMMYFUNCTION("""COMPUTED_VALUE"""),"")</f>
        <v/>
      </c>
      <c r="X45" s="23" t="str">
        <f>IFERROR(__xludf.DUMMYFUNCTION("""COMPUTED_VALUE"""),"ゲ‍ス‍ト")</f>
        <v>ゲ‍ス‍ト</v>
      </c>
    </row>
    <row r="46">
      <c r="B46" s="20" t="b">
        <f>IFERROR(__xludf.DUMMYFUNCTION("""COMPUTED_VALUE"""),FALSE)</f>
        <v>0</v>
      </c>
      <c r="C46" s="21" t="str">
        <f>IFERROR(__xludf.DUMMYFUNCTION("""COMPUTED_VALUE"""),"Booking.com")</f>
        <v>Booking.com</v>
      </c>
      <c r="D46" s="6">
        <f>IFERROR(__xludf.DUMMYFUNCTION("""COMPUTED_VALUE"""),4.0)</f>
        <v>4</v>
      </c>
      <c r="E46" s="22">
        <f>IFERROR(__xludf.DUMMYFUNCTION("""COMPUTED_VALUE"""),46125.0)</f>
        <v>46125</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IFERROR(__xludf.DUMMYFUNCTION("""COMPUTED_VALUE"""),"Ping")</f>
        <v>Ping</v>
      </c>
      <c r="N46" s="23" t="b">
        <f>IFERROR(__xludf.DUMMYFUNCTION("""COMPUTED_VALUE"""),FALSE)</f>
        <v>0</v>
      </c>
      <c r="O46" s="21" t="str">
        <f>IFERROR(__xludf.DUMMYFUNCTION("""COMPUTED_VALUE"""),"Booking.com")</f>
        <v>Booking.com</v>
      </c>
      <c r="P46" s="23">
        <f>IFERROR(__xludf.DUMMYFUNCTION("""COMPUTED_VALUE"""),4.0)</f>
        <v>4</v>
      </c>
      <c r="Q46" s="24">
        <f>IFERROR(__xludf.DUMMYFUNCTION("""COMPUTED_VALUE"""),46125.0)</f>
        <v>46125</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IFERROR(__xludf.DUMMYFUNCTION("""COMPUTED_VALUE"""),"Ping")</f>
        <v>Ping</v>
      </c>
    </row>
    <row r="47">
      <c r="B47" s="20" t="b">
        <f>IFERROR(__xludf.DUMMYFUNCTION("""COMPUTED_VALUE"""),FALSE)</f>
        <v>0</v>
      </c>
      <c r="C47" s="21" t="str">
        <f>IFERROR(__xludf.DUMMYFUNCTION("""COMPUTED_VALUE"""),"Trip.com")</f>
        <v>Trip.com</v>
      </c>
      <c r="D47" s="6">
        <f>IFERROR(__xludf.DUMMYFUNCTION("""COMPUTED_VALUE"""),10.0)</f>
        <v>10</v>
      </c>
      <c r="E47" s="22">
        <f>IFERROR(__xludf.DUMMYFUNCTION("""COMPUTED_VALUE"""),46125.0)</f>
        <v>46125</v>
      </c>
      <c r="F47" s="6" t="str">
        <f>IFERROR(__xludf.DUMMYFUNCTION("""COMPUTED_VALUE"""),"Ottimo soggiorno!")</f>
        <v>Ottimo soggiorno!</v>
      </c>
      <c r="G47" s="6"/>
      <c r="H47" s="6"/>
      <c r="I47" s="6" t="str">
        <f>IFERROR(__xludf.DUMMYFUNCTION("""COMPUTED_VALUE"""),"素晴らしい滞在でした！")</f>
        <v>素晴らしい滞在でした！</v>
      </c>
      <c r="J47" s="6" t="str">
        <f>IFERROR(__xludf.DUMMYFUNCTION("""COMPUTED_VALUE"""),"")</f>
        <v/>
      </c>
      <c r="K47" s="6" t="str">
        <f>IFERROR(__xludf.DUMMYFUNCTION("""COMPUTED_VALUE"""),"")</f>
        <v/>
      </c>
      <c r="L47" s="6" t="str">
        <f>IFERROR(__xludf.DUMMYFUNCTION("""COMPUTED_VALUE"""),"ゲ‍ス‍ト")</f>
        <v>ゲ‍ス‍ト</v>
      </c>
      <c r="N47" s="23" t="b">
        <f>IFERROR(__xludf.DUMMYFUNCTION("""COMPUTED_VALUE"""),FALSE)</f>
        <v>0</v>
      </c>
      <c r="O47" s="21" t="str">
        <f>IFERROR(__xludf.DUMMYFUNCTION("""COMPUTED_VALUE"""),"Trip.com")</f>
        <v>Trip.com</v>
      </c>
      <c r="P47" s="23">
        <f>IFERROR(__xludf.DUMMYFUNCTION("""COMPUTED_VALUE"""),10.0)</f>
        <v>10</v>
      </c>
      <c r="Q47" s="24">
        <f>IFERROR(__xludf.DUMMYFUNCTION("""COMPUTED_VALUE"""),46125.0)</f>
        <v>46125</v>
      </c>
      <c r="R47" s="23" t="str">
        <f>IFERROR(__xludf.DUMMYFUNCTION("""COMPUTED_VALUE"""),"Ottimo soggiorno!")</f>
        <v>Ottimo soggiorno!</v>
      </c>
      <c r="S47" s="23"/>
      <c r="T47" s="23"/>
      <c r="U47" s="23" t="str">
        <f>IFERROR(__xludf.DUMMYFUNCTION("""COMPUTED_VALUE"""),"素晴らしい滞在でした！")</f>
        <v>素晴らしい滞在でした！</v>
      </c>
      <c r="V47" s="23" t="str">
        <f>IFERROR(__xludf.DUMMYFUNCTION("""COMPUTED_VALUE"""),"")</f>
        <v/>
      </c>
      <c r="W47" s="23" t="str">
        <f>IFERROR(__xludf.DUMMYFUNCTION("""COMPUTED_VALUE"""),"")</f>
        <v/>
      </c>
      <c r="X47" s="23" t="str">
        <f>IFERROR(__xludf.DUMMYFUNCTION("""COMPUTED_VALUE"""),"ゲ‍ス‍ト")</f>
        <v>ゲ‍ス‍ト</v>
      </c>
    </row>
    <row r="48">
      <c r="B48" s="20" t="b">
        <f>IFERROR(__xludf.DUMMYFUNCTION("""COMPUTED_VALUE"""),FALSE)</f>
        <v>0</v>
      </c>
      <c r="C48" s="21" t="str">
        <f>IFERROR(__xludf.DUMMYFUNCTION("""COMPUTED_VALUE"""),"Trip.com")</f>
        <v>Trip.com</v>
      </c>
      <c r="D48" s="6">
        <f>IFERROR(__xludf.DUMMYFUNCTION("""COMPUTED_VALUE"""),9.0)</f>
        <v>9</v>
      </c>
      <c r="E48" s="22">
        <f>IFERROR(__xludf.DUMMYFUNCTION("""COMPUTED_VALUE"""),46124.0)</f>
        <v>46124</v>
      </c>
      <c r="F48"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48" s="6"/>
      <c r="H48" s="6"/>
      <c r="I48" s="6" t="str">
        <f>IFERROR(__xludf.DUMMYFUNCTION("""COMPUTED_VALUE"""),"これは場所が尽きたところです。")</f>
        <v>これは場所が尽きたところです。</v>
      </c>
      <c r="J48" s="6" t="str">
        <f>IFERROR(__xludf.DUMMYFUNCTION("""COMPUTED_VALUE"""),"")</f>
        <v/>
      </c>
      <c r="K48" s="6" t="str">
        <f>IFERROR(__xludf.DUMMYFUNCTION("""COMPUTED_VALUE"""),"")</f>
        <v/>
      </c>
      <c r="L48" s="6" t="str">
        <f>IFERROR(__xludf.DUMMYFUNCTION("""COMPUTED_VALUE"""),"닭‍발‍이")</f>
        <v>닭‍발‍이</v>
      </c>
      <c r="N48" s="23" t="b">
        <f>IFERROR(__xludf.DUMMYFUNCTION("""COMPUTED_VALUE"""),FALSE)</f>
        <v>0</v>
      </c>
      <c r="O48" s="21" t="str">
        <f>IFERROR(__xludf.DUMMYFUNCTION("""COMPUTED_VALUE"""),"Trip.com")</f>
        <v>Trip.com</v>
      </c>
      <c r="P48" s="23">
        <f>IFERROR(__xludf.DUMMYFUNCTION("""COMPUTED_VALUE"""),9.0)</f>
        <v>9</v>
      </c>
      <c r="Q48" s="24">
        <f>IFERROR(__xludf.DUMMYFUNCTION("""COMPUTED_VALUE"""),46124.0)</f>
        <v>46124</v>
      </c>
      <c r="R48"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48" s="23"/>
      <c r="T48" s="23"/>
      <c r="U48" s="23" t="str">
        <f>IFERROR(__xludf.DUMMYFUNCTION("""COMPUTED_VALUE"""),"これは場所が尽きたところです。")</f>
        <v>これは場所が尽きたところです。</v>
      </c>
      <c r="V48" s="23" t="str">
        <f>IFERROR(__xludf.DUMMYFUNCTION("""COMPUTED_VALUE"""),"")</f>
        <v/>
      </c>
      <c r="W48" s="23" t="str">
        <f>IFERROR(__xludf.DUMMYFUNCTION("""COMPUTED_VALUE"""),"")</f>
        <v/>
      </c>
      <c r="X48" s="23" t="str">
        <f>IFERROR(__xludf.DUMMYFUNCTION("""COMPUTED_VALUE"""),"닭‍발‍이")</f>
        <v>닭‍발‍이</v>
      </c>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IFERROR(__xludf.DUMMYFUNCTION("""COMPUTED_VALUE"""),46124.0)</f>
        <v>46124</v>
      </c>
      <c r="F49" s="6" t="str">
        <f>IFERROR(__xludf.DUMMYFUNCTION("""COMPUTED_VALUE"""),"어디든 편히 다녕옷ㄴ 수 있어서 넘 좋아요")</f>
        <v>어디든 편히 다녕옷ㄴ 수 있어서 넘 좋아요</v>
      </c>
      <c r="G49" s="6"/>
      <c r="H49" s="6"/>
      <c r="I49" s="6" t="str">
        <f>IFERROR(__xludf.DUMMYFUNCTION("""COMPUTED_VALUE"""),"どこでも快適にこんにちは服ができてとても良いです。")</f>
        <v>どこでも快適にこんにちは服ができてとても良いです。</v>
      </c>
      <c r="J49" s="6" t="str">
        <f>IFERROR(__xludf.DUMMYFUNCTION("""COMPUTED_VALUE"""),"")</f>
        <v/>
      </c>
      <c r="K49" s="6" t="str">
        <f>IFERROR(__xludf.DUMMYFUNCTION("""COMPUTED_VALUE"""),"")</f>
        <v/>
      </c>
      <c r="L49" s="6" t="str">
        <f>IFERROR(__xludf.DUMMYFUNCTION("""COMPUTED_VALUE"""),"쿤‍타")</f>
        <v>쿤‍타</v>
      </c>
      <c r="N49" s="23" t="b">
        <f>IFERROR(__xludf.DUMMYFUNCTION("""COMPUTED_VALUE"""),FALSE)</f>
        <v>0</v>
      </c>
      <c r="O49" s="21" t="str">
        <f>IFERROR(__xludf.DUMMYFUNCTION("""COMPUTED_VALUE"""),"Trip.com")</f>
        <v>Trip.com</v>
      </c>
      <c r="P49" s="23">
        <f>IFERROR(__xludf.DUMMYFUNCTION("""COMPUTED_VALUE"""),10.0)</f>
        <v>10</v>
      </c>
      <c r="Q49" s="24">
        <f>IFERROR(__xludf.DUMMYFUNCTION("""COMPUTED_VALUE"""),46124.0)</f>
        <v>46124</v>
      </c>
      <c r="R49" s="23" t="str">
        <f>IFERROR(__xludf.DUMMYFUNCTION("""COMPUTED_VALUE"""),"어디든 편히 다녕옷ㄴ 수 있어서 넘 좋아요")</f>
        <v>어디든 편히 다녕옷ㄴ 수 있어서 넘 좋아요</v>
      </c>
      <c r="S49" s="23"/>
      <c r="T49" s="23"/>
      <c r="U49" s="23" t="str">
        <f>IFERROR(__xludf.DUMMYFUNCTION("""COMPUTED_VALUE"""),"どこでも快適にこんにちは服ができてとても良いです。")</f>
        <v>どこでも快適にこんにちは服ができてとても良いです。</v>
      </c>
      <c r="V49" s="23" t="str">
        <f>IFERROR(__xludf.DUMMYFUNCTION("""COMPUTED_VALUE"""),"")</f>
        <v/>
      </c>
      <c r="W49" s="23" t="str">
        <f>IFERROR(__xludf.DUMMYFUNCTION("""COMPUTED_VALUE"""),"")</f>
        <v/>
      </c>
      <c r="X49" s="23" t="str">
        <f>IFERROR(__xludf.DUMMYFUNCTION("""COMPUTED_VALUE"""),"쿤‍타")</f>
        <v>쿤‍타</v>
      </c>
    </row>
    <row r="50">
      <c r="B50" s="20" t="b">
        <f>IFERROR(__xludf.DUMMYFUNCTION("""COMPUTED_VALUE"""),FALSE)</f>
        <v>0</v>
      </c>
      <c r="C50" s="21" t="str">
        <f>IFERROR(__xludf.DUMMYFUNCTION("""COMPUTED_VALUE"""),"Trip.com")</f>
        <v>Trip.com</v>
      </c>
      <c r="D50" s="6">
        <f>IFERROR(__xludf.DUMMYFUNCTION("""COMPUTED_VALUE"""),9.0)</f>
        <v>9</v>
      </c>
      <c r="E50" s="22">
        <f>IFERROR(__xludf.DUMMYFUNCTION("""COMPUTED_VALUE"""),46124.0)</f>
        <v>46124</v>
      </c>
      <c r="F50"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50" s="6"/>
      <c r="H50" s="6"/>
      <c r="I50"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50" s="6" t="str">
        <f>IFERROR(__xludf.DUMMYFUNCTION("""COMPUTED_VALUE"""),"")</f>
        <v/>
      </c>
      <c r="K50" s="6" t="str">
        <f>IFERROR(__xludf.DUMMYFUNCTION("""COMPUTED_VALUE"""),"")</f>
        <v/>
      </c>
      <c r="L50" s="6" t="str">
        <f>IFERROR(__xludf.DUMMYFUNCTION("""COMPUTED_VALUE"""),"ゲ‍ス‍ト")</f>
        <v>ゲ‍ス‍ト</v>
      </c>
      <c r="N50" s="23" t="b">
        <f>IFERROR(__xludf.DUMMYFUNCTION("""COMPUTED_VALUE"""),FALSE)</f>
        <v>0</v>
      </c>
      <c r="O50" s="21" t="str">
        <f>IFERROR(__xludf.DUMMYFUNCTION("""COMPUTED_VALUE"""),"Trip.com")</f>
        <v>Trip.com</v>
      </c>
      <c r="P50" s="23">
        <f>IFERROR(__xludf.DUMMYFUNCTION("""COMPUTED_VALUE"""),9.0)</f>
        <v>9</v>
      </c>
      <c r="Q50" s="24">
        <f>IFERROR(__xludf.DUMMYFUNCTION("""COMPUTED_VALUE"""),46124.0)</f>
        <v>46124</v>
      </c>
      <c r="R50"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50" s="23"/>
      <c r="T50" s="23"/>
      <c r="U50"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50" s="23" t="str">
        <f>IFERROR(__xludf.DUMMYFUNCTION("""COMPUTED_VALUE"""),"")</f>
        <v/>
      </c>
      <c r="W50" s="23" t="str">
        <f>IFERROR(__xludf.DUMMYFUNCTION("""COMPUTED_VALUE"""),"")</f>
        <v/>
      </c>
      <c r="X50" s="23" t="str">
        <f>IFERROR(__xludf.DUMMYFUNCTION("""COMPUTED_VALUE"""),"ゲ‍ス‍ト")</f>
        <v>ゲ‍ス‍ト</v>
      </c>
    </row>
    <row r="51">
      <c r="B51" s="20" t="b">
        <f>IFERROR(__xludf.DUMMYFUNCTION("""COMPUTED_VALUE"""),FALSE)</f>
        <v>0</v>
      </c>
      <c r="C51" s="21" t="str">
        <f>IFERROR(__xludf.DUMMYFUNCTION("""COMPUTED_VALUE"""),"Booking.com")</f>
        <v>Booking.com</v>
      </c>
      <c r="D51" s="6">
        <f>IFERROR(__xludf.DUMMYFUNCTION("""COMPUTED_VALUE"""),5.0)</f>
        <v>5</v>
      </c>
      <c r="E51" s="22">
        <f>IFERROR(__xludf.DUMMYFUNCTION("""COMPUTED_VALUE"""),46124.0)</f>
        <v>46124</v>
      </c>
      <c r="F51" s="6"/>
      <c r="G51" s="6" t="str">
        <f>IFERROR(__xludf.DUMMYFUNCTION("""COMPUTED_VALUE"""),"駅から近かった。")</f>
        <v>駅から近かった。</v>
      </c>
      <c r="H51"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51" s="6" t="str">
        <f>IFERROR(__xludf.DUMMYFUNCTION("""COMPUTED_VALUE"""),"")</f>
        <v/>
      </c>
      <c r="J51" s="6" t="str">
        <f>IFERROR(__xludf.DUMMYFUNCTION("""COMPUTED_VALUE"""),"駅から近かった。")</f>
        <v>駅から近かった。</v>
      </c>
      <c r="K51"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51" s="6" t="str">
        <f>IFERROR(__xludf.DUMMYFUNCTION("""COMPUTED_VALUE"""),"いし")</f>
        <v>いし</v>
      </c>
      <c r="N51" s="23" t="b">
        <f>IFERROR(__xludf.DUMMYFUNCTION("""COMPUTED_VALUE"""),FALSE)</f>
        <v>0</v>
      </c>
      <c r="O51" s="21" t="str">
        <f>IFERROR(__xludf.DUMMYFUNCTION("""COMPUTED_VALUE"""),"Booking.com")</f>
        <v>Booking.com</v>
      </c>
      <c r="P51" s="23">
        <f>IFERROR(__xludf.DUMMYFUNCTION("""COMPUTED_VALUE"""),5.0)</f>
        <v>5</v>
      </c>
      <c r="Q51" s="24">
        <f>IFERROR(__xludf.DUMMYFUNCTION("""COMPUTED_VALUE"""),46124.0)</f>
        <v>46124</v>
      </c>
      <c r="R51" s="23"/>
      <c r="S51" s="23" t="str">
        <f>IFERROR(__xludf.DUMMYFUNCTION("""COMPUTED_VALUE"""),"駅から近かった。")</f>
        <v>駅から近かった。</v>
      </c>
      <c r="T51"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51" s="23" t="str">
        <f>IFERROR(__xludf.DUMMYFUNCTION("""COMPUTED_VALUE"""),"")</f>
        <v/>
      </c>
      <c r="V51" s="23" t="str">
        <f>IFERROR(__xludf.DUMMYFUNCTION("""COMPUTED_VALUE"""),"駅から近かった。")</f>
        <v>駅から近かった。</v>
      </c>
      <c r="W51"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51" s="23" t="str">
        <f>IFERROR(__xludf.DUMMYFUNCTION("""COMPUTED_VALUE"""),"いし")</f>
        <v>いし</v>
      </c>
    </row>
    <row r="52">
      <c r="B52" s="20" t="b">
        <f>IFERROR(__xludf.DUMMYFUNCTION("""COMPUTED_VALUE"""),FALSE)</f>
        <v>0</v>
      </c>
      <c r="C52" s="21" t="str">
        <f>IFERROR(__xludf.DUMMYFUNCTION("""COMPUTED_VALUE"""),"Booking.com")</f>
        <v>Booking.com</v>
      </c>
      <c r="D52" s="6">
        <f>IFERROR(__xludf.DUMMYFUNCTION("""COMPUTED_VALUE"""),5.0)</f>
        <v>5</v>
      </c>
      <c r="E52" s="22">
        <f>IFERROR(__xludf.DUMMYFUNCTION("""COMPUTED_VALUE"""),46124.0)</f>
        <v>46124</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IFERROR(__xludf.DUMMYFUNCTION("""COMPUTED_VALUE"""),"Norie")</f>
        <v>Norie</v>
      </c>
      <c r="N52" s="23" t="b">
        <f>IFERROR(__xludf.DUMMYFUNCTION("""COMPUTED_VALUE"""),FALSE)</f>
        <v>0</v>
      </c>
      <c r="O52" s="21" t="str">
        <f>IFERROR(__xludf.DUMMYFUNCTION("""COMPUTED_VALUE"""),"Booking.com")</f>
        <v>Booking.com</v>
      </c>
      <c r="P52" s="23">
        <f>IFERROR(__xludf.DUMMYFUNCTION("""COMPUTED_VALUE"""),5.0)</f>
        <v>5</v>
      </c>
      <c r="Q52" s="24">
        <f>IFERROR(__xludf.DUMMYFUNCTION("""COMPUTED_VALUE"""),46124.0)</f>
        <v>46124</v>
      </c>
      <c r="R52" s="23"/>
      <c r="S52" s="23"/>
      <c r="T52" s="23"/>
      <c r="U52" s="23" t="str">
        <f>IFERROR(__xludf.DUMMYFUNCTION("""COMPUTED_VALUE"""),"")</f>
        <v/>
      </c>
      <c r="V52" s="23" t="str">
        <f>IFERROR(__xludf.DUMMYFUNCTION("""COMPUTED_VALUE"""),"")</f>
        <v/>
      </c>
      <c r="W52" s="23" t="str">
        <f>IFERROR(__xludf.DUMMYFUNCTION("""COMPUTED_VALUE"""),"")</f>
        <v/>
      </c>
      <c r="X52" s="23" t="str">
        <f>IFERROR(__xludf.DUMMYFUNCTION("""COMPUTED_VALUE"""),"Norie")</f>
        <v>Norie</v>
      </c>
    </row>
    <row r="53">
      <c r="B53" s="20" t="b">
        <f>IFERROR(__xludf.DUMMYFUNCTION("""COMPUTED_VALUE"""),FALSE)</f>
        <v>0</v>
      </c>
      <c r="C53" s="21" t="str">
        <f>IFERROR(__xludf.DUMMYFUNCTION("""COMPUTED_VALUE"""),"Trip.com")</f>
        <v>Trip.com</v>
      </c>
      <c r="D53" s="6">
        <f>IFERROR(__xludf.DUMMYFUNCTION("""COMPUTED_VALUE"""),10.0)</f>
        <v>10</v>
      </c>
      <c r="E53" s="22">
        <f>IFERROR(__xludf.DUMMYFUNCTION("""COMPUTED_VALUE"""),46124.0)</f>
        <v>46124</v>
      </c>
      <c r="F53"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53" s="6"/>
      <c r="H53" s="6"/>
      <c r="I53"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53" s="6" t="str">
        <f>IFERROR(__xludf.DUMMYFUNCTION("""COMPUTED_VALUE"""),"")</f>
        <v/>
      </c>
      <c r="K53" s="6" t="str">
        <f>IFERROR(__xludf.DUMMYFUNCTION("""COMPUTED_VALUE"""),"")</f>
        <v/>
      </c>
      <c r="L53" s="6" t="str">
        <f>IFERROR(__xludf.DUMMYFUNCTION("""COMPUTED_VALUE"""),"W‍i‍n‍c‍e‍e")</f>
        <v>W‍i‍n‍c‍e‍e</v>
      </c>
      <c r="N53" s="23" t="b">
        <f>IFERROR(__xludf.DUMMYFUNCTION("""COMPUTED_VALUE"""),FALSE)</f>
        <v>0</v>
      </c>
      <c r="O53" s="21" t="str">
        <f>IFERROR(__xludf.DUMMYFUNCTION("""COMPUTED_VALUE"""),"Trip.com")</f>
        <v>Trip.com</v>
      </c>
      <c r="P53" s="23">
        <f>IFERROR(__xludf.DUMMYFUNCTION("""COMPUTED_VALUE"""),10.0)</f>
        <v>10</v>
      </c>
      <c r="Q53" s="24">
        <f>IFERROR(__xludf.DUMMYFUNCTION("""COMPUTED_VALUE"""),46124.0)</f>
        <v>46124</v>
      </c>
      <c r="R53"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53" s="23"/>
      <c r="T53" s="23"/>
      <c r="U53"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53" s="23" t="str">
        <f>IFERROR(__xludf.DUMMYFUNCTION("""COMPUTED_VALUE"""),"")</f>
        <v/>
      </c>
      <c r="W53" s="23" t="str">
        <f>IFERROR(__xludf.DUMMYFUNCTION("""COMPUTED_VALUE"""),"")</f>
        <v/>
      </c>
      <c r="X53" s="23" t="str">
        <f>IFERROR(__xludf.DUMMYFUNCTION("""COMPUTED_VALUE"""),"W‍i‍n‍c‍e‍e")</f>
        <v>W‍i‍n‍c‍e‍e</v>
      </c>
    </row>
    <row r="54">
      <c r="B54" s="20" t="b">
        <f>IFERROR(__xludf.DUMMYFUNCTION("""COMPUTED_VALUE"""),FALSE)</f>
        <v>0</v>
      </c>
      <c r="C54" s="21" t="str">
        <f>IFERROR(__xludf.DUMMYFUNCTION("""COMPUTED_VALUE"""),"Booking.com")</f>
        <v>Booking.com</v>
      </c>
      <c r="D54" s="6">
        <f>IFERROR(__xludf.DUMMYFUNCTION("""COMPUTED_VALUE"""),7.0)</f>
        <v>7</v>
      </c>
      <c r="E54" s="22">
        <f>IFERROR(__xludf.DUMMYFUNCTION("""COMPUTED_VALUE"""),46123.0)</f>
        <v>46123</v>
      </c>
      <c r="F54" s="6"/>
      <c r="G54" s="6" t="str">
        <f>IFERROR(__xludf.DUMMYFUNCTION("""COMPUTED_VALUE"""),"位置，近車站")</f>
        <v>位置，近車站</v>
      </c>
      <c r="H54" s="6" t="str">
        <f>IFERROR(__xludf.DUMMYFUNCTION("""COMPUTED_VALUE"""),"房間床頭櫃頂完全冇清潔，滿佈灰塵，需要自己清潔")</f>
        <v>房間床頭櫃頂完全冇清潔，滿佈灰塵，需要自己清潔</v>
      </c>
      <c r="I54" s="6" t="str">
        <f>IFERROR(__xludf.DUMMYFUNCTION("""COMPUTED_VALUE"""),"")</f>
        <v/>
      </c>
      <c r="J54" s="6" t="str">
        <f>IFERROR(__xludf.DUMMYFUNCTION("""COMPUTED_VALUE"""),"駅近くの立地")</f>
        <v>駅近くの立地</v>
      </c>
      <c r="K54"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54" s="6" t="str">
        <f>IFERROR(__xludf.DUMMYFUNCTION("""COMPUTED_VALUE"""),"Wai")</f>
        <v>Wai</v>
      </c>
      <c r="N54" s="23" t="b">
        <f>IFERROR(__xludf.DUMMYFUNCTION("""COMPUTED_VALUE"""),FALSE)</f>
        <v>0</v>
      </c>
      <c r="O54" s="21" t="str">
        <f>IFERROR(__xludf.DUMMYFUNCTION("""COMPUTED_VALUE"""),"Booking.com")</f>
        <v>Booking.com</v>
      </c>
      <c r="P54" s="23">
        <f>IFERROR(__xludf.DUMMYFUNCTION("""COMPUTED_VALUE"""),7.0)</f>
        <v>7</v>
      </c>
      <c r="Q54" s="24">
        <f>IFERROR(__xludf.DUMMYFUNCTION("""COMPUTED_VALUE"""),46123.0)</f>
        <v>46123</v>
      </c>
      <c r="R54" s="23"/>
      <c r="S54" s="23" t="str">
        <f>IFERROR(__xludf.DUMMYFUNCTION("""COMPUTED_VALUE"""),"位置，近車站")</f>
        <v>位置，近車站</v>
      </c>
      <c r="T54" s="23" t="str">
        <f>IFERROR(__xludf.DUMMYFUNCTION("""COMPUTED_VALUE"""),"房間床頭櫃頂完全冇清潔，滿佈灰塵，需要自己清潔")</f>
        <v>房間床頭櫃頂完全冇清潔，滿佈灰塵，需要自己清潔</v>
      </c>
      <c r="U54" s="23" t="str">
        <f>IFERROR(__xludf.DUMMYFUNCTION("""COMPUTED_VALUE"""),"")</f>
        <v/>
      </c>
      <c r="V54" s="23" t="str">
        <f>IFERROR(__xludf.DUMMYFUNCTION("""COMPUTED_VALUE"""),"駅近くの立地")</f>
        <v>駅近くの立地</v>
      </c>
      <c r="W54"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54" s="23" t="str">
        <f>IFERROR(__xludf.DUMMYFUNCTION("""COMPUTED_VALUE"""),"Wai")</f>
        <v>Wai</v>
      </c>
    </row>
    <row r="55">
      <c r="B55" s="20" t="b">
        <f>IFERROR(__xludf.DUMMYFUNCTION("""COMPUTED_VALUE"""),FALSE)</f>
        <v>0</v>
      </c>
      <c r="C55" s="21" t="str">
        <f>IFERROR(__xludf.DUMMYFUNCTION("""COMPUTED_VALUE"""),"Booking.com")</f>
        <v>Booking.com</v>
      </c>
      <c r="D55" s="6">
        <f>IFERROR(__xludf.DUMMYFUNCTION("""COMPUTED_VALUE"""),5.0)</f>
        <v>5</v>
      </c>
      <c r="E55" s="22">
        <f>IFERROR(__xludf.DUMMYFUNCTION("""COMPUTED_VALUE"""),46123.0)</f>
        <v>46123</v>
      </c>
      <c r="F55" s="6"/>
      <c r="G55" s="6" t="str">
        <f>IFERROR(__xludf.DUMMYFUNCTION("""COMPUTED_VALUE"""),"駅近")</f>
        <v>駅近</v>
      </c>
      <c r="H55" s="6" t="str">
        <f>IFERROR(__xludf.DUMMYFUNCTION("""COMPUTED_VALUE"""),"老朽化と枕の匂い")</f>
        <v>老朽化と枕の匂い</v>
      </c>
      <c r="I55" s="6" t="str">
        <f>IFERROR(__xludf.DUMMYFUNCTION("""COMPUTED_VALUE"""),"")</f>
        <v/>
      </c>
      <c r="J55" s="6" t="str">
        <f>IFERROR(__xludf.DUMMYFUNCTION("""COMPUTED_VALUE"""),"駅近")</f>
        <v>駅近</v>
      </c>
      <c r="K55" s="6" t="str">
        <f>IFERROR(__xludf.DUMMYFUNCTION("""COMPUTED_VALUE"""),"老朽化と枕の匂い")</f>
        <v>老朽化と枕の匂い</v>
      </c>
      <c r="L55" s="6" t="str">
        <f>IFERROR(__xludf.DUMMYFUNCTION("""COMPUTED_VALUE"""),"Takafumi")</f>
        <v>Takafumi</v>
      </c>
      <c r="N55" s="23" t="b">
        <f>IFERROR(__xludf.DUMMYFUNCTION("""COMPUTED_VALUE"""),FALSE)</f>
        <v>0</v>
      </c>
      <c r="O55" s="21" t="str">
        <f>IFERROR(__xludf.DUMMYFUNCTION("""COMPUTED_VALUE"""),"Booking.com")</f>
        <v>Booking.com</v>
      </c>
      <c r="P55" s="23">
        <f>IFERROR(__xludf.DUMMYFUNCTION("""COMPUTED_VALUE"""),5.0)</f>
        <v>5</v>
      </c>
      <c r="Q55" s="24">
        <f>IFERROR(__xludf.DUMMYFUNCTION("""COMPUTED_VALUE"""),46123.0)</f>
        <v>46123</v>
      </c>
      <c r="R55" s="23"/>
      <c r="S55" s="23" t="str">
        <f>IFERROR(__xludf.DUMMYFUNCTION("""COMPUTED_VALUE"""),"駅近")</f>
        <v>駅近</v>
      </c>
      <c r="T55" s="23" t="str">
        <f>IFERROR(__xludf.DUMMYFUNCTION("""COMPUTED_VALUE"""),"老朽化と枕の匂い")</f>
        <v>老朽化と枕の匂い</v>
      </c>
      <c r="U55" s="23" t="str">
        <f>IFERROR(__xludf.DUMMYFUNCTION("""COMPUTED_VALUE"""),"")</f>
        <v/>
      </c>
      <c r="V55" s="23" t="str">
        <f>IFERROR(__xludf.DUMMYFUNCTION("""COMPUTED_VALUE"""),"駅近")</f>
        <v>駅近</v>
      </c>
      <c r="W55" s="23" t="str">
        <f>IFERROR(__xludf.DUMMYFUNCTION("""COMPUTED_VALUE"""),"老朽化と枕の匂い")</f>
        <v>老朽化と枕の匂い</v>
      </c>
      <c r="X55" s="23" t="str">
        <f>IFERROR(__xludf.DUMMYFUNCTION("""COMPUTED_VALUE"""),"Takafumi")</f>
        <v>Takafumi</v>
      </c>
    </row>
    <row r="56">
      <c r="B56" s="20" t="b">
        <f>IFERROR(__xludf.DUMMYFUNCTION("""COMPUTED_VALUE"""),FALSE)</f>
        <v>0</v>
      </c>
      <c r="C56" s="21" t="str">
        <f>IFERROR(__xludf.DUMMYFUNCTION("""COMPUTED_VALUE"""),"Booking.com")</f>
        <v>Booking.com</v>
      </c>
      <c r="D56" s="6">
        <f>IFERROR(__xludf.DUMMYFUNCTION("""COMPUTED_VALUE"""),8.0)</f>
        <v>8</v>
      </c>
      <c r="E56" s="22">
        <f>IFERROR(__xludf.DUMMYFUNCTION("""COMPUTED_VALUE"""),46123.0)</f>
        <v>46123</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IFERROR(__xludf.DUMMYFUNCTION("""COMPUTED_VALUE"""),"Dorit")</f>
        <v>Dorit</v>
      </c>
      <c r="N56" s="23" t="b">
        <f>IFERROR(__xludf.DUMMYFUNCTION("""COMPUTED_VALUE"""),FALSE)</f>
        <v>0</v>
      </c>
      <c r="O56" s="21" t="str">
        <f>IFERROR(__xludf.DUMMYFUNCTION("""COMPUTED_VALUE"""),"Booking.com")</f>
        <v>Booking.com</v>
      </c>
      <c r="P56" s="23">
        <f>IFERROR(__xludf.DUMMYFUNCTION("""COMPUTED_VALUE"""),8.0)</f>
        <v>8</v>
      </c>
      <c r="Q56" s="24">
        <f>IFERROR(__xludf.DUMMYFUNCTION("""COMPUTED_VALUE"""),46123.0)</f>
        <v>46123</v>
      </c>
      <c r="R56" s="23"/>
      <c r="S56" s="23"/>
      <c r="T56" s="23"/>
      <c r="U56" s="23" t="str">
        <f>IFERROR(__xludf.DUMMYFUNCTION("""COMPUTED_VALUE"""),"")</f>
        <v/>
      </c>
      <c r="V56" s="23" t="str">
        <f>IFERROR(__xludf.DUMMYFUNCTION("""COMPUTED_VALUE"""),"")</f>
        <v/>
      </c>
      <c r="W56" s="23" t="str">
        <f>IFERROR(__xludf.DUMMYFUNCTION("""COMPUTED_VALUE"""),"")</f>
        <v/>
      </c>
      <c r="X56" s="23" t="str">
        <f>IFERROR(__xludf.DUMMYFUNCTION("""COMPUTED_VALUE"""),"Dorit")</f>
        <v>Dorit</v>
      </c>
    </row>
    <row r="57">
      <c r="B57" s="20" t="b">
        <f>IFERROR(__xludf.DUMMYFUNCTION("""COMPUTED_VALUE"""),FALSE)</f>
        <v>0</v>
      </c>
      <c r="C57" s="23" t="str">
        <f>IFERROR(__xludf.DUMMYFUNCTION("""COMPUTED_VALUE"""),"Google")</f>
        <v>Google</v>
      </c>
      <c r="D57" s="6">
        <f>IFERROR(__xludf.DUMMYFUNCTION("""COMPUTED_VALUE"""),3.0)</f>
        <v>3</v>
      </c>
      <c r="E57" s="22">
        <f>IFERROR(__xludf.DUMMYFUNCTION("""COMPUTED_VALUE"""),46123.0)</f>
        <v>46123</v>
      </c>
      <c r="F57" s="6"/>
      <c r="G57" s="6"/>
      <c r="H57" s="6"/>
      <c r="I57" s="6" t="str">
        <f>IFERROR(__xludf.DUMMYFUNCTION("""COMPUTED_VALUE"""),"")</f>
        <v/>
      </c>
      <c r="J57" s="6" t="str">
        <f>IFERROR(__xludf.DUMMYFUNCTION("""COMPUTED_VALUE"""),"")</f>
        <v/>
      </c>
      <c r="K57" s="6" t="str">
        <f>IFERROR(__xludf.DUMMYFUNCTION("""COMPUTED_VALUE"""),"")</f>
        <v/>
      </c>
      <c r="L57" s="6" t="str">
        <f>IFERROR(__xludf.DUMMYFUNCTION("""COMPUTED_VALUE"""),"小池雅之")</f>
        <v>小池雅之</v>
      </c>
      <c r="N57" s="23" t="b">
        <f>IFERROR(__xludf.DUMMYFUNCTION("""COMPUTED_VALUE"""),FALSE)</f>
        <v>0</v>
      </c>
      <c r="O57" s="23" t="str">
        <f>IFERROR(__xludf.DUMMYFUNCTION("""COMPUTED_VALUE"""),"Google")</f>
        <v>Google</v>
      </c>
      <c r="P57" s="23">
        <f>IFERROR(__xludf.DUMMYFUNCTION("""COMPUTED_VALUE"""),3.0)</f>
        <v>3</v>
      </c>
      <c r="Q57" s="24">
        <f>IFERROR(__xludf.DUMMYFUNCTION("""COMPUTED_VALUE"""),46123.0)</f>
        <v>46123</v>
      </c>
      <c r="R57" s="23"/>
      <c r="S57" s="23"/>
      <c r="T57" s="23"/>
      <c r="U57" s="23" t="str">
        <f>IFERROR(__xludf.DUMMYFUNCTION("""COMPUTED_VALUE"""),"")</f>
        <v/>
      </c>
      <c r="V57" s="23" t="str">
        <f>IFERROR(__xludf.DUMMYFUNCTION("""COMPUTED_VALUE"""),"")</f>
        <v/>
      </c>
      <c r="W57" s="23" t="str">
        <f>IFERROR(__xludf.DUMMYFUNCTION("""COMPUTED_VALUE"""),"")</f>
        <v/>
      </c>
      <c r="X57" s="23" t="str">
        <f>IFERROR(__xludf.DUMMYFUNCTION("""COMPUTED_VALUE"""),"小池雅之")</f>
        <v>小池雅之</v>
      </c>
    </row>
    <row r="58">
      <c r="B58" s="20" t="b">
        <f>IFERROR(__xludf.DUMMYFUNCTION("""COMPUTED_VALUE"""),FALSE)</f>
        <v>0</v>
      </c>
      <c r="C58" s="23" t="str">
        <f>IFERROR(__xludf.DUMMYFUNCTION("""COMPUTED_VALUE"""),"じゃらん")</f>
        <v>じゃらん</v>
      </c>
      <c r="D58" s="6">
        <f>IFERROR(__xludf.DUMMYFUNCTION("""COMPUTED_VALUE"""),4.0)</f>
        <v>4</v>
      </c>
      <c r="E58" s="22">
        <f>IFERROR(__xludf.DUMMYFUNCTION("""COMPUTED_VALUE"""),46123.0)</f>
        <v>46123</v>
      </c>
      <c r="F58"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58" s="6"/>
      <c r="H58" s="6"/>
      <c r="I58"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58" s="6" t="str">
        <f>IFERROR(__xludf.DUMMYFUNCTION("""COMPUTED_VALUE"""),"")</f>
        <v/>
      </c>
      <c r="K58" s="6" t="str">
        <f>IFERROR(__xludf.DUMMYFUNCTION("""COMPUTED_VALUE"""),"")</f>
        <v/>
      </c>
      <c r="L58" s="6" t="str">
        <f>IFERROR(__xludf.DUMMYFUNCTION("""COMPUTED_VALUE"""),"みっちゃんさん")</f>
        <v>みっちゃんさん</v>
      </c>
      <c r="N58" s="23" t="b">
        <f>IFERROR(__xludf.DUMMYFUNCTION("""COMPUTED_VALUE"""),FALSE)</f>
        <v>0</v>
      </c>
      <c r="O58" s="23" t="str">
        <f>IFERROR(__xludf.DUMMYFUNCTION("""COMPUTED_VALUE"""),"じゃらん")</f>
        <v>じゃらん</v>
      </c>
      <c r="P58" s="23">
        <f>IFERROR(__xludf.DUMMYFUNCTION("""COMPUTED_VALUE"""),4.0)</f>
        <v>4</v>
      </c>
      <c r="Q58" s="24">
        <f>IFERROR(__xludf.DUMMYFUNCTION("""COMPUTED_VALUE"""),46123.0)</f>
        <v>46123</v>
      </c>
      <c r="R58"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58" s="23"/>
      <c r="T58" s="23"/>
      <c r="U58"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58" s="23" t="str">
        <f>IFERROR(__xludf.DUMMYFUNCTION("""COMPUTED_VALUE"""),"")</f>
        <v/>
      </c>
      <c r="W58" s="23" t="str">
        <f>IFERROR(__xludf.DUMMYFUNCTION("""COMPUTED_VALUE"""),"")</f>
        <v/>
      </c>
      <c r="X58" s="23" t="str">
        <f>IFERROR(__xludf.DUMMYFUNCTION("""COMPUTED_VALUE"""),"みっちゃんさん")</f>
        <v>みっちゃんさん</v>
      </c>
    </row>
    <row r="59">
      <c r="B59" s="23" t="b">
        <f>IFERROR(__xludf.DUMMYFUNCTION("""COMPUTED_VALUE"""),FALSE)</f>
        <v>0</v>
      </c>
      <c r="C59" s="21" t="str">
        <f>IFERROR(__xludf.DUMMYFUNCTION("""COMPUTED_VALUE"""),"Trip.com")</f>
        <v>Trip.com</v>
      </c>
      <c r="D59" s="6">
        <f>IFERROR(__xludf.DUMMYFUNCTION("""COMPUTED_VALUE"""),9.0)</f>
        <v>9</v>
      </c>
      <c r="E59" s="22">
        <f>IFERROR(__xludf.DUMMYFUNCTION("""COMPUTED_VALUE"""),46122.0)</f>
        <v>46122</v>
      </c>
      <c r="F59"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59" s="6"/>
      <c r="H59" s="6"/>
      <c r="I59"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59" s="6" t="str">
        <f>IFERROR(__xludf.DUMMYFUNCTION("""COMPUTED_VALUE"""),"")</f>
        <v/>
      </c>
      <c r="K59" s="6" t="str">
        <f>IFERROR(__xludf.DUMMYFUNCTION("""COMPUTED_VALUE"""),"")</f>
        <v/>
      </c>
      <c r="L59" s="6" t="str">
        <f>IFERROR(__xludf.DUMMYFUNCTION("""COMPUTED_VALUE"""),"匿‍名‍ユ‍ー‍ザ‍ー")</f>
        <v>匿‍名‍ユ‍ー‍ザ‍ー</v>
      </c>
      <c r="N59" s="23" t="b">
        <f>IFERROR(__xludf.DUMMYFUNCTION("""COMPUTED_VALUE"""),FALSE)</f>
        <v>0</v>
      </c>
      <c r="O59" s="21" t="str">
        <f>IFERROR(__xludf.DUMMYFUNCTION("""COMPUTED_VALUE"""),"Trip.com")</f>
        <v>Trip.com</v>
      </c>
      <c r="P59" s="23">
        <f>IFERROR(__xludf.DUMMYFUNCTION("""COMPUTED_VALUE"""),9.0)</f>
        <v>9</v>
      </c>
      <c r="Q59" s="24">
        <f>IFERROR(__xludf.DUMMYFUNCTION("""COMPUTED_VALUE"""),46122.0)</f>
        <v>46122</v>
      </c>
      <c r="R59"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59" s="23"/>
      <c r="T59" s="23"/>
      <c r="U59"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59" s="23" t="str">
        <f>IFERROR(__xludf.DUMMYFUNCTION("""COMPUTED_VALUE"""),"")</f>
        <v/>
      </c>
      <c r="W59" s="23" t="str">
        <f>IFERROR(__xludf.DUMMYFUNCTION("""COMPUTED_VALUE"""),"")</f>
        <v/>
      </c>
      <c r="X59" s="23" t="str">
        <f>IFERROR(__xludf.DUMMYFUNCTION("""COMPUTED_VALUE"""),"匿‍名‍ユ‍ー‍ザ‍ー")</f>
        <v>匿‍名‍ユ‍ー‍ザ‍ー</v>
      </c>
    </row>
    <row r="60">
      <c r="B60" s="23" t="b">
        <f>IFERROR(__xludf.DUMMYFUNCTION("""COMPUTED_VALUE"""),FALSE)</f>
        <v>0</v>
      </c>
      <c r="C60" s="21" t="str">
        <f>IFERROR(__xludf.DUMMYFUNCTION("""COMPUTED_VALUE"""),"Trip.com")</f>
        <v>Trip.com</v>
      </c>
      <c r="D60" s="6">
        <f>IFERROR(__xludf.DUMMYFUNCTION("""COMPUTED_VALUE"""),10.0)</f>
        <v>10</v>
      </c>
      <c r="E60" s="22">
        <f>IFERROR(__xludf.DUMMYFUNCTION("""COMPUTED_VALUE"""),46122.0)</f>
        <v>46122</v>
      </c>
      <c r="F60"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60" s="6"/>
      <c r="H60" s="6"/>
      <c r="I60"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60" s="6" t="str">
        <f>IFERROR(__xludf.DUMMYFUNCTION("""COMPUTED_VALUE"""),"")</f>
        <v/>
      </c>
      <c r="K60" s="6" t="str">
        <f>IFERROR(__xludf.DUMMYFUNCTION("""COMPUTED_VALUE"""),"")</f>
        <v/>
      </c>
      <c r="L60" s="6" t="str">
        <f>IFERROR(__xludf.DUMMYFUNCTION("""COMPUTED_VALUE"""),"ゲ‍ス‍ト")</f>
        <v>ゲ‍ス‍ト</v>
      </c>
      <c r="N60" s="23" t="b">
        <f>IFERROR(__xludf.DUMMYFUNCTION("""COMPUTED_VALUE"""),FALSE)</f>
        <v>0</v>
      </c>
      <c r="O60" s="21" t="str">
        <f>IFERROR(__xludf.DUMMYFUNCTION("""COMPUTED_VALUE"""),"Trip.com")</f>
        <v>Trip.com</v>
      </c>
      <c r="P60" s="23">
        <f>IFERROR(__xludf.DUMMYFUNCTION("""COMPUTED_VALUE"""),10.0)</f>
        <v>10</v>
      </c>
      <c r="Q60" s="24">
        <f>IFERROR(__xludf.DUMMYFUNCTION("""COMPUTED_VALUE"""),46122.0)</f>
        <v>46122</v>
      </c>
      <c r="R60"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60" s="23"/>
      <c r="T60" s="23"/>
      <c r="U60"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60" s="23" t="str">
        <f>IFERROR(__xludf.DUMMYFUNCTION("""COMPUTED_VALUE"""),"")</f>
        <v/>
      </c>
      <c r="W60" s="23" t="str">
        <f>IFERROR(__xludf.DUMMYFUNCTION("""COMPUTED_VALUE"""),"")</f>
        <v/>
      </c>
      <c r="X60" s="23" t="str">
        <f>IFERROR(__xludf.DUMMYFUNCTION("""COMPUTED_VALUE"""),"ゲ‍ス‍ト")</f>
        <v>ゲ‍ス‍ト</v>
      </c>
    </row>
    <row r="61">
      <c r="B61" s="23" t="b">
        <f>IFERROR(__xludf.DUMMYFUNCTION("""COMPUTED_VALUE"""),FALSE)</f>
        <v>0</v>
      </c>
      <c r="C61" s="21" t="str">
        <f>IFERROR(__xludf.DUMMYFUNCTION("""COMPUTED_VALUE"""),"Trip.com")</f>
        <v>Trip.com</v>
      </c>
      <c r="D61" s="6">
        <f>IFERROR(__xludf.DUMMYFUNCTION("""COMPUTED_VALUE"""),9.0)</f>
        <v>9</v>
      </c>
      <c r="E61" s="22">
        <f>IFERROR(__xludf.DUMMYFUNCTION("""COMPUTED_VALUE"""),46122.0)</f>
        <v>46122</v>
      </c>
      <c r="F61" s="6" t="str">
        <f>IFERROR(__xludf.DUMMYFUNCTION("""COMPUTED_VALUE"""),"Location good  Breakfast good  Room very clean Beds are comfortable and relax")</f>
        <v>Location good  Breakfast good  Room very clean Beds are comfortable and relax</v>
      </c>
      <c r="G61" s="6"/>
      <c r="H61" s="6"/>
      <c r="I61" s="6" t="str">
        <f>IFERROR(__xludf.DUMMYFUNCTION("""COMPUTED_VALUE"""),"立地が良い、朝食が良い、部屋がとても清潔、ベッドが快適でリラックスできる")</f>
        <v>立地が良い、朝食が良い、部屋がとても清潔、ベッドが快適でリラックスできる</v>
      </c>
      <c r="J61" s="6" t="str">
        <f>IFERROR(__xludf.DUMMYFUNCTION("""COMPUTED_VALUE"""),"")</f>
        <v/>
      </c>
      <c r="K61" s="6" t="str">
        <f>IFERROR(__xludf.DUMMYFUNCTION("""COMPUTED_VALUE"""),"")</f>
        <v/>
      </c>
      <c r="L61" s="6" t="str">
        <f>IFERROR(__xludf.DUMMYFUNCTION("""COMPUTED_VALUE"""),"ゲ‍ス‍ト")</f>
        <v>ゲ‍ス‍ト</v>
      </c>
      <c r="N61" s="23" t="b">
        <f>IFERROR(__xludf.DUMMYFUNCTION("""COMPUTED_VALUE"""),FALSE)</f>
        <v>0</v>
      </c>
      <c r="O61" s="21" t="str">
        <f>IFERROR(__xludf.DUMMYFUNCTION("""COMPUTED_VALUE"""),"Trip.com")</f>
        <v>Trip.com</v>
      </c>
      <c r="P61" s="23">
        <f>IFERROR(__xludf.DUMMYFUNCTION("""COMPUTED_VALUE"""),9.0)</f>
        <v>9</v>
      </c>
      <c r="Q61" s="24">
        <f>IFERROR(__xludf.DUMMYFUNCTION("""COMPUTED_VALUE"""),46122.0)</f>
        <v>46122</v>
      </c>
      <c r="R61" s="23" t="str">
        <f>IFERROR(__xludf.DUMMYFUNCTION("""COMPUTED_VALUE"""),"Location good  Breakfast good  Room very clean Beds are comfortable and relax")</f>
        <v>Location good  Breakfast good  Room very clean Beds are comfortable and relax</v>
      </c>
      <c r="S61" s="23"/>
      <c r="T61" s="23"/>
      <c r="U61" s="23" t="str">
        <f>IFERROR(__xludf.DUMMYFUNCTION("""COMPUTED_VALUE"""),"立地が良い、朝食が良い、部屋がとても清潔、ベッドが快適でリラックスできる")</f>
        <v>立地が良い、朝食が良い、部屋がとても清潔、ベッドが快適でリラックスできる</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3" t="str">
        <f>IFERROR(__xludf.DUMMYFUNCTION("""COMPUTED_VALUE"""),"Google")</f>
        <v>Google</v>
      </c>
      <c r="D62" s="6">
        <f>IFERROR(__xludf.DUMMYFUNCTION("""COMPUTED_VALUE"""),5.0)</f>
        <v>5</v>
      </c>
      <c r="E62" s="22">
        <f>IFERROR(__xludf.DUMMYFUNCTION("""COMPUTED_VALUE"""),46122.0)</f>
        <v>46122</v>
      </c>
      <c r="F62" s="6" t="str">
        <f>IFERROR(__xludf.DUMMYFUNCTION("""COMPUTED_VALUE"""),"客室はすっきりしており、朝食も十分でした。")</f>
        <v>客室はすっきりしており、朝食も十分でした。</v>
      </c>
      <c r="G62" s="6"/>
      <c r="H62" s="6"/>
      <c r="I62" s="6" t="str">
        <f>IFERROR(__xludf.DUMMYFUNCTION("""COMPUTED_VALUE"""),"客室はすっきりしており、朝食も十分でした。")</f>
        <v>客室はすっきりしており、朝食も十分でした。</v>
      </c>
      <c r="J62" s="6" t="str">
        <f>IFERROR(__xludf.DUMMYFUNCTION("""COMPUTED_VALUE"""),"")</f>
        <v/>
      </c>
      <c r="K62" s="6" t="str">
        <f>IFERROR(__xludf.DUMMYFUNCTION("""COMPUTED_VALUE"""),"")</f>
        <v/>
      </c>
      <c r="L62" s="6" t="str">
        <f>IFERROR(__xludf.DUMMYFUNCTION("""COMPUTED_VALUE"""),"강종태")</f>
        <v>강종태</v>
      </c>
      <c r="N62" s="23" t="b">
        <f>IFERROR(__xludf.DUMMYFUNCTION("""COMPUTED_VALUE"""),FALSE)</f>
        <v>0</v>
      </c>
      <c r="O62" s="23" t="str">
        <f>IFERROR(__xludf.DUMMYFUNCTION("""COMPUTED_VALUE"""),"Google")</f>
        <v>Google</v>
      </c>
      <c r="P62" s="23">
        <f>IFERROR(__xludf.DUMMYFUNCTION("""COMPUTED_VALUE"""),5.0)</f>
        <v>5</v>
      </c>
      <c r="Q62" s="24">
        <f>IFERROR(__xludf.DUMMYFUNCTION("""COMPUTED_VALUE"""),46122.0)</f>
        <v>46122</v>
      </c>
      <c r="R62" s="23" t="str">
        <f>IFERROR(__xludf.DUMMYFUNCTION("""COMPUTED_VALUE"""),"客室はすっきりしており、朝食も十分でした。")</f>
        <v>客室はすっきりしており、朝食も十分でした。</v>
      </c>
      <c r="S62" s="23"/>
      <c r="T62" s="23"/>
      <c r="U62" s="23" t="str">
        <f>IFERROR(__xludf.DUMMYFUNCTION("""COMPUTED_VALUE"""),"客室はすっきりしており、朝食も十分でした。")</f>
        <v>客室はすっきりしており、朝食も十分でした。</v>
      </c>
      <c r="V62" s="23" t="str">
        <f>IFERROR(__xludf.DUMMYFUNCTION("""COMPUTED_VALUE"""),"")</f>
        <v/>
      </c>
      <c r="W62" s="23" t="str">
        <f>IFERROR(__xludf.DUMMYFUNCTION("""COMPUTED_VALUE"""),"")</f>
        <v/>
      </c>
      <c r="X62" s="23" t="str">
        <f>IFERROR(__xludf.DUMMYFUNCTION("""COMPUTED_VALUE"""),"강종태")</f>
        <v>강종태</v>
      </c>
    </row>
    <row r="63">
      <c r="B63" s="23" t="b">
        <f>IFERROR(__xludf.DUMMYFUNCTION("""COMPUTED_VALUE"""),FALSE)</f>
        <v>0</v>
      </c>
      <c r="C63" s="23" t="str">
        <f>IFERROR(__xludf.DUMMYFUNCTION("""COMPUTED_VALUE"""),"Google")</f>
        <v>Google</v>
      </c>
      <c r="D63" s="6">
        <f>IFERROR(__xludf.DUMMYFUNCTION("""COMPUTED_VALUE"""),5.0)</f>
        <v>5</v>
      </c>
      <c r="E63" s="22">
        <f>IFERROR(__xludf.DUMMYFUNCTION("""COMPUTED_VALUE"""),46122.0)</f>
        <v>46122</v>
      </c>
      <c r="F63" s="6" t="str">
        <f>IFERROR(__xludf.DUMMYFUNCTION("""COMPUTED_VALUE"""),"객실 깔끔하고, 조식도 충분 했습니다.")</f>
        <v>객실 깔끔하고, 조식도 충분 했습니다.</v>
      </c>
      <c r="G63" s="6"/>
      <c r="H63" s="6"/>
      <c r="I63" s="6" t="str">
        <f>IFERROR(__xludf.DUMMYFUNCTION("""COMPUTED_VALUE"""),"客室はきれいで、朝食も十分でした。")</f>
        <v>客室はきれいで、朝食も十分でした。</v>
      </c>
      <c r="J63" s="6" t="str">
        <f>IFERROR(__xludf.DUMMYFUNCTION("""COMPUTED_VALUE"""),"")</f>
        <v/>
      </c>
      <c r="K63" s="6" t="str">
        <f>IFERROR(__xludf.DUMMYFUNCTION("""COMPUTED_VALUE"""),"")</f>
        <v/>
      </c>
      <c r="L63" s="6" t="str">
        <f>IFERROR(__xludf.DUMMYFUNCTION("""COMPUTED_VALUE"""),"강종태")</f>
        <v>강종태</v>
      </c>
      <c r="N63" s="23" t="b">
        <f>IFERROR(__xludf.DUMMYFUNCTION("""COMPUTED_VALUE"""),FALSE)</f>
        <v>0</v>
      </c>
      <c r="O63" s="23" t="str">
        <f>IFERROR(__xludf.DUMMYFUNCTION("""COMPUTED_VALUE"""),"Google")</f>
        <v>Google</v>
      </c>
      <c r="P63" s="23">
        <f>IFERROR(__xludf.DUMMYFUNCTION("""COMPUTED_VALUE"""),5.0)</f>
        <v>5</v>
      </c>
      <c r="Q63" s="24">
        <f>IFERROR(__xludf.DUMMYFUNCTION("""COMPUTED_VALUE"""),46122.0)</f>
        <v>46122</v>
      </c>
      <c r="R63" s="23" t="str">
        <f>IFERROR(__xludf.DUMMYFUNCTION("""COMPUTED_VALUE"""),"객실 깔끔하고, 조식도 충분 했습니다.")</f>
        <v>객실 깔끔하고, 조식도 충분 했습니다.</v>
      </c>
      <c r="S63" s="23"/>
      <c r="T63" s="23"/>
      <c r="U63" s="23" t="str">
        <f>IFERROR(__xludf.DUMMYFUNCTION("""COMPUTED_VALUE"""),"客室はきれいで、朝食も十分でした。")</f>
        <v>客室はきれいで、朝食も十分でした。</v>
      </c>
      <c r="V63" s="23" t="str">
        <f>IFERROR(__xludf.DUMMYFUNCTION("""COMPUTED_VALUE"""),"")</f>
        <v/>
      </c>
      <c r="W63" s="23" t="str">
        <f>IFERROR(__xludf.DUMMYFUNCTION("""COMPUTED_VALUE"""),"")</f>
        <v/>
      </c>
      <c r="X63" s="23" t="str">
        <f>IFERROR(__xludf.DUMMYFUNCTION("""COMPUTED_VALUE"""),"강종태")</f>
        <v>강종태</v>
      </c>
    </row>
    <row r="64">
      <c r="B64" s="23" t="b">
        <f>IFERROR(__xludf.DUMMYFUNCTION("""COMPUTED_VALUE"""),FALSE)</f>
        <v>0</v>
      </c>
      <c r="C64" s="21" t="str">
        <f>IFERROR(__xludf.DUMMYFUNCTION("""COMPUTED_VALUE"""),"Trip.com")</f>
        <v>Trip.com</v>
      </c>
      <c r="D64" s="6">
        <f>IFERROR(__xludf.DUMMYFUNCTION("""COMPUTED_VALUE"""),9.0)</f>
        <v>9</v>
      </c>
      <c r="E64" s="22">
        <f>IFERROR(__xludf.DUMMYFUNCTION("""COMPUTED_VALUE"""),46121.0)</f>
        <v>46121</v>
      </c>
      <c r="F64" s="6" t="str">
        <f>IFERROR(__xludf.DUMMYFUNCTION("""COMPUTED_VALUE"""),"Ideal location! The hotel is situated just across Hakata Station. Breakfast was good.")</f>
        <v>Ideal location! The hotel is situated just across Hakata Station. Breakfast was good.</v>
      </c>
      <c r="G64" s="6"/>
      <c r="H64" s="6"/>
      <c r="I64"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64" s="6" t="str">
        <f>IFERROR(__xludf.DUMMYFUNCTION("""COMPUTED_VALUE"""),"")</f>
        <v/>
      </c>
      <c r="K64" s="6" t="str">
        <f>IFERROR(__xludf.DUMMYFUNCTION("""COMPUTED_VALUE"""),"")</f>
        <v/>
      </c>
      <c r="L64" s="6" t="str">
        <f>IFERROR(__xludf.DUMMYFUNCTION("""COMPUTED_VALUE"""),"ゲ‍ス‍ト")</f>
        <v>ゲ‍ス‍ト</v>
      </c>
      <c r="N64" s="23" t="b">
        <f>IFERROR(__xludf.DUMMYFUNCTION("""COMPUTED_VALUE"""),FALSE)</f>
        <v>0</v>
      </c>
      <c r="O64" s="21" t="str">
        <f>IFERROR(__xludf.DUMMYFUNCTION("""COMPUTED_VALUE"""),"Trip.com")</f>
        <v>Trip.com</v>
      </c>
      <c r="P64" s="23">
        <f>IFERROR(__xludf.DUMMYFUNCTION("""COMPUTED_VALUE"""),9.0)</f>
        <v>9</v>
      </c>
      <c r="Q64" s="24">
        <f>IFERROR(__xludf.DUMMYFUNCTION("""COMPUTED_VALUE"""),46121.0)</f>
        <v>46121</v>
      </c>
      <c r="R64" s="23" t="str">
        <f>IFERROR(__xludf.DUMMYFUNCTION("""COMPUTED_VALUE"""),"Ideal location! The hotel is situated just across Hakata Station. Breakfast was good.")</f>
        <v>Ideal location! The hotel is situated just across Hakata Station. Breakfast was good.</v>
      </c>
      <c r="S64" s="23"/>
      <c r="T64" s="23"/>
      <c r="U64"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64" s="23" t="str">
        <f>IFERROR(__xludf.DUMMYFUNCTION("""COMPUTED_VALUE"""),"")</f>
        <v/>
      </c>
      <c r="W64" s="23" t="str">
        <f>IFERROR(__xludf.DUMMYFUNCTION("""COMPUTED_VALUE"""),"")</f>
        <v/>
      </c>
      <c r="X64" s="23" t="str">
        <f>IFERROR(__xludf.DUMMYFUNCTION("""COMPUTED_VALUE"""),"ゲ‍ス‍ト")</f>
        <v>ゲ‍ス‍ト</v>
      </c>
    </row>
    <row r="65">
      <c r="B65" s="23" t="b">
        <f>IFERROR(__xludf.DUMMYFUNCTION("""COMPUTED_VALUE"""),FALSE)</f>
        <v>0</v>
      </c>
      <c r="C65" s="21" t="str">
        <f>IFERROR(__xludf.DUMMYFUNCTION("""COMPUTED_VALUE"""),"Trip.com")</f>
        <v>Trip.com</v>
      </c>
      <c r="D65" s="6">
        <f>IFERROR(__xludf.DUMMYFUNCTION("""COMPUTED_VALUE"""),9.0)</f>
        <v>9</v>
      </c>
      <c r="E65" s="22">
        <f>IFERROR(__xludf.DUMMYFUNCTION("""COMPUTED_VALUE"""),46121.0)</f>
        <v>46121</v>
      </c>
      <c r="F65" s="6" t="str">
        <f>IFERROR(__xludf.DUMMYFUNCTION("""COMPUTED_VALUE"""),"Excellent location, just across Hakata Station.  The breakfast was good!")</f>
        <v>Excellent location, just across Hakata Station.  The breakfast was good!</v>
      </c>
      <c r="G65" s="6"/>
      <c r="H65" s="6"/>
      <c r="I65" s="6" t="str">
        <f>IFERROR(__xludf.DUMMYFUNCTION("""COMPUTED_VALUE"""),"博多駅のすぐ向かいという最高のロケーション。朝食も美味しかったです！")</f>
        <v>博多駅のすぐ向かいという最高のロケーション。朝食も美味しかったです！</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IFERROR(__xludf.DUMMYFUNCTION("""COMPUTED_VALUE"""),9.0)</f>
        <v>9</v>
      </c>
      <c r="Q65" s="24">
        <f>IFERROR(__xludf.DUMMYFUNCTION("""COMPUTED_VALUE"""),46121.0)</f>
        <v>46121</v>
      </c>
      <c r="R65" s="23" t="str">
        <f>IFERROR(__xludf.DUMMYFUNCTION("""COMPUTED_VALUE"""),"Excellent location, just across Hakata Station.  The breakfast was good!")</f>
        <v>Excellent location, just across Hakata Station.  The breakfast was good!</v>
      </c>
      <c r="S65" s="23"/>
      <c r="T65" s="23"/>
      <c r="U65" s="23" t="str">
        <f>IFERROR(__xludf.DUMMYFUNCTION("""COMPUTED_VALUE"""),"博多駅のすぐ向かいという最高のロケーション。朝食も美味しかったです！")</f>
        <v>博多駅のすぐ向かいという最高のロケーション。朝食も美味しかったです！</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1" t="str">
        <f>IFERROR(__xludf.DUMMYFUNCTION("""COMPUTED_VALUE"""),"Booking.com")</f>
        <v>Booking.com</v>
      </c>
      <c r="D66" s="6">
        <f>IFERROR(__xludf.DUMMYFUNCTION("""COMPUTED_VALUE"""),10.0)</f>
        <v>10</v>
      </c>
      <c r="E66" s="22">
        <f>IFERROR(__xludf.DUMMYFUNCTION("""COMPUTED_VALUE"""),46121.0)</f>
        <v>46121</v>
      </c>
      <c r="F66" s="6"/>
      <c r="G66"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66" s="6" t="str">
        <f>IFERROR(__xludf.DUMMYFUNCTION("""COMPUTED_VALUE"""),"None, absolutely enjoyed our stay")</f>
        <v>None, absolutely enjoyed our stay</v>
      </c>
      <c r="I66" s="6" t="str">
        <f>IFERROR(__xludf.DUMMYFUNCTION("""COMPUTED_VALUE"""),"")</f>
        <v/>
      </c>
      <c r="J66"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66" s="6" t="str">
        <f>IFERROR(__xludf.DUMMYFUNCTION("""COMPUTED_VALUE"""),"いいえ、滞在を心から楽しみました")</f>
        <v>いいえ、滞在を心から楽しみました</v>
      </c>
      <c r="L66" s="6" t="str">
        <f>IFERROR(__xludf.DUMMYFUNCTION("""COMPUTED_VALUE"""),"Caryl")</f>
        <v>Caryl</v>
      </c>
      <c r="N66" s="23" t="b">
        <f>IFERROR(__xludf.DUMMYFUNCTION("""COMPUTED_VALUE"""),FALSE)</f>
        <v>0</v>
      </c>
      <c r="O66" s="21" t="str">
        <f>IFERROR(__xludf.DUMMYFUNCTION("""COMPUTED_VALUE"""),"Booking.com")</f>
        <v>Booking.com</v>
      </c>
      <c r="P66" s="23">
        <f>IFERROR(__xludf.DUMMYFUNCTION("""COMPUTED_VALUE"""),10.0)</f>
        <v>10</v>
      </c>
      <c r="Q66" s="24">
        <f>IFERROR(__xludf.DUMMYFUNCTION("""COMPUTED_VALUE"""),46121.0)</f>
        <v>46121</v>
      </c>
      <c r="R66" s="23"/>
      <c r="S66"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66" s="23" t="str">
        <f>IFERROR(__xludf.DUMMYFUNCTION("""COMPUTED_VALUE"""),"None, absolutely enjoyed our stay")</f>
        <v>None, absolutely enjoyed our stay</v>
      </c>
      <c r="U66" s="23" t="str">
        <f>IFERROR(__xludf.DUMMYFUNCTION("""COMPUTED_VALUE"""),"")</f>
        <v/>
      </c>
      <c r="V66"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66" s="23" t="str">
        <f>IFERROR(__xludf.DUMMYFUNCTION("""COMPUTED_VALUE"""),"いいえ、滞在を心から楽しみました")</f>
        <v>いいえ、滞在を心から楽しみました</v>
      </c>
      <c r="X66" s="23" t="str">
        <f>IFERROR(__xludf.DUMMYFUNCTION("""COMPUTED_VALUE"""),"Caryl")</f>
        <v>Caryl</v>
      </c>
    </row>
    <row r="67">
      <c r="B67" s="23" t="b">
        <f>IFERROR(__xludf.DUMMYFUNCTION("""COMPUTED_VALUE"""),FALSE)</f>
        <v>0</v>
      </c>
      <c r="C67" s="21" t="str">
        <f>IFERROR(__xludf.DUMMYFUNCTION("""COMPUTED_VALUE"""),"Trip.com")</f>
        <v>Trip.com</v>
      </c>
      <c r="D67" s="6">
        <f>IFERROR(__xludf.DUMMYFUNCTION("""COMPUTED_VALUE"""),10.0)</f>
        <v>10</v>
      </c>
      <c r="E67" s="22">
        <f>IFERROR(__xludf.DUMMYFUNCTION("""COMPUTED_VALUE"""),46121.0)</f>
        <v>46121</v>
      </c>
      <c r="F67" s="6" t="str">
        <f>IFERROR(__xludf.DUMMYFUNCTION("""COMPUTED_VALUE"""),"位置冇得彈，雖然設施有啲年代感，但乾淨企理，應有嘅服務都齊備，係旅行落腳嘅好地方")</f>
        <v>位置冇得彈，雖然設施有啲年代感，但乾淨企理，應有嘅服務都齊備，係旅行落腳嘅好地方</v>
      </c>
      <c r="G67" s="6"/>
      <c r="H67" s="6"/>
      <c r="I67"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67" s="6" t="str">
        <f>IFERROR(__xludf.DUMMYFUNCTION("""COMPUTED_VALUE"""),"")</f>
        <v/>
      </c>
      <c r="K67" s="6" t="str">
        <f>IFERROR(__xludf.DUMMYFUNCTION("""COMPUTED_VALUE"""),"")</f>
        <v/>
      </c>
      <c r="L67" s="6" t="str">
        <f>IFERROR(__xludf.DUMMYFUNCTION("""COMPUTED_VALUE"""),"h‍i‍n‍a‍9‍4")</f>
        <v>h‍i‍n‍a‍9‍4</v>
      </c>
      <c r="N67" s="23" t="b">
        <f>IFERROR(__xludf.DUMMYFUNCTION("""COMPUTED_VALUE"""),FALSE)</f>
        <v>0</v>
      </c>
      <c r="O67" s="21" t="str">
        <f>IFERROR(__xludf.DUMMYFUNCTION("""COMPUTED_VALUE"""),"Trip.com")</f>
        <v>Trip.com</v>
      </c>
      <c r="P67" s="23">
        <f>IFERROR(__xludf.DUMMYFUNCTION("""COMPUTED_VALUE"""),10.0)</f>
        <v>10</v>
      </c>
      <c r="Q67" s="24">
        <f>IFERROR(__xludf.DUMMYFUNCTION("""COMPUTED_VALUE"""),46121.0)</f>
        <v>46121</v>
      </c>
      <c r="R67" s="23" t="str">
        <f>IFERROR(__xludf.DUMMYFUNCTION("""COMPUTED_VALUE"""),"位置冇得彈，雖然設施有啲年代感，但乾淨企理，應有嘅服務都齊備，係旅行落腳嘅好地方")</f>
        <v>位置冇得彈，雖然設施有啲年代感，但乾淨企理，應有嘅服務都齊備，係旅行落腳嘅好地方</v>
      </c>
      <c r="S67" s="23"/>
      <c r="T67" s="23"/>
      <c r="U67"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67" s="23" t="str">
        <f>IFERROR(__xludf.DUMMYFUNCTION("""COMPUTED_VALUE"""),"")</f>
        <v/>
      </c>
      <c r="W67" s="23" t="str">
        <f>IFERROR(__xludf.DUMMYFUNCTION("""COMPUTED_VALUE"""),"")</f>
        <v/>
      </c>
      <c r="X67" s="23" t="str">
        <f>IFERROR(__xludf.DUMMYFUNCTION("""COMPUTED_VALUE"""),"h‍i‍n‍a‍9‍4")</f>
        <v>h‍i‍n‍a‍9‍4</v>
      </c>
    </row>
    <row r="68">
      <c r="B68" s="23" t="b">
        <f>IFERROR(__xludf.DUMMYFUNCTION("""COMPUTED_VALUE"""),FALSE)</f>
        <v>0</v>
      </c>
      <c r="C68" s="21" t="str">
        <f>IFERROR(__xludf.DUMMYFUNCTION("""COMPUTED_VALUE"""),"Booking.com")</f>
        <v>Booking.com</v>
      </c>
      <c r="D68" s="6">
        <f>IFERROR(__xludf.DUMMYFUNCTION("""COMPUTED_VALUE"""),10.0)</f>
        <v>10</v>
      </c>
      <c r="E68" s="22">
        <f>IFERROR(__xludf.DUMMYFUNCTION("""COMPUTED_VALUE"""),46120.0)</f>
        <v>46120</v>
      </c>
      <c r="F68" s="6"/>
      <c r="G68" s="6" t="str">
        <f>IFERROR(__xludf.DUMMYFUNCTION("""COMPUTED_VALUE"""),"Very clean room and bathroom. The laundry facilities (3x washers &amp; 3x dryers) were also very good.")</f>
        <v>Very clean room and bathroom. The laundry facilities (3x washers &amp; 3x dryers) were also very good.</v>
      </c>
      <c r="H68" s="6" t="str">
        <f>IFERROR(__xludf.DUMMYFUNCTION("""COMPUTED_VALUE"""),"The breakfast staff were a little eager to close up the breakfast area.")</f>
        <v>The breakfast staff were a little eager to close up the breakfast area.</v>
      </c>
      <c r="I68" s="6" t="str">
        <f>IFERROR(__xludf.DUMMYFUNCTION("""COMPUTED_VALUE"""),"")</f>
        <v/>
      </c>
      <c r="J68"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68" s="6" t="str">
        <f>IFERROR(__xludf.DUMMYFUNCTION("""COMPUTED_VALUE"""),"朝食スタッフは、朝食エリアを早く閉めたい様子だった。")</f>
        <v>朝食スタッフは、朝食エリアを早く閉めたい様子だった。</v>
      </c>
      <c r="L68" s="6" t="str">
        <f>IFERROR(__xludf.DUMMYFUNCTION("""COMPUTED_VALUE"""),"Allister")</f>
        <v>Allister</v>
      </c>
      <c r="N68" s="23" t="b">
        <f>IFERROR(__xludf.DUMMYFUNCTION("""COMPUTED_VALUE"""),FALSE)</f>
        <v>0</v>
      </c>
      <c r="O68" s="21" t="str">
        <f>IFERROR(__xludf.DUMMYFUNCTION("""COMPUTED_VALUE"""),"Booking.com")</f>
        <v>Booking.com</v>
      </c>
      <c r="P68" s="23">
        <f>IFERROR(__xludf.DUMMYFUNCTION("""COMPUTED_VALUE"""),10.0)</f>
        <v>10</v>
      </c>
      <c r="Q68" s="24">
        <f>IFERROR(__xludf.DUMMYFUNCTION("""COMPUTED_VALUE"""),46120.0)</f>
        <v>46120</v>
      </c>
      <c r="R68" s="23"/>
      <c r="S68" s="23" t="str">
        <f>IFERROR(__xludf.DUMMYFUNCTION("""COMPUTED_VALUE"""),"Very clean room and bathroom. The laundry facilities (3x washers &amp; 3x dryers) were also very good.")</f>
        <v>Very clean room and bathroom. The laundry facilities (3x washers &amp; 3x dryers) were also very good.</v>
      </c>
      <c r="T68" s="23" t="str">
        <f>IFERROR(__xludf.DUMMYFUNCTION("""COMPUTED_VALUE"""),"The breakfast staff were a little eager to close up the breakfast area.")</f>
        <v>The breakfast staff were a little eager to close up the breakfast area.</v>
      </c>
      <c r="U68" s="23" t="str">
        <f>IFERROR(__xludf.DUMMYFUNCTION("""COMPUTED_VALUE"""),"")</f>
        <v/>
      </c>
      <c r="V68"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68" s="23" t="str">
        <f>IFERROR(__xludf.DUMMYFUNCTION("""COMPUTED_VALUE"""),"朝食スタッフは、朝食エリアを早く閉めたい様子だった。")</f>
        <v>朝食スタッフは、朝食エリアを早く閉めたい様子だった。</v>
      </c>
      <c r="X68" s="23" t="str">
        <f>IFERROR(__xludf.DUMMYFUNCTION("""COMPUTED_VALUE"""),"Allister")</f>
        <v>Allister</v>
      </c>
    </row>
    <row r="69">
      <c r="B69" s="23" t="b">
        <f>IFERROR(__xludf.DUMMYFUNCTION("""COMPUTED_VALUE"""),FALSE)</f>
        <v>0</v>
      </c>
      <c r="C69" s="21" t="str">
        <f>IFERROR(__xludf.DUMMYFUNCTION("""COMPUTED_VALUE"""),"Booking.com")</f>
        <v>Booking.com</v>
      </c>
      <c r="D69" s="6">
        <f>IFERROR(__xludf.DUMMYFUNCTION("""COMPUTED_VALUE"""),6.0)</f>
        <v>6</v>
      </c>
      <c r="E69" s="22">
        <f>IFERROR(__xludf.DUMMYFUNCTION("""COMPUTED_VALUE"""),46120.0)</f>
        <v>46120</v>
      </c>
      <c r="F69" s="6"/>
      <c r="G69" s="6" t="str">
        <f>IFERROR(__xludf.DUMMYFUNCTION("""COMPUTED_VALUE"""),"Proximité de la gare.")</f>
        <v>Proximité de la gare.</v>
      </c>
      <c r="H69" s="6" t="str">
        <f>IFERROR(__xludf.DUMMYFUNCTION("""COMPUTED_VALUE"""),"Lit petit pour deux personnes. Lit mal posotionné pour personnes âgées.")</f>
        <v>Lit petit pour deux personnes. Lit mal posotionné pour personnes âgées.</v>
      </c>
      <c r="I69" s="6" t="str">
        <f>IFERROR(__xludf.DUMMYFUNCTION("""COMPUTED_VALUE"""),"")</f>
        <v/>
      </c>
      <c r="J69" s="6" t="str">
        <f>IFERROR(__xludf.DUMMYFUNCTION("""COMPUTED_VALUE"""),"駅に近い。")</f>
        <v>駅に近い。</v>
      </c>
      <c r="K69" s="6" t="str">
        <f>IFERROR(__xludf.DUMMYFUNCTION("""COMPUTED_VALUE"""),"2人用の小さなベッド。高齢者にはベッドの位置が良くない。")</f>
        <v>2人用の小さなベッド。高齢者にはベッドの位置が良くない。</v>
      </c>
      <c r="L69" s="6" t="str">
        <f>IFERROR(__xludf.DUMMYFUNCTION("""COMPUTED_VALUE"""),"Gerard")</f>
        <v>Gerard</v>
      </c>
      <c r="N69" s="23" t="b">
        <f>IFERROR(__xludf.DUMMYFUNCTION("""COMPUTED_VALUE"""),FALSE)</f>
        <v>0</v>
      </c>
      <c r="O69" s="21" t="str">
        <f>IFERROR(__xludf.DUMMYFUNCTION("""COMPUTED_VALUE"""),"Booking.com")</f>
        <v>Booking.com</v>
      </c>
      <c r="P69" s="23">
        <f>IFERROR(__xludf.DUMMYFUNCTION("""COMPUTED_VALUE"""),6.0)</f>
        <v>6</v>
      </c>
      <c r="Q69" s="24">
        <f>IFERROR(__xludf.DUMMYFUNCTION("""COMPUTED_VALUE"""),46120.0)</f>
        <v>46120</v>
      </c>
      <c r="R69" s="23"/>
      <c r="S69" s="23" t="str">
        <f>IFERROR(__xludf.DUMMYFUNCTION("""COMPUTED_VALUE"""),"Proximité de la gare.")</f>
        <v>Proximité de la gare.</v>
      </c>
      <c r="T69" s="23" t="str">
        <f>IFERROR(__xludf.DUMMYFUNCTION("""COMPUTED_VALUE"""),"Lit petit pour deux personnes. Lit mal posotionné pour personnes âgées.")</f>
        <v>Lit petit pour deux personnes. Lit mal posotionné pour personnes âgées.</v>
      </c>
      <c r="U69" s="23" t="str">
        <f>IFERROR(__xludf.DUMMYFUNCTION("""COMPUTED_VALUE"""),"")</f>
        <v/>
      </c>
      <c r="V69" s="23" t="str">
        <f>IFERROR(__xludf.DUMMYFUNCTION("""COMPUTED_VALUE"""),"駅に近い。")</f>
        <v>駅に近い。</v>
      </c>
      <c r="W69" s="23" t="str">
        <f>IFERROR(__xludf.DUMMYFUNCTION("""COMPUTED_VALUE"""),"2人用の小さなベッド。高齢者にはベッドの位置が良くない。")</f>
        <v>2人用の小さなベッド。高齢者にはベッドの位置が良くない。</v>
      </c>
      <c r="X69" s="23" t="str">
        <f>IFERROR(__xludf.DUMMYFUNCTION("""COMPUTED_VALUE"""),"Gerard")</f>
        <v>Gerard</v>
      </c>
    </row>
    <row r="70">
      <c r="B70" s="23" t="b">
        <f>IFERROR(__xludf.DUMMYFUNCTION("""COMPUTED_VALUE"""),FALSE)</f>
        <v>0</v>
      </c>
      <c r="C70" s="23" t="str">
        <f>IFERROR(__xludf.DUMMYFUNCTION("""COMPUTED_VALUE"""),"Google")</f>
        <v>Google</v>
      </c>
      <c r="D70" s="6">
        <f>IFERROR(__xludf.DUMMYFUNCTION("""COMPUTED_VALUE"""),5.0)</f>
        <v>5</v>
      </c>
      <c r="E70" s="22">
        <f>IFERROR(__xludf.DUMMYFUNCTION("""COMPUTED_VALUE"""),46120.0)</f>
        <v>46120</v>
      </c>
      <c r="F70"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70" s="6"/>
      <c r="H70" s="6"/>
      <c r="I70"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70" s="6" t="str">
        <f>IFERROR(__xludf.DUMMYFUNCTION("""COMPUTED_VALUE"""),"")</f>
        <v/>
      </c>
      <c r="K70" s="6" t="str">
        <f>IFERROR(__xludf.DUMMYFUNCTION("""COMPUTED_VALUE"""),"")</f>
        <v/>
      </c>
      <c r="L70" s="6" t="str">
        <f>IFERROR(__xludf.DUMMYFUNCTION("""COMPUTED_VALUE"""),"茶ん")</f>
        <v>茶ん</v>
      </c>
      <c r="N70" s="23" t="b">
        <f>IFERROR(__xludf.DUMMYFUNCTION("""COMPUTED_VALUE"""),FALSE)</f>
        <v>0</v>
      </c>
      <c r="O70" s="23" t="str">
        <f>IFERROR(__xludf.DUMMYFUNCTION("""COMPUTED_VALUE"""),"Google")</f>
        <v>Google</v>
      </c>
      <c r="P70" s="23">
        <f>IFERROR(__xludf.DUMMYFUNCTION("""COMPUTED_VALUE"""),5.0)</f>
        <v>5</v>
      </c>
      <c r="Q70" s="24">
        <f>IFERROR(__xludf.DUMMYFUNCTION("""COMPUTED_VALUE"""),46120.0)</f>
        <v>46120</v>
      </c>
      <c r="R70"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70" s="23"/>
      <c r="T70" s="23"/>
      <c r="U70"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70" s="23" t="str">
        <f>IFERROR(__xludf.DUMMYFUNCTION("""COMPUTED_VALUE"""),"")</f>
        <v/>
      </c>
      <c r="W70" s="23" t="str">
        <f>IFERROR(__xludf.DUMMYFUNCTION("""COMPUTED_VALUE"""),"")</f>
        <v/>
      </c>
      <c r="X70" s="23" t="str">
        <f>IFERROR(__xludf.DUMMYFUNCTION("""COMPUTED_VALUE"""),"茶ん")</f>
        <v>茶ん</v>
      </c>
    </row>
    <row r="71">
      <c r="B71" s="23" t="b">
        <f>IFERROR(__xludf.DUMMYFUNCTION("""COMPUTED_VALUE"""),FALSE)</f>
        <v>0</v>
      </c>
      <c r="C71" s="23" t="str">
        <f>IFERROR(__xludf.DUMMYFUNCTION("""COMPUTED_VALUE"""),"Google")</f>
        <v>Google</v>
      </c>
      <c r="D71" s="6">
        <f>IFERROR(__xludf.DUMMYFUNCTION("""COMPUTED_VALUE"""),5.0)</f>
        <v>5</v>
      </c>
      <c r="E71" s="22">
        <f>IFERROR(__xludf.DUMMYFUNCTION("""COMPUTED_VALUE"""),46120.0)</f>
        <v>46120</v>
      </c>
      <c r="F71"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71" s="6"/>
      <c r="H71" s="6"/>
      <c r="I71"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71" s="6" t="str">
        <f>IFERROR(__xludf.DUMMYFUNCTION("""COMPUTED_VALUE"""),"")</f>
        <v/>
      </c>
      <c r="K71" s="6" t="str">
        <f>IFERROR(__xludf.DUMMYFUNCTION("""COMPUTED_VALUE"""),"")</f>
        <v/>
      </c>
      <c r="L71" s="6" t="str">
        <f>IFERROR(__xludf.DUMMYFUNCTION("""COMPUTED_VALUE"""),"茶ん")</f>
        <v>茶ん</v>
      </c>
      <c r="N71" s="23" t="b">
        <f>IFERROR(__xludf.DUMMYFUNCTION("""COMPUTED_VALUE"""),FALSE)</f>
        <v>0</v>
      </c>
      <c r="O71" s="23" t="str">
        <f>IFERROR(__xludf.DUMMYFUNCTION("""COMPUTED_VALUE"""),"Google")</f>
        <v>Google</v>
      </c>
      <c r="P71" s="23">
        <f>IFERROR(__xludf.DUMMYFUNCTION("""COMPUTED_VALUE"""),5.0)</f>
        <v>5</v>
      </c>
      <c r="Q71" s="24">
        <f>IFERROR(__xludf.DUMMYFUNCTION("""COMPUTED_VALUE"""),46120.0)</f>
        <v>46120</v>
      </c>
      <c r="R71"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71" s="23"/>
      <c r="T71" s="23"/>
      <c r="U71"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71" s="23" t="str">
        <f>IFERROR(__xludf.DUMMYFUNCTION("""COMPUTED_VALUE"""),"")</f>
        <v/>
      </c>
      <c r="W71" s="23" t="str">
        <f>IFERROR(__xludf.DUMMYFUNCTION("""COMPUTED_VALUE"""),"")</f>
        <v/>
      </c>
      <c r="X71" s="23" t="str">
        <f>IFERROR(__xludf.DUMMYFUNCTION("""COMPUTED_VALUE"""),"茶ん")</f>
        <v>茶ん</v>
      </c>
    </row>
    <row r="72">
      <c r="B72" s="23" t="b">
        <f>IFERROR(__xludf.DUMMYFUNCTION("""COMPUTED_VALUE"""),FALSE)</f>
        <v>0</v>
      </c>
      <c r="C72" s="21" t="str">
        <f>IFERROR(__xludf.DUMMYFUNCTION("""COMPUTED_VALUE"""),"Trip.com")</f>
        <v>Trip.com</v>
      </c>
      <c r="D72" s="6">
        <f>IFERROR(__xludf.DUMMYFUNCTION("""COMPUTED_VALUE"""),9.0)</f>
        <v>9</v>
      </c>
      <c r="E72" s="22">
        <f>IFERROR(__xludf.DUMMYFUNCTION("""COMPUTED_VALUE"""),46120.0)</f>
        <v>46120</v>
      </c>
      <c r="F72" s="6" t="str">
        <f>IFERROR(__xludf.DUMMYFUNCTION("""COMPUTED_VALUE"""),"Old hotel but good location")</f>
        <v>Old hotel but good location</v>
      </c>
      <c r="G72" s="6"/>
      <c r="H72" s="6"/>
      <c r="I72" s="6" t="str">
        <f>IFERROR(__xludf.DUMMYFUNCTION("""COMPUTED_VALUE"""),"古いホテルだが立地は良い")</f>
        <v>古いホテルだが立地は良い</v>
      </c>
      <c r="J72" s="6" t="str">
        <f>IFERROR(__xludf.DUMMYFUNCTION("""COMPUTED_VALUE"""),"")</f>
        <v/>
      </c>
      <c r="K72" s="6" t="str">
        <f>IFERROR(__xludf.DUMMYFUNCTION("""COMPUTED_VALUE"""),"")</f>
        <v/>
      </c>
      <c r="L72" s="6" t="str">
        <f>IFERROR(__xludf.DUMMYFUNCTION("""COMPUTED_VALUE"""),"ゲ‍ス‍ト")</f>
        <v>ゲ‍ス‍ト</v>
      </c>
      <c r="N72" s="23" t="b">
        <f>IFERROR(__xludf.DUMMYFUNCTION("""COMPUTED_VALUE"""),FALSE)</f>
        <v>0</v>
      </c>
      <c r="O72" s="21" t="str">
        <f>IFERROR(__xludf.DUMMYFUNCTION("""COMPUTED_VALUE"""),"Trip.com")</f>
        <v>Trip.com</v>
      </c>
      <c r="P72" s="23">
        <f>IFERROR(__xludf.DUMMYFUNCTION("""COMPUTED_VALUE"""),9.0)</f>
        <v>9</v>
      </c>
      <c r="Q72" s="24">
        <f>IFERROR(__xludf.DUMMYFUNCTION("""COMPUTED_VALUE"""),46120.0)</f>
        <v>46120</v>
      </c>
      <c r="R72" s="23" t="str">
        <f>IFERROR(__xludf.DUMMYFUNCTION("""COMPUTED_VALUE"""),"Old hotel but good location")</f>
        <v>Old hotel but good location</v>
      </c>
      <c r="S72" s="23"/>
      <c r="T72" s="23"/>
      <c r="U72" s="23" t="str">
        <f>IFERROR(__xludf.DUMMYFUNCTION("""COMPUTED_VALUE"""),"古いホテルだが立地は良い")</f>
        <v>古いホテルだが立地は良い</v>
      </c>
      <c r="V72" s="23" t="str">
        <f>IFERROR(__xludf.DUMMYFUNCTION("""COMPUTED_VALUE"""),"")</f>
        <v/>
      </c>
      <c r="W72" s="23" t="str">
        <f>IFERROR(__xludf.DUMMYFUNCTION("""COMPUTED_VALUE"""),"")</f>
        <v/>
      </c>
      <c r="X72" s="23" t="str">
        <f>IFERROR(__xludf.DUMMYFUNCTION("""COMPUTED_VALUE"""),"ゲ‍ス‍ト")</f>
        <v>ゲ‍ス‍ト</v>
      </c>
    </row>
    <row r="73">
      <c r="B73" s="23" t="b">
        <f>IFERROR(__xludf.DUMMYFUNCTION("""COMPUTED_VALUE"""),FALSE)</f>
        <v>0</v>
      </c>
      <c r="C73" s="21" t="str">
        <f>IFERROR(__xludf.DUMMYFUNCTION("""COMPUTED_VALUE"""),"Trip.com")</f>
        <v>Trip.com</v>
      </c>
      <c r="D73" s="6">
        <f>IFERROR(__xludf.DUMMYFUNCTION("""COMPUTED_VALUE"""),8.0)</f>
        <v>8</v>
      </c>
      <c r="E73" s="22">
        <f>IFERROR(__xludf.DUMMYFUNCTION("""COMPUTED_VALUE"""),46120.0)</f>
        <v>46120</v>
      </c>
      <c r="F73"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73" s="6"/>
      <c r="H73" s="6"/>
      <c r="I73"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73" s="6" t="str">
        <f>IFERROR(__xludf.DUMMYFUNCTION("""COMPUTED_VALUE"""),"")</f>
        <v/>
      </c>
      <c r="K73" s="6" t="str">
        <f>IFERROR(__xludf.DUMMYFUNCTION("""COMPUTED_VALUE"""),"")</f>
        <v/>
      </c>
      <c r="L73" s="6" t="str">
        <f>IFERROR(__xludf.DUMMYFUNCTION("""COMPUTED_VALUE"""),"p‍k‍k‍ ‍p‍k‍k")</f>
        <v>p‍k‍k‍ ‍p‍k‍k</v>
      </c>
      <c r="N73" s="23" t="b">
        <f>IFERROR(__xludf.DUMMYFUNCTION("""COMPUTED_VALUE"""),FALSE)</f>
        <v>0</v>
      </c>
      <c r="O73" s="21" t="str">
        <f>IFERROR(__xludf.DUMMYFUNCTION("""COMPUTED_VALUE"""),"Trip.com")</f>
        <v>Trip.com</v>
      </c>
      <c r="P73" s="23">
        <f>IFERROR(__xludf.DUMMYFUNCTION("""COMPUTED_VALUE"""),8.0)</f>
        <v>8</v>
      </c>
      <c r="Q73" s="24">
        <f>IFERROR(__xludf.DUMMYFUNCTION("""COMPUTED_VALUE"""),46120.0)</f>
        <v>46120</v>
      </c>
      <c r="R73"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73" s="23"/>
      <c r="T73" s="23"/>
      <c r="U73"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73" s="23" t="str">
        <f>IFERROR(__xludf.DUMMYFUNCTION("""COMPUTED_VALUE"""),"")</f>
        <v/>
      </c>
      <c r="W73" s="23" t="str">
        <f>IFERROR(__xludf.DUMMYFUNCTION("""COMPUTED_VALUE"""),"")</f>
        <v/>
      </c>
      <c r="X73" s="23" t="str">
        <f>IFERROR(__xludf.DUMMYFUNCTION("""COMPUTED_VALUE"""),"p‍k‍k‍ ‍p‍k‍k")</f>
        <v>p‍k‍k‍ ‍p‍k‍k</v>
      </c>
    </row>
    <row r="74">
      <c r="B74" s="23" t="b">
        <f>IFERROR(__xludf.DUMMYFUNCTION("""COMPUTED_VALUE"""),FALSE)</f>
        <v>0</v>
      </c>
      <c r="C74" s="21" t="str">
        <f>IFERROR(__xludf.DUMMYFUNCTION("""COMPUTED_VALUE"""),"Trip.com")</f>
        <v>Trip.com</v>
      </c>
      <c r="D74" s="6">
        <f>IFERROR(__xludf.DUMMYFUNCTION("""COMPUTED_VALUE"""),10.0)</f>
        <v>10</v>
      </c>
      <c r="E74" s="22">
        <f>IFERROR(__xludf.DUMMYFUNCTION("""COMPUTED_VALUE"""),46120.0)</f>
        <v>46120</v>
      </c>
      <c r="F74"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74" s="6"/>
      <c r="H74" s="6"/>
      <c r="I74" s="6" t="str">
        <f>IFERROR(__xludf.DUMMYFUNCTION("""COMPUTED_VALUE"""),"ホテルの立地は抜群で、地下鉄駅とJR駅から徒歩わずか1～2分です。客室は非常に広々としており、無料の朝食が付いています。荷物預かりサービスも利用可能です。客室はやや古風な造りですが、設備は充実しています。")</f>
        <v>ホテルの立地は抜群で、地下鉄駅とJR駅から徒歩わずか1～2分です。客室は非常に広々としており、無料の朝食が付いています。荷物預かりサービスも利用可能です。客室はやや古風な造りですが、設備は充実しています。</v>
      </c>
      <c r="J74" s="6" t="str">
        <f>IFERROR(__xludf.DUMMYFUNCTION("""COMPUTED_VALUE"""),"")</f>
        <v/>
      </c>
      <c r="K74" s="6" t="str">
        <f>IFERROR(__xludf.DUMMYFUNCTION("""COMPUTED_VALUE"""),"")</f>
        <v/>
      </c>
      <c r="L74" s="6" t="str">
        <f>IFERROR(__xludf.DUMMYFUNCTION("""COMPUTED_VALUE"""),"匿‍名‍ユ‍ー‍ザ‍ー")</f>
        <v>匿‍名‍ユ‍ー‍ザ‍ー</v>
      </c>
      <c r="N74" s="23" t="b">
        <f>IFERROR(__xludf.DUMMYFUNCTION("""COMPUTED_VALUE"""),FALSE)</f>
        <v>0</v>
      </c>
      <c r="O74" s="21" t="str">
        <f>IFERROR(__xludf.DUMMYFUNCTION("""COMPUTED_VALUE"""),"Trip.com")</f>
        <v>Trip.com</v>
      </c>
      <c r="P74" s="23">
        <f>IFERROR(__xludf.DUMMYFUNCTION("""COMPUTED_VALUE"""),10.0)</f>
        <v>10</v>
      </c>
      <c r="Q74" s="24">
        <f>IFERROR(__xludf.DUMMYFUNCTION("""COMPUTED_VALUE"""),46120.0)</f>
        <v>46120</v>
      </c>
      <c r="R74"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74" s="23"/>
      <c r="T74" s="23"/>
      <c r="U74" s="23" t="str">
        <f>IFERROR(__xludf.DUMMYFUNCTION("""COMPUTED_VALUE"""),"ホテルの立地は抜群で、地下鉄駅とJR駅から徒歩わずか1～2分です。客室は非常に広々としており、無料の朝食が付いています。荷物預かりサービスも利用可能です。客室はやや古風な造りですが、設備は充実しています。")</f>
        <v>ホテルの立地は抜群で、地下鉄駅とJR駅から徒歩わずか1～2分です。客室は非常に広々としており、無料の朝食が付いています。荷物預かりサービスも利用可能です。客室はやや古風な造りですが、設備は充実しています。</v>
      </c>
      <c r="V74" s="23" t="str">
        <f>IFERROR(__xludf.DUMMYFUNCTION("""COMPUTED_VALUE"""),"")</f>
        <v/>
      </c>
      <c r="W74" s="23" t="str">
        <f>IFERROR(__xludf.DUMMYFUNCTION("""COMPUTED_VALUE"""),"")</f>
        <v/>
      </c>
      <c r="X74" s="23" t="str">
        <f>IFERROR(__xludf.DUMMYFUNCTION("""COMPUTED_VALUE"""),"匿‍名‍ユ‍ー‍ザ‍ー")</f>
        <v>匿‍名‍ユ‍ー‍ザ‍ー</v>
      </c>
    </row>
    <row r="75">
      <c r="B75" s="23" t="b">
        <f>IFERROR(__xludf.DUMMYFUNCTION("""COMPUTED_VALUE"""),FALSE)</f>
        <v>0</v>
      </c>
      <c r="C75" s="21" t="str">
        <f>IFERROR(__xludf.DUMMYFUNCTION("""COMPUTED_VALUE"""),"Trip.com")</f>
        <v>Trip.com</v>
      </c>
      <c r="D75" s="6">
        <f>IFERROR(__xludf.DUMMYFUNCTION("""COMPUTED_VALUE"""),10.0)</f>
        <v>10</v>
      </c>
      <c r="E75" s="22">
        <f>IFERROR(__xludf.DUMMYFUNCTION("""COMPUTED_VALUE"""),46120.0)</f>
        <v>46120</v>
      </c>
      <c r="F75"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75" s="6"/>
      <c r="H75" s="6"/>
      <c r="I7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75" s="6" t="str">
        <f>IFERROR(__xludf.DUMMYFUNCTION("""COMPUTED_VALUE"""),"")</f>
        <v/>
      </c>
      <c r="K75" s="6" t="str">
        <f>IFERROR(__xludf.DUMMYFUNCTION("""COMPUTED_VALUE"""),"")</f>
        <v/>
      </c>
      <c r="L75" s="6" t="str">
        <f>IFERROR(__xludf.DUMMYFUNCTION("""COMPUTED_VALUE"""),"ゲ‍ス‍ト")</f>
        <v>ゲ‍ス‍ト</v>
      </c>
      <c r="N75" s="23" t="b">
        <f>IFERROR(__xludf.DUMMYFUNCTION("""COMPUTED_VALUE"""),FALSE)</f>
        <v>0</v>
      </c>
      <c r="O75" s="21" t="str">
        <f>IFERROR(__xludf.DUMMYFUNCTION("""COMPUTED_VALUE"""),"Trip.com")</f>
        <v>Trip.com</v>
      </c>
      <c r="P75" s="23">
        <f>IFERROR(__xludf.DUMMYFUNCTION("""COMPUTED_VALUE"""),10.0)</f>
        <v>10</v>
      </c>
      <c r="Q75" s="24">
        <f>IFERROR(__xludf.DUMMYFUNCTION("""COMPUTED_VALUE"""),46120.0)</f>
        <v>46120</v>
      </c>
      <c r="R75"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75" s="23"/>
      <c r="T75" s="23"/>
      <c r="U75"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75" s="23" t="str">
        <f>IFERROR(__xludf.DUMMYFUNCTION("""COMPUTED_VALUE"""),"")</f>
        <v/>
      </c>
      <c r="W75" s="23" t="str">
        <f>IFERROR(__xludf.DUMMYFUNCTION("""COMPUTED_VALUE"""),"")</f>
        <v/>
      </c>
      <c r="X75" s="23" t="str">
        <f>IFERROR(__xludf.DUMMYFUNCTION("""COMPUTED_VALUE"""),"ゲ‍ス‍ト")</f>
        <v>ゲ‍ス‍ト</v>
      </c>
    </row>
    <row r="76">
      <c r="B76" s="23" t="b">
        <f>IFERROR(__xludf.DUMMYFUNCTION("""COMPUTED_VALUE"""),FALSE)</f>
        <v>0</v>
      </c>
      <c r="C76" s="21" t="str">
        <f>IFERROR(__xludf.DUMMYFUNCTION("""COMPUTED_VALUE"""),"Trip.com")</f>
        <v>Trip.com</v>
      </c>
      <c r="D76" s="6">
        <f>IFERROR(__xludf.DUMMYFUNCTION("""COMPUTED_VALUE"""),8.0)</f>
        <v>8</v>
      </c>
      <c r="E76" s="22">
        <f>IFERROR(__xludf.DUMMYFUNCTION("""COMPUTED_VALUE"""),46120.0)</f>
        <v>46120</v>
      </c>
      <c r="F76"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76" s="6"/>
      <c r="H76" s="6"/>
      <c r="I76"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IFERROR(__xludf.DUMMYFUNCTION("""COMPUTED_VALUE"""),8.0)</f>
        <v>8</v>
      </c>
      <c r="Q76" s="24">
        <f>IFERROR(__xludf.DUMMYFUNCTION("""COMPUTED_VALUE"""),46120.0)</f>
        <v>46120</v>
      </c>
      <c r="R76"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76" s="23"/>
      <c r="T76" s="23"/>
      <c r="U76"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IFERROR(__xludf.DUMMYFUNCTION("""COMPUTED_VALUE"""),"Booking.com")</f>
        <v>Booking.com</v>
      </c>
      <c r="D77" s="6">
        <f>IFERROR(__xludf.DUMMYFUNCTION("""COMPUTED_VALUE"""),5.0)</f>
        <v>5</v>
      </c>
      <c r="E77" s="22">
        <f>IFERROR(__xludf.DUMMYFUNCTION("""COMPUTED_VALUE"""),46119.0)</f>
        <v>46119</v>
      </c>
      <c r="F77" s="6"/>
      <c r="G77"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77"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77" s="6" t="str">
        <f>IFERROR(__xludf.DUMMYFUNCTION("""COMPUTED_VALUE"""),"")</f>
        <v/>
      </c>
      <c r="J77"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77"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77" s="6" t="str">
        <f>IFERROR(__xludf.DUMMYFUNCTION("""COMPUTED_VALUE"""),"Sueko")</f>
        <v>Sueko</v>
      </c>
      <c r="N77" s="23" t="b">
        <f>IFERROR(__xludf.DUMMYFUNCTION("""COMPUTED_VALUE"""),FALSE)</f>
        <v>0</v>
      </c>
      <c r="O77" s="21" t="str">
        <f>IFERROR(__xludf.DUMMYFUNCTION("""COMPUTED_VALUE"""),"Booking.com")</f>
        <v>Booking.com</v>
      </c>
      <c r="P77" s="23">
        <f>IFERROR(__xludf.DUMMYFUNCTION("""COMPUTED_VALUE"""),5.0)</f>
        <v>5</v>
      </c>
      <c r="Q77" s="24">
        <f>IFERROR(__xludf.DUMMYFUNCTION("""COMPUTED_VALUE"""),46119.0)</f>
        <v>46119</v>
      </c>
      <c r="R77" s="23"/>
      <c r="S77"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77"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77" s="23" t="str">
        <f>IFERROR(__xludf.DUMMYFUNCTION("""COMPUTED_VALUE"""),"")</f>
        <v/>
      </c>
      <c r="V77"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77"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77" s="23" t="str">
        <f>IFERROR(__xludf.DUMMYFUNCTION("""COMPUTED_VALUE"""),"Sueko")</f>
        <v>Sueko</v>
      </c>
    </row>
    <row r="78">
      <c r="B78" s="23" t="b">
        <f>IFERROR(__xludf.DUMMYFUNCTION("""COMPUTED_VALUE"""),FALSE)</f>
        <v>0</v>
      </c>
      <c r="C78" s="21" t="str">
        <f>IFERROR(__xludf.DUMMYFUNCTION("""COMPUTED_VALUE"""),"Booking.com")</f>
        <v>Booking.com</v>
      </c>
      <c r="D78" s="6">
        <f>IFERROR(__xludf.DUMMYFUNCTION("""COMPUTED_VALUE"""),8.0)</f>
        <v>8</v>
      </c>
      <c r="E78" s="22">
        <f>IFERROR(__xludf.DUMMYFUNCTION("""COMPUTED_VALUE"""),46119.0)</f>
        <v>46119</v>
      </c>
      <c r="F78" s="6"/>
      <c r="G78" s="6" t="str">
        <f>IFERROR(__xludf.DUMMYFUNCTION("""COMPUTED_VALUE"""),"位置極佳")</f>
        <v>位置極佳</v>
      </c>
      <c r="H78" s="6" t="str">
        <f>IFERROR(__xludf.DUMMYFUNCTION("""COMPUTED_VALUE"""),"裝飾過舊，Wi-Fi 一直斷線")</f>
        <v>裝飾過舊，Wi-Fi 一直斷線</v>
      </c>
      <c r="I78" s="6" t="str">
        <f>IFERROR(__xludf.DUMMYFUNCTION("""COMPUTED_VALUE"""),"")</f>
        <v/>
      </c>
      <c r="J78" s="6" t="str">
        <f>IFERROR(__xludf.DUMMYFUNCTION("""COMPUTED_VALUE"""),"絶好のロケーション")</f>
        <v>絶好のロケーション</v>
      </c>
      <c r="K78" s="6" t="str">
        <f>IFERROR(__xludf.DUMMYFUNCTION("""COMPUTED_VALUE"""),"内装は時代遅れだし、Wi-Fiも頻繁に切断される。")</f>
        <v>内装は時代遅れだし、Wi-Fiも頻繁に切断される。</v>
      </c>
      <c r="L78" s="6" t="str">
        <f>IFERROR(__xludf.DUMMYFUNCTION("""COMPUTED_VALUE"""),"Che")</f>
        <v>Che</v>
      </c>
      <c r="N78" s="23" t="b">
        <f>IFERROR(__xludf.DUMMYFUNCTION("""COMPUTED_VALUE"""),FALSE)</f>
        <v>0</v>
      </c>
      <c r="O78" s="21" t="str">
        <f>IFERROR(__xludf.DUMMYFUNCTION("""COMPUTED_VALUE"""),"Booking.com")</f>
        <v>Booking.com</v>
      </c>
      <c r="P78" s="23">
        <f>IFERROR(__xludf.DUMMYFUNCTION("""COMPUTED_VALUE"""),8.0)</f>
        <v>8</v>
      </c>
      <c r="Q78" s="24">
        <f>IFERROR(__xludf.DUMMYFUNCTION("""COMPUTED_VALUE"""),46119.0)</f>
        <v>46119</v>
      </c>
      <c r="R78" s="23"/>
      <c r="S78" s="23" t="str">
        <f>IFERROR(__xludf.DUMMYFUNCTION("""COMPUTED_VALUE"""),"位置極佳")</f>
        <v>位置極佳</v>
      </c>
      <c r="T78" s="23" t="str">
        <f>IFERROR(__xludf.DUMMYFUNCTION("""COMPUTED_VALUE"""),"裝飾過舊，Wi-Fi 一直斷線")</f>
        <v>裝飾過舊，Wi-Fi 一直斷線</v>
      </c>
      <c r="U78" s="23" t="str">
        <f>IFERROR(__xludf.DUMMYFUNCTION("""COMPUTED_VALUE"""),"")</f>
        <v/>
      </c>
      <c r="V78" s="23" t="str">
        <f>IFERROR(__xludf.DUMMYFUNCTION("""COMPUTED_VALUE"""),"絶好のロケーション")</f>
        <v>絶好のロケーション</v>
      </c>
      <c r="W78" s="23" t="str">
        <f>IFERROR(__xludf.DUMMYFUNCTION("""COMPUTED_VALUE"""),"内装は時代遅れだし、Wi-Fiも頻繁に切断される。")</f>
        <v>内装は時代遅れだし、Wi-Fiも頻繁に切断される。</v>
      </c>
      <c r="X78" s="23" t="str">
        <f>IFERROR(__xludf.DUMMYFUNCTION("""COMPUTED_VALUE"""),"Che")</f>
        <v>Che</v>
      </c>
    </row>
    <row r="79">
      <c r="B79" s="23" t="b">
        <f>IFERROR(__xludf.DUMMYFUNCTION("""COMPUTED_VALUE"""),FALSE)</f>
        <v>0</v>
      </c>
      <c r="C79" s="27" t="str">
        <f>IFERROR(__xludf.DUMMYFUNCTION("""COMPUTED_VALUE"""),"Booking.com")</f>
        <v>Booking.com</v>
      </c>
      <c r="D79" s="6">
        <f>IFERROR(__xludf.DUMMYFUNCTION("""COMPUTED_VALUE"""),8.0)</f>
        <v>8</v>
      </c>
      <c r="E79" s="22">
        <f>IFERROR(__xludf.DUMMYFUNCTION("""COMPUTED_VALUE"""),46119.0)</f>
        <v>46119</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IFERROR(__xludf.DUMMYFUNCTION("""COMPUTED_VALUE"""),"Tobias")</f>
        <v>Tobias</v>
      </c>
      <c r="N79" s="23" t="b">
        <f>IFERROR(__xludf.DUMMYFUNCTION("""COMPUTED_VALUE"""),FALSE)</f>
        <v>0</v>
      </c>
      <c r="O79" s="21" t="str">
        <f>IFERROR(__xludf.DUMMYFUNCTION("""COMPUTED_VALUE"""),"Booking.com")</f>
        <v>Booking.com</v>
      </c>
      <c r="P79" s="23">
        <f>IFERROR(__xludf.DUMMYFUNCTION("""COMPUTED_VALUE"""),8.0)</f>
        <v>8</v>
      </c>
      <c r="Q79" s="24">
        <f>IFERROR(__xludf.DUMMYFUNCTION("""COMPUTED_VALUE"""),46119.0)</f>
        <v>46119</v>
      </c>
      <c r="R79" s="23"/>
      <c r="S79" s="23"/>
      <c r="T79" s="23"/>
      <c r="U79" s="23" t="str">
        <f>IFERROR(__xludf.DUMMYFUNCTION("""COMPUTED_VALUE"""),"")</f>
        <v/>
      </c>
      <c r="V79" s="23" t="str">
        <f>IFERROR(__xludf.DUMMYFUNCTION("""COMPUTED_VALUE"""),"")</f>
        <v/>
      </c>
      <c r="W79" s="23" t="str">
        <f>IFERROR(__xludf.DUMMYFUNCTION("""COMPUTED_VALUE"""),"")</f>
        <v/>
      </c>
      <c r="X79" s="23" t="str">
        <f>IFERROR(__xludf.DUMMYFUNCTION("""COMPUTED_VALUE"""),"Tobias")</f>
        <v>Tobias</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IFERROR(__xludf.DUMMYFUNCTION("""COMPUTED_VALUE"""),"古すぎて朝食が味がする")</f>
        <v>古すぎて朝食が味がする</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IFERROR(__xludf.DUMMYFUNCTION("""COMPUTED_VALUE"""),"古すぎて朝食が味がする")</f>
        <v>古すぎて朝食が味がする</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21"/>
    <hyperlink r:id="rId25" ref="O21"/>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2"/>
    <hyperlink r:id="rId43" ref="O32"/>
    <hyperlink r:id="rId44" ref="C34"/>
    <hyperlink r:id="rId45" ref="O34"/>
    <hyperlink r:id="rId46" ref="C35"/>
    <hyperlink r:id="rId47" ref="O35"/>
    <hyperlink r:id="rId48" ref="C36"/>
    <hyperlink r:id="rId49" ref="O36"/>
    <hyperlink r:id="rId50" ref="C37"/>
    <hyperlink r:id="rId51" ref="O37"/>
    <hyperlink r:id="rId52" ref="C38"/>
    <hyperlink r:id="rId53" ref="O38"/>
    <hyperlink r:id="rId54" ref="C39"/>
    <hyperlink r:id="rId55" ref="O39"/>
    <hyperlink r:id="rId56" ref="C40"/>
    <hyperlink r:id="rId57" ref="O40"/>
    <hyperlink r:id="rId58" ref="C42"/>
    <hyperlink r:id="rId59" ref="O42"/>
    <hyperlink r:id="rId60" ref="C43"/>
    <hyperlink r:id="rId61" ref="O43"/>
    <hyperlink r:id="rId62" ref="C44"/>
    <hyperlink r:id="rId63" ref="O44"/>
    <hyperlink r:id="rId64" ref="C45"/>
    <hyperlink r:id="rId65" ref="O45"/>
    <hyperlink r:id="rId66" ref="C46"/>
    <hyperlink r:id="rId67" ref="O46"/>
    <hyperlink r:id="rId68" ref="C47"/>
    <hyperlink r:id="rId69" ref="O47"/>
    <hyperlink r:id="rId70" ref="C48"/>
    <hyperlink r:id="rId71" ref="O48"/>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4"/>
    <hyperlink r:id="rId83" ref="O54"/>
    <hyperlink r:id="rId84" ref="C55"/>
    <hyperlink r:id="rId85" ref="O55"/>
    <hyperlink r:id="rId86" ref="C56"/>
    <hyperlink r:id="rId87" ref="O56"/>
    <hyperlink r:id="rId88" ref="C59"/>
    <hyperlink r:id="rId89" ref="O59"/>
    <hyperlink r:id="rId90" ref="C60"/>
    <hyperlink r:id="rId91" ref="O60"/>
    <hyperlink r:id="rId92" ref="C61"/>
    <hyperlink r:id="rId93" ref="O61"/>
    <hyperlink r:id="rId94" ref="C64"/>
    <hyperlink r:id="rId95" ref="O64"/>
    <hyperlink r:id="rId96" ref="C65"/>
    <hyperlink r:id="rId97" ref="O65"/>
    <hyperlink r:id="rId98" ref="C66"/>
    <hyperlink r:id="rId99" ref="O66"/>
    <hyperlink r:id="rId100" ref="C67"/>
    <hyperlink r:id="rId101" ref="O67"/>
    <hyperlink r:id="rId102" ref="C68"/>
    <hyperlink r:id="rId103" ref="O68"/>
    <hyperlink r:id="rId104" ref="C69"/>
    <hyperlink r:id="rId105" ref="O69"/>
    <hyperlink r:id="rId106" ref="C72"/>
    <hyperlink r:id="rId107" ref="O72"/>
    <hyperlink r:id="rId108" ref="C73"/>
    <hyperlink r:id="rId109" ref="O73"/>
    <hyperlink r:id="rId110" ref="C74"/>
    <hyperlink r:id="rId111" ref="O74"/>
    <hyperlink r:id="rId112" ref="C75"/>
    <hyperlink r:id="rId113" ref="O75"/>
    <hyperlink r:id="rId114" ref="C76"/>
    <hyperlink r:id="rId115" ref="O76"/>
    <hyperlink r:id="rId116" ref="C77"/>
    <hyperlink r:id="rId117" ref="O77"/>
    <hyperlink r:id="rId118" ref="C78"/>
    <hyperlink r:id="rId119" ref="O78"/>
    <hyperlink r:id="rId120" ref="C79"/>
    <hyperlink r:id="rId121" ref="O79"/>
    <hyperlink r:id="rId122" ref="C80"/>
    <hyperlink r:id="rId123" ref="C81"/>
    <hyperlink r:id="rId124" ref="C82"/>
    <hyperlink r:id="rId125" ref="C83"/>
    <hyperlink r:id="rId126" ref="C86"/>
    <hyperlink r:id="rId127" ref="C87"/>
    <hyperlink r:id="rId128" ref="C89"/>
    <hyperlink r:id="rId129" ref="C90"/>
    <hyperlink r:id="rId130" ref="C91"/>
    <hyperlink r:id="rId131" ref="C92"/>
    <hyperlink r:id="rId132" ref="C93"/>
    <hyperlink r:id="rId133" ref="C95"/>
    <hyperlink r:id="rId134" ref="C96"/>
    <hyperlink r:id="rId135" ref="C97"/>
    <hyperlink r:id="rId136" ref="C98"/>
    <hyperlink r:id="rId137" ref="C99"/>
    <hyperlink r:id="rId138" ref="C100"/>
    <hyperlink r:id="rId139" ref="O100"/>
    <hyperlink r:id="rId140" ref="C101"/>
    <hyperlink r:id="rId141" ref="O101"/>
    <hyperlink r:id="rId142" ref="C102"/>
    <hyperlink r:id="rId143" ref="O102"/>
    <hyperlink r:id="rId144" ref="C103"/>
    <hyperlink r:id="rId145" ref="O103"/>
    <hyperlink r:id="rId146" ref="C104"/>
    <hyperlink r:id="rId147" ref="C105"/>
    <hyperlink r:id="rId148" ref="C106"/>
    <hyperlink r:id="rId149" ref="O106"/>
    <hyperlink r:id="rId150" ref="O107"/>
    <hyperlink r:id="rId151" ref="C108"/>
    <hyperlink r:id="rId152" ref="O109"/>
    <hyperlink r:id="rId153" ref="O110"/>
    <hyperlink r:id="rId154" ref="C111"/>
    <hyperlink r:id="rId155" ref="O111"/>
    <hyperlink r:id="rId156" ref="O112"/>
    <hyperlink r:id="rId157" ref="C113"/>
    <hyperlink r:id="rId158" ref="O113"/>
    <hyperlink r:id="rId159" ref="C114"/>
    <hyperlink r:id="rId160" ref="C115"/>
    <hyperlink r:id="rId161" ref="O115"/>
    <hyperlink r:id="rId162" ref="O116"/>
    <hyperlink r:id="rId163" ref="O117"/>
    <hyperlink r:id="rId164" ref="C118"/>
    <hyperlink r:id="rId165" ref="O118"/>
    <hyperlink r:id="rId166" ref="C119"/>
    <hyperlink r:id="rId167" ref="O119"/>
    <hyperlink r:id="rId168" ref="C120"/>
    <hyperlink r:id="rId169" ref="O120"/>
    <hyperlink r:id="rId170" ref="O121"/>
    <hyperlink r:id="rId171" ref="C122"/>
    <hyperlink r:id="rId172" ref="O122"/>
    <hyperlink r:id="rId173" ref="O123"/>
    <hyperlink r:id="rId174" ref="C124"/>
    <hyperlink r:id="rId175" ref="O124"/>
    <hyperlink r:id="rId176" ref="C125"/>
    <hyperlink r:id="rId177" ref="O125"/>
    <hyperlink r:id="rId178" ref="C126"/>
    <hyperlink r:id="rId179" ref="O126"/>
    <hyperlink r:id="rId180" ref="C127"/>
    <hyperlink r:id="rId181" ref="O128"/>
    <hyperlink r:id="rId182" ref="C130"/>
    <hyperlink r:id="rId183" ref="C131"/>
    <hyperlink r:id="rId184" ref="O131"/>
    <hyperlink r:id="rId185" ref="C132"/>
    <hyperlink r:id="rId186" ref="C133"/>
    <hyperlink r:id="rId187" ref="O133"/>
    <hyperlink r:id="rId188" ref="O134"/>
    <hyperlink r:id="rId189" ref="O135"/>
    <hyperlink r:id="rId190" ref="C136"/>
    <hyperlink r:id="rId191" ref="C137"/>
    <hyperlink r:id="rId192" ref="C138"/>
    <hyperlink r:id="rId193" ref="O138"/>
    <hyperlink r:id="rId194" ref="C139"/>
    <hyperlink r:id="rId195" ref="O139"/>
    <hyperlink r:id="rId196" ref="C140"/>
    <hyperlink r:id="rId197" ref="O140"/>
    <hyperlink r:id="rId198" ref="C141"/>
    <hyperlink r:id="rId199" ref="C142"/>
    <hyperlink r:id="rId200" ref="O142"/>
    <hyperlink r:id="rId201" ref="C143"/>
    <hyperlink r:id="rId202" ref="C144"/>
    <hyperlink r:id="rId203" ref="O144"/>
    <hyperlink r:id="rId204" ref="C145"/>
    <hyperlink r:id="rId205" ref="O145"/>
    <hyperlink r:id="rId206" ref="C146"/>
    <hyperlink r:id="rId207" ref="O146"/>
    <hyperlink r:id="rId208" ref="O147"/>
    <hyperlink r:id="rId209" ref="C150"/>
    <hyperlink r:id="rId210" ref="O150"/>
    <hyperlink r:id="rId211" ref="C151"/>
    <hyperlink r:id="rId212" ref="O151"/>
    <hyperlink r:id="rId213" ref="O152"/>
    <hyperlink r:id="rId214" ref="C153"/>
    <hyperlink r:id="rId215" ref="O153"/>
    <hyperlink r:id="rId216" ref="O156"/>
    <hyperlink r:id="rId217" ref="O157"/>
    <hyperlink r:id="rId218" ref="O158"/>
    <hyperlink r:id="rId219" ref="O159"/>
    <hyperlink r:id="rId220" ref="O160"/>
    <hyperlink r:id="rId221" ref="O161"/>
    <hyperlink r:id="rId222" ref="O162"/>
    <hyperlink r:id="rId223" ref="O163"/>
    <hyperlink r:id="rId224" ref="O164"/>
    <hyperlink r:id="rId225" ref="O165"/>
    <hyperlink r:id="rId226" ref="O166"/>
    <hyperlink r:id="rId227" ref="O170"/>
    <hyperlink r:id="rId228" ref="O171"/>
    <hyperlink r:id="rId229" ref="O173"/>
  </hyperlinks>
  <drawing r:id="rId2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0.0005070993915</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5916</v>
      </c>
      <c r="W12" s="73"/>
      <c r="X12" s="83">
        <f t="shared" si="10"/>
        <v>0.0005070993915</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0</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6</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89"/>
      <c r="G60" s="189"/>
      <c r="H60" s="163"/>
      <c r="I60" s="153"/>
      <c r="J60" s="153"/>
      <c r="K60" s="189"/>
      <c r="L60" s="189"/>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89"/>
      <c r="G61" s="189"/>
      <c r="H61" s="163"/>
      <c r="I61" s="153"/>
      <c r="J61" s="153"/>
      <c r="K61" s="189"/>
      <c r="L61" s="189"/>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89"/>
      <c r="G62" s="189"/>
      <c r="H62" s="163"/>
      <c r="I62" s="153"/>
      <c r="J62" s="153"/>
      <c r="K62" s="189"/>
      <c r="L62" s="189"/>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239</v>
      </c>
    </row>
    <row r="2">
      <c r="C2" s="6"/>
    </row>
    <row r="3" ht="24.0" customHeight="1">
      <c r="A3" s="203"/>
      <c r="B3" s="204" t="s">
        <v>240</v>
      </c>
      <c r="C3" s="205"/>
    </row>
    <row r="4" ht="21.75" customHeight="1" outlineLevel="1">
      <c r="A4" s="206"/>
      <c r="B4" s="207" t="s">
        <v>241</v>
      </c>
      <c r="C4" s="208"/>
    </row>
    <row r="5" ht="21.75" customHeight="1" outlineLevel="1">
      <c r="A5" s="206"/>
      <c r="B5" s="209" t="s">
        <v>242</v>
      </c>
      <c r="C5" s="208"/>
    </row>
    <row r="6" ht="79.5" customHeight="1" outlineLevel="1">
      <c r="A6" s="206"/>
      <c r="B6" s="207" t="s">
        <v>243</v>
      </c>
      <c r="C6" s="208"/>
    </row>
    <row r="7" ht="21.75" customHeight="1" outlineLevel="1">
      <c r="A7" s="206"/>
      <c r="B7" s="209" t="s">
        <v>244</v>
      </c>
      <c r="C7" s="208"/>
    </row>
    <row r="8" ht="21.75" customHeight="1" outlineLevel="1">
      <c r="A8" s="206"/>
      <c r="B8" s="209" t="s">
        <v>245</v>
      </c>
      <c r="C8" s="208"/>
    </row>
    <row r="9" ht="21.75" customHeight="1" outlineLevel="1">
      <c r="A9" s="206"/>
      <c r="B9" s="209" t="s">
        <v>246</v>
      </c>
      <c r="C9" s="208"/>
    </row>
    <row r="10" ht="12.0" customHeight="1" outlineLevel="1">
      <c r="C10" s="6"/>
    </row>
    <row r="11" ht="24.0" customHeight="1">
      <c r="A11" s="203"/>
      <c r="B11" s="204" t="s">
        <v>247</v>
      </c>
      <c r="C11" s="205"/>
    </row>
    <row r="12" ht="21.75" customHeight="1" outlineLevel="1">
      <c r="A12" s="206"/>
      <c r="B12" s="207" t="s">
        <v>241</v>
      </c>
      <c r="C12" s="208"/>
    </row>
    <row r="13" ht="21.75" customHeight="1" outlineLevel="1">
      <c r="A13" s="206"/>
      <c r="B13" s="209" t="s">
        <v>242</v>
      </c>
      <c r="C13" s="208"/>
    </row>
    <row r="14" ht="79.5" customHeight="1" outlineLevel="1">
      <c r="A14" s="206"/>
      <c r="B14" s="207" t="s">
        <v>243</v>
      </c>
      <c r="C14" s="208"/>
    </row>
    <row r="15" ht="21.75" customHeight="1" outlineLevel="1">
      <c r="A15" s="206"/>
      <c r="B15" s="209" t="s">
        <v>244</v>
      </c>
      <c r="C15" s="208"/>
    </row>
    <row r="16" ht="21.75" customHeight="1" outlineLevel="1">
      <c r="A16" s="206"/>
      <c r="B16" s="209" t="s">
        <v>245</v>
      </c>
      <c r="C16" s="208"/>
    </row>
    <row r="17" ht="21.75" customHeight="1" outlineLevel="1">
      <c r="A17" s="206"/>
      <c r="B17" s="209" t="s">
        <v>246</v>
      </c>
      <c r="C17" s="208"/>
    </row>
    <row r="18" ht="12.0" customHeight="1" outlineLevel="1">
      <c r="C18" s="6"/>
    </row>
    <row r="19" ht="24.0" customHeight="1">
      <c r="A19" s="203"/>
      <c r="B19" s="204" t="s">
        <v>248</v>
      </c>
      <c r="C19" s="205"/>
    </row>
    <row r="20" ht="21.75" customHeight="1" outlineLevel="1">
      <c r="A20" s="206"/>
      <c r="B20" s="207" t="s">
        <v>241</v>
      </c>
      <c r="C20" s="208"/>
    </row>
    <row r="21" ht="21.75" customHeight="1" outlineLevel="1">
      <c r="A21" s="206"/>
      <c r="B21" s="209" t="s">
        <v>242</v>
      </c>
      <c r="C21" s="208"/>
    </row>
    <row r="22" ht="79.5" customHeight="1" outlineLevel="1">
      <c r="A22" s="206"/>
      <c r="B22" s="207" t="s">
        <v>243</v>
      </c>
      <c r="C22" s="208"/>
    </row>
    <row r="23" ht="21.75" customHeight="1" outlineLevel="1">
      <c r="A23" s="206"/>
      <c r="B23" s="209" t="s">
        <v>244</v>
      </c>
      <c r="C23" s="208"/>
    </row>
    <row r="24" ht="21.75" customHeight="1" outlineLevel="1">
      <c r="A24" s="206"/>
      <c r="B24" s="209" t="s">
        <v>245</v>
      </c>
      <c r="C24" s="208"/>
    </row>
    <row r="25" ht="21.75" customHeight="1" outlineLevel="1">
      <c r="A25" s="206"/>
      <c r="B25" s="209" t="s">
        <v>246</v>
      </c>
      <c r="C25" s="208"/>
    </row>
    <row r="26" ht="12.0" customHeight="1" outlineLevel="1">
      <c r="C26" s="6"/>
    </row>
    <row r="27" ht="24.0" customHeight="1">
      <c r="A27" s="203"/>
      <c r="B27" s="204" t="s">
        <v>249</v>
      </c>
      <c r="C27" s="205"/>
    </row>
    <row r="28" ht="21.75" customHeight="1" outlineLevel="1">
      <c r="A28" s="206"/>
      <c r="B28" s="207" t="s">
        <v>241</v>
      </c>
      <c r="C28" s="208"/>
    </row>
    <row r="29" ht="21.75" customHeight="1" outlineLevel="1">
      <c r="A29" s="206"/>
      <c r="B29" s="209" t="s">
        <v>242</v>
      </c>
      <c r="C29" s="208"/>
    </row>
    <row r="30" ht="79.5" customHeight="1" outlineLevel="1">
      <c r="A30" s="206"/>
      <c r="B30" s="207" t="s">
        <v>243</v>
      </c>
      <c r="C30" s="208"/>
    </row>
    <row r="31" ht="21.75" customHeight="1" outlineLevel="1">
      <c r="A31" s="206"/>
      <c r="B31" s="209" t="s">
        <v>244</v>
      </c>
      <c r="C31" s="208"/>
    </row>
    <row r="32" ht="21.75" customHeight="1" outlineLevel="1">
      <c r="A32" s="206"/>
      <c r="B32" s="209" t="s">
        <v>245</v>
      </c>
      <c r="C32" s="208"/>
    </row>
    <row r="33" ht="21.75" customHeight="1" outlineLevel="1">
      <c r="A33" s="206"/>
      <c r="B33" s="209" t="s">
        <v>246</v>
      </c>
      <c r="C33" s="208"/>
    </row>
    <row r="34" ht="12.0" customHeight="1" outlineLevel="1">
      <c r="C34" s="6"/>
    </row>
    <row r="35" ht="24.0" customHeight="1">
      <c r="A35" s="203"/>
      <c r="B35" s="204" t="s">
        <v>250</v>
      </c>
      <c r="C35" s="205"/>
    </row>
    <row r="36" ht="21.75" customHeight="1" outlineLevel="1">
      <c r="A36" s="206"/>
      <c r="B36" s="207" t="s">
        <v>241</v>
      </c>
      <c r="C36" s="208"/>
    </row>
    <row r="37" ht="21.75" customHeight="1" outlineLevel="1">
      <c r="A37" s="206"/>
      <c r="B37" s="209" t="s">
        <v>242</v>
      </c>
      <c r="C37" s="208"/>
    </row>
    <row r="38" ht="79.5" customHeight="1" outlineLevel="1">
      <c r="A38" s="206"/>
      <c r="B38" s="207" t="s">
        <v>243</v>
      </c>
      <c r="C38" s="208"/>
    </row>
    <row r="39" ht="21.75" customHeight="1" outlineLevel="1">
      <c r="A39" s="206"/>
      <c r="B39" s="209" t="s">
        <v>244</v>
      </c>
      <c r="C39" s="208"/>
    </row>
    <row r="40" ht="21.75" customHeight="1" outlineLevel="1">
      <c r="A40" s="206"/>
      <c r="B40" s="209" t="s">
        <v>245</v>
      </c>
      <c r="C40" s="208"/>
    </row>
    <row r="41" ht="21.75" customHeight="1" outlineLevel="1">
      <c r="A41" s="206"/>
      <c r="B41" s="209" t="s">
        <v>246</v>
      </c>
      <c r="C41" s="208"/>
    </row>
    <row r="42" ht="12.0" customHeight="1" outlineLevel="1">
      <c r="C42" s="6"/>
    </row>
    <row r="43" ht="24.0" customHeight="1">
      <c r="A43" s="203"/>
      <c r="B43" s="204" t="s">
        <v>251</v>
      </c>
      <c r="C43" s="205"/>
    </row>
    <row r="44" ht="21.75" customHeight="1" outlineLevel="1">
      <c r="A44" s="206"/>
      <c r="B44" s="207" t="s">
        <v>241</v>
      </c>
      <c r="C44" s="208"/>
    </row>
    <row r="45" ht="21.75" customHeight="1" outlineLevel="1">
      <c r="A45" s="206"/>
      <c r="B45" s="209" t="s">
        <v>242</v>
      </c>
      <c r="C45" s="208"/>
    </row>
    <row r="46" ht="79.5" customHeight="1" outlineLevel="1">
      <c r="A46" s="206"/>
      <c r="B46" s="207" t="s">
        <v>243</v>
      </c>
      <c r="C46" s="208"/>
    </row>
    <row r="47" ht="21.75" customHeight="1" outlineLevel="1">
      <c r="A47" s="206"/>
      <c r="B47" s="209" t="s">
        <v>244</v>
      </c>
      <c r="C47" s="208"/>
    </row>
    <row r="48" ht="21.75" customHeight="1" outlineLevel="1">
      <c r="A48" s="206"/>
      <c r="B48" s="209" t="s">
        <v>245</v>
      </c>
      <c r="C48" s="208"/>
    </row>
    <row r="49" ht="21.75" customHeight="1" outlineLevel="1">
      <c r="A49" s="206"/>
      <c r="B49" s="209" t="s">
        <v>246</v>
      </c>
      <c r="C49" s="208"/>
    </row>
    <row r="50" ht="12.0" customHeight="1" outlineLevel="1">
      <c r="C50" s="6"/>
    </row>
    <row r="51" ht="24.0" customHeight="1">
      <c r="A51" s="203"/>
      <c r="B51" s="204" t="s">
        <v>252</v>
      </c>
      <c r="C51" s="205"/>
    </row>
    <row r="52" ht="21.75" customHeight="1" outlineLevel="1">
      <c r="A52" s="206"/>
      <c r="B52" s="207" t="s">
        <v>241</v>
      </c>
      <c r="C52" s="208"/>
    </row>
    <row r="53" ht="21.75" customHeight="1" outlineLevel="1">
      <c r="A53" s="206"/>
      <c r="B53" s="209" t="s">
        <v>242</v>
      </c>
      <c r="C53" s="208"/>
    </row>
    <row r="54" ht="79.5" customHeight="1" outlineLevel="1">
      <c r="A54" s="206"/>
      <c r="B54" s="207" t="s">
        <v>243</v>
      </c>
      <c r="C54" s="208"/>
    </row>
    <row r="55" ht="21.75" customHeight="1" outlineLevel="1">
      <c r="A55" s="206"/>
      <c r="B55" s="209" t="s">
        <v>244</v>
      </c>
      <c r="C55" s="208"/>
    </row>
    <row r="56" ht="21.75" customHeight="1" outlineLevel="1">
      <c r="A56" s="206"/>
      <c r="B56" s="209" t="s">
        <v>245</v>
      </c>
      <c r="C56" s="208"/>
    </row>
    <row r="57" ht="21.75" customHeight="1" outlineLevel="1">
      <c r="A57" s="206"/>
      <c r="B57" s="209" t="s">
        <v>246</v>
      </c>
      <c r="C57" s="208"/>
    </row>
    <row r="58" ht="12.0" customHeight="1" outlineLevel="1">
      <c r="C58" s="6"/>
    </row>
    <row r="59" ht="24.0" customHeight="1">
      <c r="A59" s="203"/>
      <c r="B59" s="204" t="s">
        <v>253</v>
      </c>
      <c r="C59" s="205"/>
    </row>
    <row r="60" ht="21.75" customHeight="1" outlineLevel="1">
      <c r="A60" s="206"/>
      <c r="B60" s="207" t="s">
        <v>241</v>
      </c>
      <c r="C60" s="208"/>
    </row>
    <row r="61" ht="21.75" customHeight="1" outlineLevel="1">
      <c r="A61" s="206"/>
      <c r="B61" s="209" t="s">
        <v>242</v>
      </c>
      <c r="C61" s="208"/>
    </row>
    <row r="62" ht="79.5" customHeight="1" outlineLevel="1">
      <c r="A62" s="206"/>
      <c r="B62" s="207" t="s">
        <v>243</v>
      </c>
      <c r="C62" s="208"/>
    </row>
    <row r="63" ht="21.75" customHeight="1" outlineLevel="1">
      <c r="A63" s="206"/>
      <c r="B63" s="209" t="s">
        <v>244</v>
      </c>
      <c r="C63" s="208"/>
    </row>
    <row r="64" ht="21.75" customHeight="1" outlineLevel="1">
      <c r="A64" s="206"/>
      <c r="B64" s="209" t="s">
        <v>245</v>
      </c>
      <c r="C64" s="208"/>
    </row>
    <row r="65" ht="21.75" customHeight="1" outlineLevel="1">
      <c r="A65" s="206"/>
      <c r="B65" s="209" t="s">
        <v>246</v>
      </c>
      <c r="C65" s="208"/>
    </row>
    <row r="66" ht="12.0" customHeight="1" outlineLevel="1">
      <c r="C66" s="6"/>
    </row>
    <row r="67" ht="24.0" customHeight="1">
      <c r="A67" s="203"/>
      <c r="B67" s="204" t="s">
        <v>254</v>
      </c>
      <c r="C67" s="205"/>
    </row>
    <row r="68" ht="21.75" customHeight="1" outlineLevel="1">
      <c r="A68" s="206"/>
      <c r="B68" s="207" t="s">
        <v>241</v>
      </c>
      <c r="C68" s="208"/>
    </row>
    <row r="69" ht="21.75" customHeight="1" outlineLevel="1">
      <c r="A69" s="206"/>
      <c r="B69" s="209" t="s">
        <v>242</v>
      </c>
      <c r="C69" s="208"/>
    </row>
    <row r="70" ht="79.5" customHeight="1" outlineLevel="1">
      <c r="A70" s="206"/>
      <c r="B70" s="207" t="s">
        <v>243</v>
      </c>
      <c r="C70" s="208"/>
    </row>
    <row r="71" ht="21.75" customHeight="1" outlineLevel="1">
      <c r="A71" s="206"/>
      <c r="B71" s="209" t="s">
        <v>244</v>
      </c>
      <c r="C71" s="208"/>
    </row>
    <row r="72" ht="21.75" customHeight="1" outlineLevel="1">
      <c r="A72" s="206"/>
      <c r="B72" s="209" t="s">
        <v>245</v>
      </c>
      <c r="C72" s="208"/>
    </row>
    <row r="73" ht="21.75" customHeight="1" outlineLevel="1">
      <c r="A73" s="206"/>
      <c r="B73" s="209" t="s">
        <v>246</v>
      </c>
      <c r="C73" s="208"/>
    </row>
    <row r="74" ht="12.0" customHeight="1" outlineLevel="1">
      <c r="C74" s="6"/>
    </row>
    <row r="75" ht="24.0" customHeight="1">
      <c r="A75" s="203"/>
      <c r="B75" s="204" t="s">
        <v>255</v>
      </c>
      <c r="C75" s="205"/>
    </row>
    <row r="76" ht="21.75" customHeight="1" outlineLevel="1">
      <c r="A76" s="206"/>
      <c r="B76" s="207" t="s">
        <v>241</v>
      </c>
      <c r="C76" s="208"/>
    </row>
    <row r="77" ht="21.75" customHeight="1" outlineLevel="1">
      <c r="A77" s="206"/>
      <c r="B77" s="209" t="s">
        <v>242</v>
      </c>
      <c r="C77" s="208"/>
    </row>
    <row r="78" ht="79.5" customHeight="1" outlineLevel="1">
      <c r="A78" s="206"/>
      <c r="B78" s="207" t="s">
        <v>243</v>
      </c>
      <c r="C78" s="208"/>
    </row>
    <row r="79" ht="21.75" customHeight="1" outlineLevel="1">
      <c r="A79" s="206"/>
      <c r="B79" s="209" t="s">
        <v>244</v>
      </c>
      <c r="C79" s="208"/>
    </row>
    <row r="80" ht="21.75" customHeight="1" outlineLevel="1">
      <c r="A80" s="206"/>
      <c r="B80" s="209" t="s">
        <v>245</v>
      </c>
      <c r="C80" s="208"/>
    </row>
    <row r="81" ht="21.75" customHeight="1" outlineLevel="1">
      <c r="A81" s="206"/>
      <c r="B81" s="209" t="s">
        <v>246</v>
      </c>
      <c r="C81" s="208"/>
    </row>
    <row r="82" ht="12.0" customHeight="1" outlineLevel="1">
      <c r="C82" s="6"/>
    </row>
    <row r="83" ht="24.0" customHeight="1">
      <c r="A83" s="203"/>
      <c r="B83" s="204" t="s">
        <v>256</v>
      </c>
      <c r="C83" s="205"/>
    </row>
    <row r="84" ht="21.75" customHeight="1" outlineLevel="1">
      <c r="A84" s="206"/>
      <c r="B84" s="207" t="s">
        <v>241</v>
      </c>
      <c r="C84" s="208"/>
    </row>
    <row r="85" ht="21.75" customHeight="1" outlineLevel="1">
      <c r="A85" s="206"/>
      <c r="B85" s="209" t="s">
        <v>242</v>
      </c>
      <c r="C85" s="208"/>
    </row>
    <row r="86" ht="79.5" customHeight="1" outlineLevel="1">
      <c r="A86" s="206"/>
      <c r="B86" s="207" t="s">
        <v>243</v>
      </c>
      <c r="C86" s="208"/>
    </row>
    <row r="87" ht="21.75" customHeight="1" outlineLevel="1">
      <c r="A87" s="206"/>
      <c r="B87" s="209" t="s">
        <v>244</v>
      </c>
      <c r="C87" s="208"/>
    </row>
    <row r="88" ht="21.75" customHeight="1" outlineLevel="1">
      <c r="A88" s="206"/>
      <c r="B88" s="209" t="s">
        <v>245</v>
      </c>
      <c r="C88" s="208"/>
    </row>
    <row r="89" ht="21.75" customHeight="1" outlineLevel="1">
      <c r="A89" s="206"/>
      <c r="B89" s="209" t="s">
        <v>246</v>
      </c>
      <c r="C89" s="208"/>
    </row>
    <row r="90" ht="12.0" customHeight="1" outlineLevel="1">
      <c r="C90" s="6"/>
    </row>
    <row r="91" ht="24.0" customHeight="1">
      <c r="A91" s="203"/>
      <c r="B91" s="204" t="s">
        <v>257</v>
      </c>
      <c r="C91" s="205"/>
    </row>
    <row r="92" ht="21.75" customHeight="1" outlineLevel="1">
      <c r="A92" s="206"/>
      <c r="B92" s="207" t="s">
        <v>241</v>
      </c>
      <c r="C92" s="208"/>
    </row>
    <row r="93" ht="21.75" customHeight="1" outlineLevel="1">
      <c r="A93" s="206"/>
      <c r="B93" s="209" t="s">
        <v>242</v>
      </c>
      <c r="C93" s="208"/>
    </row>
    <row r="94" ht="79.5" customHeight="1" outlineLevel="1">
      <c r="A94" s="206"/>
      <c r="B94" s="207" t="s">
        <v>243</v>
      </c>
      <c r="C94" s="208"/>
    </row>
    <row r="95" ht="21.75" customHeight="1" outlineLevel="1">
      <c r="A95" s="206"/>
      <c r="B95" s="209" t="s">
        <v>244</v>
      </c>
      <c r="C95" s="208"/>
    </row>
    <row r="96" ht="21.75" customHeight="1" outlineLevel="1">
      <c r="A96" s="206"/>
      <c r="B96" s="209" t="s">
        <v>245</v>
      </c>
      <c r="C96" s="208"/>
    </row>
    <row r="97" ht="21.75" customHeight="1" outlineLevel="1">
      <c r="A97" s="206"/>
      <c r="B97" s="209" t="s">
        <v>246</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258</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259</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260</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261</v>
      </c>
      <c r="C5" s="223" t="s">
        <v>241</v>
      </c>
      <c r="D5" s="224" t="s">
        <v>51</v>
      </c>
      <c r="E5" s="225">
        <v>1.0</v>
      </c>
      <c r="F5" s="224" t="s">
        <v>81</v>
      </c>
      <c r="G5" s="224" t="s">
        <v>51</v>
      </c>
      <c r="H5" s="226"/>
      <c r="I5" s="227" t="s">
        <v>81</v>
      </c>
      <c r="J5" s="228" t="s">
        <v>53</v>
      </c>
      <c r="K5" s="226">
        <v>16.0</v>
      </c>
      <c r="L5" s="228" t="s">
        <v>81</v>
      </c>
      <c r="M5" s="224" t="s">
        <v>33</v>
      </c>
      <c r="N5" s="226"/>
      <c r="O5" s="228" t="s">
        <v>81</v>
      </c>
      <c r="P5" s="224" t="s">
        <v>56</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262</v>
      </c>
      <c r="D6" s="221" t="s">
        <v>263</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264</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265</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266</v>
      </c>
      <c r="C9" s="249" t="s">
        <v>267</v>
      </c>
      <c r="D9" s="250"/>
      <c r="E9" s="250"/>
      <c r="F9" s="250"/>
      <c r="G9" s="251"/>
      <c r="H9" s="250"/>
      <c r="I9" s="250"/>
      <c r="J9" s="252" t="s">
        <v>268</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269</v>
      </c>
      <c r="C10" s="253" t="s">
        <v>268</v>
      </c>
      <c r="D10" s="246"/>
      <c r="E10" s="246"/>
      <c r="F10" s="246"/>
      <c r="G10" s="254"/>
      <c r="H10" s="246"/>
      <c r="I10" s="246"/>
      <c r="J10" s="255" t="s">
        <v>268</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270</v>
      </c>
      <c r="C11" s="253" t="s">
        <v>271</v>
      </c>
      <c r="D11" s="246"/>
      <c r="E11" s="246"/>
      <c r="F11" s="246"/>
      <c r="G11" s="254"/>
      <c r="H11" s="246"/>
      <c r="I11" s="246"/>
      <c r="J11" s="255" t="s">
        <v>268</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272</v>
      </c>
      <c r="C12" s="256"/>
      <c r="D12" s="246"/>
      <c r="E12" s="246"/>
      <c r="F12" s="246"/>
      <c r="G12" s="254"/>
      <c r="H12" s="246"/>
      <c r="I12" s="246"/>
      <c r="J12" s="255" t="s">
        <v>267</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273</v>
      </c>
      <c r="C13" s="256"/>
      <c r="D13" s="246"/>
      <c r="E13" s="246"/>
      <c r="F13" s="246"/>
      <c r="G13" s="254"/>
      <c r="H13" s="246"/>
      <c r="I13" s="246"/>
      <c r="J13" s="255" t="s">
        <v>267</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274</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275</v>
      </c>
      <c r="C15" s="256"/>
      <c r="D15" s="246"/>
      <c r="E15" s="246"/>
      <c r="F15" s="246"/>
      <c r="G15" s="254"/>
      <c r="H15" s="246"/>
      <c r="I15" s="246"/>
      <c r="J15" s="255" t="s">
        <v>267</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276</v>
      </c>
      <c r="C16" s="256"/>
      <c r="D16" s="246"/>
      <c r="E16" s="246"/>
      <c r="F16" s="246"/>
      <c r="G16" s="254"/>
      <c r="H16" s="246"/>
      <c r="I16" s="246"/>
      <c r="J16" s="255" t="s">
        <v>271</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277</v>
      </c>
      <c r="C17" s="256"/>
      <c r="D17" s="246"/>
      <c r="E17" s="246"/>
      <c r="F17" s="246"/>
      <c r="G17" s="254"/>
      <c r="H17" s="246"/>
      <c r="I17" s="246"/>
      <c r="J17" s="255" t="s">
        <v>267</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278</v>
      </c>
      <c r="C18" s="260"/>
      <c r="D18" s="261"/>
      <c r="E18" s="261"/>
      <c r="F18" s="261"/>
      <c r="G18" s="262"/>
      <c r="H18" s="261"/>
      <c r="I18" s="261"/>
      <c r="J18" s="255" t="s">
        <v>267</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279</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280</v>
      </c>
      <c r="C20" s="265"/>
      <c r="D20" s="250"/>
      <c r="E20" s="250"/>
      <c r="F20" s="250"/>
      <c r="G20" s="251"/>
      <c r="H20" s="250"/>
      <c r="I20" s="250"/>
      <c r="J20" s="252" t="s">
        <v>271</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281</v>
      </c>
      <c r="C21" s="256"/>
      <c r="D21" s="246"/>
      <c r="E21" s="246"/>
      <c r="F21" s="246"/>
      <c r="G21" s="254"/>
      <c r="H21" s="246"/>
      <c r="I21" s="246"/>
      <c r="J21" s="255" t="s">
        <v>268</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282</v>
      </c>
      <c r="C22" s="256"/>
      <c r="D22" s="246"/>
      <c r="E22" s="246"/>
      <c r="F22" s="246"/>
      <c r="G22" s="254"/>
      <c r="H22" s="246"/>
      <c r="I22" s="246"/>
      <c r="J22" s="255" t="s">
        <v>268</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283</v>
      </c>
      <c r="C23" s="256"/>
      <c r="D23" s="246"/>
      <c r="E23" s="246"/>
      <c r="F23" s="246"/>
      <c r="G23" s="254"/>
      <c r="H23" s="246"/>
      <c r="I23" s="246"/>
      <c r="J23" s="255" t="s">
        <v>267</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284</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285</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286</v>
      </c>
      <c r="C26" s="253" t="s">
        <v>287</v>
      </c>
      <c r="D26" s="246"/>
      <c r="E26" s="246"/>
      <c r="F26" s="246"/>
      <c r="G26" s="254"/>
      <c r="H26" s="246"/>
      <c r="I26" s="246"/>
      <c r="J26" s="255" t="s">
        <v>288</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289</v>
      </c>
      <c r="C27" s="253" t="s">
        <v>288</v>
      </c>
      <c r="D27" s="246"/>
      <c r="E27" s="246"/>
      <c r="F27" s="246"/>
      <c r="G27" s="254"/>
      <c r="H27" s="246"/>
      <c r="I27" s="246"/>
      <c r="J27" s="255" t="s">
        <v>288</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290</v>
      </c>
      <c r="C28" s="253" t="s">
        <v>291</v>
      </c>
      <c r="D28" s="246"/>
      <c r="E28" s="246"/>
      <c r="F28" s="246"/>
      <c r="G28" s="254"/>
      <c r="H28" s="246"/>
      <c r="I28" s="246"/>
      <c r="J28" s="255" t="s">
        <v>291</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292</v>
      </c>
      <c r="C29" s="253" t="s">
        <v>293</v>
      </c>
      <c r="D29" s="246"/>
      <c r="E29" s="246"/>
      <c r="F29" s="246"/>
      <c r="G29" s="254"/>
      <c r="H29" s="246"/>
      <c r="I29" s="246"/>
      <c r="J29" s="255" t="s">
        <v>291</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294</v>
      </c>
      <c r="C30" s="253" t="s">
        <v>295</v>
      </c>
      <c r="D30" s="246"/>
      <c r="E30" s="246"/>
      <c r="F30" s="246"/>
      <c r="G30" s="254"/>
      <c r="H30" s="246"/>
      <c r="I30" s="246"/>
      <c r="J30" s="255" t="s">
        <v>288</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296</v>
      </c>
      <c r="C31" s="256"/>
      <c r="D31" s="246"/>
      <c r="E31" s="246"/>
      <c r="F31" s="246"/>
      <c r="G31" s="254"/>
      <c r="H31" s="246"/>
      <c r="I31" s="246"/>
      <c r="J31" s="255" t="s">
        <v>291</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297</v>
      </c>
      <c r="C32" s="260"/>
      <c r="D32" s="261"/>
      <c r="E32" s="261"/>
      <c r="F32" s="261"/>
      <c r="G32" s="262"/>
      <c r="H32" s="261"/>
      <c r="I32" s="261"/>
      <c r="J32" s="274" t="s">
        <v>293</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298</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299</v>
      </c>
      <c r="C34" s="265"/>
      <c r="D34" s="250"/>
      <c r="E34" s="250"/>
      <c r="F34" s="250"/>
      <c r="G34" s="251"/>
      <c r="H34" s="250"/>
      <c r="I34" s="250"/>
      <c r="J34" s="252" t="s">
        <v>291</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300</v>
      </c>
      <c r="C35" s="256"/>
      <c r="D35" s="246"/>
      <c r="E35" s="246"/>
      <c r="F35" s="246"/>
      <c r="G35" s="254"/>
      <c r="H35" s="246"/>
      <c r="I35" s="246"/>
      <c r="J35" s="255" t="s">
        <v>288</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301</v>
      </c>
      <c r="C36" s="256"/>
      <c r="D36" s="246"/>
      <c r="E36" s="246"/>
      <c r="F36" s="246"/>
      <c r="G36" s="254"/>
      <c r="H36" s="246"/>
      <c r="I36" s="246"/>
      <c r="J36" s="255" t="s">
        <v>287</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302</v>
      </c>
      <c r="C37" s="256"/>
      <c r="D37" s="246"/>
      <c r="E37" s="246"/>
      <c r="F37" s="246"/>
      <c r="G37" s="254"/>
      <c r="H37" s="246"/>
      <c r="I37" s="246"/>
      <c r="J37" s="255" t="s">
        <v>288</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303</v>
      </c>
      <c r="C38" s="256"/>
      <c r="D38" s="246"/>
      <c r="E38" s="246"/>
      <c r="F38" s="246"/>
      <c r="G38" s="254"/>
      <c r="H38" s="246"/>
      <c r="I38" s="246"/>
      <c r="J38" s="255" t="s">
        <v>287</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304</v>
      </c>
      <c r="C39" s="256"/>
      <c r="D39" s="246"/>
      <c r="E39" s="246"/>
      <c r="F39" s="246"/>
      <c r="G39" s="254"/>
      <c r="H39" s="246"/>
      <c r="I39" s="246"/>
      <c r="J39" s="255" t="s">
        <v>291</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305</v>
      </c>
      <c r="C40" s="256"/>
      <c r="D40" s="246"/>
      <c r="E40" s="246"/>
      <c r="F40" s="246"/>
      <c r="G40" s="254"/>
      <c r="H40" s="246"/>
      <c r="I40" s="246"/>
      <c r="J40" s="255" t="s">
        <v>288</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306</v>
      </c>
      <c r="C41" s="256"/>
      <c r="D41" s="246"/>
      <c r="E41" s="246"/>
      <c r="F41" s="246"/>
      <c r="G41" s="254"/>
      <c r="H41" s="246"/>
      <c r="I41" s="246"/>
      <c r="J41" s="255" t="s">
        <v>287</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307</v>
      </c>
      <c r="C42" s="256"/>
      <c r="D42" s="246"/>
      <c r="E42" s="246"/>
      <c r="F42" s="246"/>
      <c r="G42" s="254"/>
      <c r="H42" s="246"/>
      <c r="I42" s="246"/>
      <c r="J42" s="255" t="s">
        <v>288</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308</v>
      </c>
      <c r="C43" s="260"/>
      <c r="D43" s="261"/>
      <c r="E43" s="261"/>
      <c r="F43" s="261"/>
      <c r="G43" s="262"/>
      <c r="H43" s="261"/>
      <c r="I43" s="261"/>
      <c r="J43" s="274" t="s">
        <v>291</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309</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310</v>
      </c>
      <c r="C45" s="265"/>
      <c r="D45" s="250"/>
      <c r="E45" s="250"/>
      <c r="F45" s="250"/>
      <c r="G45" s="251"/>
      <c r="H45" s="250"/>
      <c r="I45" s="250"/>
      <c r="J45" s="252" t="s">
        <v>288</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311</v>
      </c>
      <c r="C46" s="256"/>
      <c r="D46" s="246"/>
      <c r="E46" s="246"/>
      <c r="F46" s="246"/>
      <c r="G46" s="254"/>
      <c r="H46" s="246"/>
      <c r="I46" s="246"/>
      <c r="J46" s="252" t="s">
        <v>288</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312</v>
      </c>
      <c r="C47" s="256"/>
      <c r="D47" s="246"/>
      <c r="E47" s="246"/>
      <c r="F47" s="246"/>
      <c r="G47" s="254"/>
      <c r="H47" s="246"/>
      <c r="I47" s="246"/>
      <c r="J47" s="252" t="s">
        <v>288</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313</v>
      </c>
      <c r="C48" s="260"/>
      <c r="D48" s="261"/>
      <c r="E48" s="261"/>
      <c r="F48" s="261"/>
      <c r="G48" s="262"/>
      <c r="H48" s="261"/>
      <c r="I48" s="261"/>
      <c r="J48" s="252" t="s">
        <v>288</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314</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315</v>
      </c>
      <c r="C50" s="265"/>
      <c r="D50" s="250"/>
      <c r="E50" s="250"/>
      <c r="F50" s="250"/>
      <c r="G50" s="251"/>
      <c r="H50" s="250"/>
      <c r="I50" s="250"/>
      <c r="J50" s="252" t="s">
        <v>288</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316</v>
      </c>
      <c r="C51" s="256"/>
      <c r="D51" s="246"/>
      <c r="E51" s="246"/>
      <c r="F51" s="246"/>
      <c r="G51" s="254"/>
      <c r="H51" s="246"/>
      <c r="I51" s="246"/>
      <c r="J51" s="252" t="s">
        <v>288</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317</v>
      </c>
      <c r="C52" s="277"/>
      <c r="D52" s="278"/>
      <c r="E52" s="278"/>
      <c r="F52" s="278"/>
      <c r="G52" s="279"/>
      <c r="H52" s="278"/>
      <c r="I52" s="278"/>
      <c r="J52" s="280" t="s">
        <v>288</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318</v>
      </c>
      <c r="C53" s="284" t="s">
        <v>319</v>
      </c>
      <c r="D53" s="250"/>
      <c r="E53" s="250"/>
      <c r="F53" s="250"/>
      <c r="G53" s="285"/>
      <c r="H53" s="250"/>
      <c r="I53" s="250"/>
      <c r="J53" s="284" t="s">
        <v>320</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321</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3453765.833</v>
      </c>
      <c r="F1" s="301">
        <f>BB23+BG40</f>
        <v>0</v>
      </c>
      <c r="G1" s="301">
        <f t="shared" ref="G1:H1" si="1">I8</f>
        <v>0</v>
      </c>
      <c r="H1" s="301">
        <f t="shared" si="1"/>
        <v>29409</v>
      </c>
      <c r="I1" s="302" t="str">
        <f>G8</f>
        <v>#DIV/0!</v>
      </c>
      <c r="J1" s="302" t="str">
        <f>AT7</f>
        <v>#DIV/0!</v>
      </c>
      <c r="K1" s="303">
        <f>AV44</f>
        <v>3</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IFERROR(__xludf.DUMMYFUNCTION("IMPORTRANGE(AT9,""日別集計!AI4"")"),42.0)</f>
        <v>42</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IFERROR(__xludf.DUMMYFUNCTION("IMPORTRANGE(""https://docs.google.com/spreadsheets/d/1QbHfX9wvC_RRupa4CCe_ZxA6O4e2Ap9vqX5hrZPeQRg/edit"",""date2_1!Q21"")/G5*COUNTIFS($E$13:$E$43,""&gt;0"")"),0.0)</f>
        <v>0</v>
      </c>
      <c r="J8" s="357">
        <f>IFERROR(__xludf.DUMMYFUNCTION("IMPORTRANGE(""https://docs.google.com/spreadsheets/d/1PIAlDmsTatDNi42y_Nu-aVFqvVCXfe6jiDJFQImKjZ0/edit#gid=630612029"",""R8_3!J21"")"),29409.0)</f>
        <v>29409</v>
      </c>
      <c r="K8" s="358">
        <f>BE24</f>
        <v>0</v>
      </c>
      <c r="L8" s="358">
        <f>BB30-BB23-AZ20-BG45-BG23+BE24</f>
        <v>-3453765.833</v>
      </c>
      <c r="M8" s="359">
        <f>L8-I8</f>
        <v>-3453765.833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t="str">
        <f t="shared" ref="E13:E43" si="3">if(G13="","",242)</f>
        <v/>
      </c>
      <c r="F13" s="402" t="str">
        <f t="shared" ref="F13:F43" si="4">if(G13="","",sum(G13:H13))</f>
        <v/>
      </c>
      <c r="G13" s="403"/>
      <c r="H13" s="404"/>
      <c r="I13" s="404"/>
      <c r="J13" s="405"/>
      <c r="K13" s="405"/>
      <c r="L13" s="404"/>
      <c r="M13" s="404"/>
      <c r="N13" s="404"/>
      <c r="O13" s="404"/>
      <c r="P13" s="405"/>
      <c r="Q13" s="405"/>
      <c r="R13" s="40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IFERROR(__xludf.DUMMYFUNCTION("FLATTEN('⚙️抽出用'!B5:AF5)"),138343.33333333337)</f>
        <v>138343.3333</v>
      </c>
      <c r="AU13" s="410" t="str">
        <f t="shared" ref="AU13:AU43" si="7">if(E13="","",iferror((AT13+AR13+$BF$23/if(month($D$5)=month(today()),day(today()),$G$5))/(AS13+(sum($BA$31:$BA$33)/$G$5)),""))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t="str">
        <f t="shared" si="3"/>
        <v/>
      </c>
      <c r="F14" s="402" t="str">
        <f t="shared" si="4"/>
        <v/>
      </c>
      <c r="G14" s="403"/>
      <c r="H14" s="418"/>
      <c r="I14" s="418"/>
      <c r="J14" s="419"/>
      <c r="K14" s="419"/>
      <c r="L14" s="418"/>
      <c r="M14" s="418"/>
      <c r="N14" s="418"/>
      <c r="O14" s="418"/>
      <c r="P14" s="419"/>
      <c r="Q14" s="419"/>
      <c r="R14" s="418"/>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IFERROR(__xludf.DUMMYFUNCTION("""COMPUTED_VALUE"""),117476.66666666666)</f>
        <v>117476.6667</v>
      </c>
      <c r="AU14" s="410" t="str">
        <f t="shared" si="7"/>
        <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t="str">
        <f t="shared" si="3"/>
        <v/>
      </c>
      <c r="F15" s="402" t="str">
        <f t="shared" si="4"/>
        <v/>
      </c>
      <c r="G15" s="403"/>
      <c r="H15" s="425"/>
      <c r="I15" s="425"/>
      <c r="J15" s="425"/>
      <c r="K15" s="425"/>
      <c r="L15" s="425"/>
      <c r="M15" s="425"/>
      <c r="N15" s="425"/>
      <c r="O15" s="425"/>
      <c r="P15" s="425"/>
      <c r="Q15" s="425"/>
      <c r="R15" s="425"/>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IFERROR(__xludf.DUMMYFUNCTION("""COMPUTED_VALUE"""),138653.3333333333)</f>
        <v>138653.3333</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t="str">
        <f t="shared" si="3"/>
        <v/>
      </c>
      <c r="F16" s="402" t="str">
        <f t="shared" si="4"/>
        <v/>
      </c>
      <c r="G16" s="403"/>
      <c r="H16" s="418"/>
      <c r="I16" s="418"/>
      <c r="J16" s="425"/>
      <c r="K16" s="425"/>
      <c r="L16" s="418"/>
      <c r="M16" s="418"/>
      <c r="N16" s="425"/>
      <c r="O16" s="418"/>
      <c r="P16" s="425"/>
      <c r="Q16" s="425"/>
      <c r="R16" s="418"/>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IFERROR(__xludf.DUMMYFUNCTION("""COMPUTED_VALUE"""),117467.49999999999)</f>
        <v>117467.5</v>
      </c>
      <c r="AU16" s="410" t="str">
        <f t="shared" si="7"/>
        <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t="str">
        <f t="shared" si="3"/>
        <v/>
      </c>
      <c r="F17" s="402" t="str">
        <f t="shared" si="4"/>
        <v/>
      </c>
      <c r="G17" s="403"/>
      <c r="H17" s="425"/>
      <c r="I17" s="425"/>
      <c r="J17" s="425"/>
      <c r="K17" s="425"/>
      <c r="L17" s="425"/>
      <c r="M17" s="425"/>
      <c r="N17" s="425"/>
      <c r="O17" s="425"/>
      <c r="P17" s="425"/>
      <c r="Q17" s="425"/>
      <c r="R17" s="425"/>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IFERROR(__xludf.DUMMYFUNCTION("""COMPUTED_VALUE"""),123510.83333333333)</f>
        <v>123510.8333</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t="str">
        <f t="shared" si="3"/>
        <v/>
      </c>
      <c r="F18" s="402" t="str">
        <f t="shared" si="4"/>
        <v/>
      </c>
      <c r="G18" s="403"/>
      <c r="H18" s="418"/>
      <c r="I18" s="418"/>
      <c r="J18" s="418"/>
      <c r="K18" s="418"/>
      <c r="L18" s="418"/>
      <c r="M18" s="418"/>
      <c r="N18" s="418"/>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IFERROR(__xludf.DUMMYFUNCTION("""COMPUTED_VALUE"""),119393.33333333336)</f>
        <v>119393.3333</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t="str">
        <f t="shared" si="3"/>
        <v/>
      </c>
      <c r="F19" s="402" t="str">
        <f t="shared" si="4"/>
        <v/>
      </c>
      <c r="G19" s="403"/>
      <c r="H19" s="425"/>
      <c r="I19" s="425"/>
      <c r="J19" s="425"/>
      <c r="K19" s="407"/>
      <c r="L19" s="425"/>
      <c r="M19" s="425"/>
      <c r="N19" s="407"/>
      <c r="O19" s="425"/>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IFERROR(__xludf.DUMMYFUNCTION("""COMPUTED_VALUE"""),126029.16666666667)</f>
        <v>126029.1667</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t="str">
        <f t="shared" si="3"/>
        <v/>
      </c>
      <c r="F20" s="402" t="str">
        <f t="shared" si="4"/>
        <v/>
      </c>
      <c r="G20" s="403"/>
      <c r="H20" s="418"/>
      <c r="I20" s="418"/>
      <c r="J20" s="418"/>
      <c r="K20" s="418"/>
      <c r="L20" s="418"/>
      <c r="M20" s="418"/>
      <c r="N20" s="418"/>
      <c r="O20" s="418"/>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IFERROR(__xludf.DUMMYFUNCTION("""COMPUTED_VALUE"""),127446.66666666667)</f>
        <v>127446.6667</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t="str">
        <f t="shared" si="3"/>
        <v/>
      </c>
      <c r="F21" s="402" t="str">
        <f t="shared" si="4"/>
        <v/>
      </c>
      <c r="G21" s="403"/>
      <c r="H21" s="425"/>
      <c r="I21" s="425"/>
      <c r="J21" s="425"/>
      <c r="K21" s="407"/>
      <c r="L21" s="425"/>
      <c r="M21" s="425"/>
      <c r="N21" s="425"/>
      <c r="O21" s="425"/>
      <c r="P21" s="407"/>
      <c r="Q21" s="407"/>
      <c r="R21" s="425"/>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IFERROR(__xludf.DUMMYFUNCTION("""COMPUTED_VALUE"""),125092.50000000001)</f>
        <v>125092.5</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t="str">
        <f t="shared" si="3"/>
        <v/>
      </c>
      <c r="F22" s="402" t="str">
        <f t="shared" si="4"/>
        <v/>
      </c>
      <c r="G22" s="403"/>
      <c r="H22" s="418"/>
      <c r="I22" s="418"/>
      <c r="J22" s="419"/>
      <c r="K22" s="419"/>
      <c r="L22" s="418"/>
      <c r="M22" s="418"/>
      <c r="N22" s="419"/>
      <c r="O22" s="418"/>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IFERROR(__xludf.DUMMYFUNCTION("""COMPUTED_VALUE"""),132403.3333333333)</f>
        <v>132403.3333</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t="str">
        <f t="shared" si="3"/>
        <v/>
      </c>
      <c r="F23" s="402" t="str">
        <f t="shared" si="4"/>
        <v/>
      </c>
      <c r="G23" s="403"/>
      <c r="H23" s="425"/>
      <c r="I23" s="425"/>
      <c r="J23" s="425"/>
      <c r="K23" s="425"/>
      <c r="L23" s="425"/>
      <c r="M23" s="425"/>
      <c r="N23" s="425"/>
      <c r="O23" s="425"/>
      <c r="P23" s="425"/>
      <c r="Q23" s="425"/>
      <c r="R23" s="425"/>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IFERROR(__xludf.DUMMYFUNCTION("""COMPUTED_VALUE"""),126582.49999999999)</f>
        <v>126582.5</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IFERROR(__xludf.DUMMYFUNCTION("IMPORTRANGE(AT9,""total!ai2"")"),3189325.833333333)</f>
        <v>3189325.833</v>
      </c>
      <c r="BF23" s="443">
        <f>IFERROR(__xludf.DUMMYFUNCTION("IMPORTRANGE(AT9,""total!an2"")"),264440.0)</f>
        <v>264440</v>
      </c>
      <c r="BG23" s="441">
        <f>sum(BE23:BF27)+BE20</f>
        <v>3453765.833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t="str">
        <f t="shared" si="3"/>
        <v/>
      </c>
      <c r="F24" s="402" t="str">
        <f t="shared" si="4"/>
        <v/>
      </c>
      <c r="G24" s="403"/>
      <c r="H24" s="418"/>
      <c r="I24" s="418"/>
      <c r="J24" s="418"/>
      <c r="K24" s="418"/>
      <c r="L24" s="418"/>
      <c r="M24" s="418"/>
      <c r="N24" s="418"/>
      <c r="O24" s="418"/>
      <c r="P24" s="418"/>
      <c r="Q24" s="418"/>
      <c r="R24" s="418"/>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IFERROR(__xludf.DUMMYFUNCTION("""COMPUTED_VALUE"""),129728.33333333331)</f>
        <v>129728.3333</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t="str">
        <f t="shared" si="3"/>
        <v/>
      </c>
      <c r="F25" s="402" t="str">
        <f t="shared" si="4"/>
        <v/>
      </c>
      <c r="G25" s="403"/>
      <c r="H25" s="425"/>
      <c r="I25" s="425"/>
      <c r="J25" s="425"/>
      <c r="K25" s="425"/>
      <c r="L25" s="425"/>
      <c r="M25" s="425"/>
      <c r="N25" s="425"/>
      <c r="O25" s="425"/>
      <c r="P25" s="425"/>
      <c r="Q25" s="425"/>
      <c r="R25" s="425"/>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IFERROR(__xludf.DUMMYFUNCTION("""COMPUTED_VALUE"""),110590.83333333333)</f>
        <v>110590.8333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t="str">
        <f t="shared" si="3"/>
        <v/>
      </c>
      <c r="F26" s="402" t="str">
        <f t="shared" si="4"/>
        <v/>
      </c>
      <c r="G26" s="403"/>
      <c r="H26" s="418"/>
      <c r="I26" s="418"/>
      <c r="J26" s="418"/>
      <c r="K26" s="418"/>
      <c r="L26" s="418"/>
      <c r="M26" s="418"/>
      <c r="N26" s="418"/>
      <c r="O26" s="418"/>
      <c r="P26" s="418"/>
      <c r="Q26" s="418"/>
      <c r="R26" s="418"/>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IFERROR(__xludf.DUMMYFUNCTION("""COMPUTED_VALUE"""),130047.5)</f>
        <v>130047.5</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t="str">
        <f t="shared" si="3"/>
        <v/>
      </c>
      <c r="F27" s="402" t="str">
        <f t="shared" si="4"/>
        <v/>
      </c>
      <c r="G27" s="403"/>
      <c r="H27" s="425"/>
      <c r="I27" s="425"/>
      <c r="J27" s="425"/>
      <c r="K27" s="425"/>
      <c r="L27" s="425"/>
      <c r="M27" s="425"/>
      <c r="N27" s="425"/>
      <c r="O27" s="425"/>
      <c r="P27" s="425"/>
      <c r="Q27" s="425"/>
      <c r="R27" s="425"/>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IFERROR(__xludf.DUMMYFUNCTION("""COMPUTED_VALUE"""),122288.33333333334)</f>
        <v>122288.3333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t="str">
        <f t="shared" si="3"/>
        <v/>
      </c>
      <c r="F28" s="402" t="str">
        <f t="shared" si="4"/>
        <v/>
      </c>
      <c r="G28" s="403"/>
      <c r="H28" s="418"/>
      <c r="I28" s="418"/>
      <c r="J28" s="418"/>
      <c r="K28" s="418"/>
      <c r="L28" s="418"/>
      <c r="M28" s="418"/>
      <c r="N28" s="418"/>
      <c r="O28" s="418"/>
      <c r="P28" s="418"/>
      <c r="Q28" s="418"/>
      <c r="R28" s="418"/>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IFERROR(__xludf.DUMMYFUNCTION("""COMPUTED_VALUE"""),133338.33333333334)</f>
        <v>133338.3333</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t="str">
        <f t="shared" si="3"/>
        <v/>
      </c>
      <c r="F29" s="402" t="str">
        <f t="shared" si="4"/>
        <v/>
      </c>
      <c r="G29" s="403"/>
      <c r="H29" s="425"/>
      <c r="I29" s="425"/>
      <c r="J29" s="425"/>
      <c r="K29" s="425"/>
      <c r="L29" s="425"/>
      <c r="M29" s="425"/>
      <c r="N29" s="425"/>
      <c r="O29" s="425"/>
      <c r="P29" s="425"/>
      <c r="Q29" s="425"/>
      <c r="R29" s="425"/>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IFERROR(__xludf.DUMMYFUNCTION("""COMPUTED_VALUE"""),132647.5)</f>
        <v>132647.5</v>
      </c>
      <c r="AU29" s="410" t="str">
        <f t="shared" si="7"/>
        <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t="str">
        <f t="shared" si="3"/>
        <v/>
      </c>
      <c r="F30" s="402" t="str">
        <f t="shared" si="4"/>
        <v/>
      </c>
      <c r="G30" s="403"/>
      <c r="H30" s="418"/>
      <c r="I30" s="418"/>
      <c r="J30" s="418"/>
      <c r="K30" s="418"/>
      <c r="L30" s="418"/>
      <c r="M30" s="418"/>
      <c r="N30" s="418"/>
      <c r="O30" s="418"/>
      <c r="P30" s="418"/>
      <c r="Q30" s="418"/>
      <c r="R30" s="418"/>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IFERROR(__xludf.DUMMYFUNCTION("""COMPUTED_VALUE"""),131926.66666666666)</f>
        <v>131926.6667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t="str">
        <f t="shared" si="3"/>
        <v/>
      </c>
      <c r="F31" s="402" t="str">
        <f t="shared" si="4"/>
        <v/>
      </c>
      <c r="G31" s="403"/>
      <c r="H31" s="418"/>
      <c r="I31" s="425"/>
      <c r="J31" s="425"/>
      <c r="K31" s="425"/>
      <c r="L31" s="425"/>
      <c r="M31" s="425"/>
      <c r="N31" s="425"/>
      <c r="O31" s="425"/>
      <c r="P31" s="425"/>
      <c r="Q31" s="425"/>
      <c r="R31" s="425"/>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IFERROR(__xludf.DUMMYFUNCTION("""COMPUTED_VALUE"""),110084.16666666666)</f>
        <v>110084.1667</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t="str">
        <f t="shared" si="3"/>
        <v/>
      </c>
      <c r="F32" s="402" t="str">
        <f t="shared" si="4"/>
        <v/>
      </c>
      <c r="G32" s="403"/>
      <c r="H32" s="418"/>
      <c r="I32" s="418"/>
      <c r="J32" s="418"/>
      <c r="K32" s="418"/>
      <c r="L32" s="418"/>
      <c r="M32" s="418"/>
      <c r="N32" s="418"/>
      <c r="O32" s="418"/>
      <c r="P32" s="418"/>
      <c r="Q32" s="418"/>
      <c r="R32" s="418"/>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IFERROR(__xludf.DUMMYFUNCTION("""COMPUTED_VALUE"""),110887.5)</f>
        <v>110887.5</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t="str">
        <f t="shared" si="3"/>
        <v/>
      </c>
      <c r="F33" s="402" t="str">
        <f t="shared" si="4"/>
        <v/>
      </c>
      <c r="G33" s="403"/>
      <c r="H33" s="418"/>
      <c r="I33" s="425"/>
      <c r="J33" s="425"/>
      <c r="K33" s="425"/>
      <c r="L33" s="425"/>
      <c r="M33" s="425"/>
      <c r="N33" s="425"/>
      <c r="O33" s="425"/>
      <c r="P33" s="425"/>
      <c r="Q33" s="425"/>
      <c r="R33" s="425"/>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IFERROR(__xludf.DUMMYFUNCTION("""COMPUTED_VALUE"""),126518.33333333331)</f>
        <v>126518.3333</v>
      </c>
      <c r="AU33" s="410" t="str">
        <f t="shared" si="7"/>
        <v/>
      </c>
      <c r="AV33" s="402">
        <f>countifs('🔵クレーム'!$C:$C,MONTH($D$5)&amp;"月",'🔵クレーム'!$D:$D,day(C33)&amp;"日",'🔵クレーム'!$I:$I,"&lt;&gt;")</f>
        <v>0</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t="str">
        <f t="shared" si="3"/>
        <v/>
      </c>
      <c r="F34" s="402" t="str">
        <f t="shared" si="4"/>
        <v/>
      </c>
      <c r="G34" s="464"/>
      <c r="H34" s="419"/>
      <c r="I34" s="419"/>
      <c r="J34" s="419"/>
      <c r="K34" s="419"/>
      <c r="L34" s="419"/>
      <c r="M34" s="419"/>
      <c r="N34" s="419"/>
      <c r="O34" s="419"/>
      <c r="P34" s="419"/>
      <c r="Q34" s="419"/>
      <c r="R34" s="419"/>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IFERROR(__xludf.DUMMYFUNCTION("""COMPUTED_VALUE"""),124991.66666666667)</f>
        <v>124991.6667</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t="str">
        <f t="shared" si="3"/>
        <v/>
      </c>
      <c r="F35" s="402" t="str">
        <f t="shared" si="4"/>
        <v/>
      </c>
      <c r="G35" s="419"/>
      <c r="H35" s="419"/>
      <c r="I35" s="419"/>
      <c r="J35" s="419"/>
      <c r="K35" s="419"/>
      <c r="L35" s="419"/>
      <c r="M35" s="419"/>
      <c r="N35" s="419"/>
      <c r="O35" s="419"/>
      <c r="P35" s="419"/>
      <c r="Q35" s="419"/>
      <c r="R35" s="419"/>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IFERROR(__xludf.DUMMYFUNCTION("""COMPUTED_VALUE"""),110599.16666666669)</f>
        <v>110599.1667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IFERROR(__xludf.DUMMYFUNCTION("""COMPUTED_VALUE"""),129704.16666666669)</f>
        <v>129704.1667</v>
      </c>
      <c r="AU36" s="410" t="str">
        <f t="shared" si="7"/>
        <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IFERROR(__xludf.DUMMYFUNCTION("""COMPUTED_VALUE"""),89884.16666666666)</f>
        <v>89884.16667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IFERROR(__xludf.DUMMYFUNCTION("""COMPUTED_VALUE"""),98189.99999999999)</f>
        <v>98190</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IFERROR(__xludf.DUMMYFUNCTION("""COMPUTED_VALUE"""),5500.0)</f>
        <v>5500</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3189325.833</v>
      </c>
      <c r="AU44" s="484" t="str">
        <f>AVERAGE(AU13:AU43)</f>
        <v>#DIV/0!</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434</v>
      </c>
      <c r="O2" s="533"/>
      <c r="P2" s="534"/>
      <c r="Q2" s="535"/>
      <c r="R2" s="535"/>
      <c r="S2" s="536"/>
      <c r="T2" s="535"/>
      <c r="U2" s="535"/>
      <c r="V2" s="535"/>
      <c r="W2" s="535"/>
      <c r="X2" s="535"/>
      <c r="Y2" s="537"/>
      <c r="Z2" s="296"/>
      <c r="AA2" s="296"/>
      <c r="AB2" s="296"/>
      <c r="AC2" s="296"/>
      <c r="AD2" s="296"/>
      <c r="AE2" s="296"/>
      <c r="AF2" s="538"/>
      <c r="AG2" s="539"/>
      <c r="AH2" s="540"/>
      <c r="AI2" s="541" t="s">
        <v>435</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46139</v>
      </c>
      <c r="C7" s="613"/>
      <c r="D7" s="528"/>
      <c r="E7" s="614">
        <f>today()+1</f>
        <v>46140</v>
      </c>
      <c r="F7" s="615"/>
      <c r="G7" s="528"/>
      <c r="H7" s="528"/>
      <c r="I7" s="616" t="s">
        <v>473</v>
      </c>
      <c r="J7" s="617" t="s">
        <v>474</v>
      </c>
      <c r="K7" s="618">
        <v>46143.0</v>
      </c>
      <c r="L7" s="619" t="s">
        <v>475</v>
      </c>
      <c r="M7" s="620" t="s">
        <v>476</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月</v>
      </c>
      <c r="D8" s="214"/>
      <c r="E8" s="629" t="s">
        <v>348</v>
      </c>
      <c r="F8" s="630" t="str">
        <f>TEXT(E7,"ddd")</f>
        <v>火</v>
      </c>
      <c r="G8" s="214"/>
      <c r="H8" s="214"/>
      <c r="I8" s="616"/>
      <c r="J8" s="631" t="s">
        <v>484</v>
      </c>
      <c r="K8" s="619" t="s">
        <v>485</v>
      </c>
      <c r="L8" s="632" t="s">
        <v>486</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487</v>
      </c>
      <c r="L9" s="638" t="s">
        <v>488</v>
      </c>
      <c r="M9" s="639" t="s">
        <v>489</v>
      </c>
      <c r="N9" s="640">
        <f t="array" ref="N9">SUM(COUNTIF(N11:N106, {"◎","〇","☆","共","特","浴"}))</f>
        <v>22</v>
      </c>
      <c r="O9" s="640">
        <f t="array" ref="O9">SUM(COUNTIF(O11:O106, {"◎","〇","☆","共","特","浴"}))</f>
        <v>21</v>
      </c>
      <c r="P9" s="640">
        <f t="array" ref="P9">SUM(COUNTIF(P11:P106, {"◎","〇","☆","共","特","浴"}))</f>
        <v>21</v>
      </c>
      <c r="Q9" s="640">
        <f t="array" ref="Q9">SUM(COUNTIF(Q11:Q106, {"◎","〇","☆","共","特","浴"}))</f>
        <v>22</v>
      </c>
      <c r="R9" s="640">
        <f t="array" ref="R9">SUM(COUNTIF(R11:R106, {"◎","〇","☆","共","特","浴"}))</f>
        <v>22</v>
      </c>
      <c r="S9" s="640">
        <f t="array" ref="S9">SUM(COUNTIF(S11:S106, {"◎","〇","☆","共","特","浴"}))</f>
        <v>21</v>
      </c>
      <c r="T9" s="640">
        <f t="array" ref="T9">SUM(COUNTIF(T11:T106, {"◎","〇","☆","共","特","浴"}))</f>
        <v>23</v>
      </c>
      <c r="U9" s="640">
        <f t="array" ref="U9">SUM(COUNTIF(U11:U106, {"◎","〇","☆","共","特","浴"}))</f>
        <v>25</v>
      </c>
      <c r="V9" s="640">
        <f t="array" ref="V9">SUM(COUNTIF(V11:V106, {"◎","〇","☆","共","特","浴"}))</f>
        <v>23</v>
      </c>
      <c r="W9" s="640">
        <f t="array" ref="W9">SUM(COUNTIF(W11:W106, {"◎","〇","☆","共","特","浴"}))</f>
        <v>23</v>
      </c>
      <c r="X9" s="640">
        <f t="array" ref="X9">SUM(COUNTIF(X11:X106, {"◎","〇","☆","共","特","浴"}))</f>
        <v>24</v>
      </c>
      <c r="Y9" s="640">
        <f t="array" ref="Y9">SUM(COUNTIF(Y11:Y106, {"◎","〇","☆","共","特","浴"}))</f>
        <v>23</v>
      </c>
      <c r="Z9" s="640">
        <f t="array" ref="Z9">SUM(COUNTIF(Z11:Z106, {"◎","〇","☆","共","特","浴"}))</f>
        <v>21</v>
      </c>
      <c r="AA9" s="640">
        <f t="array" ref="AA9">SUM(COUNTIF(AA11:AA106, {"◎","〇","☆","共","特","浴"}))</f>
        <v>24</v>
      </c>
      <c r="AB9" s="640">
        <f t="array" ref="AB9">SUM(COUNTIF(AB11:AB106, {"◎","〇","☆","共","特","浴"}))</f>
        <v>24</v>
      </c>
      <c r="AC9" s="640">
        <f t="array" ref="AC9">SUM(COUNTIF(AC11:AC106, {"◎","〇","☆","共","特","浴"}))</f>
        <v>23</v>
      </c>
      <c r="AD9" s="640">
        <f t="array" ref="AD9">SUM(COUNTIF(AD11:AD106, {"◎","〇","☆","共","特","浴"}))</f>
        <v>21</v>
      </c>
      <c r="AE9" s="640">
        <f t="array" ref="AE9">SUM(COUNTIF(AE11:AE106, {"◎","〇","☆","共","特","浴"}))</f>
        <v>23</v>
      </c>
      <c r="AF9" s="640">
        <f t="array" ref="AF9">SUM(COUNTIF(AF11:AF106, {"◎","〇","☆","共","特","浴"}))</f>
        <v>23</v>
      </c>
      <c r="AG9" s="640">
        <f t="array" ref="AG9">SUM(COUNTIF(AG11:AG106, {"◎","〇","☆","共","特","浴"}))</f>
        <v>19</v>
      </c>
      <c r="AH9" s="640">
        <f t="array" ref="AH9">SUM(COUNTIF(AH11:AH106, {"◎","〇","☆","共","特","浴"}))</f>
        <v>24</v>
      </c>
      <c r="AI9" s="640">
        <f t="array" ref="AI9">SUM(COUNTIF(AI11:AI106, {"◎","〇","☆","共","特","浴"}))</f>
        <v>22</v>
      </c>
      <c r="AJ9" s="640">
        <f t="array" ref="AJ9">SUM(COUNTIF(AJ11:AJ106, {"◎","〇","☆","共","特","浴"}))</f>
        <v>24</v>
      </c>
      <c r="AK9" s="640">
        <f t="array" ref="AK9">SUM(COUNTIF(AK11:AK106, {"◎","〇","☆","共","特","浴"}))</f>
        <v>22</v>
      </c>
      <c r="AL9" s="640">
        <f t="array" ref="AL9">SUM(COUNTIF(AL11:AL106, {"◎","〇","☆","共","特","浴"}))</f>
        <v>24</v>
      </c>
      <c r="AM9" s="640">
        <f t="array" ref="AM9">SUM(COUNTIF(AM11:AM106, {"◎","〇","☆","共","特","浴"}))</f>
        <v>22</v>
      </c>
      <c r="AN9" s="640">
        <f t="array" ref="AN9">SUM(COUNTIF(AN11:AN106, {"◎","〇","☆","共","特","浴"}))</f>
        <v>21</v>
      </c>
      <c r="AO9" s="640">
        <f t="array" ref="AO9">SUM(COUNTIF(AO11:AO106, {"◎","〇","☆","共","特","浴"}))</f>
        <v>25</v>
      </c>
      <c r="AP9" s="640">
        <f t="array" ref="AP9">SUM(COUNTIF(AP11:AP106, {"◎","〇","☆","共","特","浴"}))</f>
        <v>23</v>
      </c>
      <c r="AQ9" s="640">
        <f t="array" ref="AQ9">SUM(COUNTIF(AQ11:AQ106, {"◎","〇","☆","共","特","浴"}))</f>
        <v>22</v>
      </c>
      <c r="AR9" s="640">
        <f t="array" ref="AR9">SUM(COUNTIF(AR11:AR106, {"◎","〇","☆","共","特","浴"}))</f>
        <v>20</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7</v>
      </c>
      <c r="T10" s="640">
        <f t="array" ref="T10">SUM(COUNTIF(T11:T106, {"◎","☆"}))</f>
        <v>6</v>
      </c>
      <c r="U10" s="640">
        <f t="array" ref="U10">SUM(COUNTIF(U11:U106, {"◎","☆"}))</f>
        <v>7</v>
      </c>
      <c r="V10" s="640">
        <f t="array" ref="V10">SUM(COUNTIF(V11:V106, {"◎","☆"}))</f>
        <v>5</v>
      </c>
      <c r="W10" s="640">
        <f t="array" ref="W10">SUM(COUNTIF(W11:W106, {"◎","☆"}))</f>
        <v>5</v>
      </c>
      <c r="X10" s="640">
        <f t="array" ref="X10">SUM(COUNTIF(X11:X106, {"◎","☆"}))</f>
        <v>6</v>
      </c>
      <c r="Y10" s="640">
        <f t="array" ref="Y10">SUM(COUNTIF(Y11:Y106, {"◎","☆"}))</f>
        <v>6</v>
      </c>
      <c r="Z10" s="640">
        <f t="array" ref="Z10">SUM(COUNTIF(Z11:Z106, {"◎","☆"}))</f>
        <v>6</v>
      </c>
      <c r="AA10" s="640">
        <f t="array" ref="AA10">SUM(COUNTIF(AA11:AA106, {"◎","☆"}))</f>
        <v>5</v>
      </c>
      <c r="AB10" s="640">
        <f t="array" ref="AB10">SUM(COUNTIF(AB11:AB106, {"◎","☆"}))</f>
        <v>7</v>
      </c>
      <c r="AC10" s="640">
        <f t="array" ref="AC10">SUM(COUNTIF(AC11:AC106, {"◎","☆"}))</f>
        <v>5</v>
      </c>
      <c r="AD10" s="640">
        <f t="array" ref="AD10">SUM(COUNTIF(AD11:AD106, {"◎","☆"}))</f>
        <v>5</v>
      </c>
      <c r="AE10" s="640">
        <f t="array" ref="AE10">SUM(COUNTIF(AE11:AE106, {"◎","☆"}))</f>
        <v>5</v>
      </c>
      <c r="AF10" s="640">
        <f t="array" ref="AF10">SUM(COUNTIF(AF11:AF106, {"◎","☆"}))</f>
        <v>6</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5</v>
      </c>
      <c r="AL10" s="640">
        <f t="array" ref="AL10">SUM(COUNTIF(AL11:AL106, {"◎","☆"}))</f>
        <v>5</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c r="O11" s="554"/>
      <c r="P11" s="554"/>
      <c r="Q11" s="554"/>
      <c r="R11" s="554"/>
      <c r="S11" s="554"/>
      <c r="T11" s="554"/>
      <c r="U11" s="554" t="s">
        <v>493</v>
      </c>
      <c r="V11" s="554"/>
      <c r="W11" s="554"/>
      <c r="X11" s="554"/>
      <c r="Y11" s="554"/>
      <c r="Z11" s="554" t="s">
        <v>493</v>
      </c>
      <c r="AA11" s="554" t="s">
        <v>493</v>
      </c>
      <c r="AB11" s="554"/>
      <c r="AC11" s="554"/>
      <c r="AD11" s="554"/>
      <c r="AE11" s="554"/>
      <c r="AF11" s="554"/>
      <c r="AG11" s="554" t="s">
        <v>493</v>
      </c>
      <c r="AH11" s="554"/>
      <c r="AI11" s="554"/>
      <c r="AJ11" s="554"/>
      <c r="AK11" s="554"/>
      <c r="AL11" s="554"/>
      <c r="AM11" s="554"/>
      <c r="AN11" s="554" t="s">
        <v>493</v>
      </c>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t="s">
        <v>447</v>
      </c>
      <c r="O12" s="554" t="s">
        <v>466</v>
      </c>
      <c r="P12" s="554" t="s">
        <v>447</v>
      </c>
      <c r="Q12" s="554" t="s">
        <v>447</v>
      </c>
      <c r="R12" s="554" t="s">
        <v>447</v>
      </c>
      <c r="S12" s="554"/>
      <c r="T12" s="554"/>
      <c r="U12" s="554" t="s">
        <v>447</v>
      </c>
      <c r="V12" s="554" t="s">
        <v>447</v>
      </c>
      <c r="W12" s="554" t="s">
        <v>447</v>
      </c>
      <c r="X12" s="554"/>
      <c r="Y12" s="554" t="s">
        <v>447</v>
      </c>
      <c r="Z12" s="554" t="s">
        <v>447</v>
      </c>
      <c r="AA12" s="554"/>
      <c r="AB12" s="554" t="s">
        <v>447</v>
      </c>
      <c r="AC12" s="554" t="s">
        <v>447</v>
      </c>
      <c r="AD12" s="554" t="s">
        <v>447</v>
      </c>
      <c r="AE12" s="554" t="s">
        <v>447</v>
      </c>
      <c r="AF12" s="554"/>
      <c r="AG12" s="554" t="s">
        <v>447</v>
      </c>
      <c r="AH12" s="554" t="s">
        <v>466</v>
      </c>
      <c r="AI12" s="554" t="s">
        <v>447</v>
      </c>
      <c r="AJ12" s="554" t="s">
        <v>447</v>
      </c>
      <c r="AK12" s="554" t="s">
        <v>447</v>
      </c>
      <c r="AL12" s="554"/>
      <c r="AM12" s="554" t="s">
        <v>447</v>
      </c>
      <c r="AN12" s="554" t="s">
        <v>447</v>
      </c>
      <c r="AO12" s="554" t="s">
        <v>447</v>
      </c>
      <c r="AP12" s="554"/>
      <c r="AQ12" s="554" t="s">
        <v>447</v>
      </c>
      <c r="AR12" s="554" t="s">
        <v>447</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466</v>
      </c>
      <c r="O13" s="554" t="s">
        <v>466</v>
      </c>
      <c r="P13" s="554" t="s">
        <v>447</v>
      </c>
      <c r="Q13" s="554" t="s">
        <v>447</v>
      </c>
      <c r="R13" s="554"/>
      <c r="S13" s="554" t="s">
        <v>447</v>
      </c>
      <c r="T13" s="554" t="s">
        <v>447</v>
      </c>
      <c r="U13" s="554" t="s">
        <v>447</v>
      </c>
      <c r="V13" s="554"/>
      <c r="W13" s="554" t="s">
        <v>447</v>
      </c>
      <c r="X13" s="554" t="s">
        <v>447</v>
      </c>
      <c r="Y13" s="554" t="s">
        <v>447</v>
      </c>
      <c r="Z13" s="554" t="s">
        <v>447</v>
      </c>
      <c r="AA13" s="554"/>
      <c r="AB13" s="554" t="s">
        <v>447</v>
      </c>
      <c r="AC13" s="554" t="s">
        <v>447</v>
      </c>
      <c r="AD13" s="554" t="s">
        <v>447</v>
      </c>
      <c r="AE13" s="554"/>
      <c r="AF13" s="554" t="s">
        <v>447</v>
      </c>
      <c r="AG13" s="554" t="s">
        <v>447</v>
      </c>
      <c r="AH13" s="554" t="s">
        <v>447</v>
      </c>
      <c r="AI13" s="554"/>
      <c r="AJ13" s="554" t="s">
        <v>447</v>
      </c>
      <c r="AK13" s="554" t="s">
        <v>447</v>
      </c>
      <c r="AL13" s="554" t="s">
        <v>447</v>
      </c>
      <c r="AM13" s="554"/>
      <c r="AN13" s="554" t="s">
        <v>447</v>
      </c>
      <c r="AO13" s="554" t="s">
        <v>447</v>
      </c>
      <c r="AP13" s="554" t="s">
        <v>447</v>
      </c>
      <c r="AQ13" s="554"/>
      <c r="AR13" s="554" t="s">
        <v>447</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466</v>
      </c>
      <c r="O14" s="554" t="s">
        <v>447</v>
      </c>
      <c r="P14" s="554" t="s">
        <v>447</v>
      </c>
      <c r="Q14" s="554" t="s">
        <v>447</v>
      </c>
      <c r="R14" s="554" t="s">
        <v>447</v>
      </c>
      <c r="S14" s="554"/>
      <c r="T14" s="554" t="s">
        <v>447</v>
      </c>
      <c r="U14" s="554" t="s">
        <v>447</v>
      </c>
      <c r="V14" s="554"/>
      <c r="W14" s="554" t="s">
        <v>447</v>
      </c>
      <c r="X14" s="554" t="s">
        <v>447</v>
      </c>
      <c r="Y14" s="554" t="s">
        <v>447</v>
      </c>
      <c r="Z14" s="554"/>
      <c r="AA14" s="554" t="s">
        <v>447</v>
      </c>
      <c r="AB14" s="554" t="s">
        <v>447</v>
      </c>
      <c r="AC14" s="554"/>
      <c r="AD14" s="554" t="s">
        <v>447</v>
      </c>
      <c r="AE14" s="554" t="s">
        <v>447</v>
      </c>
      <c r="AF14" s="554" t="s">
        <v>447</v>
      </c>
      <c r="AG14" s="554"/>
      <c r="AH14" s="554" t="s">
        <v>447</v>
      </c>
      <c r="AI14" s="554" t="s">
        <v>447</v>
      </c>
      <c r="AJ14" s="554"/>
      <c r="AK14" s="554" t="s">
        <v>447</v>
      </c>
      <c r="AL14" s="554" t="s">
        <v>447</v>
      </c>
      <c r="AM14" s="554" t="s">
        <v>447</v>
      </c>
      <c r="AN14" s="554" t="s">
        <v>447</v>
      </c>
      <c r="AO14" s="554" t="s">
        <v>447</v>
      </c>
      <c r="AP14" s="554" t="s">
        <v>466</v>
      </c>
      <c r="AQ14" s="554" t="s">
        <v>466</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t="s">
        <v>447</v>
      </c>
      <c r="Q15" s="554"/>
      <c r="R15" s="554" t="s">
        <v>447</v>
      </c>
      <c r="S15" s="554" t="s">
        <v>447</v>
      </c>
      <c r="T15" s="554" t="s">
        <v>447</v>
      </c>
      <c r="U15" s="554" t="s">
        <v>466</v>
      </c>
      <c r="V15" s="554" t="s">
        <v>447</v>
      </c>
      <c r="W15" s="554" t="s">
        <v>447</v>
      </c>
      <c r="X15" s="554" t="s">
        <v>447</v>
      </c>
      <c r="Y15" s="554"/>
      <c r="Z15" s="554" t="s">
        <v>447</v>
      </c>
      <c r="AA15" s="554" t="s">
        <v>447</v>
      </c>
      <c r="AB15" s="554" t="s">
        <v>447</v>
      </c>
      <c r="AC15" s="554"/>
      <c r="AD15" s="554" t="s">
        <v>447</v>
      </c>
      <c r="AE15" s="554" t="s">
        <v>447</v>
      </c>
      <c r="AF15" s="554" t="s">
        <v>447</v>
      </c>
      <c r="AG15" s="554"/>
      <c r="AH15" s="554" t="s">
        <v>466</v>
      </c>
      <c r="AI15" s="554" t="s">
        <v>447</v>
      </c>
      <c r="AJ15" s="554"/>
      <c r="AK15" s="554" t="s">
        <v>447</v>
      </c>
      <c r="AL15" s="554" t="s">
        <v>447</v>
      </c>
      <c r="AM15" s="554" t="s">
        <v>447</v>
      </c>
      <c r="AN15" s="554"/>
      <c r="AO15" s="554"/>
      <c r="AP15" s="554" t="s">
        <v>447</v>
      </c>
      <c r="AQ15" s="554" t="s">
        <v>447</v>
      </c>
      <c r="AR15" s="554" t="s">
        <v>447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t="s">
        <v>447</v>
      </c>
      <c r="O17" s="554" t="s">
        <v>447</v>
      </c>
      <c r="P17" s="554"/>
      <c r="Q17" s="554" t="s">
        <v>447</v>
      </c>
      <c r="R17" s="554" t="s">
        <v>447</v>
      </c>
      <c r="S17" s="554" t="s">
        <v>447</v>
      </c>
      <c r="T17" s="554" t="s">
        <v>447</v>
      </c>
      <c r="U17" s="554" t="s">
        <v>447</v>
      </c>
      <c r="V17" s="554" t="s">
        <v>447</v>
      </c>
      <c r="W17" s="554"/>
      <c r="X17" s="554" t="s">
        <v>447</v>
      </c>
      <c r="Y17" s="554" t="s">
        <v>447</v>
      </c>
      <c r="Z17" s="554" t="s">
        <v>447</v>
      </c>
      <c r="AA17" s="554" t="s">
        <v>447</v>
      </c>
      <c r="AB17" s="554" t="s">
        <v>447</v>
      </c>
      <c r="AC17" s="554" t="s">
        <v>447</v>
      </c>
      <c r="AD17" s="554"/>
      <c r="AE17" s="554" t="s">
        <v>447</v>
      </c>
      <c r="AF17" s="554" t="s">
        <v>447</v>
      </c>
      <c r="AG17" s="554" t="s">
        <v>447</v>
      </c>
      <c r="AH17" s="554" t="s">
        <v>447</v>
      </c>
      <c r="AI17" s="554" t="s">
        <v>447</v>
      </c>
      <c r="AJ17" s="554" t="s">
        <v>447</v>
      </c>
      <c r="AK17" s="554"/>
      <c r="AL17" s="554" t="s">
        <v>447</v>
      </c>
      <c r="AM17" s="554" t="s">
        <v>447</v>
      </c>
      <c r="AN17" s="554" t="s">
        <v>447</v>
      </c>
      <c r="AO17" s="554" t="s">
        <v>447</v>
      </c>
      <c r="AP17" s="554" t="s">
        <v>447</v>
      </c>
      <c r="AQ17" s="554" t="s">
        <v>447</v>
      </c>
      <c r="AR17" s="640"/>
      <c r="AS17" s="645">
        <f t="array" ref="AS17">SUM(COUNTIF(N17:AR17, {"◎","〇","☆","共","特","浴"}))</f>
        <v>26</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t="s">
        <v>447</v>
      </c>
      <c r="P18" s="554" t="s">
        <v>447</v>
      </c>
      <c r="Q18" s="554"/>
      <c r="R18" s="554"/>
      <c r="S18" s="554" t="s">
        <v>447</v>
      </c>
      <c r="T18" s="554"/>
      <c r="U18" s="554"/>
      <c r="V18" s="554" t="s">
        <v>447</v>
      </c>
      <c r="W18" s="554" t="s">
        <v>447</v>
      </c>
      <c r="X18" s="554"/>
      <c r="Y18" s="554"/>
      <c r="Z18" s="554"/>
      <c r="AA18" s="554"/>
      <c r="AB18" s="554"/>
      <c r="AC18" s="554" t="s">
        <v>447</v>
      </c>
      <c r="AD18" s="554" t="s">
        <v>447</v>
      </c>
      <c r="AE18" s="554"/>
      <c r="AF18" s="554"/>
      <c r="AG18" s="554"/>
      <c r="AH18" s="554"/>
      <c r="AI18" s="554"/>
      <c r="AJ18" s="554" t="s">
        <v>447</v>
      </c>
      <c r="AK18" s="554" t="s">
        <v>447</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447</v>
      </c>
      <c r="O19" s="554" t="s">
        <v>447</v>
      </c>
      <c r="P19" s="554"/>
      <c r="Q19" s="554"/>
      <c r="R19" s="554" t="s">
        <v>447</v>
      </c>
      <c r="S19" s="554" t="s">
        <v>447</v>
      </c>
      <c r="T19" s="554" t="s">
        <v>447</v>
      </c>
      <c r="U19" s="554" t="s">
        <v>447</v>
      </c>
      <c r="V19" s="554" t="s">
        <v>447</v>
      </c>
      <c r="W19" s="554"/>
      <c r="X19" s="554"/>
      <c r="Y19" s="554" t="s">
        <v>447</v>
      </c>
      <c r="Z19" s="554" t="s">
        <v>447</v>
      </c>
      <c r="AA19" s="554" t="s">
        <v>447</v>
      </c>
      <c r="AB19" s="554" t="s">
        <v>447</v>
      </c>
      <c r="AC19" s="554" t="s">
        <v>447</v>
      </c>
      <c r="AD19" s="554"/>
      <c r="AE19" s="554"/>
      <c r="AF19" s="554" t="s">
        <v>447</v>
      </c>
      <c r="AG19" s="554" t="s">
        <v>447</v>
      </c>
      <c r="AH19" s="554" t="s">
        <v>447</v>
      </c>
      <c r="AI19" s="554" t="s">
        <v>447</v>
      </c>
      <c r="AJ19" s="554" t="s">
        <v>447</v>
      </c>
      <c r="AK19" s="554"/>
      <c r="AL19" s="554"/>
      <c r="AM19" s="554" t="s">
        <v>447</v>
      </c>
      <c r="AN19" s="554" t="s">
        <v>447</v>
      </c>
      <c r="AO19" s="554" t="s">
        <v>447</v>
      </c>
      <c r="AP19" s="554" t="s">
        <v>447</v>
      </c>
      <c r="AQ19" s="554" t="s">
        <v>447</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#N/A</v>
      </c>
      <c r="D20" s="214"/>
      <c r="E20" s="627" t="str">
        <f t="shared" si="6"/>
        <v>中山</v>
      </c>
      <c r="F20" s="636" t="str">
        <f t="shared" si="7"/>
        <v>#N/A</v>
      </c>
      <c r="G20" s="214"/>
      <c r="H20" s="214"/>
      <c r="I20" s="169" t="b">
        <v>0</v>
      </c>
      <c r="J20" s="617"/>
      <c r="K20" s="637" t="s">
        <v>495</v>
      </c>
      <c r="L20" s="638"/>
      <c r="M20" s="644"/>
      <c r="N20" s="554"/>
      <c r="O20" s="554"/>
      <c r="P20" s="554"/>
      <c r="Q20" s="554"/>
      <c r="R20" s="554"/>
      <c r="S20" s="554" t="s">
        <v>447</v>
      </c>
      <c r="T20" s="554"/>
      <c r="U20" s="554" t="s">
        <v>447</v>
      </c>
      <c r="V20" s="554"/>
      <c r="W20" s="554"/>
      <c r="X20" s="554" t="s">
        <v>447</v>
      </c>
      <c r="Y20" s="554"/>
      <c r="Z20" s="554"/>
      <c r="AA20" s="554"/>
      <c r="AB20" s="554"/>
      <c r="AC20" s="554"/>
      <c r="AD20" s="554"/>
      <c r="AE20" s="554"/>
      <c r="AF20" s="554"/>
      <c r="AG20" s="554" t="s">
        <v>447</v>
      </c>
      <c r="AH20" s="554"/>
      <c r="AI20" s="554"/>
      <c r="AJ20" s="554"/>
      <c r="AK20" s="554"/>
      <c r="AL20" s="554" t="s">
        <v>447</v>
      </c>
      <c r="AM20" s="554"/>
      <c r="AN20" s="554" t="s">
        <v>447</v>
      </c>
      <c r="AO20" s="554"/>
      <c r="AP20" s="554"/>
      <c r="AQ20" s="554" t="s">
        <v>447</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#N/A</v>
      </c>
      <c r="D21" s="214"/>
      <c r="E21" s="627" t="str">
        <f t="shared" si="6"/>
        <v>吉野</v>
      </c>
      <c r="F21" s="636" t="str">
        <f t="shared" si="7"/>
        <v>#N/A</v>
      </c>
      <c r="G21" s="214"/>
      <c r="H21" s="214"/>
      <c r="I21" s="169" t="b">
        <v>0</v>
      </c>
      <c r="J21" s="617"/>
      <c r="K21" s="637" t="s">
        <v>496</v>
      </c>
      <c r="L21" s="638"/>
      <c r="M21" s="644"/>
      <c r="N21" s="554" t="s">
        <v>447</v>
      </c>
      <c r="O21" s="554"/>
      <c r="P21" s="554"/>
      <c r="Q21" s="554" t="s">
        <v>447</v>
      </c>
      <c r="R21" s="554" t="s">
        <v>447</v>
      </c>
      <c r="S21" s="554" t="s">
        <v>447</v>
      </c>
      <c r="T21" s="554" t="s">
        <v>447</v>
      </c>
      <c r="U21" s="554" t="s">
        <v>447</v>
      </c>
      <c r="V21" s="554"/>
      <c r="W21" s="554"/>
      <c r="X21" s="554" t="s">
        <v>447</v>
      </c>
      <c r="Y21" s="554" t="s">
        <v>447</v>
      </c>
      <c r="Z21" s="554" t="s">
        <v>447</v>
      </c>
      <c r="AA21" s="554" t="s">
        <v>447</v>
      </c>
      <c r="AB21" s="554" t="s">
        <v>447</v>
      </c>
      <c r="AC21" s="554"/>
      <c r="AD21" s="554"/>
      <c r="AE21" s="554" t="s">
        <v>447</v>
      </c>
      <c r="AF21" s="554" t="s">
        <v>447</v>
      </c>
      <c r="AG21" s="554" t="s">
        <v>447</v>
      </c>
      <c r="AH21" s="554" t="s">
        <v>447</v>
      </c>
      <c r="AI21" s="554"/>
      <c r="AJ21" s="554"/>
      <c r="AK21" s="554"/>
      <c r="AL21" s="554"/>
      <c r="AM21" s="554"/>
      <c r="AN21" s="554"/>
      <c r="AO21" s="554" t="s">
        <v>447</v>
      </c>
      <c r="AP21" s="554" t="s">
        <v>447</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53" t="s">
        <v>267</v>
      </c>
      <c r="N41" s="640">
        <f t="shared" ref="N41:P41" si="8">COUNTIF(N47:N106,"〇")+countif(N14:N40,"〇")</f>
        <v>17</v>
      </c>
      <c r="O41" s="640">
        <f t="shared" si="8"/>
        <v>16</v>
      </c>
      <c r="P41" s="640">
        <f t="shared" si="8"/>
        <v>16</v>
      </c>
      <c r="Q41" s="640">
        <f t="shared" ref="Q41:AR41" si="9">COUNTIF(Q47:Q106,"〇")+countif(Q$11:Q$40,"〇")</f>
        <v>17</v>
      </c>
      <c r="R41" s="640">
        <f t="shared" si="9"/>
        <v>16</v>
      </c>
      <c r="S41" s="640">
        <f t="shared" si="9"/>
        <v>14</v>
      </c>
      <c r="T41" s="640">
        <f t="shared" si="9"/>
        <v>17</v>
      </c>
      <c r="U41" s="640">
        <f t="shared" si="9"/>
        <v>18</v>
      </c>
      <c r="V41" s="640">
        <f t="shared" si="9"/>
        <v>18</v>
      </c>
      <c r="W41" s="640">
        <f t="shared" si="9"/>
        <v>18</v>
      </c>
      <c r="X41" s="640">
        <f t="shared" si="9"/>
        <v>18</v>
      </c>
      <c r="Y41" s="640">
        <f t="shared" si="9"/>
        <v>17</v>
      </c>
      <c r="Z41" s="640">
        <f t="shared" si="9"/>
        <v>15</v>
      </c>
      <c r="AA41" s="640">
        <f t="shared" si="9"/>
        <v>19</v>
      </c>
      <c r="AB41" s="640">
        <f t="shared" si="9"/>
        <v>17</v>
      </c>
      <c r="AC41" s="640">
        <f t="shared" si="9"/>
        <v>18</v>
      </c>
      <c r="AD41" s="640">
        <f t="shared" si="9"/>
        <v>16</v>
      </c>
      <c r="AE41" s="640">
        <f t="shared" si="9"/>
        <v>18</v>
      </c>
      <c r="AF41" s="640">
        <f t="shared" si="9"/>
        <v>17</v>
      </c>
      <c r="AG41" s="640">
        <f t="shared" si="9"/>
        <v>13</v>
      </c>
      <c r="AH41" s="640">
        <f t="shared" si="9"/>
        <v>19</v>
      </c>
      <c r="AI41" s="640">
        <f t="shared" si="9"/>
        <v>17</v>
      </c>
      <c r="AJ41" s="640">
        <f t="shared" si="9"/>
        <v>19</v>
      </c>
      <c r="AK41" s="640">
        <f t="shared" si="9"/>
        <v>17</v>
      </c>
      <c r="AL41" s="640">
        <f t="shared" si="9"/>
        <v>19</v>
      </c>
      <c r="AM41" s="640">
        <f t="shared" si="9"/>
        <v>17</v>
      </c>
      <c r="AN41" s="640">
        <f t="shared" si="9"/>
        <v>15</v>
      </c>
      <c r="AO41" s="640">
        <f t="shared" si="9"/>
        <v>19</v>
      </c>
      <c r="AP41" s="640">
        <f t="shared" si="9"/>
        <v>18</v>
      </c>
      <c r="AQ41" s="640">
        <f t="shared" si="9"/>
        <v>17</v>
      </c>
      <c r="AR41" s="640">
        <f t="shared" si="9"/>
        <v>16</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657"/>
      <c r="N43" s="640">
        <f t="shared" ref="N43:AR43" si="13">sumif(N47:N106,"〇",$J47:$J106)+sumif(N11:N40,"〇",$J11:$J40)</f>
        <v>203</v>
      </c>
      <c r="O43" s="640">
        <f t="shared" si="13"/>
        <v>191</v>
      </c>
      <c r="P43" s="640">
        <f t="shared" si="13"/>
        <v>195</v>
      </c>
      <c r="Q43" s="640">
        <f t="shared" si="13"/>
        <v>197</v>
      </c>
      <c r="R43" s="640">
        <f t="shared" si="13"/>
        <v>171</v>
      </c>
      <c r="S43" s="640">
        <f t="shared" si="13"/>
        <v>149</v>
      </c>
      <c r="T43" s="640">
        <f t="shared" si="13"/>
        <v>196</v>
      </c>
      <c r="U43" s="640">
        <f t="shared" si="13"/>
        <v>213</v>
      </c>
      <c r="V43" s="640">
        <f t="shared" si="13"/>
        <v>219</v>
      </c>
      <c r="W43" s="640">
        <f t="shared" si="13"/>
        <v>221</v>
      </c>
      <c r="X43" s="640">
        <f t="shared" si="13"/>
        <v>206</v>
      </c>
      <c r="Y43" s="640">
        <f t="shared" si="13"/>
        <v>191</v>
      </c>
      <c r="Z43" s="640">
        <f t="shared" si="13"/>
        <v>150</v>
      </c>
      <c r="AA43" s="640">
        <f t="shared" si="13"/>
        <v>214</v>
      </c>
      <c r="AB43" s="640">
        <f t="shared" si="13"/>
        <v>197</v>
      </c>
      <c r="AC43" s="640">
        <f t="shared" si="13"/>
        <v>213</v>
      </c>
      <c r="AD43" s="640">
        <f t="shared" si="13"/>
        <v>195</v>
      </c>
      <c r="AE43" s="640">
        <f t="shared" si="13"/>
        <v>206</v>
      </c>
      <c r="AF43" s="640">
        <f t="shared" si="13"/>
        <v>191</v>
      </c>
      <c r="AG43" s="640">
        <f t="shared" si="13"/>
        <v>133</v>
      </c>
      <c r="AH43" s="640">
        <f t="shared" si="13"/>
        <v>214</v>
      </c>
      <c r="AI43" s="640">
        <f t="shared" si="13"/>
        <v>203</v>
      </c>
      <c r="AJ43" s="640">
        <f t="shared" si="13"/>
        <v>231</v>
      </c>
      <c r="AK43" s="640">
        <f t="shared" si="13"/>
        <v>208</v>
      </c>
      <c r="AL43" s="640">
        <f t="shared" si="13"/>
        <v>213</v>
      </c>
      <c r="AM43" s="640">
        <f t="shared" si="13"/>
        <v>191</v>
      </c>
      <c r="AN43" s="640">
        <f t="shared" si="13"/>
        <v>150</v>
      </c>
      <c r="AO43" s="640">
        <f t="shared" si="13"/>
        <v>214</v>
      </c>
      <c r="AP43" s="640">
        <f t="shared" si="13"/>
        <v>218</v>
      </c>
      <c r="AQ43" s="640">
        <f t="shared" si="13"/>
        <v>203</v>
      </c>
      <c r="AR43" s="640">
        <f t="shared" si="13"/>
        <v>189</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53" t="s">
        <v>503</v>
      </c>
      <c r="N44" s="554">
        <v>166.0</v>
      </c>
      <c r="O44" s="554">
        <v>194.0</v>
      </c>
      <c r="P44" s="554">
        <v>235.0</v>
      </c>
      <c r="Q44" s="554">
        <v>237.0</v>
      </c>
      <c r="R44" s="554"/>
      <c r="S44" s="554"/>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4">K47</f>
        <v>ランテ</v>
      </c>
      <c r="C47" s="636" t="str">
        <f t="shared" ref="C47:C106" si="15">if(B47="","", xlookup($B$7,$N$7:$AR$7,$N47:$AR47))</f>
        <v>#N/A</v>
      </c>
      <c r="D47" s="214"/>
      <c r="E47" s="627" t="str">
        <f t="shared" ref="E47:E106" si="16">K47</f>
        <v>ランテ</v>
      </c>
      <c r="F47" s="636" t="str">
        <f t="shared" ref="F47:F105" si="17">if(E47="","", xlookup($E$7,$N$7:$AR$7,$N47:$AR47))</f>
        <v>#N/A</v>
      </c>
      <c r="G47" s="214"/>
      <c r="H47" s="214"/>
      <c r="I47" s="169" t="b">
        <v>0</v>
      </c>
      <c r="J47" s="617">
        <v>13.0</v>
      </c>
      <c r="K47" s="661" t="s">
        <v>505</v>
      </c>
      <c r="L47" s="638"/>
      <c r="M47" s="651"/>
      <c r="N47" s="554"/>
      <c r="O47" s="554"/>
      <c r="P47" s="554"/>
      <c r="Q47" s="554" t="s">
        <v>267</v>
      </c>
      <c r="R47" s="554" t="s">
        <v>267</v>
      </c>
      <c r="S47" s="554" t="s">
        <v>267</v>
      </c>
      <c r="T47" s="554" t="s">
        <v>267</v>
      </c>
      <c r="U47" s="554"/>
      <c r="V47" s="554"/>
      <c r="W47" s="554"/>
      <c r="X47" s="554" t="s">
        <v>267</v>
      </c>
      <c r="Y47" s="554" t="s">
        <v>267</v>
      </c>
      <c r="Z47" s="554" t="s">
        <v>267</v>
      </c>
      <c r="AA47" s="554" t="s">
        <v>267</v>
      </c>
      <c r="AB47" s="554"/>
      <c r="AC47" s="554"/>
      <c r="AD47" s="554"/>
      <c r="AE47" s="554" t="s">
        <v>267</v>
      </c>
      <c r="AF47" s="554" t="s">
        <v>267</v>
      </c>
      <c r="AG47" s="554" t="s">
        <v>267</v>
      </c>
      <c r="AH47" s="554" t="s">
        <v>267</v>
      </c>
      <c r="AI47" s="554"/>
      <c r="AJ47" s="554"/>
      <c r="AK47" s="554"/>
      <c r="AL47" s="554" t="s">
        <v>267</v>
      </c>
      <c r="AM47" s="554" t="s">
        <v>267</v>
      </c>
      <c r="AN47" s="554" t="s">
        <v>267</v>
      </c>
      <c r="AO47" s="554" t="s">
        <v>267</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4"/>
        <v>熊本</v>
      </c>
      <c r="C48" s="636" t="str">
        <f t="shared" si="15"/>
        <v>#N/A</v>
      </c>
      <c r="D48" s="214"/>
      <c r="E48" s="627" t="str">
        <f t="shared" si="16"/>
        <v>熊本</v>
      </c>
      <c r="F48" s="636" t="str">
        <f t="shared" si="17"/>
        <v>#N/A</v>
      </c>
      <c r="G48" s="214"/>
      <c r="H48" s="214"/>
      <c r="I48" s="169" t="b">
        <v>0</v>
      </c>
      <c r="J48" s="617">
        <v>15.0</v>
      </c>
      <c r="K48" s="661" t="s">
        <v>506</v>
      </c>
      <c r="L48" s="638"/>
      <c r="M48" s="651"/>
      <c r="N48" s="554"/>
      <c r="O48" s="554"/>
      <c r="P48" s="554"/>
      <c r="Q48" s="554" t="s">
        <v>267</v>
      </c>
      <c r="R48" s="554"/>
      <c r="S48" s="554" t="s">
        <v>267</v>
      </c>
      <c r="T48" s="554"/>
      <c r="U48" s="554" t="s">
        <v>267</v>
      </c>
      <c r="V48" s="554"/>
      <c r="W48" s="554"/>
      <c r="X48" s="554" t="s">
        <v>267</v>
      </c>
      <c r="Y48" s="554"/>
      <c r="Z48" s="554" t="s">
        <v>267</v>
      </c>
      <c r="AA48" s="554"/>
      <c r="AB48" s="554" t="s">
        <v>267</v>
      </c>
      <c r="AC48" s="554"/>
      <c r="AD48" s="554"/>
      <c r="AE48" s="554" t="s">
        <v>267</v>
      </c>
      <c r="AF48" s="554"/>
      <c r="AG48" s="554" t="s">
        <v>267</v>
      </c>
      <c r="AH48" s="554"/>
      <c r="AI48" s="554" t="s">
        <v>267</v>
      </c>
      <c r="AJ48" s="554"/>
      <c r="AK48" s="554"/>
      <c r="AL48" s="554" t="s">
        <v>267</v>
      </c>
      <c r="AM48" s="554"/>
      <c r="AN48" s="554" t="s">
        <v>267</v>
      </c>
      <c r="AO48" s="554"/>
      <c r="AP48" s="554" t="s">
        <v>267</v>
      </c>
      <c r="AQ48" s="554"/>
      <c r="AR48" s="640"/>
      <c r="AS48" s="645">
        <f t="array" ref="AS48">SUM(COUNTIF(N48:AR48, {"◎","〇","☆","共","特","浴"}))</f>
        <v>12</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4"/>
        <v>井崎</v>
      </c>
      <c r="C49" s="636" t="str">
        <f t="shared" si="15"/>
        <v>#N/A</v>
      </c>
      <c r="D49" s="214"/>
      <c r="E49" s="627" t="str">
        <f t="shared" si="16"/>
        <v>井崎</v>
      </c>
      <c r="F49" s="636" t="str">
        <f t="shared" si="17"/>
        <v>#N/A</v>
      </c>
      <c r="G49" s="214"/>
      <c r="H49" s="214"/>
      <c r="I49" s="169" t="b">
        <v>0</v>
      </c>
      <c r="J49" s="617">
        <v>10.0</v>
      </c>
      <c r="K49" s="661" t="s">
        <v>507</v>
      </c>
      <c r="L49" s="638"/>
      <c r="M49" s="651"/>
      <c r="N49" s="554"/>
      <c r="O49" s="554"/>
      <c r="P49" s="554"/>
      <c r="Q49" s="554"/>
      <c r="R49" s="554"/>
      <c r="S49" s="554"/>
      <c r="T49" s="554"/>
      <c r="U49" s="554" t="s">
        <v>267</v>
      </c>
      <c r="V49" s="554"/>
      <c r="W49" s="554"/>
      <c r="X49" s="554" t="s">
        <v>267</v>
      </c>
      <c r="Y49" s="554"/>
      <c r="Z49" s="554" t="s">
        <v>267</v>
      </c>
      <c r="AA49" s="554"/>
      <c r="AB49" s="554" t="s">
        <v>267</v>
      </c>
      <c r="AC49" s="554"/>
      <c r="AD49" s="554"/>
      <c r="AE49" s="554" t="s">
        <v>267</v>
      </c>
      <c r="AF49" s="554"/>
      <c r="AG49" s="554" t="s">
        <v>267</v>
      </c>
      <c r="AH49" s="554"/>
      <c r="AI49" s="554" t="s">
        <v>267</v>
      </c>
      <c r="AJ49" s="554"/>
      <c r="AK49" s="554"/>
      <c r="AL49" s="554" t="s">
        <v>267</v>
      </c>
      <c r="AM49" s="554"/>
      <c r="AN49" s="554" t="s">
        <v>267</v>
      </c>
      <c r="AO49" s="554"/>
      <c r="AP49" s="554" t="s">
        <v>267</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4"/>
        <v>ランディカ</v>
      </c>
      <c r="C50" s="636" t="str">
        <f t="shared" si="15"/>
        <v>#N/A</v>
      </c>
      <c r="D50" s="214"/>
      <c r="E50" s="627" t="str">
        <f t="shared" si="16"/>
        <v>ランディカ</v>
      </c>
      <c r="F50" s="636" t="str">
        <f t="shared" si="17"/>
        <v>#N/A</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4"/>
        <v>ポールニ</v>
      </c>
      <c r="C51" s="636" t="str">
        <f t="shared" si="15"/>
        <v>#N/A</v>
      </c>
      <c r="D51" s="214"/>
      <c r="E51" s="627" t="str">
        <f t="shared" si="16"/>
        <v>ポールニ</v>
      </c>
      <c r="F51" s="636" t="str">
        <f t="shared" si="17"/>
        <v>#N/A</v>
      </c>
      <c r="G51" s="214"/>
      <c r="H51" s="214"/>
      <c r="I51" s="169" t="b">
        <v>0</v>
      </c>
      <c r="J51" s="617">
        <v>15.0</v>
      </c>
      <c r="K51" s="637" t="s">
        <v>182</v>
      </c>
      <c r="L51" s="638"/>
      <c r="M51" s="651"/>
      <c r="N51" s="662"/>
      <c r="O51" s="663"/>
      <c r="P51" s="663"/>
      <c r="Q51" s="663"/>
      <c r="R51" s="663"/>
      <c r="S51" s="554"/>
      <c r="T51" s="663"/>
      <c r="U51" s="662"/>
      <c r="V51" s="663"/>
      <c r="W51" s="663"/>
      <c r="X51" s="663"/>
      <c r="Y51" s="663"/>
      <c r="Z51" s="554"/>
      <c r="AA51" s="663"/>
      <c r="AB51" s="662"/>
      <c r="AC51" s="554"/>
      <c r="AD51" s="663"/>
      <c r="AE51" s="663"/>
      <c r="AF51" s="662"/>
      <c r="AG51" s="554"/>
      <c r="AH51" s="663"/>
      <c r="AI51" s="662"/>
      <c r="AJ51" s="663"/>
      <c r="AK51" s="663"/>
      <c r="AL51" s="663"/>
      <c r="AM51" s="663"/>
      <c r="AN51" s="554"/>
      <c r="AO51" s="663"/>
      <c r="AP51" s="662"/>
      <c r="AQ51" s="663"/>
      <c r="AR51" s="663"/>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4"/>
        <v>シワンティ</v>
      </c>
      <c r="C52" s="636" t="str">
        <f t="shared" si="15"/>
        <v>#N/A</v>
      </c>
      <c r="D52" s="214"/>
      <c r="E52" s="627" t="str">
        <f t="shared" si="16"/>
        <v>シワンティ</v>
      </c>
      <c r="F52" s="636" t="str">
        <f t="shared" si="17"/>
        <v>#N/A</v>
      </c>
      <c r="G52" s="214"/>
      <c r="H52" s="214"/>
      <c r="I52" s="169" t="b">
        <v>0</v>
      </c>
      <c r="J52" s="617">
        <v>15.0</v>
      </c>
      <c r="K52" s="661" t="s">
        <v>191</v>
      </c>
      <c r="L52" s="638"/>
      <c r="M52" s="653"/>
      <c r="N52" s="554"/>
      <c r="O52" s="554" t="s">
        <v>267</v>
      </c>
      <c r="P52" s="662" t="s">
        <v>267</v>
      </c>
      <c r="Q52" s="554" t="s">
        <v>267</v>
      </c>
      <c r="R52" s="554" t="s">
        <v>267</v>
      </c>
      <c r="S52" s="554" t="s">
        <v>267</v>
      </c>
      <c r="T52" s="554" t="s">
        <v>267</v>
      </c>
      <c r="U52" s="662" t="s">
        <v>267</v>
      </c>
      <c r="V52" s="662" t="s">
        <v>267</v>
      </c>
      <c r="W52" s="662" t="s">
        <v>267</v>
      </c>
      <c r="X52" s="554"/>
      <c r="Y52" s="554"/>
      <c r="Z52" s="554"/>
      <c r="AA52" s="554"/>
      <c r="AB52" s="554"/>
      <c r="AC52" s="554" t="s">
        <v>267</v>
      </c>
      <c r="AD52" s="662" t="s">
        <v>267</v>
      </c>
      <c r="AE52" s="554"/>
      <c r="AF52" s="554"/>
      <c r="AG52" s="554"/>
      <c r="AH52" s="554"/>
      <c r="AI52" s="554"/>
      <c r="AJ52" s="554" t="s">
        <v>267</v>
      </c>
      <c r="AK52" s="662" t="s">
        <v>267</v>
      </c>
      <c r="AL52" s="554"/>
      <c r="AM52" s="554"/>
      <c r="AN52" s="554"/>
      <c r="AO52" s="554"/>
      <c r="AP52" s="554"/>
      <c r="AQ52" s="554" t="s">
        <v>267</v>
      </c>
      <c r="AR52" s="554" t="s">
        <v>267</v>
      </c>
      <c r="AS52" s="645">
        <f t="array" ref="AS52">SUM(COUNTIF(N52:AR52, {"◎","〇","☆","共","特","浴"}))</f>
        <v>15</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4"/>
        <v>黒田</v>
      </c>
      <c r="C53" s="636" t="str">
        <f t="shared" si="15"/>
        <v>#N/A</v>
      </c>
      <c r="D53" s="214"/>
      <c r="E53" s="627" t="str">
        <f t="shared" si="16"/>
        <v>黒田</v>
      </c>
      <c r="F53" s="636" t="str">
        <f t="shared" si="17"/>
        <v>#N/A</v>
      </c>
      <c r="G53" s="214"/>
      <c r="H53" s="214"/>
      <c r="I53" s="169" t="b">
        <v>0</v>
      </c>
      <c r="J53" s="617">
        <v>13.0</v>
      </c>
      <c r="K53" s="661" t="s">
        <v>128</v>
      </c>
      <c r="L53" s="638"/>
      <c r="M53" s="651"/>
      <c r="N53" s="662" t="s">
        <v>267</v>
      </c>
      <c r="O53" s="663"/>
      <c r="P53" s="662"/>
      <c r="Q53" s="662" t="s">
        <v>267</v>
      </c>
      <c r="R53" s="662"/>
      <c r="S53" s="662" t="s">
        <v>267</v>
      </c>
      <c r="T53" s="663"/>
      <c r="U53" s="662" t="s">
        <v>267</v>
      </c>
      <c r="V53" s="663"/>
      <c r="W53" s="662" t="s">
        <v>267</v>
      </c>
      <c r="X53" s="662" t="s">
        <v>267</v>
      </c>
      <c r="Y53" s="663"/>
      <c r="Z53" s="662" t="s">
        <v>267</v>
      </c>
      <c r="AA53" s="663"/>
      <c r="AB53" s="662" t="s">
        <v>267</v>
      </c>
      <c r="AC53" s="663"/>
      <c r="AD53" s="662"/>
      <c r="AE53" s="662" t="s">
        <v>267</v>
      </c>
      <c r="AF53" s="663"/>
      <c r="AG53" s="662" t="s">
        <v>267</v>
      </c>
      <c r="AH53" s="663"/>
      <c r="AI53" s="662" t="s">
        <v>267</v>
      </c>
      <c r="AJ53" s="663"/>
      <c r="AK53" s="662" t="s">
        <v>267</v>
      </c>
      <c r="AL53" s="662" t="s">
        <v>267</v>
      </c>
      <c r="AM53" s="662"/>
      <c r="AN53" s="662" t="s">
        <v>267</v>
      </c>
      <c r="AO53" s="663"/>
      <c r="AP53" s="662" t="s">
        <v>267</v>
      </c>
      <c r="AQ53" s="663"/>
      <c r="AR53" s="663"/>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4"/>
        <v>アサンジャ</v>
      </c>
      <c r="C54" s="636" t="str">
        <f t="shared" si="15"/>
        <v>#N/A</v>
      </c>
      <c r="D54" s="214"/>
      <c r="E54" s="627" t="str">
        <f t="shared" si="16"/>
        <v>アサンジャ</v>
      </c>
      <c r="F54" s="636" t="str">
        <f t="shared" si="17"/>
        <v>#N/A</v>
      </c>
      <c r="G54" s="214"/>
      <c r="H54" s="214"/>
      <c r="I54" s="169" t="b">
        <v>0</v>
      </c>
      <c r="J54" s="617">
        <v>15.0</v>
      </c>
      <c r="K54" s="664" t="s">
        <v>171</v>
      </c>
      <c r="L54" s="638"/>
      <c r="M54" s="653"/>
      <c r="N54" s="554"/>
      <c r="O54" s="554" t="s">
        <v>267</v>
      </c>
      <c r="P54" s="554" t="s">
        <v>267</v>
      </c>
      <c r="Q54" s="554"/>
      <c r="R54" s="554"/>
      <c r="S54" s="554"/>
      <c r="T54" s="554"/>
      <c r="U54" s="554"/>
      <c r="V54" s="554" t="s">
        <v>267</v>
      </c>
      <c r="W54" s="554" t="s">
        <v>267</v>
      </c>
      <c r="X54" s="554"/>
      <c r="Y54" s="554"/>
      <c r="Z54" s="554"/>
      <c r="AA54" s="554"/>
      <c r="AB54" s="554"/>
      <c r="AC54" s="554" t="s">
        <v>267</v>
      </c>
      <c r="AD54" s="554" t="s">
        <v>267</v>
      </c>
      <c r="AE54" s="554"/>
      <c r="AF54" s="554"/>
      <c r="AG54" s="554"/>
      <c r="AH54" s="554"/>
      <c r="AI54" s="554"/>
      <c r="AJ54" s="554" t="s">
        <v>267</v>
      </c>
      <c r="AK54" s="554" t="s">
        <v>267</v>
      </c>
      <c r="AL54" s="554"/>
      <c r="AM54" s="554"/>
      <c r="AN54" s="554"/>
      <c r="AO54" s="554"/>
      <c r="AP54" s="554"/>
      <c r="AQ54" s="554" t="s">
        <v>267</v>
      </c>
      <c r="AR54" s="554" t="s">
        <v>267</v>
      </c>
      <c r="AS54" s="645">
        <f t="array" ref="AS54">SUM(COUNTIF(N54:AR54, {"◎","〇","☆","共","特","浴"}))</f>
        <v>10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4"/>
        <v>カゲ</v>
      </c>
      <c r="C55" s="636" t="str">
        <f t="shared" si="15"/>
        <v>#N/A</v>
      </c>
      <c r="D55" s="214"/>
      <c r="E55" s="627" t="str">
        <f t="shared" si="16"/>
        <v>カゲ</v>
      </c>
      <c r="F55" s="636" t="str">
        <f t="shared" si="17"/>
        <v>#N/A</v>
      </c>
      <c r="G55" s="214"/>
      <c r="H55" s="214"/>
      <c r="I55" s="169" t="b">
        <v>0</v>
      </c>
      <c r="J55" s="617">
        <v>7.0</v>
      </c>
      <c r="K55" s="665" t="s">
        <v>509</v>
      </c>
      <c r="L55" s="638"/>
      <c r="M55" s="653"/>
      <c r="N55" s="554"/>
      <c r="O55" s="554"/>
      <c r="P55" s="554"/>
      <c r="Q55" s="662" t="s">
        <v>267</v>
      </c>
      <c r="R55" s="554"/>
      <c r="S55" s="554"/>
      <c r="T55" s="554"/>
      <c r="U55" s="554"/>
      <c r="V55" s="554"/>
      <c r="W55" s="554"/>
      <c r="X55" s="662" t="s">
        <v>267</v>
      </c>
      <c r="Y55" s="554"/>
      <c r="Z55" s="662" t="s">
        <v>267</v>
      </c>
      <c r="AA55" s="554"/>
      <c r="AB55" s="554"/>
      <c r="AC55" s="554"/>
      <c r="AD55" s="554"/>
      <c r="AE55" s="662" t="s">
        <v>267</v>
      </c>
      <c r="AF55" s="554"/>
      <c r="AG55" s="554"/>
      <c r="AH55" s="554"/>
      <c r="AI55" s="554"/>
      <c r="AJ55" s="554"/>
      <c r="AK55" s="554"/>
      <c r="AL55" s="662" t="s">
        <v>267</v>
      </c>
      <c r="AM55" s="554"/>
      <c r="AN55" s="662" t="s">
        <v>267</v>
      </c>
      <c r="AO55" s="554"/>
      <c r="AP55" s="554"/>
      <c r="AQ55" s="554"/>
      <c r="AR55" s="662" t="s">
        <v>267</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4"/>
        <v>アヌダ</v>
      </c>
      <c r="C56" s="636" t="str">
        <f t="shared" si="15"/>
        <v>#N/A</v>
      </c>
      <c r="D56" s="214"/>
      <c r="E56" s="627" t="str">
        <f t="shared" si="16"/>
        <v>アヌダ</v>
      </c>
      <c r="F56" s="636" t="str">
        <f t="shared" si="17"/>
        <v>#N/A</v>
      </c>
      <c r="G56" s="214"/>
      <c r="H56" s="214"/>
      <c r="I56" s="169" t="b">
        <v>0</v>
      </c>
      <c r="J56" s="666">
        <v>15.0</v>
      </c>
      <c r="K56" s="665" t="s">
        <v>200</v>
      </c>
      <c r="L56" s="667"/>
      <c r="M56" s="668"/>
      <c r="N56" s="662" t="s">
        <v>267</v>
      </c>
      <c r="O56" s="662" t="s">
        <v>267</v>
      </c>
      <c r="P56" s="662" t="s">
        <v>267</v>
      </c>
      <c r="Q56" s="554" t="s">
        <v>466</v>
      </c>
      <c r="R56" s="662" t="s">
        <v>267</v>
      </c>
      <c r="S56" s="662" t="s">
        <v>267</v>
      </c>
      <c r="T56" s="669" t="s">
        <v>267</v>
      </c>
      <c r="U56" s="554" t="s">
        <v>466</v>
      </c>
      <c r="V56" s="662" t="s">
        <v>267</v>
      </c>
      <c r="W56" s="662" t="s">
        <v>267</v>
      </c>
      <c r="X56" s="669" t="s">
        <v>267</v>
      </c>
      <c r="Y56" s="669" t="s">
        <v>267</v>
      </c>
      <c r="Z56" s="669" t="s">
        <v>267</v>
      </c>
      <c r="AA56" s="669" t="s">
        <v>267</v>
      </c>
      <c r="AB56" s="554" t="s">
        <v>466</v>
      </c>
      <c r="AC56" s="662" t="s">
        <v>267</v>
      </c>
      <c r="AD56" s="662" t="s">
        <v>267</v>
      </c>
      <c r="AE56" s="669" t="s">
        <v>267</v>
      </c>
      <c r="AF56" s="669" t="s">
        <v>267</v>
      </c>
      <c r="AG56" s="669" t="s">
        <v>267</v>
      </c>
      <c r="AH56" s="669" t="s">
        <v>267</v>
      </c>
      <c r="AI56" s="554" t="s">
        <v>466</v>
      </c>
      <c r="AJ56" s="662" t="s">
        <v>267</v>
      </c>
      <c r="AK56" s="662" t="s">
        <v>267</v>
      </c>
      <c r="AL56" s="669" t="s">
        <v>267</v>
      </c>
      <c r="AM56" s="669" t="s">
        <v>267</v>
      </c>
      <c r="AN56" s="669" t="s">
        <v>267</v>
      </c>
      <c r="AO56" s="669" t="s">
        <v>267</v>
      </c>
      <c r="AP56" s="669" t="s">
        <v>267</v>
      </c>
      <c r="AQ56" s="554" t="s">
        <v>466</v>
      </c>
      <c r="AR56" s="662" t="s">
        <v>267</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4"/>
        <v>ファティマ</v>
      </c>
      <c r="C57" s="636" t="str">
        <f t="shared" si="15"/>
        <v>#N/A</v>
      </c>
      <c r="D57" s="214"/>
      <c r="E57" s="627" t="str">
        <f t="shared" si="16"/>
        <v>ファティマ</v>
      </c>
      <c r="F57" s="636" t="str">
        <f t="shared" si="17"/>
        <v>#N/A</v>
      </c>
      <c r="G57" s="214"/>
      <c r="H57" s="214"/>
      <c r="I57" s="169" t="b">
        <v>0</v>
      </c>
      <c r="J57" s="666">
        <v>13.0</v>
      </c>
      <c r="K57" s="665" t="s">
        <v>510</v>
      </c>
      <c r="L57" s="667"/>
      <c r="M57" s="670"/>
      <c r="N57" s="663"/>
      <c r="O57" s="663"/>
      <c r="P57" s="662" t="s">
        <v>267</v>
      </c>
      <c r="Q57" s="662"/>
      <c r="R57" s="662"/>
      <c r="S57" s="663"/>
      <c r="T57" s="663"/>
      <c r="U57" s="663"/>
      <c r="V57" s="662" t="s">
        <v>267</v>
      </c>
      <c r="W57" s="662" t="s">
        <v>267</v>
      </c>
      <c r="X57" s="662"/>
      <c r="Y57" s="662"/>
      <c r="Z57" s="663"/>
      <c r="AA57" s="663"/>
      <c r="AB57" s="663"/>
      <c r="AC57" s="662" t="s">
        <v>267</v>
      </c>
      <c r="AD57" s="662" t="s">
        <v>267</v>
      </c>
      <c r="AE57" s="662"/>
      <c r="AF57" s="662"/>
      <c r="AG57" s="663"/>
      <c r="AH57" s="663"/>
      <c r="AI57" s="663"/>
      <c r="AJ57" s="662" t="s">
        <v>267</v>
      </c>
      <c r="AK57" s="662" t="s">
        <v>267</v>
      </c>
      <c r="AL57" s="662"/>
      <c r="AM57" s="662"/>
      <c r="AN57" s="663"/>
      <c r="AO57" s="663"/>
      <c r="AP57" s="663"/>
      <c r="AQ57" s="663"/>
      <c r="AR57" s="671"/>
      <c r="AS57" s="645">
        <f t="array" ref="AS57">SUM(COUNTIF(N57:AR57, {"◎","〇","☆","共","特","浴"}))</f>
        <v>7</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4"/>
        <v>ゲラ</v>
      </c>
      <c r="C58" s="636" t="str">
        <f t="shared" si="15"/>
        <v>#N/A</v>
      </c>
      <c r="D58" s="214"/>
      <c r="E58" s="627" t="str">
        <f t="shared" si="16"/>
        <v>ゲラ</v>
      </c>
      <c r="F58" s="636" t="str">
        <f t="shared" si="17"/>
        <v>#N/A</v>
      </c>
      <c r="G58" s="214"/>
      <c r="H58" s="214"/>
      <c r="I58" s="169" t="b">
        <v>0</v>
      </c>
      <c r="J58" s="666">
        <v>11.0</v>
      </c>
      <c r="K58" s="665" t="s">
        <v>511</v>
      </c>
      <c r="L58" s="667"/>
      <c r="M58" s="670"/>
      <c r="N58" s="669" t="s">
        <v>267</v>
      </c>
      <c r="O58" s="554" t="s">
        <v>267</v>
      </c>
      <c r="P58" s="554"/>
      <c r="Q58" s="554" t="s">
        <v>267</v>
      </c>
      <c r="R58" s="662" t="s">
        <v>267</v>
      </c>
      <c r="S58" s="662" t="s">
        <v>267</v>
      </c>
      <c r="T58" s="554" t="s">
        <v>466</v>
      </c>
      <c r="U58" s="669" t="s">
        <v>267</v>
      </c>
      <c r="V58" s="554" t="s">
        <v>267</v>
      </c>
      <c r="W58" s="554"/>
      <c r="X58" s="554"/>
      <c r="Y58" s="662" t="s">
        <v>267</v>
      </c>
      <c r="Z58" s="663"/>
      <c r="AA58" s="554" t="s">
        <v>267</v>
      </c>
      <c r="AB58" s="669" t="s">
        <v>267</v>
      </c>
      <c r="AC58" s="554" t="s">
        <v>267</v>
      </c>
      <c r="AD58" s="554"/>
      <c r="AE58" s="554"/>
      <c r="AF58" s="662" t="s">
        <v>267</v>
      </c>
      <c r="AG58" s="663"/>
      <c r="AH58" s="554" t="s">
        <v>267</v>
      </c>
      <c r="AI58" s="669" t="s">
        <v>267</v>
      </c>
      <c r="AJ58" s="554" t="s">
        <v>267</v>
      </c>
      <c r="AK58" s="554"/>
      <c r="AL58" s="554"/>
      <c r="AM58" s="662" t="s">
        <v>267</v>
      </c>
      <c r="AN58" s="663"/>
      <c r="AO58" s="554" t="s">
        <v>267</v>
      </c>
      <c r="AP58" s="669" t="s">
        <v>267</v>
      </c>
      <c r="AQ58" s="554" t="s">
        <v>267</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4"/>
        <v>ジョティ</v>
      </c>
      <c r="C59" s="636" t="str">
        <f t="shared" si="15"/>
        <v>#N/A</v>
      </c>
      <c r="D59" s="214"/>
      <c r="E59" s="627" t="str">
        <f t="shared" si="16"/>
        <v>ジョティ</v>
      </c>
      <c r="F59" s="636" t="str">
        <f t="shared" si="17"/>
        <v>#N/A</v>
      </c>
      <c r="G59" s="214"/>
      <c r="H59" s="214"/>
      <c r="I59" s="169" t="b">
        <v>0</v>
      </c>
      <c r="J59" s="666">
        <v>15.0</v>
      </c>
      <c r="K59" s="665" t="s">
        <v>512</v>
      </c>
      <c r="L59" s="667"/>
      <c r="M59" s="670"/>
      <c r="N59" s="662" t="s">
        <v>267</v>
      </c>
      <c r="O59" s="662" t="s">
        <v>267</v>
      </c>
      <c r="P59" s="662" t="s">
        <v>267</v>
      </c>
      <c r="Q59" s="662"/>
      <c r="R59" s="662"/>
      <c r="S59" s="662"/>
      <c r="T59" s="662" t="s">
        <v>267</v>
      </c>
      <c r="U59" s="662" t="s">
        <v>267</v>
      </c>
      <c r="V59" s="662" t="s">
        <v>267</v>
      </c>
      <c r="W59" s="662" t="s">
        <v>267</v>
      </c>
      <c r="X59" s="662"/>
      <c r="Y59" s="662"/>
      <c r="Z59" s="662"/>
      <c r="AA59" s="662" t="s">
        <v>267</v>
      </c>
      <c r="AB59" s="662" t="s">
        <v>267</v>
      </c>
      <c r="AC59" s="662" t="s">
        <v>267</v>
      </c>
      <c r="AD59" s="662" t="s">
        <v>267</v>
      </c>
      <c r="AE59" s="662"/>
      <c r="AF59" s="662"/>
      <c r="AG59" s="662"/>
      <c r="AH59" s="662" t="s">
        <v>267</v>
      </c>
      <c r="AI59" s="662" t="s">
        <v>267</v>
      </c>
      <c r="AJ59" s="662" t="s">
        <v>267</v>
      </c>
      <c r="AK59" s="662" t="s">
        <v>267</v>
      </c>
      <c r="AL59" s="662"/>
      <c r="AM59" s="662"/>
      <c r="AN59" s="662"/>
      <c r="AO59" s="662" t="s">
        <v>267</v>
      </c>
      <c r="AP59" s="662" t="s">
        <v>267</v>
      </c>
      <c r="AQ59" s="662" t="s">
        <v>267</v>
      </c>
      <c r="AR59" s="662" t="s">
        <v>267</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4"/>
        <v>クマリ</v>
      </c>
      <c r="C60" s="636" t="str">
        <f t="shared" si="15"/>
        <v>#N/A</v>
      </c>
      <c r="D60" s="214"/>
      <c r="E60" s="627" t="str">
        <f t="shared" si="16"/>
        <v>クマリ</v>
      </c>
      <c r="F60" s="636" t="str">
        <f t="shared" si="17"/>
        <v>#N/A</v>
      </c>
      <c r="G60" s="214"/>
      <c r="H60" s="214"/>
      <c r="I60" s="169" t="b">
        <v>0</v>
      </c>
      <c r="J60" s="666">
        <v>15.0</v>
      </c>
      <c r="K60" s="665" t="s">
        <v>513</v>
      </c>
      <c r="L60" s="667"/>
      <c r="M60" s="670"/>
      <c r="N60" s="662" t="s">
        <v>267</v>
      </c>
      <c r="O60" s="662" t="s">
        <v>267</v>
      </c>
      <c r="P60" s="662" t="s">
        <v>267</v>
      </c>
      <c r="Q60" s="662"/>
      <c r="R60" s="662"/>
      <c r="S60" s="662"/>
      <c r="T60" s="662" t="s">
        <v>267</v>
      </c>
      <c r="U60" s="662" t="s">
        <v>267</v>
      </c>
      <c r="V60" s="662" t="s">
        <v>267</v>
      </c>
      <c r="W60" s="662" t="s">
        <v>267</v>
      </c>
      <c r="X60" s="662"/>
      <c r="Y60" s="662"/>
      <c r="Z60" s="662"/>
      <c r="AA60" s="662" t="s">
        <v>267</v>
      </c>
      <c r="AB60" s="662" t="s">
        <v>267</v>
      </c>
      <c r="AC60" s="662" t="s">
        <v>267</v>
      </c>
      <c r="AD60" s="662" t="s">
        <v>267</v>
      </c>
      <c r="AE60" s="662"/>
      <c r="AF60" s="662"/>
      <c r="AG60" s="662"/>
      <c r="AH60" s="662" t="s">
        <v>267</v>
      </c>
      <c r="AI60" s="662" t="s">
        <v>267</v>
      </c>
      <c r="AJ60" s="662" t="s">
        <v>267</v>
      </c>
      <c r="AK60" s="662" t="s">
        <v>267</v>
      </c>
      <c r="AL60" s="662"/>
      <c r="AM60" s="662"/>
      <c r="AN60" s="662"/>
      <c r="AO60" s="662" t="s">
        <v>267</v>
      </c>
      <c r="AP60" s="662" t="s">
        <v>267</v>
      </c>
      <c r="AQ60" s="662" t="s">
        <v>267</v>
      </c>
      <c r="AR60" s="662" t="s">
        <v>267</v>
      </c>
      <c r="AS60" s="645">
        <f t="array" ref="AS60">SUM(COUNTIF(N60:AR60, {"◎","〇","☆","共","特","浴"}))</f>
        <v>19</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4"/>
        <v>トンメ</v>
      </c>
      <c r="C61" s="636" t="str">
        <f t="shared" si="15"/>
        <v>#N/A</v>
      </c>
      <c r="D61" s="214"/>
      <c r="E61" s="627" t="str">
        <f t="shared" si="16"/>
        <v>トンメ</v>
      </c>
      <c r="F61" s="636" t="str">
        <f t="shared" si="17"/>
        <v>#N/A</v>
      </c>
      <c r="G61" s="214"/>
      <c r="H61" s="214"/>
      <c r="I61" s="169" t="b">
        <v>0</v>
      </c>
      <c r="J61" s="666">
        <v>15.0</v>
      </c>
      <c r="K61" s="665" t="s">
        <v>110</v>
      </c>
      <c r="L61" s="667"/>
      <c r="M61" s="668"/>
      <c r="N61" s="669" t="s">
        <v>267</v>
      </c>
      <c r="O61" s="662"/>
      <c r="P61" s="662" t="s">
        <v>267</v>
      </c>
      <c r="Q61" s="669" t="s">
        <v>267</v>
      </c>
      <c r="R61" s="669" t="s">
        <v>267</v>
      </c>
      <c r="S61" s="669" t="s">
        <v>267</v>
      </c>
      <c r="T61" s="669" t="s">
        <v>267</v>
      </c>
      <c r="U61" s="669" t="s">
        <v>267</v>
      </c>
      <c r="V61" s="662"/>
      <c r="W61" s="662" t="s">
        <v>267</v>
      </c>
      <c r="X61" s="669" t="s">
        <v>267</v>
      </c>
      <c r="Y61" s="669" t="s">
        <v>267</v>
      </c>
      <c r="Z61" s="669" t="s">
        <v>267</v>
      </c>
      <c r="AA61" s="669" t="s">
        <v>267</v>
      </c>
      <c r="AB61" s="669" t="s">
        <v>267</v>
      </c>
      <c r="AC61" s="662"/>
      <c r="AD61" s="662" t="s">
        <v>267</v>
      </c>
      <c r="AE61" s="669" t="s">
        <v>267</v>
      </c>
      <c r="AF61" s="669" t="s">
        <v>267</v>
      </c>
      <c r="AG61" s="669" t="s">
        <v>267</v>
      </c>
      <c r="AH61" s="669" t="s">
        <v>267</v>
      </c>
      <c r="AI61" s="669" t="s">
        <v>267</v>
      </c>
      <c r="AJ61" s="662"/>
      <c r="AK61" s="662" t="s">
        <v>267</v>
      </c>
      <c r="AL61" s="669" t="s">
        <v>267</v>
      </c>
      <c r="AM61" s="669" t="s">
        <v>267</v>
      </c>
      <c r="AN61" s="669" t="s">
        <v>267</v>
      </c>
      <c r="AO61" s="669" t="s">
        <v>267</v>
      </c>
      <c r="AP61" s="669" t="s">
        <v>267</v>
      </c>
      <c r="AQ61" s="662"/>
      <c r="AR61" s="672" t="s">
        <v>267</v>
      </c>
      <c r="AS61" s="645">
        <f t="array" ref="AS61">SUM(COUNTIF(N61:AR61, {"◎","〇","☆","共","特","浴"}))</f>
        <v>26</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4"/>
        <v>ズバエル</v>
      </c>
      <c r="C62" s="636" t="str">
        <f t="shared" si="15"/>
        <v>#N/A</v>
      </c>
      <c r="D62" s="214"/>
      <c r="E62" s="627" t="str">
        <f t="shared" si="16"/>
        <v>ズバエル</v>
      </c>
      <c r="F62" s="636" t="str">
        <f t="shared" si="17"/>
        <v>#N/A</v>
      </c>
      <c r="G62" s="214"/>
      <c r="H62" s="214"/>
      <c r="I62" s="169" t="b">
        <v>0</v>
      </c>
      <c r="J62" s="666">
        <v>13.0</v>
      </c>
      <c r="K62" s="665" t="s">
        <v>196</v>
      </c>
      <c r="L62" s="670"/>
      <c r="M62" s="668"/>
      <c r="N62" s="669" t="s">
        <v>267</v>
      </c>
      <c r="O62" s="662" t="s">
        <v>267</v>
      </c>
      <c r="P62" s="662" t="s">
        <v>267</v>
      </c>
      <c r="Q62" s="662"/>
      <c r="R62" s="662"/>
      <c r="S62" s="663"/>
      <c r="T62" s="662"/>
      <c r="U62" s="669" t="s">
        <v>267</v>
      </c>
      <c r="V62" s="662" t="s">
        <v>267</v>
      </c>
      <c r="W62" s="662" t="s">
        <v>267</v>
      </c>
      <c r="X62" s="662"/>
      <c r="Y62" s="662"/>
      <c r="Z62" s="663"/>
      <c r="AA62" s="663"/>
      <c r="AB62" s="669" t="s">
        <v>267</v>
      </c>
      <c r="AC62" s="662" t="s">
        <v>267</v>
      </c>
      <c r="AD62" s="662" t="s">
        <v>267</v>
      </c>
      <c r="AE62" s="662"/>
      <c r="AF62" s="662"/>
      <c r="AG62" s="663"/>
      <c r="AH62" s="662"/>
      <c r="AI62" s="669" t="s">
        <v>267</v>
      </c>
      <c r="AJ62" s="662" t="s">
        <v>267</v>
      </c>
      <c r="AK62" s="662" t="s">
        <v>267</v>
      </c>
      <c r="AL62" s="662"/>
      <c r="AM62" s="662"/>
      <c r="AN62" s="663"/>
      <c r="AO62" s="662"/>
      <c r="AP62" s="669" t="s">
        <v>267</v>
      </c>
      <c r="AQ62" s="662" t="s">
        <v>267</v>
      </c>
      <c r="AR62" s="662" t="s">
        <v>267</v>
      </c>
      <c r="AS62" s="645">
        <f t="array" ref="AS62">SUM(COUNTIF(N62:AR62, {"◎","〇","☆","共","特","浴"}))</f>
        <v>15</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4"/>
        <v>クエン</v>
      </c>
      <c r="C63" s="636" t="str">
        <f t="shared" si="15"/>
        <v>#N/A</v>
      </c>
      <c r="D63" s="214"/>
      <c r="E63" s="627" t="str">
        <f t="shared" si="16"/>
        <v>クエン</v>
      </c>
      <c r="F63" s="636" t="str">
        <f t="shared" si="17"/>
        <v>#N/A</v>
      </c>
      <c r="G63" s="214"/>
      <c r="H63" s="214"/>
      <c r="I63" s="169" t="b">
        <v>0</v>
      </c>
      <c r="J63" s="673"/>
      <c r="K63" s="674" t="s">
        <v>514</v>
      </c>
      <c r="L63" s="675"/>
      <c r="M63" s="675"/>
      <c r="N63" s="663"/>
      <c r="O63" s="663"/>
      <c r="P63" s="663"/>
      <c r="Q63" s="663"/>
      <c r="R63" s="663"/>
      <c r="S63" s="663"/>
      <c r="T63" s="663"/>
      <c r="U63" s="663"/>
      <c r="V63" s="663"/>
      <c r="W63" s="663"/>
      <c r="X63" s="663"/>
      <c r="Y63" s="663"/>
      <c r="Z63" s="663"/>
      <c r="AA63" s="663"/>
      <c r="AB63" s="663"/>
      <c r="AC63" s="663"/>
      <c r="AD63" s="663"/>
      <c r="AE63" s="663"/>
      <c r="AF63" s="663"/>
      <c r="AG63" s="663"/>
      <c r="AH63" s="663"/>
      <c r="AI63" s="663"/>
      <c r="AJ63" s="663"/>
      <c r="AK63" s="663"/>
      <c r="AL63" s="663"/>
      <c r="AM63" s="663"/>
      <c r="AN63" s="663"/>
      <c r="AO63" s="663"/>
      <c r="AP63" s="663"/>
      <c r="AQ63" s="671"/>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4"/>
        <v>サロメ</v>
      </c>
      <c r="C64" s="636" t="str">
        <f t="shared" si="15"/>
        <v>#N/A</v>
      </c>
      <c r="D64" s="214"/>
      <c r="E64" s="627" t="str">
        <f t="shared" si="16"/>
        <v>サロメ</v>
      </c>
      <c r="F64" s="636" t="str">
        <f t="shared" si="17"/>
        <v>#N/A</v>
      </c>
      <c r="G64" s="214"/>
      <c r="H64" s="214"/>
      <c r="I64" s="169" t="b">
        <v>0</v>
      </c>
      <c r="J64" s="666">
        <v>18.0</v>
      </c>
      <c r="K64" s="665" t="s">
        <v>205</v>
      </c>
      <c r="L64" s="675"/>
      <c r="M64" s="675"/>
      <c r="N64" s="554" t="s">
        <v>267</v>
      </c>
      <c r="O64" s="554" t="s">
        <v>267</v>
      </c>
      <c r="P64" s="554"/>
      <c r="Q64" s="676" t="s">
        <v>267</v>
      </c>
      <c r="R64" s="676" t="s">
        <v>267</v>
      </c>
      <c r="S64" s="554"/>
      <c r="T64" s="554"/>
      <c r="U64" s="676" t="s">
        <v>267</v>
      </c>
      <c r="V64" s="554" t="s">
        <v>267</v>
      </c>
      <c r="W64" s="554"/>
      <c r="X64" s="676" t="s">
        <v>267</v>
      </c>
      <c r="Y64" s="676" t="s">
        <v>267</v>
      </c>
      <c r="Z64" s="554"/>
      <c r="AA64" s="554" t="s">
        <v>267</v>
      </c>
      <c r="AB64" s="676" t="s">
        <v>267</v>
      </c>
      <c r="AC64" s="554"/>
      <c r="AD64" s="554"/>
      <c r="AE64" s="554" t="s">
        <v>267</v>
      </c>
      <c r="AF64" s="662" t="s">
        <v>267</v>
      </c>
      <c r="AG64" s="554"/>
      <c r="AH64" s="554" t="s">
        <v>267</v>
      </c>
      <c r="AI64" s="662" t="s">
        <v>267</v>
      </c>
      <c r="AJ64" s="554" t="s">
        <v>267</v>
      </c>
      <c r="AK64" s="554"/>
      <c r="AL64" s="554" t="s">
        <v>267</v>
      </c>
      <c r="AM64" s="662" t="s">
        <v>267</v>
      </c>
      <c r="AN64" s="554"/>
      <c r="AO64" s="554" t="s">
        <v>267</v>
      </c>
      <c r="AP64" s="662" t="s">
        <v>267</v>
      </c>
      <c r="AQ64" s="554" t="s">
        <v>267</v>
      </c>
      <c r="AR64" s="675"/>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4"/>
        <v>アナリン</v>
      </c>
      <c r="C65" s="636" t="str">
        <f t="shared" si="15"/>
        <v>#N/A</v>
      </c>
      <c r="D65" s="214"/>
      <c r="E65" s="627" t="str">
        <f t="shared" si="16"/>
        <v>アナリン</v>
      </c>
      <c r="F65" s="636" t="str">
        <f t="shared" si="17"/>
        <v>#N/A</v>
      </c>
      <c r="G65" s="214"/>
      <c r="H65" s="214"/>
      <c r="I65" s="169" t="b">
        <v>0</v>
      </c>
      <c r="J65" s="666">
        <v>15.0</v>
      </c>
      <c r="K65" s="665" t="s">
        <v>515</v>
      </c>
      <c r="L65" s="677"/>
      <c r="M65" s="675"/>
      <c r="N65" s="662" t="s">
        <v>267</v>
      </c>
      <c r="O65" s="554"/>
      <c r="P65" s="554"/>
      <c r="Q65" s="663"/>
      <c r="R65" s="663"/>
      <c r="S65" s="554"/>
      <c r="T65" s="662" t="s">
        <v>267</v>
      </c>
      <c r="U65" s="662" t="s">
        <v>267</v>
      </c>
      <c r="V65" s="663"/>
      <c r="W65" s="554"/>
      <c r="X65" s="662" t="s">
        <v>267</v>
      </c>
      <c r="Y65" s="662" t="s">
        <v>267</v>
      </c>
      <c r="Z65" s="554"/>
      <c r="AA65" s="662" t="s">
        <v>267</v>
      </c>
      <c r="AB65" s="662" t="s">
        <v>267</v>
      </c>
      <c r="AC65" s="554"/>
      <c r="AD65" s="663"/>
      <c r="AE65" s="662" t="s">
        <v>267</v>
      </c>
      <c r="AF65" s="662" t="s">
        <v>267</v>
      </c>
      <c r="AG65" s="554"/>
      <c r="AH65" s="662" t="s">
        <v>267</v>
      </c>
      <c r="AI65" s="662" t="s">
        <v>267</v>
      </c>
      <c r="AJ65" s="554"/>
      <c r="AK65" s="554"/>
      <c r="AL65" s="662" t="s">
        <v>267</v>
      </c>
      <c r="AM65" s="662" t="s">
        <v>267</v>
      </c>
      <c r="AN65" s="554"/>
      <c r="AO65" s="662" t="s">
        <v>267</v>
      </c>
      <c r="AP65" s="662" t="s">
        <v>267</v>
      </c>
      <c r="AQ65" s="554"/>
      <c r="AR65" s="663"/>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4"/>
        <v>阿部</v>
      </c>
      <c r="C66" s="636" t="str">
        <f t="shared" si="15"/>
        <v>#N/A</v>
      </c>
      <c r="D66" s="214"/>
      <c r="E66" s="627" t="str">
        <f t="shared" si="16"/>
        <v>阿部</v>
      </c>
      <c r="F66" s="636" t="str">
        <f t="shared" si="17"/>
        <v>#N/A</v>
      </c>
      <c r="G66" s="214"/>
      <c r="H66" s="214"/>
      <c r="I66" s="169" t="b">
        <v>0</v>
      </c>
      <c r="J66" s="666">
        <v>13.0</v>
      </c>
      <c r="K66" s="665" t="s">
        <v>516</v>
      </c>
      <c r="L66" s="677"/>
      <c r="M66" s="675"/>
      <c r="N66" s="554" t="s">
        <v>267</v>
      </c>
      <c r="O66" s="663"/>
      <c r="P66" s="554"/>
      <c r="Q66" s="554" t="s">
        <v>267</v>
      </c>
      <c r="R66" s="554" t="s">
        <v>267</v>
      </c>
      <c r="S66" s="554" t="s">
        <v>267</v>
      </c>
      <c r="T66" s="554" t="s">
        <v>267</v>
      </c>
      <c r="U66" s="554" t="s">
        <v>267</v>
      </c>
      <c r="V66" s="554"/>
      <c r="W66" s="554" t="s">
        <v>267</v>
      </c>
      <c r="X66" s="554" t="s">
        <v>267</v>
      </c>
      <c r="Y66" s="554" t="s">
        <v>267</v>
      </c>
      <c r="Z66" s="554" t="s">
        <v>267</v>
      </c>
      <c r="AA66" s="554" t="s">
        <v>267</v>
      </c>
      <c r="AB66" s="554"/>
      <c r="AC66" s="554"/>
      <c r="AD66" s="554"/>
      <c r="AE66" s="554" t="s">
        <v>267</v>
      </c>
      <c r="AF66" s="554" t="s">
        <v>267</v>
      </c>
      <c r="AG66" s="554" t="s">
        <v>267</v>
      </c>
      <c r="AH66" s="554" t="s">
        <v>267</v>
      </c>
      <c r="AI66" s="554" t="s">
        <v>267</v>
      </c>
      <c r="AJ66" s="554"/>
      <c r="AK66" s="554"/>
      <c r="AL66" s="554" t="s">
        <v>267</v>
      </c>
      <c r="AM66" s="554" t="s">
        <v>267</v>
      </c>
      <c r="AN66" s="554" t="s">
        <v>267</v>
      </c>
      <c r="AO66" s="554" t="s">
        <v>267</v>
      </c>
      <c r="AP66" s="554" t="s">
        <v>267</v>
      </c>
      <c r="AQ66" s="554"/>
      <c r="AR66" s="671"/>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4"/>
        <v>プラティマ</v>
      </c>
      <c r="C67" s="636" t="str">
        <f t="shared" si="15"/>
        <v>#N/A</v>
      </c>
      <c r="D67" s="214"/>
      <c r="E67" s="627" t="str">
        <f t="shared" si="16"/>
        <v>プラティマ</v>
      </c>
      <c r="F67" s="636" t="str">
        <f t="shared" si="17"/>
        <v>#N/A</v>
      </c>
      <c r="G67" s="214"/>
      <c r="H67" s="214"/>
      <c r="I67" s="169" t="b">
        <v>0</v>
      </c>
      <c r="J67" s="666">
        <v>15.0</v>
      </c>
      <c r="K67" s="665" t="s">
        <v>517</v>
      </c>
      <c r="L67" s="675"/>
      <c r="M67" s="675"/>
      <c r="N67" s="662" t="s">
        <v>267</v>
      </c>
      <c r="O67" s="662" t="s">
        <v>267</v>
      </c>
      <c r="P67" s="662" t="s">
        <v>267</v>
      </c>
      <c r="Q67" s="662" t="s">
        <v>267</v>
      </c>
      <c r="R67" s="662" t="s">
        <v>267</v>
      </c>
      <c r="S67" s="662"/>
      <c r="T67" s="662"/>
      <c r="U67" s="662"/>
      <c r="V67" s="662" t="s">
        <v>267</v>
      </c>
      <c r="W67" s="662" t="s">
        <v>267</v>
      </c>
      <c r="X67" s="662" t="s">
        <v>267</v>
      </c>
      <c r="Y67" s="662" t="s">
        <v>267</v>
      </c>
      <c r="Z67" s="662"/>
      <c r="AA67" s="662"/>
      <c r="AB67" s="662"/>
      <c r="AC67" s="662" t="s">
        <v>267</v>
      </c>
      <c r="AD67" s="662" t="s">
        <v>267</v>
      </c>
      <c r="AE67" s="662" t="s">
        <v>267</v>
      </c>
      <c r="AF67" s="662" t="s">
        <v>267</v>
      </c>
      <c r="AG67" s="662"/>
      <c r="AH67" s="662"/>
      <c r="AI67" s="662"/>
      <c r="AJ67" s="662" t="s">
        <v>267</v>
      </c>
      <c r="AK67" s="662" t="s">
        <v>267</v>
      </c>
      <c r="AL67" s="662" t="s">
        <v>267</v>
      </c>
      <c r="AM67" s="662" t="s">
        <v>267</v>
      </c>
      <c r="AN67" s="662"/>
      <c r="AO67" s="662"/>
      <c r="AP67" s="662"/>
      <c r="AQ67" s="662" t="s">
        <v>267</v>
      </c>
      <c r="AR67" s="662" t="s">
        <v>267</v>
      </c>
      <c r="AS67" s="645">
        <f t="array" ref="AS67">SUM(COUNTIF(N67:AR67, {"◎","〇","☆","共","特","浴"}))</f>
        <v>19</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4"/>
        <v>木戸</v>
      </c>
      <c r="C68" s="636" t="str">
        <f t="shared" si="15"/>
        <v>#N/A</v>
      </c>
      <c r="D68" s="214"/>
      <c r="E68" s="627" t="str">
        <f t="shared" si="16"/>
        <v>木戸</v>
      </c>
      <c r="F68" s="636" t="str">
        <f t="shared" si="17"/>
        <v>#N/A</v>
      </c>
      <c r="G68" s="214"/>
      <c r="H68" s="214"/>
      <c r="I68" s="169" t="b">
        <v>0</v>
      </c>
      <c r="J68" s="666">
        <v>10.0</v>
      </c>
      <c r="K68" s="665" t="s">
        <v>518</v>
      </c>
      <c r="L68" s="675"/>
      <c r="M68" s="675"/>
      <c r="N68" s="662"/>
      <c r="O68" s="662"/>
      <c r="P68" s="663"/>
      <c r="Q68" s="662" t="s">
        <v>267</v>
      </c>
      <c r="R68" s="662" t="s">
        <v>267</v>
      </c>
      <c r="S68" s="662"/>
      <c r="T68" s="662" t="s">
        <v>267</v>
      </c>
      <c r="U68" s="662" t="s">
        <v>267</v>
      </c>
      <c r="V68" s="662"/>
      <c r="W68" s="663"/>
      <c r="X68" s="662" t="s">
        <v>267</v>
      </c>
      <c r="Y68" s="662" t="s">
        <v>267</v>
      </c>
      <c r="Z68" s="662"/>
      <c r="AA68" s="662" t="s">
        <v>267</v>
      </c>
      <c r="AB68" s="662" t="s">
        <v>267</v>
      </c>
      <c r="AC68" s="662"/>
      <c r="AD68" s="662"/>
      <c r="AE68" s="662" t="s">
        <v>267</v>
      </c>
      <c r="AF68" s="662" t="s">
        <v>267</v>
      </c>
      <c r="AG68" s="662"/>
      <c r="AH68" s="662" t="s">
        <v>267</v>
      </c>
      <c r="AI68" s="662" t="s">
        <v>267</v>
      </c>
      <c r="AJ68" s="662"/>
      <c r="AK68" s="662"/>
      <c r="AL68" s="662" t="s">
        <v>267</v>
      </c>
      <c r="AM68" s="662" t="s">
        <v>267</v>
      </c>
      <c r="AN68" s="662"/>
      <c r="AO68" s="662" t="s">
        <v>267</v>
      </c>
      <c r="AP68" s="662" t="s">
        <v>267</v>
      </c>
      <c r="AQ68" s="662"/>
      <c r="AR68" s="663"/>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4"/>
        <v>ダリア</v>
      </c>
      <c r="C69" s="636" t="str">
        <f t="shared" si="15"/>
        <v>#N/A</v>
      </c>
      <c r="D69" s="214"/>
      <c r="E69" s="627" t="str">
        <f t="shared" si="16"/>
        <v>ダリア</v>
      </c>
      <c r="F69" s="636" t="str">
        <f t="shared" si="17"/>
        <v>#N/A</v>
      </c>
      <c r="G69" s="214"/>
      <c r="H69" s="214"/>
      <c r="I69" s="169" t="b">
        <v>0</v>
      </c>
      <c r="J69" s="678">
        <v>15.0</v>
      </c>
      <c r="K69" s="665" t="s">
        <v>176</v>
      </c>
      <c r="L69" s="675"/>
      <c r="M69" s="675"/>
      <c r="N69" s="662"/>
      <c r="O69" s="662"/>
      <c r="P69" s="662" t="s">
        <v>267</v>
      </c>
      <c r="Q69" s="662" t="s">
        <v>267</v>
      </c>
      <c r="R69" s="663"/>
      <c r="S69" s="662" t="s">
        <v>267</v>
      </c>
      <c r="T69" s="662" t="s">
        <v>267</v>
      </c>
      <c r="U69" s="663"/>
      <c r="V69" s="662" t="s">
        <v>267</v>
      </c>
      <c r="W69" s="662" t="s">
        <v>267</v>
      </c>
      <c r="X69" s="662"/>
      <c r="Y69" s="663"/>
      <c r="Z69" s="663"/>
      <c r="AA69" s="662" t="s">
        <v>267</v>
      </c>
      <c r="AB69" s="663"/>
      <c r="AC69" s="662" t="s">
        <v>267</v>
      </c>
      <c r="AD69" s="662" t="s">
        <v>267</v>
      </c>
      <c r="AE69" s="663"/>
      <c r="AF69" s="663"/>
      <c r="AG69" s="663"/>
      <c r="AH69" s="662" t="s">
        <v>267</v>
      </c>
      <c r="AI69" s="662"/>
      <c r="AJ69" s="662" t="s">
        <v>267</v>
      </c>
      <c r="AK69" s="662" t="s">
        <v>267</v>
      </c>
      <c r="AL69" s="662"/>
      <c r="AM69" s="663"/>
      <c r="AN69" s="662"/>
      <c r="AO69" s="662" t="s">
        <v>267</v>
      </c>
      <c r="AP69" s="662"/>
      <c r="AQ69" s="662" t="s">
        <v>267</v>
      </c>
      <c r="AR69" s="662" t="s">
        <v>267</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4"/>
        <v>アカシュ</v>
      </c>
      <c r="C70" s="636" t="str">
        <f t="shared" si="15"/>
        <v>#N/A</v>
      </c>
      <c r="D70" s="214"/>
      <c r="E70" s="627" t="str">
        <f t="shared" si="16"/>
        <v>アカシュ</v>
      </c>
      <c r="F70" s="636" t="str">
        <f t="shared" si="17"/>
        <v>#N/A</v>
      </c>
      <c r="G70" s="214"/>
      <c r="H70" s="214"/>
      <c r="I70" s="169" t="b">
        <v>0</v>
      </c>
      <c r="J70" s="666">
        <v>7.0</v>
      </c>
      <c r="K70" s="665" t="s">
        <v>519</v>
      </c>
      <c r="L70" s="675"/>
      <c r="M70" s="668"/>
      <c r="N70" s="662" t="s">
        <v>267</v>
      </c>
      <c r="O70" s="662" t="s">
        <v>267</v>
      </c>
      <c r="P70" s="662" t="s">
        <v>267</v>
      </c>
      <c r="Q70" s="662"/>
      <c r="R70" s="662" t="s">
        <v>267</v>
      </c>
      <c r="S70" s="662" t="s">
        <v>267</v>
      </c>
      <c r="T70" s="662" t="s">
        <v>267</v>
      </c>
      <c r="U70" s="662" t="s">
        <v>267</v>
      </c>
      <c r="V70" s="662" t="s">
        <v>267</v>
      </c>
      <c r="W70" s="662" t="s">
        <v>267</v>
      </c>
      <c r="X70" s="662"/>
      <c r="Y70" s="662" t="s">
        <v>267</v>
      </c>
      <c r="Z70" s="662" t="s">
        <v>267</v>
      </c>
      <c r="AA70" s="662" t="s">
        <v>267</v>
      </c>
      <c r="AB70" s="662" t="s">
        <v>267</v>
      </c>
      <c r="AC70" s="662" t="s">
        <v>267</v>
      </c>
      <c r="AD70" s="662" t="s">
        <v>267</v>
      </c>
      <c r="AE70" s="662"/>
      <c r="AF70" s="662" t="s">
        <v>267</v>
      </c>
      <c r="AG70" s="662" t="s">
        <v>267</v>
      </c>
      <c r="AH70" s="662" t="s">
        <v>267</v>
      </c>
      <c r="AI70" s="662"/>
      <c r="AJ70" s="662" t="s">
        <v>267</v>
      </c>
      <c r="AK70" s="662" t="s">
        <v>267</v>
      </c>
      <c r="AL70" s="662" t="s">
        <v>267</v>
      </c>
      <c r="AM70" s="662" t="s">
        <v>267</v>
      </c>
      <c r="AN70" s="662" t="s">
        <v>267</v>
      </c>
      <c r="AO70" s="662" t="s">
        <v>267</v>
      </c>
      <c r="AP70" s="662"/>
      <c r="AQ70" s="662" t="s">
        <v>267</v>
      </c>
      <c r="AR70" s="662" t="s">
        <v>267</v>
      </c>
      <c r="AS70" s="645">
        <f t="array" ref="AS70">SUM(COUNTIF(N70:AR70, {"◎","〇","☆","共","特","浴"}))</f>
        <v>26</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4"/>
        <v>ムナ</v>
      </c>
      <c r="C71" s="636" t="str">
        <f t="shared" si="15"/>
        <v>#N/A</v>
      </c>
      <c r="D71" s="214"/>
      <c r="E71" s="627" t="str">
        <f t="shared" si="16"/>
        <v>ムナ</v>
      </c>
      <c r="F71" s="636" t="str">
        <f t="shared" si="17"/>
        <v>#N/A</v>
      </c>
      <c r="G71" s="214"/>
      <c r="H71" s="214"/>
      <c r="I71" s="169" t="b">
        <v>0</v>
      </c>
      <c r="J71" s="678">
        <v>13.0</v>
      </c>
      <c r="K71" s="665" t="s">
        <v>520</v>
      </c>
      <c r="L71" s="675"/>
      <c r="M71" s="675"/>
      <c r="N71" s="662" t="s">
        <v>267</v>
      </c>
      <c r="O71" s="662" t="s">
        <v>267</v>
      </c>
      <c r="P71" s="662" t="s">
        <v>267</v>
      </c>
      <c r="Q71" s="662"/>
      <c r="R71" s="662"/>
      <c r="S71" s="662"/>
      <c r="T71" s="662" t="s">
        <v>267</v>
      </c>
      <c r="U71" s="662" t="s">
        <v>267</v>
      </c>
      <c r="V71" s="662" t="s">
        <v>267</v>
      </c>
      <c r="W71" s="662" t="s">
        <v>267</v>
      </c>
      <c r="X71" s="662"/>
      <c r="Y71" s="662"/>
      <c r="Z71" s="663"/>
      <c r="AA71" s="662" t="s">
        <v>267</v>
      </c>
      <c r="AB71" s="662" t="s">
        <v>267</v>
      </c>
      <c r="AC71" s="662" t="s">
        <v>267</v>
      </c>
      <c r="AD71" s="662" t="s">
        <v>267</v>
      </c>
      <c r="AE71" s="662"/>
      <c r="AF71" s="662"/>
      <c r="AG71" s="663"/>
      <c r="AH71" s="662" t="s">
        <v>267</v>
      </c>
      <c r="AI71" s="662" t="s">
        <v>267</v>
      </c>
      <c r="AJ71" s="662" t="s">
        <v>267</v>
      </c>
      <c r="AK71" s="662" t="s">
        <v>267</v>
      </c>
      <c r="AL71" s="662"/>
      <c r="AM71" s="662"/>
      <c r="AN71" s="663"/>
      <c r="AO71" s="662" t="s">
        <v>267</v>
      </c>
      <c r="AP71" s="662" t="s">
        <v>267</v>
      </c>
      <c r="AQ71" s="662" t="s">
        <v>267</v>
      </c>
      <c r="AR71" s="662" t="s">
        <v>267</v>
      </c>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hidden="1">
      <c r="A72" s="214"/>
      <c r="B72" s="627" t="str">
        <f t="shared" si="14"/>
        <v>クマル</v>
      </c>
      <c r="C72" s="636" t="str">
        <f t="shared" si="15"/>
        <v>#N/A</v>
      </c>
      <c r="D72" s="214"/>
      <c r="E72" s="627" t="str">
        <f t="shared" si="16"/>
        <v>クマル</v>
      </c>
      <c r="F72" s="636" t="str">
        <f t="shared" si="17"/>
        <v>#N/A</v>
      </c>
      <c r="G72" s="214"/>
      <c r="H72" s="214"/>
      <c r="I72" s="169" t="b">
        <v>0</v>
      </c>
      <c r="J72" s="678">
        <v>15.0</v>
      </c>
      <c r="K72" s="679" t="s">
        <v>186</v>
      </c>
      <c r="L72" s="675"/>
      <c r="M72" s="680"/>
      <c r="N72" s="662"/>
      <c r="O72" s="662"/>
      <c r="P72" s="662"/>
      <c r="Q72" s="662"/>
      <c r="R72" s="662"/>
      <c r="S72" s="662"/>
      <c r="T72" s="662"/>
      <c r="U72" s="671"/>
      <c r="V72" s="671"/>
      <c r="W72" s="662"/>
      <c r="X72" s="662"/>
      <c r="Y72" s="662"/>
      <c r="Z72" s="663"/>
      <c r="AA72" s="671"/>
      <c r="AB72" s="671"/>
      <c r="AC72" s="662"/>
      <c r="AD72" s="662"/>
      <c r="AE72" s="662"/>
      <c r="AF72" s="662"/>
      <c r="AG72" s="663"/>
      <c r="AH72" s="671"/>
      <c r="AI72" s="671"/>
      <c r="AJ72" s="671"/>
      <c r="AK72" s="662"/>
      <c r="AL72" s="662"/>
      <c r="AM72" s="662"/>
      <c r="AN72" s="663"/>
      <c r="AO72" s="671"/>
      <c r="AP72" s="671"/>
      <c r="AQ72" s="663"/>
      <c r="AR72" s="663"/>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hidden="1">
      <c r="A73" s="214"/>
      <c r="B73" s="627" t="str">
        <f t="shared" si="14"/>
        <v>毛利</v>
      </c>
      <c r="C73" s="636" t="str">
        <f t="shared" si="15"/>
        <v>#N/A</v>
      </c>
      <c r="D73" s="214"/>
      <c r="E73" s="627" t="str">
        <f t="shared" si="16"/>
        <v>毛利</v>
      </c>
      <c r="F73" s="636" t="str">
        <f t="shared" si="17"/>
        <v>#N/A</v>
      </c>
      <c r="G73" s="214"/>
      <c r="H73" s="214"/>
      <c r="I73" s="169" t="b">
        <v>0</v>
      </c>
      <c r="J73" s="678">
        <v>7.0</v>
      </c>
      <c r="K73" s="681" t="s">
        <v>521</v>
      </c>
      <c r="L73" s="675"/>
      <c r="M73" s="675"/>
      <c r="N73" s="662"/>
      <c r="O73" s="663"/>
      <c r="P73" s="662"/>
      <c r="Q73" s="663"/>
      <c r="R73" s="663"/>
      <c r="S73" s="662"/>
      <c r="T73" s="662"/>
      <c r="U73" s="662"/>
      <c r="V73" s="663"/>
      <c r="W73" s="663"/>
      <c r="X73" s="663"/>
      <c r="Y73" s="663"/>
      <c r="Z73" s="662"/>
      <c r="AA73" s="663"/>
      <c r="AB73" s="662"/>
      <c r="AC73" s="663"/>
      <c r="AD73" s="662"/>
      <c r="AE73" s="663"/>
      <c r="AF73" s="663"/>
      <c r="AG73" s="662"/>
      <c r="AH73" s="663"/>
      <c r="AI73" s="662"/>
      <c r="AJ73" s="663"/>
      <c r="AK73" s="662"/>
      <c r="AL73" s="663"/>
      <c r="AM73" s="663"/>
      <c r="AN73" s="662"/>
      <c r="AO73" s="663"/>
      <c r="AP73" s="662"/>
      <c r="AQ73" s="663"/>
      <c r="AR73" s="677"/>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4"/>
        <v>ペロ</v>
      </c>
      <c r="C74" s="636" t="str">
        <f t="shared" si="15"/>
        <v>#N/A</v>
      </c>
      <c r="D74" s="214"/>
      <c r="E74" s="627" t="str">
        <f t="shared" si="16"/>
        <v>ペロ</v>
      </c>
      <c r="F74" s="636" t="str">
        <f t="shared" si="17"/>
        <v>#N/A</v>
      </c>
      <c r="G74" s="214"/>
      <c r="H74" s="214"/>
      <c r="I74" s="169" t="b">
        <v>0</v>
      </c>
      <c r="J74" s="678">
        <v>15.0</v>
      </c>
      <c r="K74" s="682" t="s">
        <v>522</v>
      </c>
      <c r="L74" s="677"/>
      <c r="M74" s="675"/>
      <c r="N74" s="662" t="s">
        <v>267</v>
      </c>
      <c r="O74" s="663"/>
      <c r="P74" s="662"/>
      <c r="Q74" s="662" t="s">
        <v>267</v>
      </c>
      <c r="R74" s="671"/>
      <c r="S74" s="662"/>
      <c r="T74" s="662" t="s">
        <v>267</v>
      </c>
      <c r="U74" s="662" t="s">
        <v>267</v>
      </c>
      <c r="V74" s="662"/>
      <c r="W74" s="662"/>
      <c r="X74" s="662" t="s">
        <v>267</v>
      </c>
      <c r="Y74" s="662" t="s">
        <v>267</v>
      </c>
      <c r="Z74" s="662" t="s">
        <v>267</v>
      </c>
      <c r="AA74" s="662"/>
      <c r="AB74" s="662" t="s">
        <v>267</v>
      </c>
      <c r="AC74" s="671"/>
      <c r="AD74" s="662"/>
      <c r="AE74" s="662" t="s">
        <v>267</v>
      </c>
      <c r="AF74" s="662" t="s">
        <v>267</v>
      </c>
      <c r="AG74" s="662" t="s">
        <v>267</v>
      </c>
      <c r="AH74" s="662"/>
      <c r="AI74" s="662" t="s">
        <v>267</v>
      </c>
      <c r="AJ74" s="671"/>
      <c r="AK74" s="662"/>
      <c r="AL74" s="662" t="s">
        <v>267</v>
      </c>
      <c r="AM74" s="662" t="s">
        <v>267</v>
      </c>
      <c r="AN74" s="662" t="s">
        <v>267</v>
      </c>
      <c r="AO74" s="662"/>
      <c r="AP74" s="662" t="s">
        <v>267</v>
      </c>
      <c r="AQ74" s="671"/>
      <c r="AR74" s="671"/>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4"/>
        <v>ラナ</v>
      </c>
      <c r="C75" s="636" t="str">
        <f t="shared" si="15"/>
        <v>#N/A</v>
      </c>
      <c r="D75" s="214"/>
      <c r="E75" s="627" t="str">
        <f t="shared" si="16"/>
        <v>ラナ</v>
      </c>
      <c r="F75" s="636" t="str">
        <f t="shared" si="17"/>
        <v>#N/A</v>
      </c>
      <c r="G75" s="214"/>
      <c r="H75" s="214"/>
      <c r="I75" s="169" t="b">
        <v>0</v>
      </c>
      <c r="J75" s="678">
        <v>12.0</v>
      </c>
      <c r="K75" s="682" t="s">
        <v>523</v>
      </c>
      <c r="L75" s="675"/>
      <c r="M75" s="675"/>
      <c r="N75" s="662"/>
      <c r="O75" s="554" t="s">
        <v>267</v>
      </c>
      <c r="P75" s="554" t="s">
        <v>267</v>
      </c>
      <c r="Q75" s="662" t="s">
        <v>267</v>
      </c>
      <c r="R75" s="554" t="s">
        <v>267</v>
      </c>
      <c r="S75" s="640"/>
      <c r="T75" s="662"/>
      <c r="U75" s="662"/>
      <c r="V75" s="662" t="s">
        <v>267</v>
      </c>
      <c r="W75" s="554" t="s">
        <v>267</v>
      </c>
      <c r="X75" s="554" t="s">
        <v>267</v>
      </c>
      <c r="Y75" s="554" t="s">
        <v>267</v>
      </c>
      <c r="Z75" s="662"/>
      <c r="AA75" s="662"/>
      <c r="AB75" s="662"/>
      <c r="AC75" s="662" t="s">
        <v>267</v>
      </c>
      <c r="AD75" s="662" t="s">
        <v>267</v>
      </c>
      <c r="AE75" s="662" t="s">
        <v>267</v>
      </c>
      <c r="AF75" s="662" t="s">
        <v>267</v>
      </c>
      <c r="AG75" s="662"/>
      <c r="AH75" s="662"/>
      <c r="AI75" s="662"/>
      <c r="AJ75" s="662" t="s">
        <v>267</v>
      </c>
      <c r="AK75" s="662" t="s">
        <v>267</v>
      </c>
      <c r="AL75" s="662" t="s">
        <v>267</v>
      </c>
      <c r="AM75" s="662" t="s">
        <v>267</v>
      </c>
      <c r="AN75" s="662"/>
      <c r="AO75" s="662"/>
      <c r="AP75" s="662"/>
      <c r="AQ75" s="662" t="s">
        <v>267</v>
      </c>
      <c r="AR75" s="662" t="s">
        <v>267</v>
      </c>
      <c r="AS75" s="645">
        <f t="array" ref="AS75">SUM(COUNTIF(N75:AR75, {"◎","〇","☆","共","特","浴"}))</f>
        <v>18</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4"/>
        <v>西村</v>
      </c>
      <c r="C76" s="636" t="str">
        <f t="shared" si="15"/>
        <v>#N/A</v>
      </c>
      <c r="D76" s="214"/>
      <c r="E76" s="627" t="str">
        <f t="shared" si="16"/>
        <v>西村</v>
      </c>
      <c r="F76" s="636" t="str">
        <f t="shared" si="17"/>
        <v>#N/A</v>
      </c>
      <c r="G76" s="214"/>
      <c r="H76" s="214"/>
      <c r="I76" s="169" t="b">
        <v>0</v>
      </c>
      <c r="J76" s="678">
        <v>7.0</v>
      </c>
      <c r="K76" s="637" t="s">
        <v>524</v>
      </c>
      <c r="L76" s="675"/>
      <c r="M76" s="675"/>
      <c r="N76" s="662"/>
      <c r="O76" s="663"/>
      <c r="P76" s="662"/>
      <c r="Q76" s="663"/>
      <c r="R76" s="671"/>
      <c r="S76" s="662"/>
      <c r="T76" s="671"/>
      <c r="U76" s="662"/>
      <c r="V76" s="663"/>
      <c r="W76" s="663"/>
      <c r="X76" s="663"/>
      <c r="Y76" s="671"/>
      <c r="Z76" s="662"/>
      <c r="AA76" s="671"/>
      <c r="AB76" s="662"/>
      <c r="AC76" s="663"/>
      <c r="AD76" s="663"/>
      <c r="AE76" s="663"/>
      <c r="AF76" s="671"/>
      <c r="AG76" s="662"/>
      <c r="AH76" s="671"/>
      <c r="AI76" s="662"/>
      <c r="AJ76" s="663"/>
      <c r="AK76" s="662"/>
      <c r="AL76" s="663"/>
      <c r="AM76" s="671"/>
      <c r="AN76" s="662"/>
      <c r="AO76" s="671"/>
      <c r="AP76" s="662"/>
      <c r="AQ76" s="671"/>
      <c r="AR76" s="671"/>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4"/>
        <v>シタ</v>
      </c>
      <c r="C77" s="636" t="str">
        <f t="shared" si="15"/>
        <v>#N/A</v>
      </c>
      <c r="D77" s="214"/>
      <c r="E77" s="627" t="str">
        <f t="shared" si="16"/>
        <v>シタ</v>
      </c>
      <c r="F77" s="636" t="str">
        <f t="shared" si="17"/>
        <v>#N/A</v>
      </c>
      <c r="G77" s="214"/>
      <c r="H77" s="214"/>
      <c r="I77" s="169" t="b">
        <v>0</v>
      </c>
      <c r="J77" s="678">
        <v>10.0</v>
      </c>
      <c r="K77" s="661" t="s">
        <v>525</v>
      </c>
      <c r="L77" s="675"/>
      <c r="M77" s="675"/>
      <c r="N77" s="662"/>
      <c r="O77" s="662" t="s">
        <v>267</v>
      </c>
      <c r="P77" s="662" t="s">
        <v>267</v>
      </c>
      <c r="Q77" s="662" t="s">
        <v>267</v>
      </c>
      <c r="R77" s="662" t="s">
        <v>267</v>
      </c>
      <c r="S77" s="671"/>
      <c r="T77" s="662"/>
      <c r="U77" s="662"/>
      <c r="V77" s="662" t="s">
        <v>267</v>
      </c>
      <c r="W77" s="662" t="s">
        <v>267</v>
      </c>
      <c r="X77" s="662" t="s">
        <v>267</v>
      </c>
      <c r="Y77" s="662" t="s">
        <v>267</v>
      </c>
      <c r="Z77" s="662"/>
      <c r="AA77" s="662"/>
      <c r="AB77" s="662"/>
      <c r="AC77" s="662" t="s">
        <v>267</v>
      </c>
      <c r="AD77" s="662" t="s">
        <v>267</v>
      </c>
      <c r="AE77" s="662" t="s">
        <v>267</v>
      </c>
      <c r="AF77" s="662" t="s">
        <v>267</v>
      </c>
      <c r="AG77" s="662"/>
      <c r="AH77" s="662"/>
      <c r="AI77" s="662"/>
      <c r="AJ77" s="662" t="s">
        <v>267</v>
      </c>
      <c r="AK77" s="662" t="s">
        <v>267</v>
      </c>
      <c r="AL77" s="662" t="s">
        <v>267</v>
      </c>
      <c r="AM77" s="662" t="s">
        <v>267</v>
      </c>
      <c r="AN77" s="662"/>
      <c r="AO77" s="662"/>
      <c r="AP77" s="662"/>
      <c r="AQ77" s="662" t="s">
        <v>267</v>
      </c>
      <c r="AR77" s="662" t="s">
        <v>267</v>
      </c>
      <c r="AS77" s="645">
        <f t="array" ref="AS77">SUM(COUNTIF(N77:AR77, {"◎","〇","☆","共","特","浴"}))</f>
        <v>18</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4"/>
        <v>田中</v>
      </c>
      <c r="C78" s="636" t="str">
        <f t="shared" si="15"/>
        <v>#N/A</v>
      </c>
      <c r="D78" s="214"/>
      <c r="E78" s="627" t="str">
        <f t="shared" si="16"/>
        <v>田中</v>
      </c>
      <c r="F78" s="636" t="str">
        <f t="shared" si="17"/>
        <v>#N/A</v>
      </c>
      <c r="G78" s="214"/>
      <c r="H78" s="214"/>
      <c r="I78" s="169" t="b">
        <v>0</v>
      </c>
      <c r="J78" s="678">
        <v>10.0</v>
      </c>
      <c r="K78" s="637" t="s">
        <v>526</v>
      </c>
      <c r="L78" s="675"/>
      <c r="M78" s="675"/>
      <c r="N78" s="671"/>
      <c r="O78" s="663"/>
      <c r="P78" s="663"/>
      <c r="Q78" s="663"/>
      <c r="R78" s="662"/>
      <c r="S78" s="663"/>
      <c r="T78" s="671"/>
      <c r="U78" s="663"/>
      <c r="V78" s="663"/>
      <c r="W78" s="663"/>
      <c r="X78" s="663"/>
      <c r="Y78" s="662"/>
      <c r="Z78" s="663"/>
      <c r="AA78" s="663"/>
      <c r="AB78" s="663"/>
      <c r="AC78" s="663"/>
      <c r="AD78" s="663"/>
      <c r="AE78" s="663"/>
      <c r="AF78" s="662"/>
      <c r="AG78" s="663"/>
      <c r="AH78" s="671"/>
      <c r="AI78" s="671"/>
      <c r="AJ78" s="663"/>
      <c r="AK78" s="663"/>
      <c r="AL78" s="663"/>
      <c r="AM78" s="662"/>
      <c r="AN78" s="663"/>
      <c r="AO78" s="671"/>
      <c r="AP78" s="671"/>
      <c r="AQ78" s="671"/>
      <c r="AR78" s="675"/>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4"/>
        <v>ジジ</v>
      </c>
      <c r="C79" s="636" t="str">
        <f t="shared" si="15"/>
        <v>#N/A</v>
      </c>
      <c r="D79" s="214"/>
      <c r="E79" s="627" t="str">
        <f t="shared" si="16"/>
        <v>ジジ</v>
      </c>
      <c r="F79" s="636" t="str">
        <f t="shared" si="17"/>
        <v>#N/A</v>
      </c>
      <c r="G79" s="214"/>
      <c r="H79" s="214"/>
      <c r="I79" s="169" t="b">
        <v>0</v>
      </c>
      <c r="J79" s="678">
        <v>10.0</v>
      </c>
      <c r="K79" s="661" t="s">
        <v>527</v>
      </c>
      <c r="L79" s="675"/>
      <c r="M79" s="675"/>
      <c r="N79" s="662"/>
      <c r="O79" s="662" t="s">
        <v>267</v>
      </c>
      <c r="P79" s="662"/>
      <c r="Q79" s="662"/>
      <c r="R79" s="662" t="s">
        <v>267</v>
      </c>
      <c r="S79" s="662" t="s">
        <v>267</v>
      </c>
      <c r="T79" s="662" t="s">
        <v>267</v>
      </c>
      <c r="U79" s="662"/>
      <c r="V79" s="662" t="s">
        <v>267</v>
      </c>
      <c r="W79" s="663"/>
      <c r="X79" s="662"/>
      <c r="Y79" s="662" t="s">
        <v>267</v>
      </c>
      <c r="Z79" s="662" t="s">
        <v>267</v>
      </c>
      <c r="AA79" s="662" t="s">
        <v>267</v>
      </c>
      <c r="AB79" s="662"/>
      <c r="AC79" s="662" t="s">
        <v>267</v>
      </c>
      <c r="AD79" s="663"/>
      <c r="AE79" s="662"/>
      <c r="AF79" s="662" t="s">
        <v>267</v>
      </c>
      <c r="AG79" s="662" t="s">
        <v>267</v>
      </c>
      <c r="AH79" s="662" t="s">
        <v>267</v>
      </c>
      <c r="AI79" s="662"/>
      <c r="AJ79" s="662" t="s">
        <v>267</v>
      </c>
      <c r="AK79" s="663"/>
      <c r="AL79" s="662"/>
      <c r="AM79" s="662" t="s">
        <v>267</v>
      </c>
      <c r="AN79" s="662" t="s">
        <v>267</v>
      </c>
      <c r="AO79" s="662" t="s">
        <v>267</v>
      </c>
      <c r="AP79" s="662"/>
      <c r="AQ79" s="662" t="s">
        <v>267</v>
      </c>
      <c r="AR79" s="675"/>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4"/>
        <v>ナロミ</v>
      </c>
      <c r="C80" s="636" t="str">
        <f t="shared" si="15"/>
        <v>#N/A</v>
      </c>
      <c r="D80" s="214"/>
      <c r="E80" s="627" t="str">
        <f t="shared" si="16"/>
        <v>ナロミ</v>
      </c>
      <c r="F80" s="636" t="str">
        <f t="shared" si="17"/>
        <v>#N/A</v>
      </c>
      <c r="G80" s="214"/>
      <c r="H80" s="214"/>
      <c r="I80" s="169" t="b">
        <v>0</v>
      </c>
      <c r="J80" s="678">
        <v>12.0</v>
      </c>
      <c r="K80" s="661" t="s">
        <v>528</v>
      </c>
      <c r="L80" s="675"/>
      <c r="M80" s="675"/>
      <c r="N80" s="671"/>
      <c r="O80" s="662"/>
      <c r="P80" s="662"/>
      <c r="Q80" s="662"/>
      <c r="R80" s="675"/>
      <c r="S80" s="675"/>
      <c r="T80" s="662"/>
      <c r="U80" s="671"/>
      <c r="V80" s="662"/>
      <c r="W80" s="662"/>
      <c r="X80" s="662"/>
      <c r="Y80" s="662" t="s">
        <v>267</v>
      </c>
      <c r="Z80" s="677"/>
      <c r="AA80" s="662" t="s">
        <v>267</v>
      </c>
      <c r="AB80" s="662" t="s">
        <v>267</v>
      </c>
      <c r="AC80" s="662" t="s">
        <v>267</v>
      </c>
      <c r="AD80" s="662"/>
      <c r="AE80" s="662"/>
      <c r="AF80" s="662" t="s">
        <v>267</v>
      </c>
      <c r="AG80" s="675"/>
      <c r="AH80" s="662" t="s">
        <v>267</v>
      </c>
      <c r="AI80" s="662" t="s">
        <v>267</v>
      </c>
      <c r="AJ80" s="662" t="s">
        <v>267</v>
      </c>
      <c r="AK80" s="671"/>
      <c r="AL80" s="671"/>
      <c r="AM80" s="662" t="s">
        <v>267</v>
      </c>
      <c r="AN80" s="675"/>
      <c r="AO80" s="662" t="s">
        <v>267</v>
      </c>
      <c r="AP80" s="662" t="s">
        <v>267</v>
      </c>
      <c r="AQ80" s="662" t="s">
        <v>267</v>
      </c>
      <c r="AR80" s="671"/>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hidden="1">
      <c r="A81" s="214"/>
      <c r="B81" s="627" t="str">
        <f t="shared" si="14"/>
        <v>小野</v>
      </c>
      <c r="C81" s="636" t="str">
        <f t="shared" si="15"/>
        <v>#N/A</v>
      </c>
      <c r="D81" s="214"/>
      <c r="E81" s="627" t="str">
        <f t="shared" si="16"/>
        <v>小野</v>
      </c>
      <c r="F81" s="636" t="str">
        <f t="shared" si="17"/>
        <v>#N/A</v>
      </c>
      <c r="G81" s="214"/>
      <c r="H81" s="214"/>
      <c r="I81" s="169" t="b">
        <v>0</v>
      </c>
      <c r="J81" s="678">
        <v>10.0</v>
      </c>
      <c r="K81" s="637" t="s">
        <v>529</v>
      </c>
      <c r="L81" s="675"/>
      <c r="M81" s="675"/>
      <c r="N81" s="675"/>
      <c r="O81" s="675"/>
      <c r="P81" s="671"/>
      <c r="Q81" s="671"/>
      <c r="R81" s="675"/>
      <c r="S81" s="671"/>
      <c r="T81" s="671"/>
      <c r="U81" s="671"/>
      <c r="V81" s="677"/>
      <c r="W81" s="671"/>
      <c r="X81" s="672"/>
      <c r="Y81" s="677"/>
      <c r="Z81" s="671"/>
      <c r="AA81" s="671"/>
      <c r="AB81" s="671"/>
      <c r="AC81" s="671"/>
      <c r="AD81" s="671"/>
      <c r="AE81" s="671"/>
      <c r="AF81" s="677"/>
      <c r="AG81" s="671"/>
      <c r="AH81" s="671"/>
      <c r="AI81" s="671"/>
      <c r="AJ81" s="671"/>
      <c r="AK81" s="671"/>
      <c r="AL81" s="671"/>
      <c r="AM81" s="675"/>
      <c r="AN81" s="671"/>
      <c r="AO81" s="671"/>
      <c r="AP81" s="671"/>
      <c r="AQ81" s="675"/>
      <c r="AR81" s="67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4"/>
        <v>森崎</v>
      </c>
      <c r="C82" s="636" t="str">
        <f t="shared" si="15"/>
        <v>#N/A</v>
      </c>
      <c r="D82" s="214"/>
      <c r="E82" s="627" t="str">
        <f t="shared" si="16"/>
        <v>森崎</v>
      </c>
      <c r="F82" s="636" t="str">
        <f t="shared" si="17"/>
        <v>#N/A</v>
      </c>
      <c r="G82" s="214"/>
      <c r="H82" s="214"/>
      <c r="I82" s="169" t="b">
        <v>0</v>
      </c>
      <c r="J82" s="617">
        <v>7.0</v>
      </c>
      <c r="K82" s="661" t="s">
        <v>530</v>
      </c>
      <c r="L82" s="683"/>
      <c r="M82" s="639" t="s">
        <v>531</v>
      </c>
      <c r="N82" s="554"/>
      <c r="O82" s="554" t="s">
        <v>267</v>
      </c>
      <c r="P82" s="554" t="s">
        <v>267</v>
      </c>
      <c r="Q82" s="640"/>
      <c r="R82" s="554" t="s">
        <v>267</v>
      </c>
      <c r="S82" s="554" t="s">
        <v>267</v>
      </c>
      <c r="T82" s="640"/>
      <c r="U82" s="554"/>
      <c r="V82" s="554" t="s">
        <v>267</v>
      </c>
      <c r="W82" s="554" t="s">
        <v>267</v>
      </c>
      <c r="X82" s="554"/>
      <c r="Y82" s="554"/>
      <c r="Z82" s="554" t="s">
        <v>267</v>
      </c>
      <c r="AA82" s="554" t="s">
        <v>267</v>
      </c>
      <c r="AB82" s="662"/>
      <c r="AC82" s="554" t="s">
        <v>267</v>
      </c>
      <c r="AD82" s="554" t="s">
        <v>267</v>
      </c>
      <c r="AE82" s="640"/>
      <c r="AF82" s="554"/>
      <c r="AG82" s="554" t="s">
        <v>267</v>
      </c>
      <c r="AH82" s="554" t="s">
        <v>267</v>
      </c>
      <c r="AI82" s="554"/>
      <c r="AJ82" s="554" t="s">
        <v>267</v>
      </c>
      <c r="AK82" s="554" t="s">
        <v>267</v>
      </c>
      <c r="AL82" s="671"/>
      <c r="AM82" s="662"/>
      <c r="AN82" s="554" t="s">
        <v>267</v>
      </c>
      <c r="AO82" s="554" t="s">
        <v>267</v>
      </c>
      <c r="AP82" s="662"/>
      <c r="AQ82" s="554" t="s">
        <v>267</v>
      </c>
      <c r="AR82" s="554" t="s">
        <v>267</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4"/>
        <v>石垣</v>
      </c>
      <c r="C83" s="636" t="str">
        <f t="shared" si="15"/>
        <v>#N/A</v>
      </c>
      <c r="D83" s="214"/>
      <c r="E83" s="627" t="str">
        <f t="shared" si="16"/>
        <v>石垣</v>
      </c>
      <c r="F83" s="636" t="str">
        <f t="shared" si="17"/>
        <v>#N/A</v>
      </c>
      <c r="G83" s="214"/>
      <c r="H83" s="214"/>
      <c r="I83" s="169" t="b">
        <v>0</v>
      </c>
      <c r="J83" s="617">
        <v>10.0</v>
      </c>
      <c r="K83" s="661" t="s">
        <v>532</v>
      </c>
      <c r="L83" s="683"/>
      <c r="M83" s="639"/>
      <c r="N83" s="554" t="s">
        <v>267</v>
      </c>
      <c r="O83" s="640"/>
      <c r="P83" s="640"/>
      <c r="Q83" s="640"/>
      <c r="R83" s="640"/>
      <c r="S83" s="640"/>
      <c r="T83" s="554" t="s">
        <v>267</v>
      </c>
      <c r="U83" s="554"/>
      <c r="V83" s="554"/>
      <c r="W83" s="640"/>
      <c r="X83" s="554" t="s">
        <v>267</v>
      </c>
      <c r="Y83" s="640"/>
      <c r="Z83" s="554" t="s">
        <v>267</v>
      </c>
      <c r="AA83" s="554" t="s">
        <v>267</v>
      </c>
      <c r="AB83" s="554"/>
      <c r="AC83" s="554"/>
      <c r="AD83" s="554"/>
      <c r="AE83" s="554" t="s">
        <v>267</v>
      </c>
      <c r="AF83" s="640"/>
      <c r="AG83" s="554"/>
      <c r="AH83" s="554" t="s">
        <v>267</v>
      </c>
      <c r="AI83" s="554"/>
      <c r="AJ83" s="640"/>
      <c r="AK83" s="640"/>
      <c r="AL83" s="554" t="s">
        <v>267</v>
      </c>
      <c r="AM83" s="640"/>
      <c r="AN83" s="554" t="s">
        <v>267</v>
      </c>
      <c r="AO83" s="554" t="s">
        <v>267</v>
      </c>
      <c r="AP83" s="640"/>
      <c r="AQ83" s="554"/>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4"/>
        <v>アイリシ</v>
      </c>
      <c r="C84" s="636" t="str">
        <f t="shared" si="15"/>
        <v>#N/A</v>
      </c>
      <c r="D84" s="214"/>
      <c r="E84" s="627" t="str">
        <f t="shared" si="16"/>
        <v>アイリシ</v>
      </c>
      <c r="F84" s="636" t="str">
        <f t="shared" si="17"/>
        <v>#N/A</v>
      </c>
      <c r="G84" s="214"/>
      <c r="H84" s="214"/>
      <c r="I84" s="169" t="b">
        <v>0</v>
      </c>
      <c r="J84" s="617"/>
      <c r="K84" s="661" t="s">
        <v>533</v>
      </c>
      <c r="L84" s="683"/>
      <c r="M84" s="644"/>
      <c r="N84" s="554" t="s">
        <v>267</v>
      </c>
      <c r="O84" s="554" t="s">
        <v>267</v>
      </c>
      <c r="P84" s="554"/>
      <c r="Q84" s="554" t="s">
        <v>267</v>
      </c>
      <c r="R84" s="554" t="s">
        <v>267</v>
      </c>
      <c r="S84" s="554" t="s">
        <v>267</v>
      </c>
      <c r="T84" s="554" t="s">
        <v>267</v>
      </c>
      <c r="U84" s="554" t="s">
        <v>267</v>
      </c>
      <c r="V84" s="554" t="s">
        <v>267</v>
      </c>
      <c r="W84" s="554"/>
      <c r="X84" s="554" t="s">
        <v>267</v>
      </c>
      <c r="Y84" s="554" t="s">
        <v>267</v>
      </c>
      <c r="Z84" s="554" t="s">
        <v>267</v>
      </c>
      <c r="AA84" s="554" t="s">
        <v>267</v>
      </c>
      <c r="AB84" s="554" t="s">
        <v>267</v>
      </c>
      <c r="AC84" s="554" t="s">
        <v>267</v>
      </c>
      <c r="AD84" s="671"/>
      <c r="AE84" s="554" t="s">
        <v>267</v>
      </c>
      <c r="AF84" s="554" t="s">
        <v>267</v>
      </c>
      <c r="AG84" s="554" t="s">
        <v>267</v>
      </c>
      <c r="AH84" s="554" t="s">
        <v>267</v>
      </c>
      <c r="AI84" s="554" t="s">
        <v>267</v>
      </c>
      <c r="AJ84" s="554" t="s">
        <v>267</v>
      </c>
      <c r="AK84" s="671"/>
      <c r="AL84" s="554" t="s">
        <v>267</v>
      </c>
      <c r="AM84" s="554" t="s">
        <v>267</v>
      </c>
      <c r="AN84" s="554" t="s">
        <v>267</v>
      </c>
      <c r="AO84" s="554" t="s">
        <v>267</v>
      </c>
      <c r="AP84" s="554" t="s">
        <v>267</v>
      </c>
      <c r="AQ84" s="554" t="s">
        <v>267</v>
      </c>
      <c r="AR84" s="671"/>
      <c r="AS84" s="645">
        <f t="array" ref="AS84">SUM(COUNTIF(N84:AR84, {"◎","〇","☆","共","特","浴"}))</f>
        <v>26</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4"/>
        <v>リン</v>
      </c>
      <c r="C85" s="636" t="str">
        <f t="shared" si="15"/>
        <v>#N/A</v>
      </c>
      <c r="D85" s="214"/>
      <c r="E85" s="627" t="str">
        <f t="shared" si="16"/>
        <v>リン</v>
      </c>
      <c r="F85" s="636" t="str">
        <f t="shared" si="17"/>
        <v>#N/A</v>
      </c>
      <c r="G85" s="214"/>
      <c r="H85" s="214"/>
      <c r="I85" s="169" t="b">
        <v>0</v>
      </c>
      <c r="J85" s="617"/>
      <c r="K85" s="661" t="s">
        <v>534</v>
      </c>
      <c r="L85" s="683"/>
      <c r="M85" s="644"/>
      <c r="N85" s="554" t="s">
        <v>267</v>
      </c>
      <c r="O85" s="554"/>
      <c r="P85" s="554" t="s">
        <v>267</v>
      </c>
      <c r="Q85" s="554" t="s">
        <v>267</v>
      </c>
      <c r="R85" s="554" t="s">
        <v>267</v>
      </c>
      <c r="S85" s="554" t="s">
        <v>267</v>
      </c>
      <c r="T85" s="554" t="s">
        <v>267</v>
      </c>
      <c r="U85" s="554" t="s">
        <v>267</v>
      </c>
      <c r="V85" s="554"/>
      <c r="W85" s="554" t="s">
        <v>267</v>
      </c>
      <c r="X85" s="554" t="s">
        <v>267</v>
      </c>
      <c r="Y85" s="554" t="s">
        <v>267</v>
      </c>
      <c r="Z85" s="554" t="s">
        <v>267</v>
      </c>
      <c r="AA85" s="554" t="s">
        <v>267</v>
      </c>
      <c r="AB85" s="554" t="s">
        <v>267</v>
      </c>
      <c r="AC85" s="554"/>
      <c r="AD85" s="554" t="s">
        <v>267</v>
      </c>
      <c r="AE85" s="554" t="s">
        <v>267</v>
      </c>
      <c r="AF85" s="554" t="s">
        <v>267</v>
      </c>
      <c r="AG85" s="554" t="s">
        <v>267</v>
      </c>
      <c r="AH85" s="554" t="s">
        <v>267</v>
      </c>
      <c r="AI85" s="554" t="s">
        <v>267</v>
      </c>
      <c r="AJ85" s="554"/>
      <c r="AK85" s="554" t="s">
        <v>267</v>
      </c>
      <c r="AL85" s="554" t="s">
        <v>267</v>
      </c>
      <c r="AM85" s="554" t="s">
        <v>267</v>
      </c>
      <c r="AN85" s="554" t="s">
        <v>267</v>
      </c>
      <c r="AO85" s="554" t="s">
        <v>267</v>
      </c>
      <c r="AP85" s="554" t="s">
        <v>267</v>
      </c>
      <c r="AQ85" s="640"/>
      <c r="AR85" s="554" t="s">
        <v>267</v>
      </c>
      <c r="AS85" s="645">
        <f t="array" ref="AS85">SUM(COUNTIF(N85:AR85, {"◎","〇","☆","共","特","浴"}))</f>
        <v>26</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4"/>
        <v/>
      </c>
      <c r="C86" s="636" t="str">
        <f t="shared" si="15"/>
        <v/>
      </c>
      <c r="D86" s="214"/>
      <c r="E86" s="627" t="str">
        <f t="shared" si="16"/>
        <v/>
      </c>
      <c r="F86" s="636" t="str">
        <f t="shared" si="17"/>
        <v/>
      </c>
      <c r="G86" s="214"/>
      <c r="H86" s="214"/>
      <c r="I86" s="169" t="b">
        <v>0</v>
      </c>
      <c r="J86" s="617"/>
      <c r="K86" s="679"/>
      <c r="L86" s="683"/>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4"/>
        <v/>
      </c>
      <c r="C87" s="636" t="str">
        <f t="shared" si="15"/>
        <v/>
      </c>
      <c r="D87" s="214"/>
      <c r="E87" s="627" t="str">
        <f t="shared" si="16"/>
        <v/>
      </c>
      <c r="F87" s="636" t="str">
        <f t="shared" si="17"/>
        <v/>
      </c>
      <c r="G87" s="214"/>
      <c r="H87" s="214"/>
      <c r="I87" s="169" t="b">
        <v>0</v>
      </c>
      <c r="J87" s="617"/>
      <c r="K87" s="679"/>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4"/>
        <v/>
      </c>
      <c r="C88" s="636" t="str">
        <f t="shared" si="15"/>
        <v/>
      </c>
      <c r="D88" s="214"/>
      <c r="E88" s="627" t="str">
        <f t="shared" si="16"/>
        <v/>
      </c>
      <c r="F88" s="636" t="str">
        <f t="shared" si="17"/>
        <v/>
      </c>
      <c r="G88" s="214"/>
      <c r="H88" s="214"/>
      <c r="I88" s="169" t="b">
        <v>0</v>
      </c>
      <c r="J88" s="617"/>
      <c r="K88" s="679"/>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4"/>
        <v/>
      </c>
      <c r="C89" s="636" t="str">
        <f t="shared" si="15"/>
        <v/>
      </c>
      <c r="D89" s="214"/>
      <c r="E89" s="627" t="str">
        <f t="shared" si="16"/>
        <v/>
      </c>
      <c r="F89" s="636" t="str">
        <f t="shared" si="17"/>
        <v/>
      </c>
      <c r="G89" s="214"/>
      <c r="H89" s="214"/>
      <c r="I89" s="169" t="b">
        <v>0</v>
      </c>
      <c r="J89" s="617"/>
      <c r="K89" s="679"/>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4"/>
        <v/>
      </c>
      <c r="C90" s="636" t="str">
        <f t="shared" si="15"/>
        <v/>
      </c>
      <c r="D90" s="214"/>
      <c r="E90" s="627" t="str">
        <f t="shared" si="16"/>
        <v/>
      </c>
      <c r="F90" s="636" t="str">
        <f t="shared" si="17"/>
        <v/>
      </c>
      <c r="G90" s="214"/>
      <c r="H90" s="214"/>
      <c r="I90" s="169" t="b">
        <v>0</v>
      </c>
      <c r="J90" s="617"/>
      <c r="K90" s="679"/>
      <c r="L90" s="683"/>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4"/>
        <v/>
      </c>
      <c r="C91" s="636" t="str">
        <f t="shared" si="15"/>
        <v/>
      </c>
      <c r="D91" s="214"/>
      <c r="E91" s="627" t="str">
        <f t="shared" si="16"/>
        <v/>
      </c>
      <c r="F91" s="636" t="str">
        <f t="shared" si="17"/>
        <v/>
      </c>
      <c r="G91" s="214"/>
      <c r="H91" s="214"/>
      <c r="I91" s="169" t="b">
        <v>0</v>
      </c>
      <c r="J91" s="617"/>
      <c r="K91" s="679"/>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4"/>
        <v/>
      </c>
      <c r="C92" s="636" t="str">
        <f t="shared" si="15"/>
        <v/>
      </c>
      <c r="D92" s="214"/>
      <c r="E92" s="627" t="str">
        <f t="shared" si="16"/>
        <v/>
      </c>
      <c r="F92" s="636" t="str">
        <f t="shared" si="17"/>
        <v/>
      </c>
      <c r="G92" s="214"/>
      <c r="H92" s="214"/>
      <c r="I92" s="169" t="b">
        <v>0</v>
      </c>
      <c r="J92" s="617"/>
      <c r="K92" s="679"/>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4"/>
        <v/>
      </c>
      <c r="C93" s="636" t="str">
        <f t="shared" si="15"/>
        <v/>
      </c>
      <c r="D93" s="214"/>
      <c r="E93" s="627" t="str">
        <f t="shared" si="16"/>
        <v/>
      </c>
      <c r="F93" s="636" t="str">
        <f t="shared" si="17"/>
        <v/>
      </c>
      <c r="G93" s="214"/>
      <c r="H93" s="214"/>
      <c r="I93" s="169" t="b">
        <v>0</v>
      </c>
      <c r="J93" s="617"/>
      <c r="K93" s="679"/>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4"/>
        <v/>
      </c>
      <c r="C94" s="636" t="str">
        <f t="shared" si="15"/>
        <v/>
      </c>
      <c r="D94" s="214"/>
      <c r="E94" s="627" t="str">
        <f t="shared" si="16"/>
        <v/>
      </c>
      <c r="F94" s="636" t="str">
        <f t="shared" si="1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4"/>
        <v/>
      </c>
      <c r="C95" s="636" t="str">
        <f t="shared" si="15"/>
        <v/>
      </c>
      <c r="D95" s="214"/>
      <c r="E95" s="627" t="str">
        <f t="shared" si="16"/>
        <v/>
      </c>
      <c r="F95" s="636" t="str">
        <f t="shared" si="1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4"/>
        <v/>
      </c>
      <c r="C96" s="636" t="str">
        <f t="shared" si="15"/>
        <v/>
      </c>
      <c r="D96" s="214"/>
      <c r="E96" s="627" t="str">
        <f t="shared" si="16"/>
        <v/>
      </c>
      <c r="F96" s="636" t="str">
        <f t="shared" si="1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4"/>
        <v/>
      </c>
      <c r="C97" s="636" t="str">
        <f t="shared" si="15"/>
        <v/>
      </c>
      <c r="D97" s="214"/>
      <c r="E97" s="627" t="str">
        <f t="shared" si="16"/>
        <v/>
      </c>
      <c r="F97" s="636" t="str">
        <f t="shared" si="1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4"/>
        <v/>
      </c>
      <c r="C98" s="636" t="str">
        <f t="shared" si="15"/>
        <v/>
      </c>
      <c r="D98" s="214"/>
      <c r="E98" s="627" t="str">
        <f t="shared" si="16"/>
        <v/>
      </c>
      <c r="F98" s="636" t="str">
        <f t="shared" si="1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4"/>
        <v/>
      </c>
      <c r="C99" s="636" t="str">
        <f t="shared" si="15"/>
        <v/>
      </c>
      <c r="D99" s="214"/>
      <c r="E99" s="627" t="str">
        <f t="shared" si="16"/>
        <v/>
      </c>
      <c r="F99" s="636" t="str">
        <f t="shared" si="1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4"/>
        <v/>
      </c>
      <c r="C100" s="636" t="str">
        <f t="shared" si="15"/>
        <v/>
      </c>
      <c r="D100" s="214"/>
      <c r="E100" s="627" t="str">
        <f t="shared" si="16"/>
        <v/>
      </c>
      <c r="F100" s="636" t="str">
        <f t="shared" si="1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4"/>
        <v/>
      </c>
      <c r="C101" s="636" t="str">
        <f t="shared" si="15"/>
        <v/>
      </c>
      <c r="D101" s="214"/>
      <c r="E101" s="627" t="str">
        <f t="shared" si="16"/>
        <v/>
      </c>
      <c r="F101" s="636" t="str">
        <f t="shared" si="1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4"/>
        <v/>
      </c>
      <c r="C102" s="636" t="str">
        <f t="shared" si="15"/>
        <v/>
      </c>
      <c r="D102" s="214"/>
      <c r="E102" s="627" t="str">
        <f t="shared" si="16"/>
        <v/>
      </c>
      <c r="F102" s="636" t="str">
        <f t="shared" si="1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4"/>
        <v/>
      </c>
      <c r="C103" s="636" t="str">
        <f t="shared" si="15"/>
        <v/>
      </c>
      <c r="D103" s="214"/>
      <c r="E103" s="627" t="str">
        <f t="shared" si="16"/>
        <v/>
      </c>
      <c r="F103" s="636" t="str">
        <f t="shared" si="1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4"/>
        <v/>
      </c>
      <c r="C104" s="636" t="str">
        <f t="shared" si="15"/>
        <v/>
      </c>
      <c r="D104" s="214"/>
      <c r="E104" s="627" t="str">
        <f t="shared" si="16"/>
        <v/>
      </c>
      <c r="F104" s="636" t="str">
        <f t="shared" si="17"/>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4"/>
        <v/>
      </c>
      <c r="C105" s="636" t="str">
        <f t="shared" si="15"/>
        <v/>
      </c>
      <c r="D105" s="214"/>
      <c r="E105" s="627" t="str">
        <f t="shared" si="16"/>
        <v/>
      </c>
      <c r="F105" s="636" t="str">
        <f t="shared" si="17"/>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4"/>
        <v/>
      </c>
      <c r="C106" s="636" t="str">
        <f t="shared" si="15"/>
        <v/>
      </c>
      <c r="D106" s="214"/>
      <c r="E106" s="627" t="str">
        <f t="shared" si="16"/>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c r="H2" s="246"/>
      <c r="I2" s="246"/>
      <c r="J2" s="246"/>
      <c r="K2" s="246"/>
      <c r="L2" s="246"/>
      <c r="M2" s="246"/>
      <c r="N2" s="246"/>
      <c r="O2" s="246"/>
      <c r="P2" s="246"/>
      <c r="Q2" s="3"/>
      <c r="R2" s="691" t="s">
        <v>537</v>
      </c>
      <c r="S2" s="684"/>
      <c r="T2" s="686"/>
      <c r="U2" s="692"/>
      <c r="V2" s="688"/>
      <c r="W2" s="684"/>
      <c r="X2" s="684"/>
      <c r="Y2" s="684"/>
      <c r="Z2" s="684"/>
    </row>
    <row r="3" ht="33.0" customHeight="1">
      <c r="A3" s="684"/>
      <c r="B3" s="693" t="s">
        <v>538</v>
      </c>
      <c r="C3" s="530"/>
      <c r="D3" s="530"/>
      <c r="E3" s="530"/>
      <c r="F3" s="694" t="s">
        <v>539</v>
      </c>
      <c r="G3" s="695"/>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46054.0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2</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ノーマン</v>
      </c>
      <c r="W8" s="739"/>
      <c r="X8" s="740">
        <v>46054.0</v>
      </c>
      <c r="Y8" s="684"/>
      <c r="Z8" s="684"/>
    </row>
    <row r="9" hidden="1" outlineLevel="1">
      <c r="A9" s="684"/>
      <c r="B9" s="741"/>
      <c r="C9" s="742">
        <f>D5</f>
        <v>46054</v>
      </c>
      <c r="D9" s="743" t="str">
        <f>TEXT(C9,"ddd")</f>
        <v>日</v>
      </c>
      <c r="E9" s="744"/>
      <c r="F9" s="745" t="s">
        <v>557</v>
      </c>
      <c r="G9" s="746"/>
      <c r="H9" s="747"/>
      <c r="I9" s="748">
        <v>0.0</v>
      </c>
      <c r="J9" s="743"/>
      <c r="K9" s="743"/>
      <c r="L9" s="749"/>
      <c r="M9" s="749"/>
      <c r="N9" s="747"/>
      <c r="O9" s="750"/>
      <c r="Q9" s="751"/>
      <c r="R9" s="686"/>
      <c r="S9" s="242" t="str">
        <f t="array" ref="S9">IFERROR(INDEX('💻シート作成'!$D$6:$D1001, MATCH(T9, '💻シート作成'!$E$6:$E1001, 0)), "")</f>
        <v/>
      </c>
      <c r="T9" s="169" t="str">
        <f>IFERROR(__xludf.DUMMYFUNCTION("""COMPUTED_VALUE"""),"🔵クレーム")</f>
        <v>🔵クレーム</v>
      </c>
      <c r="U9" s="692"/>
      <c r="V9" s="738" t="s">
        <v>506</v>
      </c>
      <c r="W9" s="739"/>
      <c r="X9" s="740">
        <v>46082.0</v>
      </c>
      <c r="Y9" s="684"/>
      <c r="Z9" s="684"/>
    </row>
    <row r="10" hidden="1" outlineLevel="1">
      <c r="B10" s="752"/>
      <c r="C10" s="753"/>
      <c r="D10" s="753"/>
      <c r="E10" s="753"/>
      <c r="F10" s="753"/>
      <c r="G10" s="754"/>
      <c r="H10" s="753"/>
      <c r="I10" s="753"/>
      <c r="J10" s="753"/>
      <c r="K10" s="753"/>
      <c r="L10" s="755"/>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505</v>
      </c>
      <c r="W10" s="739"/>
      <c r="X10" s="740">
        <v>46113.0</v>
      </c>
      <c r="Y10" s="684"/>
      <c r="Z10" s="684"/>
    </row>
    <row r="11" hidden="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508</v>
      </c>
      <c r="W11" s="739"/>
      <c r="X11" s="740">
        <v>46143.0</v>
      </c>
      <c r="Y11" s="684"/>
      <c r="Z11" s="684"/>
    </row>
    <row r="12" hidden="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558</v>
      </c>
      <c r="W12" s="739"/>
      <c r="X12" s="740">
        <v>46174.0</v>
      </c>
      <c r="Y12" s="684"/>
      <c r="Z12" s="684"/>
    </row>
    <row r="13" hidden="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507</v>
      </c>
      <c r="W13" s="739"/>
      <c r="X13" s="740">
        <v>46204.0</v>
      </c>
      <c r="Y13" s="684"/>
      <c r="Z13" s="684"/>
    </row>
    <row r="14" hidden="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127</v>
      </c>
      <c r="W14" s="739"/>
      <c r="X14" s="740">
        <v>46235.0</v>
      </c>
      <c r="Y14" s="684"/>
      <c r="Z14" s="684"/>
    </row>
    <row r="15" hidden="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205</v>
      </c>
      <c r="W15" s="739"/>
      <c r="X15" s="740">
        <v>46266.0</v>
      </c>
      <c r="Y15" s="684"/>
      <c r="Z15" s="684"/>
    </row>
    <row r="16" hidden="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182</v>
      </c>
      <c r="W16" s="739"/>
      <c r="X16" s="740">
        <v>46296.0</v>
      </c>
      <c r="Y16" s="684"/>
      <c r="Z16" s="684"/>
    </row>
    <row r="17" hidden="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559</v>
      </c>
      <c r="W17" s="739"/>
      <c r="X17" s="740">
        <v>46327.0</v>
      </c>
      <c r="Y17" s="684"/>
      <c r="Z17" s="684"/>
    </row>
    <row r="18" hidden="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191</v>
      </c>
      <c r="W18" s="739"/>
      <c r="X18" s="740">
        <v>46357.0</v>
      </c>
      <c r="Y18" s="684"/>
      <c r="Z18" s="684"/>
    </row>
    <row r="19" hidden="1" outlineLevel="1">
      <c r="B19" s="761"/>
      <c r="C19" s="720"/>
      <c r="D19" s="720"/>
      <c r="E19" s="720"/>
      <c r="F19" s="762" t="s">
        <v>560</v>
      </c>
      <c r="G19" s="763"/>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561</v>
      </c>
      <c r="W19" s="739"/>
      <c r="X19" s="740">
        <v>46388.0</v>
      </c>
      <c r="Y19" s="684"/>
      <c r="Z19" s="684"/>
    </row>
    <row r="20" hidden="1" outlineLevel="1">
      <c r="A20" s="684"/>
      <c r="B20" s="766"/>
      <c r="C20" s="767">
        <f>IF(C9="","",IF(DAY(C9+1)=1,"",C9+1))</f>
        <v>46055</v>
      </c>
      <c r="D20" s="768" t="str">
        <f>TEXT(C20,"ddd")</f>
        <v>月</v>
      </c>
      <c r="E20" s="769"/>
      <c r="F20" s="770" t="s">
        <v>557</v>
      </c>
      <c r="G20" s="771"/>
      <c r="H20" s="772"/>
      <c r="I20" s="773">
        <v>0.0</v>
      </c>
      <c r="J20" s="774"/>
      <c r="K20" s="774"/>
      <c r="L20" s="775"/>
      <c r="M20" s="775"/>
      <c r="N20" s="770"/>
      <c r="O20" s="776"/>
      <c r="Q20" s="751"/>
      <c r="R20" s="684"/>
      <c r="S20" s="242" t="str">
        <f t="array" ref="S20">IFERROR(INDEX('💻シート作成'!$D$6:$D1001, MATCH(T20, '💻シート作成'!$E$6:$E1001, 0)), "")</f>
        <v>12月</v>
      </c>
      <c r="T20" s="169" t="str">
        <f>IFERROR(__xludf.DUMMYFUNCTION("""COMPUTED_VALUE"""),"④R8_12月報")</f>
        <v>④R8_12月報</v>
      </c>
      <c r="U20" s="777"/>
      <c r="V20" s="738" t="s">
        <v>171</v>
      </c>
      <c r="W20" s="739"/>
      <c r="X20" s="740"/>
      <c r="Y20" s="684"/>
      <c r="Z20" s="684"/>
    </row>
    <row r="21" hidden="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562</v>
      </c>
      <c r="W21" s="739"/>
      <c r="X21" s="740"/>
      <c r="Y21" s="684"/>
      <c r="Z21" s="684"/>
    </row>
    <row r="22" hidden="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563</v>
      </c>
      <c r="W22" s="739"/>
      <c r="X22" s="740"/>
      <c r="Y22" s="684"/>
      <c r="Z22" s="684"/>
    </row>
    <row r="23" hidden="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204</v>
      </c>
      <c r="W23" s="684"/>
      <c r="X23" s="780"/>
      <c r="Y23" s="684"/>
      <c r="Z23" s="684"/>
    </row>
    <row r="24" hidden="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200</v>
      </c>
      <c r="W24" s="684"/>
      <c r="X24" s="780"/>
      <c r="Y24" s="684"/>
      <c r="Z24" s="684"/>
    </row>
    <row r="25" hidden="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128</v>
      </c>
      <c r="W25" s="684"/>
      <c r="X25" s="780"/>
      <c r="Y25" s="684"/>
      <c r="Z25" s="684"/>
    </row>
    <row r="26" hidden="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509</v>
      </c>
      <c r="W26" s="684"/>
      <c r="X26" s="780"/>
      <c r="Y26" s="684"/>
      <c r="Z26" s="684"/>
    </row>
    <row r="27" hidden="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510</v>
      </c>
      <c r="W27" s="684"/>
      <c r="X27" s="780"/>
      <c r="Y27" s="684"/>
      <c r="Z27" s="684"/>
    </row>
    <row r="28" hidden="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511</v>
      </c>
      <c r="W28" s="684"/>
      <c r="X28" s="780"/>
      <c r="Y28" s="684"/>
      <c r="Z28" s="684"/>
    </row>
    <row r="29" hidden="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564</v>
      </c>
      <c r="W29" s="684"/>
      <c r="X29" s="780"/>
      <c r="Y29" s="684"/>
      <c r="Z29" s="684"/>
    </row>
    <row r="30" hidden="1" outlineLevel="1">
      <c r="A30" s="684"/>
      <c r="B30" s="761"/>
      <c r="C30" s="720"/>
      <c r="D30" s="720"/>
      <c r="E30" s="720"/>
      <c r="F30" s="781" t="s">
        <v>560</v>
      </c>
      <c r="G30" s="782"/>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565</v>
      </c>
      <c r="W30" s="684"/>
      <c r="X30" s="780"/>
      <c r="Y30" s="684"/>
      <c r="Z30" s="684"/>
    </row>
    <row r="31" hidden="1" outlineLevel="1">
      <c r="A31" s="684"/>
      <c r="B31" s="784"/>
      <c r="C31" s="785">
        <f>IF(C20="","",IF(DAY(C20+1)=1,"",C20+1))</f>
        <v>46056</v>
      </c>
      <c r="D31" s="786" t="str">
        <f>TEXT(C31,"ddd")</f>
        <v>火</v>
      </c>
      <c r="E31" s="787"/>
      <c r="F31" s="788" t="s">
        <v>557</v>
      </c>
      <c r="G31" s="789"/>
      <c r="H31" s="790"/>
      <c r="I31" s="791">
        <v>0.0</v>
      </c>
      <c r="J31" s="786"/>
      <c r="K31" s="786"/>
      <c r="L31" s="792"/>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566</v>
      </c>
      <c r="W31" s="684"/>
      <c r="X31" s="780"/>
      <c r="Y31" s="684"/>
      <c r="Z31" s="684"/>
    </row>
    <row r="32" hidden="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567</v>
      </c>
      <c r="W32" s="684"/>
      <c r="X32" s="780"/>
      <c r="Y32" s="684"/>
      <c r="Z32" s="684"/>
    </row>
    <row r="33" hidden="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101</v>
      </c>
      <c r="W33" s="684"/>
      <c r="X33" s="780"/>
      <c r="Y33" s="684"/>
      <c r="Z33" s="684"/>
    </row>
    <row r="34" hidden="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568</v>
      </c>
      <c r="W34" s="684"/>
      <c r="X34" s="780"/>
      <c r="Y34" s="684"/>
      <c r="Z34" s="684"/>
    </row>
    <row r="35" hidden="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569</v>
      </c>
      <c r="W35" s="684"/>
      <c r="X35" s="780"/>
      <c r="Y35" s="684"/>
      <c r="Z35" s="684"/>
    </row>
    <row r="36" hidden="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513</v>
      </c>
      <c r="W36" s="684"/>
      <c r="X36" s="780"/>
      <c r="Y36" s="684"/>
      <c r="Z36" s="684"/>
    </row>
    <row r="37" hidden="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570</v>
      </c>
      <c r="W37" s="684"/>
      <c r="X37" s="780"/>
      <c r="Y37" s="684"/>
      <c r="Z37" s="684"/>
    </row>
    <row r="38" hidden="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571</v>
      </c>
      <c r="W38" s="684"/>
      <c r="X38" s="780"/>
      <c r="Y38" s="684"/>
      <c r="Z38" s="684"/>
    </row>
    <row r="39" hidden="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512</v>
      </c>
      <c r="W39" s="684"/>
      <c r="X39" s="780"/>
      <c r="Y39" s="684"/>
      <c r="Z39" s="684"/>
    </row>
    <row r="40" hidden="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572</v>
      </c>
      <c r="W40" s="684"/>
      <c r="X40" s="780"/>
      <c r="Y40" s="684"/>
      <c r="Z40" s="684"/>
    </row>
    <row r="41" hidden="1" outlineLevel="1">
      <c r="A41" s="684"/>
      <c r="B41" s="761"/>
      <c r="C41" s="720"/>
      <c r="D41" s="720"/>
      <c r="E41" s="720"/>
      <c r="F41" s="762" t="s">
        <v>560</v>
      </c>
      <c r="G41" s="763"/>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573</v>
      </c>
      <c r="W41" s="684"/>
      <c r="X41" s="780"/>
      <c r="Y41" s="684"/>
      <c r="Z41" s="684"/>
    </row>
    <row r="42" hidden="1" outlineLevel="1">
      <c r="A42" s="684"/>
      <c r="B42" s="766"/>
      <c r="C42" s="767">
        <f>IF(C31="","",IF(DAY(C31+1)=1,"",C31+1))</f>
        <v>46057</v>
      </c>
      <c r="D42" s="768" t="str">
        <f>TEXT(C42,"ddd")</f>
        <v>水</v>
      </c>
      <c r="E42" s="769"/>
      <c r="F42" s="797" t="s">
        <v>557</v>
      </c>
      <c r="G42" s="798"/>
      <c r="H42" s="799"/>
      <c r="I42" s="800">
        <v>0.0</v>
      </c>
      <c r="J42" s="768"/>
      <c r="K42" s="768"/>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574</v>
      </c>
      <c r="W42" s="684"/>
      <c r="X42" s="780"/>
      <c r="Y42" s="684"/>
      <c r="Z42" s="684"/>
    </row>
    <row r="43" hidden="1" outlineLevel="1">
      <c r="A43" s="684"/>
      <c r="B43" s="752"/>
      <c r="C43" s="753"/>
      <c r="D43" s="753"/>
      <c r="E43" s="753"/>
      <c r="F43" s="753"/>
      <c r="G43" s="754"/>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575</v>
      </c>
      <c r="W43" s="684"/>
      <c r="X43" s="780"/>
      <c r="Y43" s="684"/>
      <c r="Z43" s="684"/>
    </row>
    <row r="44" hidden="1" outlineLevel="1">
      <c r="A44" s="684"/>
      <c r="B44" s="752"/>
      <c r="C44" s="753"/>
      <c r="D44" s="753"/>
      <c r="E44" s="753"/>
      <c r="F44" s="753"/>
      <c r="G44" s="754"/>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576</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577</v>
      </c>
      <c r="W45" s="684"/>
      <c r="X45" s="780"/>
      <c r="Y45" s="684"/>
      <c r="Z45" s="684"/>
    </row>
    <row r="46" hidden="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110</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196</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514</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515</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578</v>
      </c>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155</v>
      </c>
      <c r="W51" s="684"/>
      <c r="X51" s="780"/>
      <c r="Y51" s="684"/>
      <c r="Z51" s="684"/>
    </row>
    <row r="52" hidden="1" outlineLevel="1">
      <c r="A52" s="684"/>
      <c r="B52" s="761"/>
      <c r="C52" s="720"/>
      <c r="D52" s="720"/>
      <c r="E52" s="720"/>
      <c r="F52" s="781" t="s">
        <v>560</v>
      </c>
      <c r="G52" s="782"/>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190</v>
      </c>
      <c r="W52" s="684"/>
      <c r="X52" s="780"/>
      <c r="Y52" s="684"/>
      <c r="Z52" s="684"/>
    </row>
    <row r="53" hidden="1" outlineLevel="1">
      <c r="A53" s="684"/>
      <c r="B53" s="784"/>
      <c r="C53" s="785">
        <f>IF(C42="","",IF(DAY(C42+1)=1,"",C42+1))</f>
        <v>46058</v>
      </c>
      <c r="D53" s="786" t="str">
        <f>TEXT(C53,"ddd")</f>
        <v>木</v>
      </c>
      <c r="E53" s="787"/>
      <c r="F53" s="788" t="s">
        <v>557</v>
      </c>
      <c r="G53" s="789"/>
      <c r="H53" s="790"/>
      <c r="I53" s="791">
        <v>0.0</v>
      </c>
      <c r="J53" s="786"/>
      <c r="K53" s="786"/>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579</v>
      </c>
      <c r="W53" s="684"/>
      <c r="X53" s="780"/>
      <c r="Y53" s="684"/>
      <c r="Z53" s="684"/>
    </row>
    <row r="54" hidden="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516</v>
      </c>
      <c r="W54" s="684"/>
      <c r="X54" s="780"/>
      <c r="Y54" s="684"/>
      <c r="Z54" s="684"/>
    </row>
    <row r="55" hidden="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144</v>
      </c>
      <c r="W55" s="684"/>
      <c r="X55" s="780"/>
      <c r="Y55" s="684"/>
      <c r="Z55" s="684"/>
    </row>
    <row r="56" hidden="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580</v>
      </c>
      <c r="W56" s="684"/>
      <c r="X56" s="780"/>
      <c r="Y56" s="684"/>
      <c r="Z56" s="684"/>
    </row>
    <row r="57" hidden="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581</v>
      </c>
      <c r="W57" s="684"/>
      <c r="X57" s="780"/>
      <c r="Y57" s="684"/>
      <c r="Z57" s="684"/>
    </row>
    <row r="58" hidden="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738" t="s">
        <v>517</v>
      </c>
      <c r="W58" s="684"/>
      <c r="X58" s="780"/>
      <c r="Y58" s="684"/>
      <c r="Z58" s="684"/>
    </row>
    <row r="59" hidden="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738" t="s">
        <v>518</v>
      </c>
      <c r="W59" s="684"/>
      <c r="X59" s="780"/>
      <c r="Y59" s="684"/>
      <c r="Z59" s="684"/>
    </row>
    <row r="60" hidden="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738" t="s">
        <v>582</v>
      </c>
      <c r="W60" s="684"/>
      <c r="X60" s="780"/>
      <c r="Y60" s="684"/>
      <c r="Z60" s="684"/>
    </row>
    <row r="61" hidden="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738" t="s">
        <v>176</v>
      </c>
      <c r="W61" s="684"/>
      <c r="X61" s="780"/>
      <c r="Y61" s="684"/>
      <c r="Z61" s="684"/>
    </row>
    <row r="62" hidden="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738" t="s">
        <v>519</v>
      </c>
      <c r="W62" s="684"/>
      <c r="X62" s="780"/>
      <c r="Y62" s="684"/>
      <c r="Z62" s="684"/>
    </row>
    <row r="63" hidden="1" outlineLevel="1">
      <c r="A63" s="684"/>
      <c r="B63" s="761"/>
      <c r="C63" s="720"/>
      <c r="D63" s="720"/>
      <c r="E63" s="720"/>
      <c r="F63" s="762" t="s">
        <v>560</v>
      </c>
      <c r="G63" s="763"/>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t="s">
        <v>520</v>
      </c>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t="s">
        <v>584</v>
      </c>
      <c r="W64" s="684"/>
      <c r="X64" s="780"/>
      <c r="Y64" s="684"/>
      <c r="Z64" s="684"/>
    </row>
    <row r="65" hidden="1" outlineLevel="1">
      <c r="A65" s="684"/>
      <c r="B65" s="766"/>
      <c r="C65" s="767">
        <f>IF(C53="","",IF(DAY(C53+1)=1,"",C53+1))</f>
        <v>46059</v>
      </c>
      <c r="D65" s="768" t="str">
        <f>TEXT(C65,"ddd")</f>
        <v>金</v>
      </c>
      <c r="E65" s="769"/>
      <c r="F65" s="797" t="s">
        <v>557</v>
      </c>
      <c r="G65" s="798"/>
      <c r="H65" s="799"/>
      <c r="I65" s="800">
        <v>0.0</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t="s">
        <v>186</v>
      </c>
      <c r="W65" s="684"/>
      <c r="X65" s="780"/>
      <c r="Y65" s="684"/>
      <c r="Z65" s="684"/>
    </row>
    <row r="66" hidden="1" outlineLevel="1">
      <c r="A66" s="684"/>
      <c r="B66" s="752"/>
      <c r="C66" s="753"/>
      <c r="D66" s="753"/>
      <c r="E66" s="753"/>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idden="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idden="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idden="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idden="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idden="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idden="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idden="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idden="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idden="1" outlineLevel="1">
      <c r="A76" s="684"/>
      <c r="B76" s="784"/>
      <c r="C76" s="785">
        <f>IF(C65="","",IF(DAY(C65+1)=1,"",C65+1))</f>
        <v>46060</v>
      </c>
      <c r="D76" s="786" t="str">
        <f>TEXT(C76,"ddd")</f>
        <v>土</v>
      </c>
      <c r="E76" s="787"/>
      <c r="F76" s="788" t="s">
        <v>557</v>
      </c>
      <c r="G76" s="789"/>
      <c r="H76" s="790"/>
      <c r="I76" s="791">
        <v>0.0</v>
      </c>
      <c r="J76" s="786"/>
      <c r="K76" s="786"/>
      <c r="L76" s="792"/>
      <c r="M76" s="792"/>
      <c r="N76" s="788"/>
      <c r="O76" s="793"/>
      <c r="P76" s="794"/>
      <c r="Q76" s="795"/>
      <c r="R76" s="684"/>
      <c r="S76" s="242" t="str">
        <f t="array" ref="S76">IFERROR(INDEX('💻シート作成'!$D$6:$D1001, MATCH(T76, '💻シート作成'!$E$6:$E1001, 0)), "")</f>
        <v/>
      </c>
      <c r="T76" s="169"/>
      <c r="U76" s="687"/>
      <c r="V76" s="802"/>
      <c r="W76" s="684"/>
      <c r="X76" s="780"/>
      <c r="Y76" s="684"/>
      <c r="Z76" s="684"/>
    </row>
    <row r="77" hidden="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idden="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idden="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idden="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idden="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idden="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idden="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idden="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idden="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idden="1" outlineLevel="1">
      <c r="A87" s="684"/>
      <c r="B87" s="766"/>
      <c r="C87" s="767">
        <f>IF(C76="","",IF(DAY(C76+1)=1,"",C76+1))</f>
        <v>46061</v>
      </c>
      <c r="D87" s="768" t="str">
        <f>TEXT(C87,"ddd")</f>
        <v>日</v>
      </c>
      <c r="E87" s="769"/>
      <c r="F87" s="797" t="s">
        <v>557</v>
      </c>
      <c r="G87" s="798"/>
      <c r="H87" s="799"/>
      <c r="I87" s="800">
        <v>0.0</v>
      </c>
      <c r="J87" s="768"/>
      <c r="K87" s="768"/>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idden="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idden="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idden="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idden="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idden="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idden="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idden="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idden="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idden="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idden="1" outlineLevel="1">
      <c r="A98" s="684"/>
      <c r="B98" s="784"/>
      <c r="C98" s="785">
        <f>IF(C87="","",IF(DAY(C87+1)=1,"",C87+1))</f>
        <v>46062</v>
      </c>
      <c r="D98" s="786" t="str">
        <f>TEXT(C98,"ddd")</f>
        <v>月</v>
      </c>
      <c r="E98" s="787"/>
      <c r="F98" s="788" t="s">
        <v>557</v>
      </c>
      <c r="G98" s="789"/>
      <c r="H98" s="790"/>
      <c r="I98" s="791">
        <v>0.0</v>
      </c>
      <c r="J98" s="786"/>
      <c r="K98" s="786"/>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idden="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idden="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idden="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idden="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idden="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idden="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idden="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idden="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idden="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idden="1" outlineLevel="1">
      <c r="A109" s="684"/>
      <c r="B109" s="766"/>
      <c r="C109" s="767">
        <f>IF(C98="","",IF(DAY(C98+1)=1,"",C98+1))</f>
        <v>46063</v>
      </c>
      <c r="D109" s="768" t="str">
        <f>TEXT(C109,"ddd")</f>
        <v>火</v>
      </c>
      <c r="E109" s="769"/>
      <c r="F109" s="797" t="s">
        <v>557</v>
      </c>
      <c r="G109" s="798"/>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idden="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idden="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idden="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idden="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idden="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idden="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idden="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idden="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idden="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idden="1" outlineLevel="1">
      <c r="A121" s="684"/>
      <c r="B121" s="784"/>
      <c r="C121" s="785">
        <f>IF(C109="","",IF(DAY(C109+1)=1,"",C109+1))</f>
        <v>46064</v>
      </c>
      <c r="D121" s="786" t="str">
        <f>TEXT(C121,"ddd")</f>
        <v>水</v>
      </c>
      <c r="E121" s="787"/>
      <c r="F121" s="788" t="s">
        <v>557</v>
      </c>
      <c r="G121" s="789"/>
      <c r="H121" s="790"/>
      <c r="I121" s="791">
        <v>0.0</v>
      </c>
      <c r="J121" s="786"/>
      <c r="K121" s="786"/>
      <c r="L121" s="792"/>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idden="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idden="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idden="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idden="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idden="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idden="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idden="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idden="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idden="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idden="1" outlineLevel="1">
      <c r="A131" s="684"/>
      <c r="B131" s="761"/>
      <c r="C131" s="720"/>
      <c r="D131" s="720"/>
      <c r="E131" s="720"/>
      <c r="F131" s="762" t="s">
        <v>560</v>
      </c>
      <c r="G131" s="763"/>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idden="1" outlineLevel="1">
      <c r="A132" s="684"/>
      <c r="B132" s="766"/>
      <c r="C132" s="767">
        <f>IF(C121="","",IF(DAY(C121+1)=1,"",C121+1))</f>
        <v>46065</v>
      </c>
      <c r="D132" s="768" t="str">
        <f>TEXT(C132,"ddd")</f>
        <v>木</v>
      </c>
      <c r="E132" s="769"/>
      <c r="F132" s="797" t="s">
        <v>557</v>
      </c>
      <c r="G132" s="798"/>
      <c r="H132" s="799"/>
      <c r="I132" s="800">
        <v>0.0</v>
      </c>
      <c r="J132" s="768"/>
      <c r="K132" s="768"/>
      <c r="L132" s="778"/>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idden="1" outlineLevel="1">
      <c r="A133" s="684"/>
      <c r="B133" s="752"/>
      <c r="C133" s="753"/>
      <c r="D133" s="753"/>
      <c r="E133" s="753"/>
      <c r="F133" s="753"/>
      <c r="G133" s="754"/>
      <c r="H133" s="753"/>
      <c r="I133" s="753"/>
      <c r="J133" s="753"/>
      <c r="K133" s="753"/>
      <c r="L133" s="778"/>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idden="1" outlineLevel="1">
      <c r="A134" s="684"/>
      <c r="B134" s="752"/>
      <c r="C134" s="753"/>
      <c r="D134" s="753"/>
      <c r="E134" s="753"/>
      <c r="F134" s="753"/>
      <c r="G134" s="754"/>
      <c r="H134" s="753"/>
      <c r="I134" s="753"/>
      <c r="J134" s="753"/>
      <c r="K134" s="753"/>
      <c r="L134" s="778"/>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idden="1" outlineLevel="1">
      <c r="A135" s="684"/>
      <c r="B135" s="752"/>
      <c r="C135" s="753"/>
      <c r="D135" s="753"/>
      <c r="E135" s="753"/>
      <c r="F135" s="753"/>
      <c r="G135" s="754"/>
      <c r="H135" s="753"/>
      <c r="I135" s="753"/>
      <c r="J135" s="753"/>
      <c r="K135" s="753"/>
      <c r="L135" s="779"/>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idden="1" outlineLevel="1">
      <c r="A136" s="684"/>
      <c r="B136" s="752"/>
      <c r="C136" s="753"/>
      <c r="D136" s="753"/>
      <c r="E136" s="753"/>
      <c r="F136" s="753"/>
      <c r="G136" s="754"/>
      <c r="H136" s="753"/>
      <c r="I136" s="753"/>
      <c r="J136" s="753"/>
      <c r="K136" s="753"/>
      <c r="L136" s="779"/>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idden="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idden="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idden="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idden="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idden="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idden="1" outlineLevel="1">
      <c r="A142" s="684"/>
      <c r="B142" s="761"/>
      <c r="C142" s="720"/>
      <c r="D142" s="720"/>
      <c r="E142" s="720"/>
      <c r="F142" s="781" t="s">
        <v>560</v>
      </c>
      <c r="G142" s="782"/>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idden="1" outlineLevel="1">
      <c r="A143" s="684"/>
      <c r="B143" s="784"/>
      <c r="C143" s="785">
        <f>IF(C132="","",IF(DAY(C132+1)=1,"",C132+1))</f>
        <v>46066</v>
      </c>
      <c r="D143" s="786" t="str">
        <f>TEXT(C143,"ddd")</f>
        <v>金</v>
      </c>
      <c r="E143" s="787"/>
      <c r="F143" s="788" t="s">
        <v>557</v>
      </c>
      <c r="G143" s="789"/>
      <c r="H143" s="790"/>
      <c r="I143" s="791">
        <v>0.0</v>
      </c>
      <c r="J143" s="786"/>
      <c r="K143" s="786"/>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idden="1" outlineLevel="1">
      <c r="A144" s="684"/>
      <c r="B144" s="752"/>
      <c r="C144" s="753"/>
      <c r="D144" s="753"/>
      <c r="E144" s="753"/>
      <c r="F144" s="753"/>
      <c r="G144" s="754"/>
      <c r="H144" s="753"/>
      <c r="I144" s="753"/>
      <c r="J144" s="753"/>
      <c r="K144" s="753"/>
      <c r="L144" s="792"/>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idden="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idden="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idden="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idden="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idden="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idden="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idden="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idden="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idden="1" outlineLevel="1">
      <c r="A153" s="684"/>
      <c r="B153" s="761"/>
      <c r="C153" s="720"/>
      <c r="D153" s="720"/>
      <c r="E153" s="720"/>
      <c r="F153" s="762" t="s">
        <v>560</v>
      </c>
      <c r="G153" s="763"/>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idden="1" outlineLevel="1">
      <c r="A154" s="684"/>
      <c r="B154" s="766"/>
      <c r="C154" s="767">
        <f>IF(C143="","",IF(DAY(C143+1)=1,"",C143+1))</f>
        <v>46067</v>
      </c>
      <c r="D154" s="768" t="str">
        <f>TEXT(C154,"ddd")</f>
        <v>土</v>
      </c>
      <c r="E154" s="769"/>
      <c r="F154" s="797" t="s">
        <v>557</v>
      </c>
      <c r="G154" s="798"/>
      <c r="H154" s="799"/>
      <c r="I154" s="800">
        <v>0.0</v>
      </c>
      <c r="J154" s="768"/>
      <c r="K154" s="768"/>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idden="1" outlineLevel="1">
      <c r="A155" s="684"/>
      <c r="B155" s="752"/>
      <c r="C155" s="753"/>
      <c r="D155" s="753"/>
      <c r="E155" s="753"/>
      <c r="F155" s="753"/>
      <c r="G155" s="754"/>
      <c r="H155" s="753"/>
      <c r="I155" s="753"/>
      <c r="J155" s="753"/>
      <c r="K155" s="753"/>
      <c r="L155" s="778"/>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idden="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idden="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idden="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idden="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idden="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idden="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idden="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idden="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idden="1" outlineLevel="1">
      <c r="A164" s="684"/>
      <c r="B164" s="761"/>
      <c r="C164" s="720"/>
      <c r="D164" s="720"/>
      <c r="E164" s="720"/>
      <c r="F164" s="781" t="s">
        <v>560</v>
      </c>
      <c r="G164" s="782"/>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idden="1" outlineLevel="1">
      <c r="A165" s="684"/>
      <c r="B165" s="784"/>
      <c r="C165" s="785">
        <f>IF(C154="","",IF(DAY(C154+1)=1,"",C154+1))</f>
        <v>46068</v>
      </c>
      <c r="D165" s="786" t="str">
        <f>TEXT(C165,"ddd")</f>
        <v>日</v>
      </c>
      <c r="E165" s="787"/>
      <c r="F165" s="788" t="s">
        <v>557</v>
      </c>
      <c r="G165" s="789"/>
      <c r="H165" s="790"/>
      <c r="I165" s="791">
        <v>0.0</v>
      </c>
      <c r="J165" s="786"/>
      <c r="K165" s="786"/>
      <c r="L165" s="792"/>
      <c r="M165" s="792"/>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idden="1" outlineLevel="1">
      <c r="A166" s="684"/>
      <c r="B166" s="752"/>
      <c r="C166" s="753"/>
      <c r="D166" s="753"/>
      <c r="E166" s="753"/>
      <c r="F166" s="753"/>
      <c r="G166" s="754"/>
      <c r="H166" s="753"/>
      <c r="I166" s="753"/>
      <c r="J166" s="753"/>
      <c r="K166" s="753"/>
      <c r="L166" s="792"/>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idden="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idden="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idden="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idden="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idden="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idden="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idden="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idden="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idden="1" outlineLevel="1">
      <c r="A175" s="684"/>
      <c r="B175" s="761"/>
      <c r="C175" s="720"/>
      <c r="D175" s="720"/>
      <c r="E175" s="720"/>
      <c r="F175" s="762" t="s">
        <v>560</v>
      </c>
      <c r="G175" s="763"/>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idden="1" outlineLevel="1">
      <c r="A177" s="684"/>
      <c r="B177" s="766"/>
      <c r="C177" s="767">
        <f>IF(C165="","",IF(DAY(C165+1)=1,"",C165+1))</f>
        <v>46069</v>
      </c>
      <c r="D177" s="768" t="str">
        <f>TEXT(C177,"ddd")</f>
        <v>月</v>
      </c>
      <c r="E177" s="769"/>
      <c r="F177" s="797" t="s">
        <v>557</v>
      </c>
      <c r="G177" s="798"/>
      <c r="H177" s="799"/>
      <c r="I177" s="800">
        <v>0.0</v>
      </c>
      <c r="J177" s="768"/>
      <c r="K177" s="768"/>
      <c r="L177" s="778"/>
      <c r="M177" s="778"/>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idden="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idden="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idden="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idden="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idden="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idden="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idden="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idden="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idden="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idden="1" outlineLevel="1">
      <c r="A187" s="684"/>
      <c r="B187" s="761"/>
      <c r="C187" s="720"/>
      <c r="D187" s="720"/>
      <c r="E187" s="720"/>
      <c r="F187" s="781" t="s">
        <v>560</v>
      </c>
      <c r="G187" s="782"/>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idden="1" outlineLevel="1">
      <c r="A188" s="684"/>
      <c r="B188" s="784"/>
      <c r="C188" s="785">
        <f>IF(C177="","",IF(DAY(C177+1)=1,"",C177+1))</f>
        <v>46070</v>
      </c>
      <c r="D188" s="786" t="str">
        <f>TEXT(C188,"ddd")</f>
        <v>火</v>
      </c>
      <c r="E188" s="787"/>
      <c r="F188" s="788" t="s">
        <v>557</v>
      </c>
      <c r="G188" s="789"/>
      <c r="H188" s="790"/>
      <c r="I188" s="791">
        <v>0.0</v>
      </c>
      <c r="J188" s="786"/>
      <c r="K188" s="786"/>
      <c r="L188" s="792"/>
      <c r="M188" s="792"/>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idden="1" outlineLevel="1">
      <c r="A189" s="684"/>
      <c r="B189" s="752"/>
      <c r="C189" s="753"/>
      <c r="D189" s="753"/>
      <c r="E189" s="753"/>
      <c r="F189" s="753"/>
      <c r="G189" s="754"/>
      <c r="H189" s="753"/>
      <c r="I189" s="753"/>
      <c r="J189" s="753"/>
      <c r="K189" s="753"/>
      <c r="L189" s="792"/>
      <c r="M189" s="792"/>
      <c r="N189" s="753"/>
      <c r="O189" s="756"/>
      <c r="Q189" s="751"/>
      <c r="R189" s="684"/>
      <c r="S189" s="242" t="str">
        <f t="array" ref="S189">IFERROR(INDEX('💻シート作成'!$D$6:$D1001, MATCH(T189, '💻シート作成'!$E$6:$E1001, 0)), "")</f>
        <v/>
      </c>
      <c r="T189" s="190"/>
      <c r="U189" s="687"/>
      <c r="V189" s="802"/>
      <c r="W189" s="684"/>
      <c r="X189" s="780"/>
      <c r="Y189" s="684"/>
      <c r="Z189" s="684"/>
    </row>
    <row r="190" hidden="1" outlineLevel="1">
      <c r="A190" s="684"/>
      <c r="B190" s="752"/>
      <c r="C190" s="753"/>
      <c r="D190" s="753"/>
      <c r="E190" s="753"/>
      <c r="F190" s="753"/>
      <c r="G190" s="754"/>
      <c r="H190" s="753"/>
      <c r="I190" s="753"/>
      <c r="J190" s="753"/>
      <c r="K190" s="753"/>
      <c r="L190" s="792"/>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idden="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idden="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idden="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idden="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idden="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idden="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idden="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idden="1" outlineLevel="1">
      <c r="A198" s="684"/>
      <c r="B198" s="761"/>
      <c r="C198" s="720"/>
      <c r="D198" s="720"/>
      <c r="E198" s="720"/>
      <c r="F198" s="762" t="s">
        <v>560</v>
      </c>
      <c r="G198" s="763"/>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46071</v>
      </c>
      <c r="D199" s="768" t="str">
        <f>TEXT(C199,"ddd")</f>
        <v>水</v>
      </c>
      <c r="E199" s="769"/>
      <c r="F199" s="797" t="s">
        <v>557</v>
      </c>
      <c r="G199" s="798"/>
      <c r="H199" s="799"/>
      <c r="I199" s="800">
        <v>0.0</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idden="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idden="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idden="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idden="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idden="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idden="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idden="1" outlineLevel="1">
      <c r="A209" s="684"/>
      <c r="B209" s="761"/>
      <c r="C209" s="720"/>
      <c r="D209" s="720"/>
      <c r="E209" s="720"/>
      <c r="F209" s="781" t="s">
        <v>560</v>
      </c>
      <c r="G209" s="782"/>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idden="1" outlineLevel="1">
      <c r="A210" s="684"/>
      <c r="B210" s="784"/>
      <c r="C210" s="785">
        <f>IF(C199="","",IF(DAY(C199+1)=1,"",C199+1))</f>
        <v>46072</v>
      </c>
      <c r="D210" s="786" t="str">
        <f>TEXT(C210,"ddd")</f>
        <v>木</v>
      </c>
      <c r="E210" s="787"/>
      <c r="F210" s="788" t="s">
        <v>557</v>
      </c>
      <c r="G210" s="789"/>
      <c r="H210" s="790"/>
      <c r="I210" s="791">
        <v>0.0</v>
      </c>
      <c r="J210" s="786"/>
      <c r="K210" s="786"/>
      <c r="L210" s="792"/>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idden="1" outlineLevel="1">
      <c r="A211" s="684"/>
      <c r="B211" s="752"/>
      <c r="C211" s="753"/>
      <c r="D211" s="753"/>
      <c r="E211" s="753"/>
      <c r="F211" s="753"/>
      <c r="G211" s="754"/>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idden="1" outlineLevel="1">
      <c r="A212" s="684"/>
      <c r="B212" s="752"/>
      <c r="C212" s="753"/>
      <c r="D212" s="753"/>
      <c r="E212" s="753"/>
      <c r="F212" s="753"/>
      <c r="G212" s="754"/>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idden="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idden="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idden="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idden="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idden="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idden="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idden="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idden="1" outlineLevel="1">
      <c r="A220" s="684"/>
      <c r="B220" s="761"/>
      <c r="C220" s="720"/>
      <c r="D220" s="720"/>
      <c r="E220" s="720"/>
      <c r="F220" s="762" t="s">
        <v>560</v>
      </c>
      <c r="G220" s="763"/>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idden="1" outlineLevel="1">
      <c r="A221" s="684"/>
      <c r="B221" s="766"/>
      <c r="C221" s="767">
        <f>IF(C210="","",IF(DAY(C210+1)=1,"",C210+1))</f>
        <v>46073</v>
      </c>
      <c r="D221" s="768" t="str">
        <f>TEXT(C221,"ddd")</f>
        <v>金</v>
      </c>
      <c r="E221" s="769"/>
      <c r="F221" s="797" t="s">
        <v>557</v>
      </c>
      <c r="G221" s="798"/>
      <c r="H221" s="799"/>
      <c r="I221" s="800">
        <v>0.0</v>
      </c>
      <c r="J221" s="768"/>
      <c r="K221" s="768"/>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idden="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idden="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idden="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idden="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idden="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idden="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idden="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idden="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idden="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idden="1" outlineLevel="1">
      <c r="A231" s="684"/>
      <c r="B231" s="761"/>
      <c r="C231" s="720"/>
      <c r="D231" s="720"/>
      <c r="E231" s="720"/>
      <c r="F231" s="781" t="s">
        <v>560</v>
      </c>
      <c r="G231" s="782"/>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idden="1" outlineLevel="1">
      <c r="A233" s="684"/>
      <c r="B233" s="784"/>
      <c r="C233" s="785">
        <f>IF(C221="","",IF(DAY(C221+1)=1,"",C221+1))</f>
        <v>46074</v>
      </c>
      <c r="D233" s="786" t="str">
        <f>TEXT(C233,"ddd")</f>
        <v>土</v>
      </c>
      <c r="E233" s="787"/>
      <c r="F233" s="788" t="s">
        <v>557</v>
      </c>
      <c r="G233" s="789"/>
      <c r="H233" s="790"/>
      <c r="I233" s="791">
        <v>0.0</v>
      </c>
      <c r="J233" s="786"/>
      <c r="K233" s="786"/>
      <c r="L233" s="792"/>
      <c r="M233" s="792"/>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idden="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idden="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idden="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idden="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idden="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idden="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idden="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idden="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idden="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idden="1" outlineLevel="1">
      <c r="A243" s="684"/>
      <c r="B243" s="761"/>
      <c r="C243" s="720"/>
      <c r="D243" s="720"/>
      <c r="E243" s="720"/>
      <c r="F243" s="762" t="s">
        <v>560</v>
      </c>
      <c r="G243" s="763"/>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idden="1" outlineLevel="1">
      <c r="A244" s="684"/>
      <c r="B244" s="766"/>
      <c r="C244" s="767">
        <f>IF(C233="","",IF(DAY(C233+1)=1,"",C233+1))</f>
        <v>46075</v>
      </c>
      <c r="D244" s="768" t="str">
        <f>TEXT(C244,"ddd")</f>
        <v>日</v>
      </c>
      <c r="E244" s="769"/>
      <c r="F244" s="797" t="s">
        <v>557</v>
      </c>
      <c r="G244" s="798"/>
      <c r="H244" s="799"/>
      <c r="I244" s="800">
        <v>0.0</v>
      </c>
      <c r="J244" s="768"/>
      <c r="K244" s="768"/>
      <c r="L244" s="778"/>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idden="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idden="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idden="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idden="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idden="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idden="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idden="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idden="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idden="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idden="1" outlineLevel="1">
      <c r="A254" s="684"/>
      <c r="B254" s="761"/>
      <c r="C254" s="720"/>
      <c r="D254" s="720"/>
      <c r="E254" s="720"/>
      <c r="F254" s="781" t="s">
        <v>560</v>
      </c>
      <c r="G254" s="782"/>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idden="1" outlineLevel="1">
      <c r="A255" s="684"/>
      <c r="B255" s="784"/>
      <c r="C255" s="785">
        <f>IF(C244="","",IF(DAY(C244+1)=1,"",C244+1))</f>
        <v>46076</v>
      </c>
      <c r="D255" s="786" t="str">
        <f>TEXT(C255,"ddd")</f>
        <v>月</v>
      </c>
      <c r="E255" s="787"/>
      <c r="F255" s="788" t="s">
        <v>557</v>
      </c>
      <c r="G255" s="789"/>
      <c r="H255" s="790"/>
      <c r="I255" s="791">
        <v>0.0</v>
      </c>
      <c r="J255" s="786"/>
      <c r="K255" s="786"/>
      <c r="L255" s="792"/>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idden="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idden="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idden="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idden="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idden="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idden="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idden="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idden="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idden="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idden="1" outlineLevel="1">
      <c r="A266" s="684"/>
      <c r="B266" s="766"/>
      <c r="C266" s="767">
        <f>IF(C255="","",IF(DAY(C255+1)=1,"",C255+1))</f>
        <v>46077</v>
      </c>
      <c r="D266" s="768" t="str">
        <f>TEXT(C266,"ddd")</f>
        <v>火</v>
      </c>
      <c r="E266" s="769"/>
      <c r="F266" s="797" t="s">
        <v>557</v>
      </c>
      <c r="G266" s="798"/>
      <c r="H266" s="799"/>
      <c r="I266" s="800">
        <v>0.0</v>
      </c>
      <c r="J266" s="768"/>
      <c r="K266" s="768"/>
      <c r="L266" s="778"/>
      <c r="M266" s="778"/>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idden="1" outlineLevel="1">
      <c r="A267" s="684"/>
      <c r="B267" s="752"/>
      <c r="C267" s="753"/>
      <c r="D267" s="753"/>
      <c r="E267" s="753"/>
      <c r="F267" s="753"/>
      <c r="G267" s="754"/>
      <c r="H267" s="753"/>
      <c r="I267" s="753"/>
      <c r="J267" s="753"/>
      <c r="K267" s="753"/>
      <c r="L267" s="778"/>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idden="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idden="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idden="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idden="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idden="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idden="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idden="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idden="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idden="1"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idden="1" outlineLevel="1">
      <c r="A277" s="684"/>
      <c r="B277" s="784"/>
      <c r="C277" s="785">
        <f>IF(C266="","",IF(DAY(C266+1)=1,"",C266+1))</f>
        <v>46078</v>
      </c>
      <c r="D277" s="786" t="str">
        <f>TEXT(C277,"ddd")</f>
        <v>水</v>
      </c>
      <c r="E277" s="787"/>
      <c r="F277" s="788" t="s">
        <v>557</v>
      </c>
      <c r="G277" s="789"/>
      <c r="H277" s="790"/>
      <c r="I277" s="791">
        <v>0.0</v>
      </c>
      <c r="J277" s="786"/>
      <c r="K277" s="786"/>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idden="1" outlineLevel="1">
      <c r="A278" s="684"/>
      <c r="B278" s="752"/>
      <c r="C278" s="753"/>
      <c r="D278" s="753"/>
      <c r="E278" s="753"/>
      <c r="F278" s="753"/>
      <c r="G278" s="754"/>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idden="1" outlineLevel="1">
      <c r="A279" s="684"/>
      <c r="B279" s="752"/>
      <c r="C279" s="753"/>
      <c r="D279" s="753"/>
      <c r="E279" s="753"/>
      <c r="F279" s="753"/>
      <c r="G279" s="754"/>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idden="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idden="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idden="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idden="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idden="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idden="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idden="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idden="1"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ollapsed="1">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idden="1" outlineLevel="1">
      <c r="A289" s="684"/>
      <c r="B289" s="766"/>
      <c r="C289" s="767">
        <f>IF(C277="","",IF(DAY(C277+1)=1,"",C277+1))</f>
        <v>46079</v>
      </c>
      <c r="D289" s="768" t="str">
        <f>TEXT(C289,"ddd")</f>
        <v>木</v>
      </c>
      <c r="E289" s="769"/>
      <c r="F289" s="797" t="s">
        <v>557</v>
      </c>
      <c r="G289" s="798"/>
      <c r="H289" s="799"/>
      <c r="I289" s="800">
        <v>0.0</v>
      </c>
      <c r="J289" s="768"/>
      <c r="K289" s="768"/>
      <c r="L289" s="778"/>
      <c r="M289" s="778"/>
      <c r="N289" s="797"/>
      <c r="O289" s="801"/>
      <c r="P289" s="794"/>
      <c r="Q289" s="795"/>
      <c r="R289" s="684"/>
      <c r="S289" s="684"/>
      <c r="T289" s="684"/>
      <c r="U289" s="687"/>
      <c r="V289" s="688"/>
      <c r="W289" s="684"/>
      <c r="X289" s="684"/>
      <c r="Y289" s="684"/>
      <c r="Z289" s="684"/>
    </row>
    <row r="290" hidden="1" outlineLevel="1">
      <c r="A290" s="684"/>
      <c r="B290" s="752"/>
      <c r="C290" s="753"/>
      <c r="D290" s="753"/>
      <c r="E290" s="753"/>
      <c r="F290" s="753"/>
      <c r="G290" s="754"/>
      <c r="H290" s="753"/>
      <c r="I290" s="753"/>
      <c r="J290" s="753"/>
      <c r="K290" s="753"/>
      <c r="L290" s="778"/>
      <c r="M290" s="778"/>
      <c r="N290" s="753"/>
      <c r="O290" s="756"/>
      <c r="Q290" s="751"/>
      <c r="R290" s="684"/>
      <c r="S290" s="684"/>
      <c r="T290" s="684"/>
      <c r="U290" s="687"/>
      <c r="V290" s="688"/>
      <c r="W290" s="684"/>
      <c r="X290" s="684"/>
      <c r="Y290" s="684"/>
      <c r="Z290" s="684"/>
    </row>
    <row r="291" hidden="1" outlineLevel="1">
      <c r="A291" s="684"/>
      <c r="B291" s="752"/>
      <c r="C291" s="753"/>
      <c r="D291" s="753"/>
      <c r="E291" s="753"/>
      <c r="F291" s="753"/>
      <c r="G291" s="754"/>
      <c r="H291" s="753"/>
      <c r="I291" s="753"/>
      <c r="J291" s="753"/>
      <c r="K291" s="753"/>
      <c r="L291" s="778"/>
      <c r="M291" s="778"/>
      <c r="N291" s="753"/>
      <c r="O291" s="756"/>
      <c r="Q291" s="751"/>
      <c r="R291" s="684"/>
      <c r="S291" s="684"/>
      <c r="T291" s="684"/>
      <c r="U291" s="687"/>
      <c r="V291" s="688"/>
      <c r="W291" s="684"/>
      <c r="X291" s="684"/>
      <c r="Y291" s="684"/>
      <c r="Z291" s="684"/>
    </row>
    <row r="292" hidden="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idden="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idden="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idden="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idden="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idden="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idden="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idden="1"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hidden="1" outlineLevel="1">
      <c r="A300" s="684"/>
      <c r="B300" s="784"/>
      <c r="C300" s="785">
        <f>IF(C289="","",IF(DAY(C289+1)=1,"",C289+1))</f>
        <v>46080</v>
      </c>
      <c r="D300" s="786" t="str">
        <f>TEXT(C300,"ddd")</f>
        <v>金</v>
      </c>
      <c r="E300" s="787"/>
      <c r="F300" s="788" t="s">
        <v>557</v>
      </c>
      <c r="G300" s="789"/>
      <c r="H300" s="790"/>
      <c r="I300" s="791">
        <v>0.0</v>
      </c>
      <c r="J300" s="786"/>
      <c r="K300" s="786"/>
      <c r="L300" s="792"/>
      <c r="M300" s="792"/>
      <c r="N300" s="788"/>
      <c r="O300" s="793"/>
      <c r="P300" s="794"/>
      <c r="Q300" s="795"/>
      <c r="R300" s="684"/>
      <c r="S300" s="684"/>
      <c r="T300" s="684"/>
      <c r="U300" s="687"/>
      <c r="V300" s="688"/>
      <c r="W300" s="684"/>
      <c r="X300" s="684"/>
      <c r="Y300" s="684"/>
      <c r="Z300" s="684"/>
    </row>
    <row r="301" hidden="1" outlineLevel="1">
      <c r="A301" s="684"/>
      <c r="B301" s="752"/>
      <c r="C301" s="753"/>
      <c r="D301" s="753"/>
      <c r="E301" s="753"/>
      <c r="F301" s="753"/>
      <c r="G301" s="754"/>
      <c r="H301" s="753"/>
      <c r="I301" s="753"/>
      <c r="J301" s="753"/>
      <c r="K301" s="753"/>
      <c r="L301" s="792"/>
      <c r="M301" s="792"/>
      <c r="N301" s="753"/>
      <c r="O301" s="756"/>
      <c r="Q301" s="751"/>
      <c r="R301" s="684"/>
      <c r="S301" s="684"/>
      <c r="T301" s="684"/>
      <c r="U301" s="687"/>
      <c r="V301" s="688"/>
      <c r="W301" s="684"/>
      <c r="X301" s="684"/>
      <c r="Y301" s="684"/>
      <c r="Z301" s="684"/>
    </row>
    <row r="302" hidden="1" outlineLevel="1">
      <c r="A302" s="684"/>
      <c r="B302" s="752"/>
      <c r="C302" s="753"/>
      <c r="D302" s="753"/>
      <c r="E302" s="753"/>
      <c r="F302" s="753"/>
      <c r="G302" s="754"/>
      <c r="H302" s="753"/>
      <c r="I302" s="753"/>
      <c r="J302" s="753"/>
      <c r="K302" s="753"/>
      <c r="L302" s="792"/>
      <c r="M302" s="792"/>
      <c r="N302" s="753"/>
      <c r="O302" s="756"/>
      <c r="Q302" s="751"/>
      <c r="R302" s="684"/>
      <c r="S302" s="684"/>
      <c r="T302" s="684"/>
      <c r="U302" s="687"/>
      <c r="V302" s="688"/>
      <c r="W302" s="684"/>
      <c r="X302" s="684"/>
      <c r="Y302" s="684"/>
      <c r="Z302" s="684"/>
    </row>
    <row r="303" hidden="1" outlineLevel="1">
      <c r="A303" s="684"/>
      <c r="B303" s="752"/>
      <c r="C303" s="753"/>
      <c r="D303" s="753"/>
      <c r="E303" s="753"/>
      <c r="F303" s="753"/>
      <c r="G303" s="754"/>
      <c r="H303" s="753"/>
      <c r="I303" s="753"/>
      <c r="J303" s="753"/>
      <c r="K303" s="753"/>
      <c r="L303" s="796"/>
      <c r="M303" s="792"/>
      <c r="N303" s="753"/>
      <c r="O303" s="756"/>
      <c r="Q303" s="751"/>
      <c r="R303" s="684"/>
      <c r="S303" s="684"/>
      <c r="T303" s="684"/>
      <c r="U303" s="687"/>
      <c r="V303" s="688"/>
      <c r="W303" s="684"/>
      <c r="X303" s="684"/>
      <c r="Y303" s="684"/>
      <c r="Z303" s="684"/>
    </row>
    <row r="304" hidden="1" outlineLevel="1">
      <c r="A304" s="684"/>
      <c r="B304" s="752"/>
      <c r="C304" s="753"/>
      <c r="D304" s="753"/>
      <c r="E304" s="753"/>
      <c r="F304" s="753"/>
      <c r="G304" s="754"/>
      <c r="H304" s="753"/>
      <c r="I304" s="753"/>
      <c r="J304" s="753"/>
      <c r="K304" s="753"/>
      <c r="L304" s="796"/>
      <c r="M304" s="792"/>
      <c r="N304" s="753"/>
      <c r="O304" s="756"/>
      <c r="Q304" s="751"/>
      <c r="R304" s="684"/>
      <c r="S304" s="684"/>
      <c r="T304" s="684"/>
      <c r="U304" s="687"/>
      <c r="V304" s="688"/>
      <c r="W304" s="684"/>
      <c r="X304" s="684"/>
      <c r="Y304" s="684"/>
      <c r="Z304" s="684"/>
    </row>
    <row r="305" hidden="1" outlineLevel="1">
      <c r="A305" s="684"/>
      <c r="B305" s="752"/>
      <c r="C305" s="753"/>
      <c r="D305" s="753"/>
      <c r="E305" s="753"/>
      <c r="F305" s="753"/>
      <c r="G305" s="754"/>
      <c r="H305" s="753"/>
      <c r="I305" s="753"/>
      <c r="J305" s="753"/>
      <c r="K305" s="753"/>
      <c r="L305" s="796"/>
      <c r="M305" s="792"/>
      <c r="N305" s="753"/>
      <c r="O305" s="756"/>
      <c r="Q305" s="751"/>
      <c r="R305" s="684"/>
      <c r="S305" s="684"/>
      <c r="T305" s="684"/>
      <c r="U305" s="687"/>
      <c r="V305" s="688"/>
      <c r="W305" s="684"/>
      <c r="X305" s="684"/>
      <c r="Y305" s="684"/>
      <c r="Z305" s="684"/>
    </row>
    <row r="306" hidden="1" outlineLevel="1">
      <c r="A306" s="684"/>
      <c r="B306" s="752"/>
      <c r="C306" s="753"/>
      <c r="D306" s="753"/>
      <c r="E306" s="753"/>
      <c r="F306" s="753"/>
      <c r="G306" s="754"/>
      <c r="H306" s="753"/>
      <c r="I306" s="753"/>
      <c r="J306" s="753"/>
      <c r="K306" s="753"/>
      <c r="L306" s="796"/>
      <c r="M306" s="792"/>
      <c r="N306" s="753"/>
      <c r="O306" s="756"/>
      <c r="Q306" s="751"/>
      <c r="R306" s="684"/>
      <c r="S306" s="684"/>
      <c r="T306" s="684"/>
      <c r="U306" s="687"/>
      <c r="V306" s="688"/>
      <c r="W306" s="684"/>
      <c r="X306" s="684"/>
      <c r="Y306" s="684"/>
      <c r="Z306" s="684"/>
    </row>
    <row r="307" hidden="1" outlineLevel="1">
      <c r="A307" s="684"/>
      <c r="B307" s="752"/>
      <c r="C307" s="753"/>
      <c r="D307" s="753"/>
      <c r="E307" s="753"/>
      <c r="F307" s="753"/>
      <c r="G307" s="754"/>
      <c r="H307" s="753"/>
      <c r="I307" s="753"/>
      <c r="J307" s="753"/>
      <c r="K307" s="753"/>
      <c r="L307" s="796"/>
      <c r="M307" s="792"/>
      <c r="N307" s="753"/>
      <c r="O307" s="756"/>
      <c r="Q307" s="751"/>
      <c r="R307" s="684"/>
      <c r="S307" s="684"/>
      <c r="T307" s="684"/>
      <c r="U307" s="687"/>
      <c r="V307" s="688"/>
      <c r="W307" s="684"/>
      <c r="X307" s="684"/>
      <c r="Y307" s="684"/>
      <c r="Z307" s="684"/>
    </row>
    <row r="308" hidden="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idden="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hidden="1"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idden="1" outlineLevel="1">
      <c r="A311" s="684"/>
      <c r="B311" s="766"/>
      <c r="C311" s="767">
        <f>IF(C300="","",IF(DAY(C300+1)=1,"",C300+1))</f>
        <v>46081</v>
      </c>
      <c r="D311" s="768" t="str">
        <f>TEXT(C311,"ddd")</f>
        <v>土</v>
      </c>
      <c r="E311" s="769"/>
      <c r="F311" s="797" t="s">
        <v>557</v>
      </c>
      <c r="G311" s="798"/>
      <c r="H311" s="799"/>
      <c r="I311" s="800">
        <v>0.0</v>
      </c>
      <c r="J311" s="768"/>
      <c r="K311" s="768"/>
      <c r="L311" s="778"/>
      <c r="M311" s="778"/>
      <c r="N311" s="797"/>
      <c r="O311" s="801"/>
      <c r="P311" s="794"/>
      <c r="Q311" s="795"/>
      <c r="R311" s="684"/>
      <c r="S311" s="684"/>
      <c r="T311" s="684"/>
      <c r="U311" s="687"/>
      <c r="V311" s="688"/>
      <c r="W311" s="684"/>
      <c r="X311" s="684"/>
      <c r="Y311" s="684"/>
      <c r="Z311" s="684"/>
    </row>
    <row r="312" hidden="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idden="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idden="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idden="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idden="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idden="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idden="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idden="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idden="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hidden="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idden="1" outlineLevel="1">
      <c r="A322" s="684"/>
      <c r="B322" s="784"/>
      <c r="C322" s="785" t="str">
        <f>IF(C311="","",IF(DAY(C311+1)=1,"",C311+1))</f>
        <v/>
      </c>
      <c r="D322" s="786" t="str">
        <f>TEXT(C322,"ddd")</f>
        <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hidden="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idden="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idden="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idden="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idden="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idden="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idden="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idden="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idden="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hidden="1"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idden="1" outlineLevel="1">
      <c r="A333" s="684"/>
      <c r="B333" s="766"/>
      <c r="C333" s="767" t="str">
        <f>IF(C322="","",IF(DAY(C322+1)=1,"",C322+1))</f>
        <v/>
      </c>
      <c r="D333" s="768" t="str">
        <f>TEXT(C333,"ddd")</f>
        <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hidden="1"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hidden="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idden="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idden="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idden="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idden="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idden="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idden="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idden="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hidden="1"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idden="1"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hidden="1"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hidden="1"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hidden="1"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hidden="1"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hidden="1"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hidden="1"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hidden="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hidden="1"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hidden="1"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hidden="1"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51</v>
      </c>
      <c r="C5" s="832" t="s">
        <v>83</v>
      </c>
      <c r="D5" s="833"/>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"),"①R8_2集計")</f>
        <v>①R8_2集計</v>
      </c>
      <c r="F8" s="525"/>
      <c r="G8" s="237"/>
      <c r="H8" s="237"/>
      <c r="I8" s="214"/>
      <c r="J8" s="837"/>
      <c r="K8" s="821"/>
      <c r="L8" s="850"/>
      <c r="M8" s="261"/>
      <c r="N8" s="261"/>
      <c r="O8" s="261"/>
      <c r="P8" s="261"/>
      <c r="Q8" s="261"/>
      <c r="R8" s="261"/>
      <c r="S8" s="263"/>
      <c r="U8" s="850"/>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0.2517354395</v>
      </c>
      <c r="D10" s="856">
        <f t="array" ref="D10">INDIRECT($E$8 &amp; "!E8")</f>
        <v>0.6474844584</v>
      </c>
      <c r="E10" s="856">
        <f t="array" ref="E10">INDIRECT($E$8 &amp; "!G8")</f>
        <v>0.7809917355</v>
      </c>
      <c r="F10" s="857">
        <f t="array" ref="F10">INDIRECT($E$8 &amp; "!H8")</f>
        <v>5764630</v>
      </c>
      <c r="G10" s="857">
        <f t="array" ref="G10">INDIRECT($E$8 &amp; "!K8")</f>
        <v>4803</v>
      </c>
      <c r="H10" s="857">
        <f t="array" ref="H10">INDIRECT($E$8 &amp; "!M8")</f>
        <v>1451161.667</v>
      </c>
      <c r="I10" s="856">
        <f t="array" ref="I10">INDIRECT($E$8 &amp; "!AT7")</f>
        <v>0.001328217237</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0.2475473377</v>
      </c>
      <c r="D11" s="860"/>
      <c r="E11" s="861"/>
      <c r="F11" s="862">
        <f t="array" ref="F11">INDIRECT($E$8 &amp; "!H7")</f>
        <v>5590768.125</v>
      </c>
      <c r="G11" s="860"/>
      <c r="H11" s="863">
        <f t="array" ref="H11">INDIRECT($E$8 &amp; "!M7")</f>
        <v>1383979.765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0.001433577572</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9</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c r="C21" s="884"/>
      <c r="D21" s="884"/>
      <c r="E21" s="884"/>
      <c r="F21" s="885"/>
      <c r="G21" s="885"/>
      <c r="H21" s="885"/>
      <c r="I21" s="886">
        <f>sum(B21:G21)</f>
        <v>0</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c r="M22" s="261"/>
      <c r="N22" s="261"/>
      <c r="O22" s="261"/>
      <c r="P22" s="261"/>
      <c r="Q22" s="261"/>
      <c r="R22" s="261"/>
      <c r="S22" s="263"/>
      <c r="U22" s="850"/>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c r="F26" s="246"/>
      <c r="G26" s="246"/>
      <c r="H26" s="895"/>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c r="F27" s="246"/>
      <c r="G27" s="246"/>
      <c r="H27" s="895"/>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0</v>
      </c>
      <c r="E64" s="882"/>
      <c r="F64" s="882"/>
      <c r="G64" s="882"/>
      <c r="H64" s="882"/>
      <c r="I64" s="882"/>
      <c r="J64" s="822"/>
      <c r="K64" s="821"/>
      <c r="L64" s="850"/>
      <c r="M64" s="261"/>
      <c r="N64" s="261"/>
      <c r="O64" s="261"/>
      <c r="P64" s="261"/>
      <c r="Q64" s="261"/>
      <c r="R64" s="261"/>
      <c r="S64" s="263"/>
      <c r="U64" s="850"/>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c r="D66" s="905"/>
      <c r="E66" s="926"/>
      <c r="F66" s="910"/>
      <c r="G66" s="905"/>
      <c r="H66" s="927"/>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13"/>
      <c r="D67" s="905"/>
      <c r="E67" s="926"/>
      <c r="F67" s="910"/>
      <c r="G67" s="905"/>
      <c r="H67" s="927"/>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13"/>
      <c r="D68" s="905"/>
      <c r="E68" s="926"/>
      <c r="F68" s="910"/>
      <c r="G68" s="905"/>
      <c r="H68" s="927"/>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13"/>
      <c r="D69" s="905"/>
      <c r="E69" s="926"/>
      <c r="F69" s="910"/>
      <c r="G69" s="905"/>
      <c r="H69" s="927"/>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5190976</v>
      </c>
      <c r="D1" s="301">
        <f>AZ20</f>
        <v>702000</v>
      </c>
      <c r="E1" s="301">
        <f>BG23</f>
        <v>3453765.833</v>
      </c>
      <c r="F1" s="301">
        <f>BB23+BG40</f>
        <v>0</v>
      </c>
      <c r="G1" s="301">
        <f t="shared" ref="G1:H1" si="1">I8</f>
        <v>105605.5</v>
      </c>
      <c r="H1" s="301">
        <f t="shared" si="1"/>
        <v>29409</v>
      </c>
      <c r="I1" s="302">
        <f>G8</f>
        <v>0.756993007</v>
      </c>
      <c r="J1" s="302">
        <f>AT7</f>
        <v>0.0004767959313</v>
      </c>
      <c r="K1" s="303">
        <f>AV44</f>
        <v>3</v>
      </c>
      <c r="L1" s="304">
        <f>F44</f>
        <v>5916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0.0004767959313</v>
      </c>
      <c r="AU7" s="73"/>
      <c r="AV7" s="348">
        <f>IFERROR(__xludf.DUMMYFUNCTION("IMPORTRANGE(AT9,""日別集計!AI4"")"),42.0)</f>
        <v>42</v>
      </c>
      <c r="AW7" s="73"/>
      <c r="AX7" s="334"/>
      <c r="AY7" s="349"/>
      <c r="BG7" s="350"/>
      <c r="BL7" s="338"/>
    </row>
    <row r="8" ht="15.75" customHeight="1" outlineLevel="1">
      <c r="B8" s="351" t="s">
        <v>343</v>
      </c>
      <c r="C8" s="352">
        <f>M8/H8</f>
        <v>0.1790809024</v>
      </c>
      <c r="D8" s="73"/>
      <c r="E8" s="353">
        <f>(BB23+BG23-BE24)/H8</f>
        <v>0.6653403586</v>
      </c>
      <c r="F8" s="73"/>
      <c r="G8" s="354">
        <f>G47</f>
        <v>0.756993007</v>
      </c>
      <c r="H8" s="355">
        <f>BB30</f>
        <v>5190976</v>
      </c>
      <c r="I8" s="356">
        <f>IFERROR(__xludf.DUMMYFUNCTION("IMPORTRANGE(""https://docs.google.com/spreadsheets/d/1QbHfX9wvC_RRupa4CCe_ZxA6O4e2Ap9vqX5hrZPeQRg/edit"",""date2_1!Q21"")/G5*COUNTIFS($E$13:$E$43,""&gt;0"")"),105605.5)</f>
        <v>105605.5</v>
      </c>
      <c r="J8" s="357">
        <f>IFERROR(__xludf.DUMMYFUNCTION("IMPORTRANGE(""https://docs.google.com/spreadsheets/d/1PIAlDmsTatDNi42y_Nu-aVFqvVCXfe6jiDJFQImKjZ0/edit#gid=630612029"",""R8_3!J21"")"),29409.0)</f>
        <v>29409</v>
      </c>
      <c r="K8" s="358">
        <f>BE24</f>
        <v>0</v>
      </c>
      <c r="L8" s="358">
        <f>BB30-BB23-AZ20-BG45-BG23+BE24</f>
        <v>1035210.167</v>
      </c>
      <c r="M8" s="359">
        <f>L8-I8</f>
        <v>929604.6667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5009907.5</v>
      </c>
      <c r="I9" s="369" t="s">
        <v>164</v>
      </c>
      <c r="J9" s="370" t="s">
        <v>164</v>
      </c>
      <c r="K9" s="371" t="s">
        <v>164</v>
      </c>
      <c r="L9" s="371" t="s">
        <v>164</v>
      </c>
      <c r="M9" s="372">
        <f>M7/G5*COUNTIFS($E$11:$E$41,"&gt;0")</f>
        <v>960091.1667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5"/>
      <c r="K13" s="405"/>
      <c r="L13" s="404">
        <v>6.0</v>
      </c>
      <c r="M13" s="404">
        <v>15.0</v>
      </c>
      <c r="N13" s="404">
        <v>1.0</v>
      </c>
      <c r="O13" s="404">
        <v>2.0</v>
      </c>
      <c r="P13" s="405"/>
      <c r="Q13" s="405"/>
      <c r="R13" s="404">
        <v>1.0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0.748637568</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19"/>
      <c r="K14" s="419"/>
      <c r="L14" s="418">
        <v>9.0</v>
      </c>
      <c r="M14" s="418">
        <v>15.0</v>
      </c>
      <c r="N14" s="418">
        <v>0.0</v>
      </c>
      <c r="O14" s="418">
        <v>5.0</v>
      </c>
      <c r="P14" s="419"/>
      <c r="Q14" s="419"/>
      <c r="R14" s="418">
        <v>7.0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172050</v>
      </c>
      <c r="AT14" s="409">
        <f>IFERROR(__xludf.DUMMYFUNCTION("""COMPUTED_VALUE"""),117476.66666666666)</f>
        <v>117476.6667</v>
      </c>
      <c r="AU14" s="410">
        <f t="shared" si="7"/>
        <v>0.6867398031</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0.6911731637</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186900</v>
      </c>
      <c r="AT16" s="409">
        <f>IFERROR(__xludf.DUMMYFUNCTION("""COMPUTED_VALUE"""),117467.49999999999)</f>
        <v>117467.5</v>
      </c>
      <c r="AU16" s="410">
        <f t="shared" si="7"/>
        <v>0.6357484118</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0.6156531198</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182250</v>
      </c>
      <c r="AT18" s="409">
        <f>IFERROR(__xludf.DUMMYFUNCTION("""COMPUTED_VALUE"""),119393.33333333336)</f>
        <v>119393.3333</v>
      </c>
      <c r="AU18" s="410">
        <f t="shared" si="7"/>
        <v>0.6607172826</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0.6838140059</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191600</v>
      </c>
      <c r="AT20" s="409">
        <f>IFERROR(__xludf.DUMMYFUNCTION("""COMPUTED_VALUE"""),127446.66666666667)</f>
        <v>127446.6667</v>
      </c>
      <c r="AU20" s="410">
        <f t="shared" si="7"/>
        <v>0.669872219</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IFERROR(__xludf.DUMMYFUNCTION("IMPORTRANGE(""https://docs.google.com/spreadsheets/d/1QbHfX9wvC_RRupa4CCe_ZxA6O4e2Ap9vqX5hrZPeQRg/edit?gid=284905409#gid=284905409"",""date2_1!C21"")/G5*COUNTIFS($E$13:$E$43,""&gt;0"")+sum(AZ14:BA19)"),702000.0)</f>
        <v>702000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0.690571527</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19"/>
      <c r="K22" s="419"/>
      <c r="L22" s="418">
        <v>7.0</v>
      </c>
      <c r="M22" s="418">
        <v>18.0</v>
      </c>
      <c r="N22" s="419"/>
      <c r="O22" s="418">
        <v>3.0</v>
      </c>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198850</v>
      </c>
      <c r="AT22" s="409">
        <f>IFERROR(__xludf.DUMMYFUNCTION("""COMPUTED_VALUE"""),132403.3333333333)</f>
        <v>132403.3333</v>
      </c>
      <c r="AU22" s="410">
        <f t="shared" si="7"/>
        <v>0.6703440757</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0.6900740493</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IFERROR(__xludf.DUMMYFUNCTION("IMPORTRANGE(AT9,""total!ai2"")"),3189325.833333333)</f>
        <v>3189325.833</v>
      </c>
      <c r="BF23" s="443">
        <f>IFERROR(__xludf.DUMMYFUNCTION("IMPORTRANGE(AT9,""total!an2"")"),264440.0)</f>
        <v>264440</v>
      </c>
      <c r="BG23" s="441">
        <f>sum(BE23:BF27)+BE20</f>
        <v>3453765.833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207050</v>
      </c>
      <c r="AT24" s="409">
        <f>IFERROR(__xludf.DUMMYFUNCTION("""COMPUTED_VALUE"""),129728.33333333331)</f>
        <v>129728.3333</v>
      </c>
      <c r="AU24" s="410">
        <f t="shared" si="7"/>
        <v>0.6332543931</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0.6548850946</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192400</v>
      </c>
      <c r="AT26" s="409">
        <f>IFERROR(__xludf.DUMMYFUNCTION("""COMPUTED_VALUE"""),130047.5)</f>
        <v>130047.5</v>
      </c>
      <c r="AU26" s="410">
        <f t="shared" si="7"/>
        <v>0.6799119687</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0.6631441911</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193150</v>
      </c>
      <c r="AT28" s="409">
        <f>IFERROR(__xludf.DUMMYFUNCTION("""COMPUTED_VALUE"""),133338.33333333334)</f>
        <v>133338.3333</v>
      </c>
      <c r="AU28" s="410">
        <f t="shared" si="7"/>
        <v>0.6933836213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0.6685012581</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206400</v>
      </c>
      <c r="AT30" s="409">
        <f>IFERROR(__xludf.DUMMYFUNCTION("""COMPUTED_VALUE"""),131926.66666666666)</f>
        <v>131926.6667</v>
      </c>
      <c r="AU30" s="410">
        <f t="shared" si="7"/>
        <v>0.6451352935</v>
      </c>
      <c r="AV30" s="402">
        <f>countifs('🔵クレーム'!$C:$C,MONTH($D$5)&amp;"月",'🔵クレーム'!$D:$D,day(C30)&amp;"日",'🔵クレーム'!$I:$I,"&lt;&gt;")</f>
        <v>0</v>
      </c>
      <c r="AW30" s="411"/>
      <c r="AX30" s="311"/>
      <c r="AY30" s="453" t="s">
        <v>414</v>
      </c>
      <c r="AZ30" s="443">
        <f>AS46</f>
        <v>4845800</v>
      </c>
      <c r="BA30" s="454" t="s">
        <v>164</v>
      </c>
      <c r="BB30" s="441">
        <f>SUM(AZ30:AZ36)</f>
        <v>5190976</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0.6011164078</v>
      </c>
      <c r="AV31" s="402">
        <f>countifs('🔵クレーム'!$C:$C,MONTH($D$5)&amp;"月",'🔵クレーム'!$D:$D,day(C31)&amp;"日",'🔵クレーム'!$I:$I,"&lt;&gt;")</f>
        <v>0</v>
      </c>
      <c r="AW31" s="411"/>
      <c r="AX31" s="311"/>
      <c r="AY31" s="458" t="s">
        <v>418</v>
      </c>
      <c r="AZ31" s="443">
        <f t="shared" ref="AZ31:AZ33" si="9">BA31/$G$5*COUNTIFS($E$13:$E$43,"&gt;0")</f>
        <v>125840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174950</v>
      </c>
      <c r="AT32" s="409">
        <f>IFERROR(__xludf.DUMMYFUNCTION("""COMPUTED_VALUE"""),110887.5)</f>
        <v>110887.5</v>
      </c>
      <c r="AU32" s="410">
        <f t="shared" si="7"/>
        <v>0.6411525192</v>
      </c>
      <c r="AV32" s="402">
        <f>countifs('🔵クレーム'!$C:$C,MONTH($D$5)&amp;"月",'🔵クレーム'!$D:$D,day(C32)&amp;"日",'🔵クレーム'!$I:$I,"&lt;&gt;")</f>
        <v>0</v>
      </c>
      <c r="AW32" s="411"/>
      <c r="AX32" s="311"/>
      <c r="AY32" s="458" t="s">
        <v>420</v>
      </c>
      <c r="AZ32" s="443">
        <f t="shared" si="9"/>
        <v>97482.66667</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0.6549513632</v>
      </c>
      <c r="AV33" s="402">
        <f>countifs('🔵クレーム'!$C:$C,MONTH($D$5)&amp;"月",'🔵クレーム'!$D:$D,day(C33)&amp;"日",'🔵クレーム'!$I:$I,"&lt;&gt;")</f>
        <v>0</v>
      </c>
      <c r="AW33" s="411"/>
      <c r="AX33" s="311"/>
      <c r="AY33" s="458" t="s">
        <v>422</v>
      </c>
      <c r="AZ33" s="443">
        <f t="shared" si="9"/>
        <v>121853.3333</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190550</v>
      </c>
      <c r="AT34" s="409">
        <f>IFERROR(__xludf.DUMMYFUNCTION("""COMPUTED_VALUE"""),124991.66666666667)</f>
        <v>124991.6667</v>
      </c>
      <c r="AU34" s="410">
        <f t="shared" si="7"/>
        <v>0.661278447</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0.6211408208</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181700</v>
      </c>
      <c r="AT36" s="409">
        <f>IFERROR(__xludf.DUMMYFUNCTION("""COMPUTED_VALUE"""),129704.16666666669)</f>
        <v>129704.1667</v>
      </c>
      <c r="AU36" s="410">
        <f t="shared" si="7"/>
        <v>0.7154636506</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IFERROR(__xludf.DUMMYFUNCTION("""COMPUTED_VALUE"""),89884.16666666666)</f>
        <v>89884.16667</v>
      </c>
      <c r="AU37" s="410">
        <f t="shared" si="7"/>
        <v>0.6509556884</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169200</v>
      </c>
      <c r="AT38" s="409">
        <f>IFERROR(__xludf.DUMMYFUNCTION("""COMPUTED_VALUE"""),98189.99999999999)</f>
        <v>98190</v>
      </c>
      <c r="AU38" s="410">
        <f t="shared" si="7"/>
        <v>0.5917713786</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IFERROR(__xludf.DUMMYFUNCTION("""COMPUTED_VALUE"""),5500.0)</f>
        <v>5500</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6292</v>
      </c>
      <c r="F44" s="480">
        <f t="shared" ref="F44:AB44" si="11">SUM(F13:F43)</f>
        <v>5916</v>
      </c>
      <c r="G44" s="480">
        <f t="shared" si="11"/>
        <v>4763</v>
      </c>
      <c r="H44" s="480">
        <f t="shared" si="11"/>
        <v>1153</v>
      </c>
      <c r="I44" s="480">
        <f t="shared" si="11"/>
        <v>1731</v>
      </c>
      <c r="J44" s="480">
        <f t="shared" si="11"/>
        <v>107</v>
      </c>
      <c r="K44" s="480">
        <f t="shared" si="11"/>
        <v>2</v>
      </c>
      <c r="L44" s="480">
        <f t="shared" si="11"/>
        <v>190</v>
      </c>
      <c r="M44" s="480">
        <f t="shared" si="11"/>
        <v>378</v>
      </c>
      <c r="N44" s="480">
        <f t="shared" si="11"/>
        <v>9</v>
      </c>
      <c r="O44" s="480">
        <f t="shared" si="11"/>
        <v>223</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4845800</v>
      </c>
      <c r="AT44" s="483">
        <f t="shared" si="12"/>
        <v>3189325.833</v>
      </c>
      <c r="AU44" s="484">
        <f>AVERAGE(AU13:AU43)</f>
        <v>0.6622842816</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4286700</v>
      </c>
      <c r="H46" s="409">
        <f t="shared" si="14"/>
        <v>115300</v>
      </c>
      <c r="I46" s="409">
        <f t="shared" si="14"/>
        <v>173100</v>
      </c>
      <c r="J46" s="409">
        <f t="shared" si="14"/>
        <v>10700</v>
      </c>
      <c r="K46" s="409">
        <f t="shared" si="14"/>
        <v>600</v>
      </c>
      <c r="L46" s="409">
        <f t="shared" si="14"/>
        <v>28500</v>
      </c>
      <c r="M46" s="409">
        <f t="shared" si="14"/>
        <v>113400</v>
      </c>
      <c r="N46" s="409">
        <f t="shared" si="14"/>
        <v>4500</v>
      </c>
      <c r="O46" s="409">
        <f t="shared" si="14"/>
        <v>111500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4845800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0.756993007</v>
      </c>
      <c r="H47" s="511">
        <f t="shared" si="15"/>
        <v>0.1832485696</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635</v>
      </c>
      <c r="O2" s="533"/>
      <c r="P2" s="534"/>
      <c r="Q2" s="535"/>
      <c r="R2" s="535"/>
      <c r="S2" s="536"/>
      <c r="T2" s="535"/>
      <c r="U2" s="535"/>
      <c r="V2" s="535"/>
      <c r="W2" s="535"/>
      <c r="X2" s="535"/>
      <c r="Y2" s="537"/>
      <c r="Z2" s="296"/>
      <c r="AA2" s="296"/>
      <c r="AB2" s="296"/>
      <c r="AC2" s="296"/>
      <c r="AD2" s="296"/>
      <c r="AE2" s="296"/>
      <c r="AF2" s="538"/>
      <c r="AG2" s="539"/>
      <c r="AH2" s="540"/>
      <c r="AI2" s="541" t="s">
        <v>636</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46139</v>
      </c>
      <c r="C7" s="613"/>
      <c r="D7" s="528"/>
      <c r="E7" s="614">
        <f>today()+1</f>
        <v>46140</v>
      </c>
      <c r="F7" s="615"/>
      <c r="G7" s="528"/>
      <c r="H7" s="528"/>
      <c r="I7" s="616" t="s">
        <v>473</v>
      </c>
      <c r="J7" s="617" t="s">
        <v>474</v>
      </c>
      <c r="K7" s="618">
        <v>46113.0</v>
      </c>
      <c r="L7" s="619" t="s">
        <v>475</v>
      </c>
      <c r="M7" s="620" t="s">
        <v>476</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月</v>
      </c>
      <c r="D8" s="214"/>
      <c r="E8" s="629" t="s">
        <v>348</v>
      </c>
      <c r="F8" s="630" t="str">
        <f>TEXT(E7,"ddd")</f>
        <v>火</v>
      </c>
      <c r="G8" s="214"/>
      <c r="H8" s="214"/>
      <c r="I8" s="616"/>
      <c r="J8" s="631" t="s">
        <v>484</v>
      </c>
      <c r="K8" s="619" t="s">
        <v>485</v>
      </c>
      <c r="L8" s="632" t="s">
        <v>486</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26</v>
      </c>
      <c r="D9" s="214"/>
      <c r="E9" s="627" t="str">
        <f t="shared" ref="E9:E44" si="6">K9</f>
        <v>出勤者数合計</v>
      </c>
      <c r="F9" s="636">
        <f t="shared" ref="F9:F44" si="7">if(E9="","", xlookup($E$7,$N$7:$AR$7,$N9:$AR9))</f>
        <v>21</v>
      </c>
      <c r="G9" s="214"/>
      <c r="H9" s="214"/>
      <c r="I9" s="169" t="b">
        <v>0</v>
      </c>
      <c r="J9" s="631"/>
      <c r="K9" s="637" t="s">
        <v>487</v>
      </c>
      <c r="L9" s="638" t="s">
        <v>488</v>
      </c>
      <c r="M9" s="639" t="s">
        <v>489</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26</v>
      </c>
      <c r="AO9" s="640">
        <f t="array" ref="AO9">SUM(COUNTIF(AO11:AO106, {"◎","〇","☆","共","特","浴"}))</f>
        <v>21</v>
      </c>
      <c r="AP9" s="640">
        <f t="array" ref="AP9">SUM(COUNTIF(AP11:AP106, {"◎","〇","☆","共","特","浴"}))</f>
        <v>26</v>
      </c>
      <c r="AQ9" s="640">
        <f t="array" ref="AQ9">SUM(COUNTIF(AQ11:AQ106, {"◎","〇","☆","共","特","浴"}))</f>
        <v>26</v>
      </c>
      <c r="AR9" s="640">
        <f t="array" ref="AR9">SUM(COUNTIF(AR11:AR106, {"◎","〇","☆","共","特","浴"}))</f>
        <v>0</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7</v>
      </c>
      <c r="D10" s="214"/>
      <c r="E10" s="627" t="str">
        <f t="shared" si="6"/>
        <v>チェッカー数</v>
      </c>
      <c r="F10" s="636">
        <f t="shared" si="7"/>
        <v>5</v>
      </c>
      <c r="G10" s="214"/>
      <c r="H10" s="214"/>
      <c r="I10" s="169" t="b">
        <v>0</v>
      </c>
      <c r="J10" s="631"/>
      <c r="K10" s="637" t="s">
        <v>490</v>
      </c>
      <c r="L10" s="638" t="s">
        <v>488</v>
      </c>
      <c r="M10" s="639" t="s">
        <v>491</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v>
      </c>
      <c r="D11" s="214"/>
      <c r="E11" s="627" t="str">
        <f t="shared" si="6"/>
        <v>堀</v>
      </c>
      <c r="F11" s="636" t="str">
        <f t="shared" si="7"/>
        <v>会</v>
      </c>
      <c r="G11" s="214"/>
      <c r="H11" s="214"/>
      <c r="I11" s="169" t="b">
        <v>0</v>
      </c>
      <c r="J11" s="617"/>
      <c r="K11" s="637" t="s">
        <v>99</v>
      </c>
      <c r="L11" s="638" t="s">
        <v>492</v>
      </c>
      <c r="M11" s="644"/>
      <c r="N11" s="554" t="s">
        <v>447</v>
      </c>
      <c r="O11" s="554"/>
      <c r="P11" s="554" t="s">
        <v>493</v>
      </c>
      <c r="Q11" s="554" t="s">
        <v>447</v>
      </c>
      <c r="R11" s="554"/>
      <c r="S11" s="554" t="s">
        <v>447</v>
      </c>
      <c r="T11" s="554"/>
      <c r="U11" s="554" t="s">
        <v>493</v>
      </c>
      <c r="V11" s="554" t="s">
        <v>493</v>
      </c>
      <c r="W11" s="554" t="s">
        <v>447</v>
      </c>
      <c r="X11" s="554" t="s">
        <v>447</v>
      </c>
      <c r="Y11" s="554"/>
      <c r="Z11" s="554" t="s">
        <v>447</v>
      </c>
      <c r="AA11" s="554" t="s">
        <v>447</v>
      </c>
      <c r="AB11" s="554"/>
      <c r="AC11" s="554" t="s">
        <v>447</v>
      </c>
      <c r="AD11" s="554" t="s">
        <v>447</v>
      </c>
      <c r="AE11" s="554"/>
      <c r="AF11" s="554" t="s">
        <v>447</v>
      </c>
      <c r="AG11" s="554" t="s">
        <v>447</v>
      </c>
      <c r="AH11" s="554"/>
      <c r="AI11" s="554" t="s">
        <v>493</v>
      </c>
      <c r="AJ11" s="554" t="s">
        <v>447</v>
      </c>
      <c r="AK11" s="554" t="s">
        <v>447</v>
      </c>
      <c r="AL11" s="554"/>
      <c r="AM11" s="554" t="s">
        <v>447</v>
      </c>
      <c r="AN11" s="554" t="s">
        <v>447</v>
      </c>
      <c r="AO11" s="554" t="s">
        <v>493</v>
      </c>
      <c r="AP11" s="554" t="s">
        <v>462</v>
      </c>
      <c r="AQ11" s="554" t="s">
        <v>447</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
      </c>
      <c r="G12" s="214"/>
      <c r="H12" s="214"/>
      <c r="I12" s="169" t="b">
        <v>0</v>
      </c>
      <c r="J12" s="617"/>
      <c r="K12" s="637" t="s">
        <v>494</v>
      </c>
      <c r="L12" s="638" t="s">
        <v>492</v>
      </c>
      <c r="M12" s="644"/>
      <c r="N12" s="554" t="s">
        <v>445</v>
      </c>
      <c r="O12" s="554" t="s">
        <v>447</v>
      </c>
      <c r="P12" s="554" t="s">
        <v>447</v>
      </c>
      <c r="Q12" s="554"/>
      <c r="R12" s="554" t="s">
        <v>445</v>
      </c>
      <c r="S12" s="554" t="s">
        <v>447</v>
      </c>
      <c r="T12" s="554" t="s">
        <v>447</v>
      </c>
      <c r="U12" s="554" t="s">
        <v>447</v>
      </c>
      <c r="V12" s="554" t="s">
        <v>466</v>
      </c>
      <c r="W12" s="554"/>
      <c r="X12" s="554" t="s">
        <v>445</v>
      </c>
      <c r="Y12" s="554" t="s">
        <v>447</v>
      </c>
      <c r="Z12" s="554"/>
      <c r="AA12" s="554" t="s">
        <v>447</v>
      </c>
      <c r="AB12" s="554" t="s">
        <v>445</v>
      </c>
      <c r="AC12" s="554" t="s">
        <v>466</v>
      </c>
      <c r="AD12" s="554" t="s">
        <v>447</v>
      </c>
      <c r="AE12" s="554" t="s">
        <v>447</v>
      </c>
      <c r="AF12" s="554" t="s">
        <v>445</v>
      </c>
      <c r="AG12" s="554"/>
      <c r="AH12" s="554" t="s">
        <v>447</v>
      </c>
      <c r="AI12" s="554" t="s">
        <v>447</v>
      </c>
      <c r="AJ12" s="554" t="s">
        <v>445</v>
      </c>
      <c r="AK12" s="554"/>
      <c r="AL12" s="554" t="s">
        <v>447</v>
      </c>
      <c r="AM12" s="554" t="s">
        <v>447</v>
      </c>
      <c r="AN12" s="554" t="s">
        <v>445</v>
      </c>
      <c r="AO12" s="554"/>
      <c r="AP12" s="554" t="s">
        <v>447</v>
      </c>
      <c r="AQ12" s="554" t="s">
        <v>445</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
      </c>
      <c r="D13" s="214"/>
      <c r="E13" s="627" t="str">
        <f t="shared" si="6"/>
        <v>ダヤラム</v>
      </c>
      <c r="F13" s="636" t="str">
        <f t="shared" si="7"/>
        <v/>
      </c>
      <c r="G13" s="214"/>
      <c r="H13" s="214"/>
      <c r="I13" s="169" t="b">
        <v>0</v>
      </c>
      <c r="J13" s="617"/>
      <c r="K13" s="637" t="s">
        <v>181</v>
      </c>
      <c r="L13" s="638" t="s">
        <v>492</v>
      </c>
      <c r="M13" s="644"/>
      <c r="N13" s="554" t="s">
        <v>447</v>
      </c>
      <c r="O13" s="554" t="s">
        <v>445</v>
      </c>
      <c r="P13" s="554" t="s">
        <v>447</v>
      </c>
      <c r="Q13" s="554"/>
      <c r="R13" s="554" t="s">
        <v>447</v>
      </c>
      <c r="S13" s="554" t="s">
        <v>445</v>
      </c>
      <c r="T13" s="554" t="s">
        <v>447</v>
      </c>
      <c r="U13" s="554"/>
      <c r="V13" s="554" t="s">
        <v>447</v>
      </c>
      <c r="W13" s="554" t="s">
        <v>445</v>
      </c>
      <c r="X13" s="554" t="s">
        <v>466</v>
      </c>
      <c r="Y13" s="554" t="s">
        <v>447</v>
      </c>
      <c r="Z13" s="554" t="s">
        <v>447</v>
      </c>
      <c r="AA13" s="554" t="s">
        <v>445</v>
      </c>
      <c r="AB13" s="554" t="s">
        <v>466</v>
      </c>
      <c r="AC13" s="554" t="s">
        <v>447</v>
      </c>
      <c r="AD13" s="554" t="s">
        <v>447</v>
      </c>
      <c r="AE13" s="554" t="s">
        <v>445</v>
      </c>
      <c r="AF13" s="554"/>
      <c r="AG13" s="554" t="s">
        <v>447</v>
      </c>
      <c r="AH13" s="554" t="s">
        <v>447</v>
      </c>
      <c r="AI13" s="554" t="s">
        <v>445</v>
      </c>
      <c r="AJ13" s="554"/>
      <c r="AK13" s="554"/>
      <c r="AL13" s="554" t="s">
        <v>447</v>
      </c>
      <c r="AM13" s="554" t="s">
        <v>445</v>
      </c>
      <c r="AN13" s="554"/>
      <c r="AO13" s="554"/>
      <c r="AP13" s="554" t="s">
        <v>447</v>
      </c>
      <c r="AQ13" s="554" t="s">
        <v>447</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v>
      </c>
      <c r="G14" s="214"/>
      <c r="H14" s="214"/>
      <c r="I14" s="169" t="b">
        <v>0</v>
      </c>
      <c r="J14" s="617"/>
      <c r="K14" s="637" t="s">
        <v>108</v>
      </c>
      <c r="L14" s="638" t="s">
        <v>492</v>
      </c>
      <c r="M14" s="644"/>
      <c r="N14" s="554" t="s">
        <v>447</v>
      </c>
      <c r="O14" s="554" t="s">
        <v>447</v>
      </c>
      <c r="P14" s="554" t="s">
        <v>445</v>
      </c>
      <c r="Q14" s="554" t="s">
        <v>447</v>
      </c>
      <c r="R14" s="554"/>
      <c r="S14" s="554" t="s">
        <v>447</v>
      </c>
      <c r="T14" s="554"/>
      <c r="U14" s="554" t="s">
        <v>445</v>
      </c>
      <c r="V14" s="554"/>
      <c r="W14" s="554"/>
      <c r="X14" s="554" t="s">
        <v>447</v>
      </c>
      <c r="Y14" s="554" t="s">
        <v>466</v>
      </c>
      <c r="Z14" s="554" t="s">
        <v>445</v>
      </c>
      <c r="AA14" s="554"/>
      <c r="AB14" s="554" t="s">
        <v>464</v>
      </c>
      <c r="AC14" s="554" t="s">
        <v>464</v>
      </c>
      <c r="AD14" s="554" t="s">
        <v>445</v>
      </c>
      <c r="AE14" s="554" t="s">
        <v>447</v>
      </c>
      <c r="AF14" s="554" t="s">
        <v>447</v>
      </c>
      <c r="AG14" s="554" t="s">
        <v>447</v>
      </c>
      <c r="AH14" s="554" t="s">
        <v>445</v>
      </c>
      <c r="AI14" s="554"/>
      <c r="AJ14" s="554" t="s">
        <v>447</v>
      </c>
      <c r="AK14" s="554" t="s">
        <v>447</v>
      </c>
      <c r="AL14" s="554" t="s">
        <v>445</v>
      </c>
      <c r="AM14" s="554"/>
      <c r="AN14" s="554" t="s">
        <v>447</v>
      </c>
      <c r="AO14" s="554" t="s">
        <v>447</v>
      </c>
      <c r="AP14" s="554" t="s">
        <v>445</v>
      </c>
      <c r="AQ14" s="554" t="s">
        <v>447</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v>
      </c>
      <c r="G15" s="214"/>
      <c r="H15" s="214"/>
      <c r="I15" s="169" t="b">
        <v>0</v>
      </c>
      <c r="J15" s="617"/>
      <c r="K15" s="637" t="s">
        <v>170</v>
      </c>
      <c r="L15" s="638" t="s">
        <v>492</v>
      </c>
      <c r="M15" s="644"/>
      <c r="N15" s="554"/>
      <c r="O15" s="554" t="s">
        <v>447</v>
      </c>
      <c r="P15" s="554" t="s">
        <v>447</v>
      </c>
      <c r="Q15" s="554" t="s">
        <v>445</v>
      </c>
      <c r="R15" s="554" t="s">
        <v>447</v>
      </c>
      <c r="S15" s="554" t="s">
        <v>466</v>
      </c>
      <c r="T15" s="554" t="s">
        <v>445</v>
      </c>
      <c r="U15" s="554" t="s">
        <v>447</v>
      </c>
      <c r="V15" s="554" t="s">
        <v>447</v>
      </c>
      <c r="W15" s="554" t="s">
        <v>447</v>
      </c>
      <c r="X15" s="554"/>
      <c r="Y15" s="554" t="s">
        <v>445</v>
      </c>
      <c r="Z15" s="554" t="s">
        <v>447</v>
      </c>
      <c r="AA15" s="554"/>
      <c r="AB15" s="554" t="s">
        <v>447</v>
      </c>
      <c r="AC15" s="554" t="s">
        <v>445</v>
      </c>
      <c r="AD15" s="554"/>
      <c r="AE15" s="554" t="s">
        <v>447</v>
      </c>
      <c r="AF15" s="554" t="s">
        <v>447</v>
      </c>
      <c r="AG15" s="554" t="s">
        <v>445</v>
      </c>
      <c r="AH15" s="554"/>
      <c r="AI15" s="554" t="s">
        <v>447</v>
      </c>
      <c r="AJ15" s="554" t="s">
        <v>447</v>
      </c>
      <c r="AK15" s="554" t="s">
        <v>445</v>
      </c>
      <c r="AL15" s="554"/>
      <c r="AM15" s="554" t="s">
        <v>447</v>
      </c>
      <c r="AN15" s="554" t="s">
        <v>447</v>
      </c>
      <c r="AO15" s="554" t="s">
        <v>445</v>
      </c>
      <c r="AP15" s="554"/>
      <c r="AQ15" s="554" t="s">
        <v>447</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c r="O17" s="554"/>
      <c r="P17" s="554"/>
      <c r="Q17" s="554"/>
      <c r="R17" s="554"/>
      <c r="S17" s="554" t="s">
        <v>447</v>
      </c>
      <c r="T17" s="554" t="s">
        <v>447</v>
      </c>
      <c r="U17" s="554" t="s">
        <v>447</v>
      </c>
      <c r="V17" s="554" t="s">
        <v>447</v>
      </c>
      <c r="W17" s="554" t="s">
        <v>447</v>
      </c>
      <c r="X17" s="554"/>
      <c r="Y17" s="554"/>
      <c r="Z17" s="554" t="s">
        <v>447</v>
      </c>
      <c r="AA17" s="554" t="s">
        <v>447</v>
      </c>
      <c r="AB17" s="554" t="s">
        <v>447</v>
      </c>
      <c r="AC17" s="554" t="s">
        <v>447</v>
      </c>
      <c r="AD17" s="554" t="s">
        <v>447</v>
      </c>
      <c r="AE17" s="554"/>
      <c r="AF17" s="554"/>
      <c r="AG17" s="554" t="s">
        <v>462</v>
      </c>
      <c r="AH17" s="554" t="s">
        <v>447</v>
      </c>
      <c r="AI17" s="554" t="s">
        <v>447</v>
      </c>
      <c r="AJ17" s="554" t="s">
        <v>447</v>
      </c>
      <c r="AK17" s="554" t="s">
        <v>447</v>
      </c>
      <c r="AL17" s="554" t="s">
        <v>447</v>
      </c>
      <c r="AM17" s="554"/>
      <c r="AN17" s="554" t="s">
        <v>447</v>
      </c>
      <c r="AO17" s="554" t="s">
        <v>447</v>
      </c>
      <c r="AP17" s="554" t="s">
        <v>447</v>
      </c>
      <c r="AQ17" s="554" t="s">
        <v>447</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
      </c>
      <c r="G18" s="214"/>
      <c r="H18" s="214"/>
      <c r="I18" s="169" t="b">
        <v>0</v>
      </c>
      <c r="J18" s="617"/>
      <c r="K18" s="637" t="s">
        <v>127</v>
      </c>
      <c r="L18" s="638"/>
      <c r="M18" s="644"/>
      <c r="N18" s="554"/>
      <c r="O18" s="554"/>
      <c r="P18" s="554"/>
      <c r="Q18" s="554" t="s">
        <v>447</v>
      </c>
      <c r="R18" s="554" t="s">
        <v>447</v>
      </c>
      <c r="S18" s="554"/>
      <c r="T18" s="554"/>
      <c r="U18" s="554"/>
      <c r="V18" s="554"/>
      <c r="W18" s="554"/>
      <c r="X18" s="554" t="s">
        <v>447</v>
      </c>
      <c r="Y18" s="554" t="s">
        <v>447</v>
      </c>
      <c r="Z18" s="554"/>
      <c r="AA18" s="554"/>
      <c r="AB18" s="554"/>
      <c r="AC18" s="554"/>
      <c r="AD18" s="554"/>
      <c r="AE18" s="554" t="s">
        <v>447</v>
      </c>
      <c r="AF18" s="554" t="s">
        <v>447</v>
      </c>
      <c r="AG18" s="554"/>
      <c r="AH18" s="554"/>
      <c r="AI18" s="554"/>
      <c r="AJ18" s="554"/>
      <c r="AK18" s="554"/>
      <c r="AL18" s="554" t="s">
        <v>447</v>
      </c>
      <c r="AM18" s="554" t="s">
        <v>447</v>
      </c>
      <c r="AN18" s="554"/>
      <c r="AO18" s="554"/>
      <c r="AP18" s="554" t="s">
        <v>447</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
      </c>
      <c r="D19" s="214"/>
      <c r="E19" s="627" t="str">
        <f t="shared" si="6"/>
        <v>本村</v>
      </c>
      <c r="F19" s="636" t="str">
        <f t="shared" si="7"/>
        <v>☆</v>
      </c>
      <c r="G19" s="214"/>
      <c r="H19" s="214"/>
      <c r="I19" s="169" t="b">
        <v>0</v>
      </c>
      <c r="J19" s="617"/>
      <c r="K19" s="637" t="s">
        <v>144</v>
      </c>
      <c r="L19" s="638"/>
      <c r="M19" s="644"/>
      <c r="N19" s="554" t="s">
        <v>447</v>
      </c>
      <c r="O19" s="554" t="s">
        <v>447</v>
      </c>
      <c r="P19" s="554" t="s">
        <v>447</v>
      </c>
      <c r="Q19" s="554" t="s">
        <v>447</v>
      </c>
      <c r="R19" s="554"/>
      <c r="S19" s="554"/>
      <c r="T19" s="554" t="s">
        <v>447</v>
      </c>
      <c r="U19" s="554" t="s">
        <v>447</v>
      </c>
      <c r="V19" s="554" t="s">
        <v>447</v>
      </c>
      <c r="W19" s="554" t="s">
        <v>447</v>
      </c>
      <c r="X19" s="554" t="s">
        <v>447</v>
      </c>
      <c r="Y19" s="554"/>
      <c r="Z19" s="554"/>
      <c r="AA19" s="554" t="s">
        <v>447</v>
      </c>
      <c r="AB19" s="554" t="s">
        <v>447</v>
      </c>
      <c r="AC19" s="554" t="s">
        <v>447</v>
      </c>
      <c r="AD19" s="554" t="s">
        <v>447</v>
      </c>
      <c r="AE19" s="554" t="s">
        <v>447</v>
      </c>
      <c r="AF19" s="554"/>
      <c r="AG19" s="554"/>
      <c r="AH19" s="554" t="s">
        <v>464</v>
      </c>
      <c r="AI19" s="554" t="s">
        <v>447</v>
      </c>
      <c r="AJ19" s="554" t="s">
        <v>447</v>
      </c>
      <c r="AK19" s="554" t="s">
        <v>447</v>
      </c>
      <c r="AL19" s="554" t="s">
        <v>447</v>
      </c>
      <c r="AM19" s="554"/>
      <c r="AN19" s="554"/>
      <c r="AO19" s="554" t="s">
        <v>447</v>
      </c>
      <c r="AP19" s="554" t="s">
        <v>447</v>
      </c>
      <c r="AQ19" s="554" t="s">
        <v>447</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v>
      </c>
      <c r="D20" s="214"/>
      <c r="E20" s="627" t="str">
        <f t="shared" si="6"/>
        <v>福原</v>
      </c>
      <c r="F20" s="636" t="str">
        <f t="shared" si="7"/>
        <v>✕</v>
      </c>
      <c r="G20" s="214"/>
      <c r="H20" s="214"/>
      <c r="I20" s="169" t="b">
        <v>0</v>
      </c>
      <c r="J20" s="617"/>
      <c r="K20" s="637" t="s">
        <v>637</v>
      </c>
      <c r="L20" s="638"/>
      <c r="M20" s="644"/>
      <c r="N20" s="554" t="s">
        <v>447</v>
      </c>
      <c r="O20" s="640"/>
      <c r="P20" s="554" t="s">
        <v>447</v>
      </c>
      <c r="Q20" s="554" t="s">
        <v>447</v>
      </c>
      <c r="R20" s="554" t="s">
        <v>447</v>
      </c>
      <c r="S20" s="554" t="s">
        <v>466</v>
      </c>
      <c r="T20" s="554" t="s">
        <v>447</v>
      </c>
      <c r="U20" s="554"/>
      <c r="V20" s="640"/>
      <c r="W20" s="554" t="s">
        <v>447</v>
      </c>
      <c r="X20" s="554" t="s">
        <v>447</v>
      </c>
      <c r="Y20" s="554" t="s">
        <v>447</v>
      </c>
      <c r="Z20" s="554" t="s">
        <v>466</v>
      </c>
      <c r="AA20" s="554" t="s">
        <v>447</v>
      </c>
      <c r="AB20" s="554" t="s">
        <v>447</v>
      </c>
      <c r="AC20" s="554"/>
      <c r="AD20" s="554" t="s">
        <v>447</v>
      </c>
      <c r="AE20" s="554" t="s">
        <v>447</v>
      </c>
      <c r="AF20" s="554" t="s">
        <v>447</v>
      </c>
      <c r="AG20" s="554" t="s">
        <v>466</v>
      </c>
      <c r="AH20" s="554" t="s">
        <v>464</v>
      </c>
      <c r="AI20" s="554" t="s">
        <v>464</v>
      </c>
      <c r="AJ20" s="640"/>
      <c r="AK20" s="554" t="s">
        <v>466</v>
      </c>
      <c r="AL20" s="554" t="s">
        <v>466</v>
      </c>
      <c r="AM20" s="554" t="s">
        <v>466</v>
      </c>
      <c r="AN20" s="554" t="s">
        <v>466</v>
      </c>
      <c r="AO20" s="554" t="s">
        <v>466</v>
      </c>
      <c r="AP20" s="554" t="s">
        <v>466</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v>
      </c>
      <c r="D21" s="214"/>
      <c r="E21" s="627" t="str">
        <f t="shared" si="6"/>
        <v>中山</v>
      </c>
      <c r="F21" s="636" t="str">
        <f t="shared" si="7"/>
        <v/>
      </c>
      <c r="G21" s="214"/>
      <c r="H21" s="214"/>
      <c r="I21" s="169" t="b">
        <v>0</v>
      </c>
      <c r="J21" s="617"/>
      <c r="K21" s="637" t="s">
        <v>495</v>
      </c>
      <c r="L21" s="638"/>
      <c r="M21" s="644"/>
      <c r="N21" s="554" t="s">
        <v>447</v>
      </c>
      <c r="O21" s="554"/>
      <c r="P21" s="554"/>
      <c r="Q21" s="554"/>
      <c r="R21" s="554"/>
      <c r="S21" s="554" t="s">
        <v>447</v>
      </c>
      <c r="T21" s="554"/>
      <c r="U21" s="554" t="s">
        <v>447</v>
      </c>
      <c r="V21" s="554"/>
      <c r="W21" s="554"/>
      <c r="X21" s="554"/>
      <c r="Y21" s="554"/>
      <c r="Z21" s="554"/>
      <c r="AA21" s="554"/>
      <c r="AB21" s="554" t="s">
        <v>447</v>
      </c>
      <c r="AC21" s="554"/>
      <c r="AD21" s="554"/>
      <c r="AE21" s="554" t="s">
        <v>447</v>
      </c>
      <c r="AF21" s="554"/>
      <c r="AG21" s="554"/>
      <c r="AH21" s="554"/>
      <c r="AI21" s="554" t="s">
        <v>447</v>
      </c>
      <c r="AJ21" s="554"/>
      <c r="AK21" s="554" t="s">
        <v>447</v>
      </c>
      <c r="AL21" s="554"/>
      <c r="AM21" s="554"/>
      <c r="AN21" s="554" t="s">
        <v>447</v>
      </c>
      <c r="AO21" s="554"/>
      <c r="AP21" s="554" t="s">
        <v>447</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v>
      </c>
      <c r="D22" s="214"/>
      <c r="E22" s="627" t="str">
        <f t="shared" si="6"/>
        <v>吉野</v>
      </c>
      <c r="F22" s="636" t="str">
        <f t="shared" si="7"/>
        <v>☆</v>
      </c>
      <c r="G22" s="214"/>
      <c r="H22" s="214"/>
      <c r="I22" s="169" t="b">
        <v>0</v>
      </c>
      <c r="J22" s="617"/>
      <c r="K22" s="637" t="s">
        <v>496</v>
      </c>
      <c r="L22" s="638"/>
      <c r="M22" s="644"/>
      <c r="N22" s="554" t="s">
        <v>447</v>
      </c>
      <c r="O22" s="554" t="s">
        <v>447</v>
      </c>
      <c r="P22" s="554" t="s">
        <v>447</v>
      </c>
      <c r="Q22" s="554"/>
      <c r="R22" s="554"/>
      <c r="S22" s="554" t="s">
        <v>447</v>
      </c>
      <c r="T22" s="554" t="s">
        <v>447</v>
      </c>
      <c r="U22" s="554" t="s">
        <v>447</v>
      </c>
      <c r="V22" s="554" t="s">
        <v>447</v>
      </c>
      <c r="W22" s="554" t="s">
        <v>447</v>
      </c>
      <c r="X22" s="554"/>
      <c r="Y22" s="554"/>
      <c r="Z22" s="554" t="s">
        <v>447</v>
      </c>
      <c r="AA22" s="554" t="s">
        <v>447</v>
      </c>
      <c r="AB22" s="554" t="s">
        <v>447</v>
      </c>
      <c r="AC22" s="554" t="s">
        <v>447</v>
      </c>
      <c r="AD22" s="554" t="s">
        <v>447</v>
      </c>
      <c r="AE22" s="554"/>
      <c r="AF22" s="554"/>
      <c r="AG22" s="554" t="s">
        <v>447</v>
      </c>
      <c r="AH22" s="554" t="s">
        <v>447</v>
      </c>
      <c r="AI22" s="554" t="s">
        <v>466</v>
      </c>
      <c r="AJ22" s="554" t="s">
        <v>447</v>
      </c>
      <c r="AK22" s="554" t="s">
        <v>447</v>
      </c>
      <c r="AL22" s="554"/>
      <c r="AM22" s="554"/>
      <c r="AN22" s="554" t="s">
        <v>447</v>
      </c>
      <c r="AO22" s="554" t="s">
        <v>447</v>
      </c>
      <c r="AP22" s="554" t="s">
        <v>447</v>
      </c>
      <c r="AQ22" s="554" t="s">
        <v>447</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f t="shared" si="5"/>
        <v>19</v>
      </c>
      <c r="D41" s="214"/>
      <c r="E41" s="627" t="str">
        <f t="shared" si="6"/>
        <v>メイド数</v>
      </c>
      <c r="F41" s="636">
        <f t="shared" si="7"/>
        <v>16</v>
      </c>
      <c r="G41" s="214"/>
      <c r="H41" s="214"/>
      <c r="I41" s="169" t="b">
        <v>0</v>
      </c>
      <c r="J41" s="617"/>
      <c r="K41" s="637" t="s">
        <v>497</v>
      </c>
      <c r="L41" s="638" t="s">
        <v>498</v>
      </c>
      <c r="M41" s="653" t="s">
        <v>267</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19</v>
      </c>
      <c r="AO41" s="640">
        <f t="shared" si="9"/>
        <v>16</v>
      </c>
      <c r="AP41" s="640">
        <f t="shared" si="9"/>
        <v>18</v>
      </c>
      <c r="AQ41" s="640">
        <f t="shared" si="9"/>
        <v>18</v>
      </c>
      <c r="AR41" s="640">
        <f t="shared" si="9"/>
        <v>0</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f t="shared" si="5"/>
        <v>220</v>
      </c>
      <c r="D43" s="214"/>
      <c r="E43" s="627" t="str">
        <f t="shared" si="6"/>
        <v>合計清掃数</v>
      </c>
      <c r="F43" s="636">
        <f t="shared" si="7"/>
        <v>182</v>
      </c>
      <c r="G43" s="214"/>
      <c r="H43" s="214"/>
      <c r="I43" s="654" t="b">
        <v>0</v>
      </c>
      <c r="J43" s="617"/>
      <c r="K43" s="655" t="s">
        <v>500</v>
      </c>
      <c r="L43" s="656" t="s">
        <v>501</v>
      </c>
      <c r="M43" s="657"/>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220</v>
      </c>
      <c r="AO43" s="640">
        <f t="shared" si="13"/>
        <v>182</v>
      </c>
      <c r="AP43" s="640">
        <f t="shared" si="13"/>
        <v>195</v>
      </c>
      <c r="AQ43" s="640">
        <f t="shared" si="13"/>
        <v>202</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f t="shared" si="5"/>
        <v>218</v>
      </c>
      <c r="D44" s="214"/>
      <c r="E44" s="627" t="str">
        <f t="shared" si="6"/>
        <v>稼働予定</v>
      </c>
      <c r="F44" s="636">
        <f t="shared" si="7"/>
        <v>181</v>
      </c>
      <c r="G44" s="214"/>
      <c r="H44" s="214"/>
      <c r="I44" s="169" t="b">
        <v>0</v>
      </c>
      <c r="J44" s="617"/>
      <c r="K44" s="637" t="s">
        <v>502</v>
      </c>
      <c r="L44" s="638" t="s">
        <v>501</v>
      </c>
      <c r="M44" s="653" t="s">
        <v>503</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190.0</v>
      </c>
      <c r="AQ44" s="554">
        <v>184.0</v>
      </c>
      <c r="AR44" s="554">
        <v>166.0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931">
        <v>21.0</v>
      </c>
      <c r="AJ45" s="931"/>
      <c r="AK45" s="931"/>
      <c r="AL45" s="931">
        <v>44.0</v>
      </c>
      <c r="AM45" s="931">
        <v>29.0</v>
      </c>
      <c r="AN45" s="931">
        <v>15.0</v>
      </c>
      <c r="AO45" s="931">
        <v>13.0</v>
      </c>
      <c r="AP45" s="931"/>
      <c r="AQ45" s="931"/>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931">
        <f t="shared" ref="AI46:AQ46" si="14">(AI44-AI45)</f>
        <v>218</v>
      </c>
      <c r="AJ46" s="931">
        <f t="shared" si="14"/>
        <v>230</v>
      </c>
      <c r="AK46" s="931">
        <f t="shared" si="14"/>
        <v>228</v>
      </c>
      <c r="AL46" s="931">
        <f t="shared" si="14"/>
        <v>167</v>
      </c>
      <c r="AM46" s="931">
        <f t="shared" si="14"/>
        <v>192</v>
      </c>
      <c r="AN46" s="931">
        <f t="shared" si="14"/>
        <v>203</v>
      </c>
      <c r="AO46" s="931">
        <f t="shared" si="14"/>
        <v>168</v>
      </c>
      <c r="AP46" s="931">
        <f t="shared" si="14"/>
        <v>190</v>
      </c>
      <c r="AQ46" s="931">
        <f t="shared" si="14"/>
        <v>184</v>
      </c>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〇</v>
      </c>
      <c r="D47" s="214"/>
      <c r="E47" s="627" t="str">
        <f t="shared" ref="E47:E106" si="17">K47</f>
        <v>ランテ</v>
      </c>
      <c r="F47" s="636" t="str">
        <f t="shared" ref="F47:F105" si="18">if(E47="","", xlookup($E$7,$N$7:$AR$7,$N47:$AR47))</f>
        <v>〇</v>
      </c>
      <c r="G47" s="214"/>
      <c r="H47" s="214"/>
      <c r="I47" s="169" t="b">
        <v>0</v>
      </c>
      <c r="J47" s="617">
        <v>13.0</v>
      </c>
      <c r="K47" s="637" t="s">
        <v>505</v>
      </c>
      <c r="L47" s="638"/>
      <c r="M47" s="651"/>
      <c r="N47" s="554" t="s">
        <v>267</v>
      </c>
      <c r="O47" s="554" t="s">
        <v>267</v>
      </c>
      <c r="P47" s="554"/>
      <c r="Q47" s="554"/>
      <c r="R47" s="554"/>
      <c r="S47" s="554" t="s">
        <v>267</v>
      </c>
      <c r="T47" s="554" t="s">
        <v>464</v>
      </c>
      <c r="U47" s="554" t="s">
        <v>267</v>
      </c>
      <c r="V47" s="554" t="s">
        <v>267</v>
      </c>
      <c r="W47" s="554"/>
      <c r="X47" s="554"/>
      <c r="Y47" s="554"/>
      <c r="Z47" s="554" t="s">
        <v>267</v>
      </c>
      <c r="AA47" s="554" t="s">
        <v>267</v>
      </c>
      <c r="AB47" s="554" t="s">
        <v>267</v>
      </c>
      <c r="AC47" s="554" t="s">
        <v>267</v>
      </c>
      <c r="AD47" s="554"/>
      <c r="AE47" s="554"/>
      <c r="AF47" s="554"/>
      <c r="AG47" s="554" t="s">
        <v>267</v>
      </c>
      <c r="AH47" s="554" t="s">
        <v>267</v>
      </c>
      <c r="AI47" s="554" t="s">
        <v>267</v>
      </c>
      <c r="AJ47" s="554" t="s">
        <v>267</v>
      </c>
      <c r="AK47" s="554"/>
      <c r="AL47" s="554"/>
      <c r="AM47" s="554"/>
      <c r="AN47" s="554" t="s">
        <v>267</v>
      </c>
      <c r="AO47" s="554" t="s">
        <v>267</v>
      </c>
      <c r="AP47" s="554" t="s">
        <v>267</v>
      </c>
      <c r="AQ47" s="554" t="s">
        <v>267</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5"/>
        <v>熊本</v>
      </c>
      <c r="C48" s="636" t="str">
        <f t="shared" si="16"/>
        <v>〇</v>
      </c>
      <c r="D48" s="214"/>
      <c r="E48" s="627" t="str">
        <f t="shared" si="17"/>
        <v>熊本</v>
      </c>
      <c r="F48" s="636" t="str">
        <f t="shared" si="18"/>
        <v>有</v>
      </c>
      <c r="G48" s="214"/>
      <c r="H48" s="214"/>
      <c r="I48" s="169" t="b">
        <v>0</v>
      </c>
      <c r="J48" s="617">
        <v>15.0</v>
      </c>
      <c r="K48" s="637" t="s">
        <v>506</v>
      </c>
      <c r="L48" s="638"/>
      <c r="M48" s="651"/>
      <c r="N48" s="932" t="s">
        <v>267</v>
      </c>
      <c r="O48" s="554"/>
      <c r="P48" s="554" t="s">
        <v>267</v>
      </c>
      <c r="Q48" s="554"/>
      <c r="R48" s="554"/>
      <c r="S48" s="554" t="s">
        <v>267</v>
      </c>
      <c r="T48" s="554" t="s">
        <v>267</v>
      </c>
      <c r="U48" s="554" t="s">
        <v>267</v>
      </c>
      <c r="V48" s="554"/>
      <c r="W48" s="554" t="s">
        <v>267</v>
      </c>
      <c r="X48" s="554"/>
      <c r="Y48" s="554"/>
      <c r="Z48" s="554" t="s">
        <v>267</v>
      </c>
      <c r="AA48" s="554"/>
      <c r="AB48" s="554" t="s">
        <v>267</v>
      </c>
      <c r="AC48" s="554"/>
      <c r="AD48" s="554" t="s">
        <v>267</v>
      </c>
      <c r="AE48" s="554"/>
      <c r="AF48" s="554"/>
      <c r="AG48" s="554" t="s">
        <v>267</v>
      </c>
      <c r="AH48" s="554"/>
      <c r="AI48" s="554" t="s">
        <v>267</v>
      </c>
      <c r="AJ48" s="554"/>
      <c r="AK48" s="554" t="s">
        <v>267</v>
      </c>
      <c r="AL48" s="554"/>
      <c r="AM48" s="554" t="s">
        <v>267</v>
      </c>
      <c r="AN48" s="554" t="s">
        <v>267</v>
      </c>
      <c r="AO48" s="554" t="s">
        <v>462</v>
      </c>
      <c r="AP48" s="554" t="s">
        <v>267</v>
      </c>
      <c r="AQ48" s="554" t="s">
        <v>267</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5"/>
        <v>井崎</v>
      </c>
      <c r="C49" s="636" t="str">
        <f t="shared" si="16"/>
        <v>〇</v>
      </c>
      <c r="D49" s="214"/>
      <c r="E49" s="627" t="str">
        <f t="shared" si="17"/>
        <v>井崎</v>
      </c>
      <c r="F49" s="636" t="str">
        <f t="shared" si="18"/>
        <v/>
      </c>
      <c r="G49" s="214"/>
      <c r="H49" s="214"/>
      <c r="I49" s="169" t="b">
        <v>0</v>
      </c>
      <c r="J49" s="617">
        <v>10.0</v>
      </c>
      <c r="K49" s="637" t="s">
        <v>507</v>
      </c>
      <c r="L49" s="638"/>
      <c r="M49" s="651"/>
      <c r="N49" s="554"/>
      <c r="O49" s="554"/>
      <c r="P49" s="554" t="s">
        <v>267</v>
      </c>
      <c r="Q49" s="554"/>
      <c r="R49" s="554"/>
      <c r="S49" s="554"/>
      <c r="T49" s="554" t="s">
        <v>267</v>
      </c>
      <c r="U49" s="554"/>
      <c r="V49" s="554" t="s">
        <v>267</v>
      </c>
      <c r="W49" s="554" t="s">
        <v>267</v>
      </c>
      <c r="X49" s="554"/>
      <c r="Y49" s="554"/>
      <c r="Z49" s="554" t="s">
        <v>267</v>
      </c>
      <c r="AA49" s="554"/>
      <c r="AB49" s="554" t="s">
        <v>267</v>
      </c>
      <c r="AC49" s="554"/>
      <c r="AD49" s="554" t="s">
        <v>466</v>
      </c>
      <c r="AE49" s="554"/>
      <c r="AF49" s="554"/>
      <c r="AG49" s="554" t="s">
        <v>267</v>
      </c>
      <c r="AH49" s="554"/>
      <c r="AI49" s="554" t="s">
        <v>267</v>
      </c>
      <c r="AJ49" s="554"/>
      <c r="AK49" s="554" t="s">
        <v>267</v>
      </c>
      <c r="AL49" s="554"/>
      <c r="AM49" s="554"/>
      <c r="AN49" s="554" t="s">
        <v>267</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5"/>
        <v>ポールニ</v>
      </c>
      <c r="C51" s="636" t="str">
        <f t="shared" si="16"/>
        <v/>
      </c>
      <c r="D51" s="214"/>
      <c r="E51" s="627" t="str">
        <f t="shared" si="17"/>
        <v>ポールニ</v>
      </c>
      <c r="F51" s="636" t="str">
        <f t="shared" si="18"/>
        <v/>
      </c>
      <c r="G51" s="214"/>
      <c r="H51" s="214"/>
      <c r="I51" s="169" t="b">
        <v>0</v>
      </c>
      <c r="J51" s="617">
        <v>15.0</v>
      </c>
      <c r="K51" s="637" t="s">
        <v>182</v>
      </c>
      <c r="L51" s="638"/>
      <c r="M51" s="651"/>
      <c r="N51" s="933" t="s">
        <v>267</v>
      </c>
      <c r="O51" s="663"/>
      <c r="P51" s="663"/>
      <c r="Q51" s="663"/>
      <c r="R51" s="663"/>
      <c r="S51" s="554"/>
      <c r="T51" s="663"/>
      <c r="U51" s="933" t="s">
        <v>464</v>
      </c>
      <c r="V51" s="663"/>
      <c r="W51" s="663"/>
      <c r="X51" s="663"/>
      <c r="Y51" s="663"/>
      <c r="Z51" s="554"/>
      <c r="AA51" s="663"/>
      <c r="AB51" s="933" t="s">
        <v>267</v>
      </c>
      <c r="AC51" s="554"/>
      <c r="AD51" s="663"/>
      <c r="AE51" s="663"/>
      <c r="AF51" s="662" t="s">
        <v>267</v>
      </c>
      <c r="AG51" s="554"/>
      <c r="AH51" s="663"/>
      <c r="AI51" s="933" t="s">
        <v>267</v>
      </c>
      <c r="AJ51" s="663"/>
      <c r="AK51" s="663"/>
      <c r="AL51" s="663"/>
      <c r="AM51" s="663"/>
      <c r="AN51" s="554"/>
      <c r="AO51" s="663"/>
      <c r="AP51" s="933" t="s">
        <v>267</v>
      </c>
      <c r="AQ51" s="663"/>
      <c r="AR51" s="663"/>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5"/>
        <v>シワンティ</v>
      </c>
      <c r="C52" s="636" t="str">
        <f t="shared" si="16"/>
        <v>✕</v>
      </c>
      <c r="D52" s="214"/>
      <c r="E52" s="627" t="str">
        <f t="shared" si="17"/>
        <v>シワンティ</v>
      </c>
      <c r="F52" s="636" t="str">
        <f t="shared" si="18"/>
        <v>✕</v>
      </c>
      <c r="G52" s="214"/>
      <c r="H52" s="214"/>
      <c r="I52" s="169" t="b">
        <v>0</v>
      </c>
      <c r="J52" s="617">
        <v>15.0</v>
      </c>
      <c r="K52" s="637" t="s">
        <v>191</v>
      </c>
      <c r="L52" s="638"/>
      <c r="M52" s="653" t="s">
        <v>638</v>
      </c>
      <c r="N52" s="934" t="s">
        <v>267</v>
      </c>
      <c r="O52" s="934" t="s">
        <v>267</v>
      </c>
      <c r="P52" s="663"/>
      <c r="Q52" s="554" t="s">
        <v>267</v>
      </c>
      <c r="R52" s="554" t="s">
        <v>267</v>
      </c>
      <c r="S52" s="640"/>
      <c r="T52" s="640"/>
      <c r="U52" s="933" t="s">
        <v>464</v>
      </c>
      <c r="V52" s="933" t="s">
        <v>267</v>
      </c>
      <c r="W52" s="663"/>
      <c r="X52" s="554" t="s">
        <v>464</v>
      </c>
      <c r="Y52" s="554" t="s">
        <v>267</v>
      </c>
      <c r="Z52" s="554"/>
      <c r="AA52" s="554"/>
      <c r="AB52" s="934" t="s">
        <v>466</v>
      </c>
      <c r="AC52" s="934" t="s">
        <v>466</v>
      </c>
      <c r="AD52" s="663"/>
      <c r="AE52" s="554" t="s">
        <v>267</v>
      </c>
      <c r="AF52" s="554" t="s">
        <v>267</v>
      </c>
      <c r="AG52" s="934" t="s">
        <v>466</v>
      </c>
      <c r="AH52" s="934" t="s">
        <v>466</v>
      </c>
      <c r="AI52" s="934" t="s">
        <v>466</v>
      </c>
      <c r="AJ52" s="934" t="s">
        <v>466</v>
      </c>
      <c r="AK52" s="663"/>
      <c r="AL52" s="554" t="s">
        <v>267</v>
      </c>
      <c r="AM52" s="554" t="s">
        <v>267</v>
      </c>
      <c r="AN52" s="934" t="s">
        <v>466</v>
      </c>
      <c r="AO52" s="934" t="s">
        <v>466</v>
      </c>
      <c r="AP52" s="554"/>
      <c r="AQ52" s="934" t="s">
        <v>466</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5"/>
        <v>黒田</v>
      </c>
      <c r="C53" s="636" t="str">
        <f t="shared" si="16"/>
        <v>〇</v>
      </c>
      <c r="D53" s="214"/>
      <c r="E53" s="627" t="str">
        <f t="shared" si="17"/>
        <v>黒田</v>
      </c>
      <c r="F53" s="636" t="str">
        <f t="shared" si="18"/>
        <v/>
      </c>
      <c r="G53" s="214"/>
      <c r="H53" s="214"/>
      <c r="I53" s="169" t="b">
        <v>0</v>
      </c>
      <c r="J53" s="617">
        <v>13.0</v>
      </c>
      <c r="K53" s="637" t="s">
        <v>128</v>
      </c>
      <c r="L53" s="638"/>
      <c r="M53" s="651"/>
      <c r="N53" s="662" t="s">
        <v>267</v>
      </c>
      <c r="O53" s="663"/>
      <c r="P53" s="662" t="s">
        <v>267</v>
      </c>
      <c r="Q53" s="554"/>
      <c r="R53" s="662" t="s">
        <v>267</v>
      </c>
      <c r="S53" s="662" t="s">
        <v>267</v>
      </c>
      <c r="T53" s="663"/>
      <c r="U53" s="662" t="s">
        <v>267</v>
      </c>
      <c r="V53" s="663"/>
      <c r="W53" s="662" t="s">
        <v>267</v>
      </c>
      <c r="X53" s="554"/>
      <c r="Y53" s="663"/>
      <c r="Z53" s="662" t="s">
        <v>267</v>
      </c>
      <c r="AA53" s="663"/>
      <c r="AB53" s="662" t="s">
        <v>267</v>
      </c>
      <c r="AC53" s="663"/>
      <c r="AD53" s="662" t="s">
        <v>267</v>
      </c>
      <c r="AE53" s="554"/>
      <c r="AF53" s="663"/>
      <c r="AG53" s="662" t="s">
        <v>267</v>
      </c>
      <c r="AH53" s="663"/>
      <c r="AI53" s="554" t="s">
        <v>267</v>
      </c>
      <c r="AJ53" s="663"/>
      <c r="AK53" s="662" t="s">
        <v>267</v>
      </c>
      <c r="AL53" s="663"/>
      <c r="AM53" s="662" t="s">
        <v>267</v>
      </c>
      <c r="AN53" s="662" t="s">
        <v>267</v>
      </c>
      <c r="AO53" s="663"/>
      <c r="AP53" s="554" t="s">
        <v>267</v>
      </c>
      <c r="AQ53" s="663"/>
      <c r="AR53" s="663"/>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5"/>
        <v>アサンジャ</v>
      </c>
      <c r="C54" s="636" t="str">
        <f t="shared" si="16"/>
        <v>✕</v>
      </c>
      <c r="D54" s="214"/>
      <c r="E54" s="627" t="str">
        <f t="shared" si="17"/>
        <v>アサンジャ</v>
      </c>
      <c r="F54" s="636" t="str">
        <f t="shared" si="18"/>
        <v>✕</v>
      </c>
      <c r="G54" s="214"/>
      <c r="H54" s="214"/>
      <c r="I54" s="169" t="b">
        <v>0</v>
      </c>
      <c r="J54" s="617">
        <v>15.0</v>
      </c>
      <c r="K54" s="679" t="s">
        <v>171</v>
      </c>
      <c r="L54" s="638"/>
      <c r="M54" s="653" t="s">
        <v>639</v>
      </c>
      <c r="N54" s="554"/>
      <c r="O54" s="934" t="s">
        <v>267</v>
      </c>
      <c r="P54" s="934" t="s">
        <v>267</v>
      </c>
      <c r="Q54" s="554" t="s">
        <v>267</v>
      </c>
      <c r="R54" s="554" t="s">
        <v>267</v>
      </c>
      <c r="S54" s="934" t="s">
        <v>267</v>
      </c>
      <c r="T54" s="934" t="s">
        <v>267</v>
      </c>
      <c r="U54" s="554"/>
      <c r="V54" s="934" t="s">
        <v>267</v>
      </c>
      <c r="W54" s="934" t="s">
        <v>267</v>
      </c>
      <c r="X54" s="554" t="s">
        <v>267</v>
      </c>
      <c r="Y54" s="554" t="s">
        <v>267</v>
      </c>
      <c r="Z54" s="934" t="s">
        <v>466</v>
      </c>
      <c r="AA54" s="934" t="s">
        <v>466</v>
      </c>
      <c r="AB54" s="554"/>
      <c r="AC54" s="934" t="s">
        <v>466</v>
      </c>
      <c r="AD54" s="934" t="s">
        <v>466</v>
      </c>
      <c r="AE54" s="554" t="s">
        <v>267</v>
      </c>
      <c r="AF54" s="554" t="s">
        <v>267</v>
      </c>
      <c r="AG54" s="934" t="s">
        <v>466</v>
      </c>
      <c r="AH54" s="934" t="s">
        <v>466</v>
      </c>
      <c r="AI54" s="935"/>
      <c r="AJ54" s="934" t="s">
        <v>466</v>
      </c>
      <c r="AK54" s="934" t="s">
        <v>466</v>
      </c>
      <c r="AL54" s="554" t="s">
        <v>267</v>
      </c>
      <c r="AM54" s="554" t="s">
        <v>267</v>
      </c>
      <c r="AN54" s="934" t="s">
        <v>466</v>
      </c>
      <c r="AO54" s="934" t="s">
        <v>466</v>
      </c>
      <c r="AP54" s="554"/>
      <c r="AQ54" s="934" t="s">
        <v>466</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5"/>
        <v>カゲ</v>
      </c>
      <c r="C55" s="636" t="str">
        <f t="shared" si="16"/>
        <v>〇</v>
      </c>
      <c r="D55" s="214"/>
      <c r="E55" s="627" t="str">
        <f t="shared" si="17"/>
        <v>カゲ</v>
      </c>
      <c r="F55" s="636" t="str">
        <f t="shared" si="18"/>
        <v/>
      </c>
      <c r="G55" s="214"/>
      <c r="H55" s="214"/>
      <c r="I55" s="169" t="b">
        <v>0</v>
      </c>
      <c r="J55" s="617">
        <v>7.0</v>
      </c>
      <c r="K55" s="674" t="s">
        <v>509</v>
      </c>
      <c r="L55" s="638"/>
      <c r="M55" s="653"/>
      <c r="N55" s="554" t="s">
        <v>267</v>
      </c>
      <c r="O55" s="554"/>
      <c r="P55" s="554"/>
      <c r="Q55" s="554"/>
      <c r="R55" s="554" t="s">
        <v>267</v>
      </c>
      <c r="S55" s="554" t="s">
        <v>267</v>
      </c>
      <c r="T55" s="554"/>
      <c r="U55" s="554"/>
      <c r="V55" s="554"/>
      <c r="W55" s="554" t="s">
        <v>267</v>
      </c>
      <c r="X55" s="554"/>
      <c r="Y55" s="554"/>
      <c r="Z55" s="554" t="s">
        <v>267</v>
      </c>
      <c r="AA55" s="554"/>
      <c r="AB55" s="554"/>
      <c r="AC55" s="554"/>
      <c r="AD55" s="554" t="s">
        <v>267</v>
      </c>
      <c r="AE55" s="554"/>
      <c r="AF55" s="554"/>
      <c r="AG55" s="554" t="s">
        <v>267</v>
      </c>
      <c r="AH55" s="935"/>
      <c r="AI55" s="935" t="s">
        <v>267</v>
      </c>
      <c r="AJ55" s="554"/>
      <c r="AK55" s="554" t="s">
        <v>267</v>
      </c>
      <c r="AL55" s="554"/>
      <c r="AM55" s="554"/>
      <c r="AN55" s="554" t="s">
        <v>267</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5"/>
        <v>アヌダ</v>
      </c>
      <c r="C56" s="636" t="str">
        <f t="shared" si="16"/>
        <v/>
      </c>
      <c r="D56" s="214"/>
      <c r="E56" s="627" t="str">
        <f t="shared" si="17"/>
        <v>アヌダ</v>
      </c>
      <c r="F56" s="636" t="str">
        <f t="shared" si="18"/>
        <v>〇</v>
      </c>
      <c r="G56" s="214"/>
      <c r="H56" s="214"/>
      <c r="I56" s="169" t="b">
        <v>0</v>
      </c>
      <c r="J56" s="666">
        <v>15.0</v>
      </c>
      <c r="K56" s="674" t="s">
        <v>200</v>
      </c>
      <c r="L56" s="667"/>
      <c r="M56" s="668" t="s">
        <v>640</v>
      </c>
      <c r="N56" s="554" t="s">
        <v>267</v>
      </c>
      <c r="O56" s="554" t="s">
        <v>267</v>
      </c>
      <c r="P56" s="554"/>
      <c r="Q56" s="554" t="s">
        <v>267</v>
      </c>
      <c r="R56" s="554" t="s">
        <v>267</v>
      </c>
      <c r="S56" s="663"/>
      <c r="T56" s="936" t="s">
        <v>267</v>
      </c>
      <c r="U56" s="936" t="s">
        <v>267</v>
      </c>
      <c r="V56" s="936" t="s">
        <v>267</v>
      </c>
      <c r="W56" s="936" t="s">
        <v>267</v>
      </c>
      <c r="X56" s="554" t="s">
        <v>267</v>
      </c>
      <c r="Y56" s="554" t="s">
        <v>267</v>
      </c>
      <c r="Z56" s="663"/>
      <c r="AA56" s="936" t="s">
        <v>267</v>
      </c>
      <c r="AB56" s="936" t="s">
        <v>267</v>
      </c>
      <c r="AC56" s="936" t="s">
        <v>267</v>
      </c>
      <c r="AD56" s="936" t="s">
        <v>267</v>
      </c>
      <c r="AE56" s="554" t="s">
        <v>267</v>
      </c>
      <c r="AF56" s="554" t="s">
        <v>267</v>
      </c>
      <c r="AG56" s="663"/>
      <c r="AH56" s="936" t="s">
        <v>267</v>
      </c>
      <c r="AI56" s="936" t="s">
        <v>267</v>
      </c>
      <c r="AJ56" s="554" t="s">
        <v>267</v>
      </c>
      <c r="AK56" s="936" t="s">
        <v>267</v>
      </c>
      <c r="AL56" s="554" t="s">
        <v>267</v>
      </c>
      <c r="AM56" s="554" t="s">
        <v>267</v>
      </c>
      <c r="AN56" s="663"/>
      <c r="AO56" s="936" t="s">
        <v>267</v>
      </c>
      <c r="AP56" s="936" t="s">
        <v>267</v>
      </c>
      <c r="AQ56" s="936" t="s">
        <v>267</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5"/>
        <v>ファティマ</v>
      </c>
      <c r="C57" s="636" t="str">
        <f t="shared" si="16"/>
        <v/>
      </c>
      <c r="D57" s="214"/>
      <c r="E57" s="627" t="str">
        <f t="shared" si="17"/>
        <v>ファティマ</v>
      </c>
      <c r="F57" s="636" t="str">
        <f t="shared" si="18"/>
        <v/>
      </c>
      <c r="G57" s="214"/>
      <c r="H57" s="214"/>
      <c r="I57" s="169" t="b">
        <v>0</v>
      </c>
      <c r="J57" s="666">
        <v>13.0</v>
      </c>
      <c r="K57" s="674" t="s">
        <v>510</v>
      </c>
      <c r="L57" s="667"/>
      <c r="M57" s="670"/>
      <c r="N57" s="937"/>
      <c r="O57" s="663"/>
      <c r="P57" s="663"/>
      <c r="Q57" s="662" t="s">
        <v>267</v>
      </c>
      <c r="R57" s="662" t="s">
        <v>267</v>
      </c>
      <c r="S57" s="663"/>
      <c r="T57" s="937"/>
      <c r="U57" s="937"/>
      <c r="V57" s="663"/>
      <c r="W57" s="663"/>
      <c r="X57" s="662" t="s">
        <v>267</v>
      </c>
      <c r="Y57" s="662" t="s">
        <v>267</v>
      </c>
      <c r="Z57" s="663"/>
      <c r="AA57" s="937"/>
      <c r="AB57" s="937"/>
      <c r="AC57" s="663"/>
      <c r="AD57" s="663"/>
      <c r="AE57" s="662" t="s">
        <v>267</v>
      </c>
      <c r="AF57" s="662" t="s">
        <v>267</v>
      </c>
      <c r="AG57" s="663"/>
      <c r="AH57" s="937"/>
      <c r="AI57" s="937"/>
      <c r="AJ57" s="663"/>
      <c r="AK57" s="663"/>
      <c r="AL57" s="662" t="s">
        <v>267</v>
      </c>
      <c r="AM57" s="662" t="s">
        <v>267</v>
      </c>
      <c r="AN57" s="663"/>
      <c r="AO57" s="663"/>
      <c r="AP57" s="663"/>
      <c r="AQ57" s="663"/>
      <c r="AR57" s="671"/>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5"/>
        <v>ゲラ</v>
      </c>
      <c r="C58" s="636" t="str">
        <f t="shared" si="16"/>
        <v/>
      </c>
      <c r="D58" s="214"/>
      <c r="E58" s="627" t="str">
        <f t="shared" si="17"/>
        <v>ゲラ</v>
      </c>
      <c r="F58" s="636" t="str">
        <f t="shared" si="18"/>
        <v>〇</v>
      </c>
      <c r="G58" s="214"/>
      <c r="H58" s="214"/>
      <c r="I58" s="169" t="b">
        <v>0</v>
      </c>
      <c r="J58" s="666">
        <v>11.0</v>
      </c>
      <c r="K58" s="674" t="s">
        <v>511</v>
      </c>
      <c r="L58" s="667"/>
      <c r="M58" s="670"/>
      <c r="N58" s="937"/>
      <c r="O58" s="554" t="s">
        <v>267</v>
      </c>
      <c r="P58" s="936" t="s">
        <v>466</v>
      </c>
      <c r="Q58" s="554" t="s">
        <v>267</v>
      </c>
      <c r="R58" s="663"/>
      <c r="S58" s="663"/>
      <c r="T58" s="936" t="s">
        <v>267</v>
      </c>
      <c r="U58" s="937"/>
      <c r="V58" s="554" t="s">
        <v>464</v>
      </c>
      <c r="W58" s="936" t="s">
        <v>464</v>
      </c>
      <c r="X58" s="554" t="s">
        <v>267</v>
      </c>
      <c r="Y58" s="663"/>
      <c r="Z58" s="663"/>
      <c r="AA58" s="936" t="s">
        <v>267</v>
      </c>
      <c r="AB58" s="937"/>
      <c r="AC58" s="554" t="s">
        <v>267</v>
      </c>
      <c r="AD58" s="936" t="s">
        <v>267</v>
      </c>
      <c r="AE58" s="554" t="s">
        <v>267</v>
      </c>
      <c r="AF58" s="663"/>
      <c r="AG58" s="663"/>
      <c r="AH58" s="936" t="s">
        <v>267</v>
      </c>
      <c r="AI58" s="937"/>
      <c r="AJ58" s="554" t="s">
        <v>267</v>
      </c>
      <c r="AK58" s="554" t="s">
        <v>267</v>
      </c>
      <c r="AL58" s="554" t="s">
        <v>267</v>
      </c>
      <c r="AM58" s="663"/>
      <c r="AN58" s="663"/>
      <c r="AO58" s="554" t="s">
        <v>267</v>
      </c>
      <c r="AP58" s="663"/>
      <c r="AQ58" s="554" t="s">
        <v>267</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5"/>
        <v>ジョティ</v>
      </c>
      <c r="C59" s="636" t="str">
        <f t="shared" si="16"/>
        <v/>
      </c>
      <c r="D59" s="214"/>
      <c r="E59" s="627" t="str">
        <f t="shared" si="17"/>
        <v>ジョティ</v>
      </c>
      <c r="F59" s="636" t="str">
        <f t="shared" si="18"/>
        <v>✕</v>
      </c>
      <c r="G59" s="214"/>
      <c r="H59" s="214"/>
      <c r="I59" s="169" t="b">
        <v>0</v>
      </c>
      <c r="J59" s="666">
        <v>15.0</v>
      </c>
      <c r="K59" s="674" t="s">
        <v>512</v>
      </c>
      <c r="L59" s="667"/>
      <c r="M59" s="670"/>
      <c r="N59" s="937"/>
      <c r="O59" s="662" t="s">
        <v>267</v>
      </c>
      <c r="P59" s="662" t="s">
        <v>267</v>
      </c>
      <c r="Q59" s="662" t="s">
        <v>267</v>
      </c>
      <c r="R59" s="662" t="s">
        <v>267</v>
      </c>
      <c r="S59" s="662"/>
      <c r="T59" s="937"/>
      <c r="U59" s="937"/>
      <c r="V59" s="662" t="s">
        <v>267</v>
      </c>
      <c r="W59" s="662" t="s">
        <v>267</v>
      </c>
      <c r="X59" s="662" t="s">
        <v>267</v>
      </c>
      <c r="Y59" s="662" t="s">
        <v>267</v>
      </c>
      <c r="Z59" s="662"/>
      <c r="AA59" s="938"/>
      <c r="AB59" s="937"/>
      <c r="AC59" s="662" t="s">
        <v>267</v>
      </c>
      <c r="AD59" s="662" t="s">
        <v>267</v>
      </c>
      <c r="AE59" s="662" t="s">
        <v>267</v>
      </c>
      <c r="AF59" s="662" t="s">
        <v>267</v>
      </c>
      <c r="AG59" s="662"/>
      <c r="AH59" s="937"/>
      <c r="AI59" s="937"/>
      <c r="AJ59" s="662" t="s">
        <v>267</v>
      </c>
      <c r="AK59" s="662" t="s">
        <v>267</v>
      </c>
      <c r="AL59" s="662" t="s">
        <v>267</v>
      </c>
      <c r="AM59" s="662" t="s">
        <v>267</v>
      </c>
      <c r="AN59" s="662"/>
      <c r="AO59" s="662" t="s">
        <v>466</v>
      </c>
      <c r="AP59" s="662" t="s">
        <v>466</v>
      </c>
      <c r="AQ59" s="662" t="s">
        <v>267</v>
      </c>
      <c r="AR59" s="671"/>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5"/>
        <v>クマリ</v>
      </c>
      <c r="C60" s="636" t="str">
        <f t="shared" si="16"/>
        <v>〇</v>
      </c>
      <c r="D60" s="214"/>
      <c r="E60" s="627" t="str">
        <f t="shared" si="17"/>
        <v>クマリ</v>
      </c>
      <c r="F60" s="636" t="str">
        <f t="shared" si="18"/>
        <v>✕</v>
      </c>
      <c r="G60" s="214"/>
      <c r="H60" s="214"/>
      <c r="I60" s="169" t="b">
        <v>0</v>
      </c>
      <c r="J60" s="666">
        <v>15.0</v>
      </c>
      <c r="K60" s="674" t="s">
        <v>513</v>
      </c>
      <c r="L60" s="667"/>
      <c r="M60" s="670"/>
      <c r="N60" s="937"/>
      <c r="O60" s="662" t="s">
        <v>267</v>
      </c>
      <c r="P60" s="662" t="s">
        <v>267</v>
      </c>
      <c r="Q60" s="662" t="s">
        <v>267</v>
      </c>
      <c r="R60" s="662" t="s">
        <v>267</v>
      </c>
      <c r="S60" s="662"/>
      <c r="T60" s="937"/>
      <c r="U60" s="939"/>
      <c r="V60" s="662" t="s">
        <v>267</v>
      </c>
      <c r="W60" s="663"/>
      <c r="X60" s="662" t="s">
        <v>267</v>
      </c>
      <c r="Y60" s="662" t="s">
        <v>267</v>
      </c>
      <c r="Z60" s="662"/>
      <c r="AA60" s="937"/>
      <c r="AB60" s="937"/>
      <c r="AC60" s="662" t="s">
        <v>267</v>
      </c>
      <c r="AD60" s="663"/>
      <c r="AE60" s="662" t="s">
        <v>267</v>
      </c>
      <c r="AF60" s="662" t="s">
        <v>267</v>
      </c>
      <c r="AG60" s="662" t="s">
        <v>267</v>
      </c>
      <c r="AH60" s="937"/>
      <c r="AI60" s="937"/>
      <c r="AJ60" s="662" t="s">
        <v>267</v>
      </c>
      <c r="AK60" s="663"/>
      <c r="AL60" s="662" t="s">
        <v>267</v>
      </c>
      <c r="AM60" s="662" t="s">
        <v>267</v>
      </c>
      <c r="AN60" s="662" t="s">
        <v>267</v>
      </c>
      <c r="AO60" s="662" t="s">
        <v>466</v>
      </c>
      <c r="AP60" s="662" t="s">
        <v>466</v>
      </c>
      <c r="AQ60" s="662" t="s">
        <v>267</v>
      </c>
      <c r="AR60" s="677"/>
      <c r="AS60" s="645">
        <f t="array" ref="AS60">SUM(COUNTIF(N60:AR60, {"◎","〇","☆","共","特","浴"}))</f>
        <v>16</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5"/>
        <v>トンメ</v>
      </c>
      <c r="C61" s="636" t="str">
        <f t="shared" si="16"/>
        <v>〇</v>
      </c>
      <c r="D61" s="214"/>
      <c r="E61" s="627" t="str">
        <f t="shared" si="17"/>
        <v>トンメ</v>
      </c>
      <c r="F61" s="636" t="str">
        <f t="shared" si="18"/>
        <v>〇</v>
      </c>
      <c r="G61" s="214"/>
      <c r="H61" s="214"/>
      <c r="I61" s="169" t="b">
        <v>0</v>
      </c>
      <c r="J61" s="666">
        <v>15.0</v>
      </c>
      <c r="K61" s="674" t="s">
        <v>110</v>
      </c>
      <c r="L61" s="667"/>
      <c r="M61" s="668" t="s">
        <v>641</v>
      </c>
      <c r="N61" s="938" t="s">
        <v>267</v>
      </c>
      <c r="O61" s="662" t="s">
        <v>267</v>
      </c>
      <c r="P61" s="662" t="s">
        <v>267</v>
      </c>
      <c r="Q61" s="662" t="s">
        <v>267</v>
      </c>
      <c r="R61" s="662" t="s">
        <v>267</v>
      </c>
      <c r="S61" s="662" t="s">
        <v>267</v>
      </c>
      <c r="T61" s="937"/>
      <c r="U61" s="669" t="s">
        <v>267</v>
      </c>
      <c r="V61" s="669" t="s">
        <v>267</v>
      </c>
      <c r="W61" s="669" t="s">
        <v>267</v>
      </c>
      <c r="X61" s="662" t="s">
        <v>267</v>
      </c>
      <c r="Y61" s="662" t="s">
        <v>267</v>
      </c>
      <c r="Z61" s="669" t="s">
        <v>464</v>
      </c>
      <c r="AA61" s="937"/>
      <c r="AB61" s="937"/>
      <c r="AC61" s="669" t="s">
        <v>464</v>
      </c>
      <c r="AD61" s="669" t="s">
        <v>267</v>
      </c>
      <c r="AE61" s="662" t="s">
        <v>267</v>
      </c>
      <c r="AF61" s="662" t="s">
        <v>267</v>
      </c>
      <c r="AG61" s="669" t="s">
        <v>464</v>
      </c>
      <c r="AH61" s="669" t="s">
        <v>464</v>
      </c>
      <c r="AI61" s="937"/>
      <c r="AJ61" s="669" t="s">
        <v>267</v>
      </c>
      <c r="AK61" s="669" t="s">
        <v>267</v>
      </c>
      <c r="AL61" s="662" t="s">
        <v>267</v>
      </c>
      <c r="AM61" s="662" t="s">
        <v>267</v>
      </c>
      <c r="AN61" s="669" t="s">
        <v>267</v>
      </c>
      <c r="AO61" s="669" t="s">
        <v>267</v>
      </c>
      <c r="AP61" s="663"/>
      <c r="AQ61" s="669" t="s">
        <v>464</v>
      </c>
      <c r="AR61" s="675"/>
      <c r="AS61" s="645">
        <f t="array" ref="AS61">SUM(COUNTIF(N61:AR61, {"◎","〇","☆","共","特","浴"}))</f>
        <v>20</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5"/>
        <v>ズバエル</v>
      </c>
      <c r="C62" s="636" t="str">
        <f t="shared" si="16"/>
        <v/>
      </c>
      <c r="D62" s="214"/>
      <c r="E62" s="627" t="str">
        <f t="shared" si="17"/>
        <v>ズバエル</v>
      </c>
      <c r="F62" s="636" t="str">
        <f t="shared" si="18"/>
        <v>✕</v>
      </c>
      <c r="G62" s="214"/>
      <c r="H62" s="214"/>
      <c r="I62" s="169" t="b">
        <v>0</v>
      </c>
      <c r="J62" s="666">
        <v>13.0</v>
      </c>
      <c r="K62" s="674" t="s">
        <v>196</v>
      </c>
      <c r="L62" s="670"/>
      <c r="M62" s="668" t="s">
        <v>640</v>
      </c>
      <c r="N62" s="938" t="s">
        <v>464</v>
      </c>
      <c r="O62" s="662" t="s">
        <v>267</v>
      </c>
      <c r="P62" s="662" t="s">
        <v>267</v>
      </c>
      <c r="Q62" s="662" t="s">
        <v>267</v>
      </c>
      <c r="R62" s="662" t="s">
        <v>267</v>
      </c>
      <c r="S62" s="663"/>
      <c r="T62" s="669" t="s">
        <v>267</v>
      </c>
      <c r="U62" s="940"/>
      <c r="V62" s="940"/>
      <c r="W62" s="663"/>
      <c r="X62" s="662" t="s">
        <v>267</v>
      </c>
      <c r="Y62" s="662" t="s">
        <v>267</v>
      </c>
      <c r="Z62" s="663"/>
      <c r="AA62" s="937"/>
      <c r="AB62" s="669" t="s">
        <v>267</v>
      </c>
      <c r="AC62" s="663"/>
      <c r="AD62" s="663"/>
      <c r="AE62" s="662" t="s">
        <v>267</v>
      </c>
      <c r="AF62" s="662" t="s">
        <v>267</v>
      </c>
      <c r="AG62" s="663"/>
      <c r="AH62" s="669" t="s">
        <v>464</v>
      </c>
      <c r="AI62" s="937"/>
      <c r="AJ62" s="940"/>
      <c r="AK62" s="671"/>
      <c r="AL62" s="662" t="s">
        <v>267</v>
      </c>
      <c r="AM62" s="662" t="s">
        <v>267</v>
      </c>
      <c r="AN62" s="663"/>
      <c r="AO62" s="669" t="s">
        <v>466</v>
      </c>
      <c r="AP62" s="663"/>
      <c r="AQ62" s="940"/>
      <c r="AR62" s="663"/>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
      </c>
      <c r="G63" s="214"/>
      <c r="H63" s="214"/>
      <c r="I63" s="169" t="b">
        <v>0</v>
      </c>
      <c r="J63" s="673"/>
      <c r="K63" s="674" t="s">
        <v>514</v>
      </c>
      <c r="L63" s="675"/>
      <c r="M63" s="675"/>
      <c r="N63" s="937"/>
      <c r="O63" s="663"/>
      <c r="P63" s="663"/>
      <c r="Q63" s="663"/>
      <c r="R63" s="663"/>
      <c r="S63" s="663"/>
      <c r="T63" s="937"/>
      <c r="U63" s="937"/>
      <c r="V63" s="663"/>
      <c r="W63" s="663"/>
      <c r="X63" s="663"/>
      <c r="Y63" s="663"/>
      <c r="Z63" s="663"/>
      <c r="AA63" s="937"/>
      <c r="AB63" s="937"/>
      <c r="AC63" s="663"/>
      <c r="AD63" s="663"/>
      <c r="AE63" s="663"/>
      <c r="AF63" s="663"/>
      <c r="AG63" s="663"/>
      <c r="AH63" s="937"/>
      <c r="AI63" s="937"/>
      <c r="AJ63" s="663"/>
      <c r="AK63" s="663"/>
      <c r="AL63" s="663"/>
      <c r="AM63" s="663"/>
      <c r="AN63" s="663"/>
      <c r="AO63" s="937"/>
      <c r="AP63" s="937"/>
      <c r="AQ63" s="671"/>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5"/>
        <v>サロメ</v>
      </c>
      <c r="C64" s="636" t="str">
        <f t="shared" si="16"/>
        <v>〇</v>
      </c>
      <c r="D64" s="214"/>
      <c r="E64" s="627" t="str">
        <f t="shared" si="17"/>
        <v>サロメ</v>
      </c>
      <c r="F64" s="636" t="str">
        <f t="shared" si="18"/>
        <v>〇</v>
      </c>
      <c r="G64" s="214"/>
      <c r="H64" s="214"/>
      <c r="I64" s="169" t="b">
        <v>0</v>
      </c>
      <c r="J64" s="666">
        <v>18.0</v>
      </c>
      <c r="K64" s="674" t="s">
        <v>205</v>
      </c>
      <c r="L64" s="675"/>
      <c r="M64" s="675"/>
      <c r="N64" s="554"/>
      <c r="O64" s="554" t="s">
        <v>267</v>
      </c>
      <c r="P64" s="554" t="s">
        <v>267</v>
      </c>
      <c r="Q64" s="941"/>
      <c r="R64" s="941"/>
      <c r="S64" s="554" t="s">
        <v>267</v>
      </c>
      <c r="T64" s="554" t="s">
        <v>267</v>
      </c>
      <c r="U64" s="942"/>
      <c r="V64" s="554" t="s">
        <v>267</v>
      </c>
      <c r="W64" s="554" t="s">
        <v>267</v>
      </c>
      <c r="X64" s="676" t="s">
        <v>267</v>
      </c>
      <c r="Y64" s="941"/>
      <c r="Z64" s="554" t="s">
        <v>267</v>
      </c>
      <c r="AA64" s="554" t="s">
        <v>267</v>
      </c>
      <c r="AB64" s="942"/>
      <c r="AC64" s="554" t="s">
        <v>267</v>
      </c>
      <c r="AD64" s="554" t="s">
        <v>267</v>
      </c>
      <c r="AE64" s="554" t="s">
        <v>267</v>
      </c>
      <c r="AF64" s="663"/>
      <c r="AG64" s="554" t="s">
        <v>267</v>
      </c>
      <c r="AH64" s="554" t="s">
        <v>267</v>
      </c>
      <c r="AI64" s="937"/>
      <c r="AJ64" s="554" t="s">
        <v>267</v>
      </c>
      <c r="AK64" s="554" t="s">
        <v>267</v>
      </c>
      <c r="AL64" s="554" t="s">
        <v>267</v>
      </c>
      <c r="AM64" s="663"/>
      <c r="AN64" s="554" t="s">
        <v>267</v>
      </c>
      <c r="AO64" s="554" t="s">
        <v>267</v>
      </c>
      <c r="AP64" s="939"/>
      <c r="AQ64" s="554" t="s">
        <v>267</v>
      </c>
      <c r="AR64" s="675"/>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5"/>
        <v>アナリン</v>
      </c>
      <c r="C65" s="636" t="str">
        <f t="shared" si="16"/>
        <v>〇</v>
      </c>
      <c r="D65" s="214"/>
      <c r="E65" s="627" t="str">
        <f t="shared" si="17"/>
        <v>アナリン</v>
      </c>
      <c r="F65" s="636" t="str">
        <f t="shared" si="18"/>
        <v>〇</v>
      </c>
      <c r="G65" s="214"/>
      <c r="H65" s="214"/>
      <c r="I65" s="169" t="b">
        <v>0</v>
      </c>
      <c r="J65" s="666">
        <v>15.0</v>
      </c>
      <c r="K65" s="674" t="s">
        <v>515</v>
      </c>
      <c r="L65" s="677"/>
      <c r="M65" s="675"/>
      <c r="N65" s="937"/>
      <c r="O65" s="554" t="s">
        <v>267</v>
      </c>
      <c r="P65" s="554" t="s">
        <v>267</v>
      </c>
      <c r="Q65" s="663"/>
      <c r="R65" s="663"/>
      <c r="S65" s="554" t="s">
        <v>267</v>
      </c>
      <c r="T65" s="937"/>
      <c r="U65" s="554" t="s">
        <v>464</v>
      </c>
      <c r="V65" s="663"/>
      <c r="W65" s="554" t="s">
        <v>267</v>
      </c>
      <c r="X65" s="663"/>
      <c r="Y65" s="663"/>
      <c r="Z65" s="554" t="s">
        <v>464</v>
      </c>
      <c r="AA65" s="937"/>
      <c r="AB65" s="554" t="s">
        <v>267</v>
      </c>
      <c r="AC65" s="554" t="s">
        <v>267</v>
      </c>
      <c r="AD65" s="663"/>
      <c r="AE65" s="663"/>
      <c r="AF65" s="663"/>
      <c r="AG65" s="554" t="s">
        <v>267</v>
      </c>
      <c r="AH65" s="554" t="s">
        <v>267</v>
      </c>
      <c r="AI65" s="937"/>
      <c r="AJ65" s="554" t="s">
        <v>267</v>
      </c>
      <c r="AK65" s="554" t="s">
        <v>267</v>
      </c>
      <c r="AL65" s="663"/>
      <c r="AM65" s="663"/>
      <c r="AN65" s="554" t="s">
        <v>267</v>
      </c>
      <c r="AO65" s="554" t="s">
        <v>267</v>
      </c>
      <c r="AP65" s="937"/>
      <c r="AQ65" s="554" t="s">
        <v>267</v>
      </c>
      <c r="AR65" s="663"/>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5"/>
        <v>阿部</v>
      </c>
      <c r="C66" s="636" t="str">
        <f t="shared" si="16"/>
        <v>〇</v>
      </c>
      <c r="D66" s="214"/>
      <c r="E66" s="627" t="str">
        <f t="shared" si="17"/>
        <v>阿部</v>
      </c>
      <c r="F66" s="636" t="str">
        <f t="shared" si="18"/>
        <v>〇</v>
      </c>
      <c r="G66" s="214"/>
      <c r="H66" s="214"/>
      <c r="I66" s="169" t="b">
        <v>0</v>
      </c>
      <c r="J66" s="666">
        <v>13.0</v>
      </c>
      <c r="K66" s="674" t="s">
        <v>516</v>
      </c>
      <c r="L66" s="677"/>
      <c r="M66" s="675"/>
      <c r="N66" s="554" t="s">
        <v>267</v>
      </c>
      <c r="O66" s="663"/>
      <c r="P66" s="554" t="s">
        <v>267</v>
      </c>
      <c r="Q66" s="554" t="s">
        <v>267</v>
      </c>
      <c r="R66" s="663"/>
      <c r="S66" s="554" t="s">
        <v>267</v>
      </c>
      <c r="T66" s="554" t="s">
        <v>267</v>
      </c>
      <c r="U66" s="554" t="s">
        <v>267</v>
      </c>
      <c r="V66" s="554" t="s">
        <v>267</v>
      </c>
      <c r="W66" s="554" t="s">
        <v>267</v>
      </c>
      <c r="X66" s="663"/>
      <c r="Y66" s="663"/>
      <c r="Z66" s="554" t="s">
        <v>267</v>
      </c>
      <c r="AA66" s="554" t="s">
        <v>267</v>
      </c>
      <c r="AB66" s="554" t="s">
        <v>267</v>
      </c>
      <c r="AC66" s="554" t="s">
        <v>267</v>
      </c>
      <c r="AD66" s="554" t="s">
        <v>267</v>
      </c>
      <c r="AE66" s="663"/>
      <c r="AF66" s="663"/>
      <c r="AG66" s="554" t="s">
        <v>267</v>
      </c>
      <c r="AH66" s="554" t="s">
        <v>267</v>
      </c>
      <c r="AI66" s="554" t="s">
        <v>267</v>
      </c>
      <c r="AJ66" s="554"/>
      <c r="AK66" s="554" t="s">
        <v>267</v>
      </c>
      <c r="AL66" s="554" t="s">
        <v>267</v>
      </c>
      <c r="AM66" s="554"/>
      <c r="AN66" s="554" t="s">
        <v>267</v>
      </c>
      <c r="AO66" s="554" t="s">
        <v>267</v>
      </c>
      <c r="AP66" s="554" t="s">
        <v>267</v>
      </c>
      <c r="AQ66" s="554" t="s">
        <v>267</v>
      </c>
      <c r="AR66" s="671"/>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5"/>
        <v>プラティマ</v>
      </c>
      <c r="C67" s="636" t="str">
        <f t="shared" si="16"/>
        <v/>
      </c>
      <c r="D67" s="214"/>
      <c r="E67" s="627" t="str">
        <f t="shared" si="17"/>
        <v>プラティマ</v>
      </c>
      <c r="F67" s="636" t="str">
        <f t="shared" si="18"/>
        <v>〇</v>
      </c>
      <c r="G67" s="214"/>
      <c r="H67" s="214"/>
      <c r="I67" s="169" t="b">
        <v>0</v>
      </c>
      <c r="J67" s="666">
        <v>15.0</v>
      </c>
      <c r="K67" s="674" t="s">
        <v>517</v>
      </c>
      <c r="L67" s="675"/>
      <c r="M67" s="675"/>
      <c r="N67" s="662" t="s">
        <v>267</v>
      </c>
      <c r="O67" s="662" t="s">
        <v>267</v>
      </c>
      <c r="P67" s="662"/>
      <c r="Q67" s="663"/>
      <c r="R67" s="662" t="s">
        <v>267</v>
      </c>
      <c r="S67" s="662"/>
      <c r="T67" s="662" t="s">
        <v>267</v>
      </c>
      <c r="U67" s="662" t="s">
        <v>267</v>
      </c>
      <c r="V67" s="662" t="s">
        <v>267</v>
      </c>
      <c r="W67" s="663"/>
      <c r="X67" s="663"/>
      <c r="Y67" s="662" t="s">
        <v>267</v>
      </c>
      <c r="Z67" s="662" t="s">
        <v>267</v>
      </c>
      <c r="AA67" s="662"/>
      <c r="AB67" s="662"/>
      <c r="AC67" s="662" t="s">
        <v>267</v>
      </c>
      <c r="AD67" s="662" t="s">
        <v>267</v>
      </c>
      <c r="AE67" s="663"/>
      <c r="AF67" s="662" t="s">
        <v>267</v>
      </c>
      <c r="AG67" s="662" t="s">
        <v>267</v>
      </c>
      <c r="AH67" s="662" t="s">
        <v>267</v>
      </c>
      <c r="AI67" s="662" t="s">
        <v>464</v>
      </c>
      <c r="AJ67" s="662" t="s">
        <v>267</v>
      </c>
      <c r="AK67" s="663"/>
      <c r="AL67" s="663"/>
      <c r="AM67" s="662" t="s">
        <v>267</v>
      </c>
      <c r="AN67" s="662"/>
      <c r="AO67" s="662" t="s">
        <v>267</v>
      </c>
      <c r="AP67" s="662" t="s">
        <v>267</v>
      </c>
      <c r="AQ67" s="671"/>
      <c r="AR67" s="663"/>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5"/>
        <v>木戸</v>
      </c>
      <c r="C68" s="636" t="str">
        <f t="shared" si="16"/>
        <v>〇</v>
      </c>
      <c r="D68" s="214"/>
      <c r="E68" s="627" t="str">
        <f t="shared" si="17"/>
        <v>木戸</v>
      </c>
      <c r="F68" s="636" t="str">
        <f t="shared" si="18"/>
        <v>〇</v>
      </c>
      <c r="G68" s="214"/>
      <c r="H68" s="214"/>
      <c r="I68" s="169" t="b">
        <v>0</v>
      </c>
      <c r="J68" s="666">
        <v>10.0</v>
      </c>
      <c r="K68" s="674" t="s">
        <v>518</v>
      </c>
      <c r="L68" s="675"/>
      <c r="M68" s="675"/>
      <c r="N68" s="662"/>
      <c r="O68" s="662" t="s">
        <v>267</v>
      </c>
      <c r="P68" s="663"/>
      <c r="Q68" s="663"/>
      <c r="R68" s="663"/>
      <c r="S68" s="662" t="s">
        <v>267</v>
      </c>
      <c r="T68" s="938" t="s">
        <v>267</v>
      </c>
      <c r="U68" s="937"/>
      <c r="V68" s="662" t="s">
        <v>267</v>
      </c>
      <c r="W68" s="663"/>
      <c r="X68" s="663"/>
      <c r="Y68" s="663"/>
      <c r="Z68" s="662" t="s">
        <v>267</v>
      </c>
      <c r="AA68" s="938" t="s">
        <v>267</v>
      </c>
      <c r="AB68" s="937"/>
      <c r="AC68" s="662" t="s">
        <v>267</v>
      </c>
      <c r="AD68" s="662" t="s">
        <v>267</v>
      </c>
      <c r="AE68" s="663"/>
      <c r="AF68" s="663"/>
      <c r="AG68" s="662" t="s">
        <v>267</v>
      </c>
      <c r="AH68" s="938" t="s">
        <v>267</v>
      </c>
      <c r="AI68" s="937"/>
      <c r="AJ68" s="662" t="s">
        <v>267</v>
      </c>
      <c r="AK68" s="662" t="s">
        <v>267</v>
      </c>
      <c r="AL68" s="663"/>
      <c r="AM68" s="663"/>
      <c r="AN68" s="662" t="s">
        <v>267</v>
      </c>
      <c r="AO68" s="938" t="s">
        <v>267</v>
      </c>
      <c r="AP68" s="939"/>
      <c r="AQ68" s="662" t="s">
        <v>267</v>
      </c>
      <c r="AR68" s="663"/>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5"/>
        <v>ダリア</v>
      </c>
      <c r="C69" s="636" t="str">
        <f t="shared" si="16"/>
        <v>〇</v>
      </c>
      <c r="D69" s="214"/>
      <c r="E69" s="627" t="str">
        <f t="shared" si="17"/>
        <v>ダリア</v>
      </c>
      <c r="F69" s="636" t="str">
        <f t="shared" si="18"/>
        <v/>
      </c>
      <c r="G69" s="214"/>
      <c r="H69" s="214"/>
      <c r="I69" s="169" t="b">
        <v>0</v>
      </c>
      <c r="J69" s="678">
        <v>15.0</v>
      </c>
      <c r="K69" s="674" t="s">
        <v>176</v>
      </c>
      <c r="L69" s="675"/>
      <c r="M69" s="675"/>
      <c r="N69" s="938" t="s">
        <v>267</v>
      </c>
      <c r="O69" s="662" t="s">
        <v>267</v>
      </c>
      <c r="P69" s="662"/>
      <c r="Q69" s="663"/>
      <c r="R69" s="663"/>
      <c r="S69" s="662" t="s">
        <v>267</v>
      </c>
      <c r="T69" s="938" t="s">
        <v>267</v>
      </c>
      <c r="U69" s="937"/>
      <c r="V69" s="663"/>
      <c r="W69" s="663"/>
      <c r="X69" s="662" t="s">
        <v>267</v>
      </c>
      <c r="Y69" s="663"/>
      <c r="Z69" s="663"/>
      <c r="AA69" s="938" t="s">
        <v>267</v>
      </c>
      <c r="AB69" s="937"/>
      <c r="AC69" s="662" t="s">
        <v>267</v>
      </c>
      <c r="AD69" s="662" t="s">
        <v>267</v>
      </c>
      <c r="AE69" s="663"/>
      <c r="AF69" s="663"/>
      <c r="AG69" s="663"/>
      <c r="AH69" s="938"/>
      <c r="AI69" s="938" t="s">
        <v>267</v>
      </c>
      <c r="AJ69" s="662" t="s">
        <v>267</v>
      </c>
      <c r="AK69" s="663"/>
      <c r="AL69" s="662" t="s">
        <v>466</v>
      </c>
      <c r="AM69" s="662" t="s">
        <v>267</v>
      </c>
      <c r="AN69" s="662" t="s">
        <v>267</v>
      </c>
      <c r="AO69" s="937"/>
      <c r="AP69" s="938" t="s">
        <v>267</v>
      </c>
      <c r="AQ69" s="662" t="s">
        <v>267</v>
      </c>
      <c r="AR69" s="671"/>
      <c r="AS69" s="645">
        <f t="array" ref="AS69">SUM(COUNTIF(N69:AR69, {"◎","〇","☆","共","特","浴"}))</f>
        <v>14</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5"/>
        <v>アカシュ</v>
      </c>
      <c r="C70" s="636" t="str">
        <f t="shared" si="16"/>
        <v>〇</v>
      </c>
      <c r="D70" s="214"/>
      <c r="E70" s="627" t="str">
        <f t="shared" si="17"/>
        <v>アカシュ</v>
      </c>
      <c r="F70" s="636" t="str">
        <f t="shared" si="18"/>
        <v>〇</v>
      </c>
      <c r="G70" s="214"/>
      <c r="H70" s="214"/>
      <c r="I70" s="169" t="b">
        <v>0</v>
      </c>
      <c r="J70" s="666">
        <v>7.0</v>
      </c>
      <c r="K70" s="674" t="s">
        <v>519</v>
      </c>
      <c r="L70" s="675"/>
      <c r="M70" s="668" t="s">
        <v>642</v>
      </c>
      <c r="N70" s="669" t="s">
        <v>464</v>
      </c>
      <c r="O70" s="662" t="s">
        <v>267</v>
      </c>
      <c r="P70" s="662" t="s">
        <v>267</v>
      </c>
      <c r="Q70" s="662"/>
      <c r="R70" s="662"/>
      <c r="S70" s="669" t="s">
        <v>267</v>
      </c>
      <c r="T70" s="669" t="s">
        <v>267</v>
      </c>
      <c r="U70" s="669" t="s">
        <v>267</v>
      </c>
      <c r="V70" s="669" t="s">
        <v>267</v>
      </c>
      <c r="W70" s="669" t="s">
        <v>267</v>
      </c>
      <c r="X70" s="662"/>
      <c r="Y70" s="662"/>
      <c r="Z70" s="669" t="s">
        <v>267</v>
      </c>
      <c r="AA70" s="669" t="s">
        <v>267</v>
      </c>
      <c r="AB70" s="669" t="s">
        <v>267</v>
      </c>
      <c r="AC70" s="669" t="s">
        <v>267</v>
      </c>
      <c r="AD70" s="669" t="s">
        <v>267</v>
      </c>
      <c r="AE70" s="662"/>
      <c r="AF70" s="662"/>
      <c r="AG70" s="669" t="s">
        <v>267</v>
      </c>
      <c r="AH70" s="669" t="s">
        <v>267</v>
      </c>
      <c r="AI70" s="669" t="s">
        <v>267</v>
      </c>
      <c r="AJ70" s="662" t="s">
        <v>267</v>
      </c>
      <c r="AK70" s="669" t="s">
        <v>267</v>
      </c>
      <c r="AL70" s="662"/>
      <c r="AM70" s="662"/>
      <c r="AN70" s="669" t="s">
        <v>267</v>
      </c>
      <c r="AO70" s="669" t="s">
        <v>267</v>
      </c>
      <c r="AP70" s="669" t="s">
        <v>267</v>
      </c>
      <c r="AQ70" s="669" t="s">
        <v>267</v>
      </c>
      <c r="AR70" s="663"/>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5"/>
        <v>ムナ</v>
      </c>
      <c r="C71" s="636" t="str">
        <f t="shared" si="16"/>
        <v/>
      </c>
      <c r="D71" s="214"/>
      <c r="E71" s="627" t="str">
        <f t="shared" si="17"/>
        <v>ムナ</v>
      </c>
      <c r="F71" s="636" t="str">
        <f t="shared" si="18"/>
        <v>〇</v>
      </c>
      <c r="G71" s="214"/>
      <c r="H71" s="214"/>
      <c r="I71" s="169" t="b">
        <v>0</v>
      </c>
      <c r="J71" s="678">
        <v>13.0</v>
      </c>
      <c r="K71" s="674" t="s">
        <v>520</v>
      </c>
      <c r="L71" s="675"/>
      <c r="M71" s="675"/>
      <c r="N71" s="937"/>
      <c r="O71" s="662" t="s">
        <v>267</v>
      </c>
      <c r="P71" s="662" t="s">
        <v>267</v>
      </c>
      <c r="Q71" s="662" t="s">
        <v>267</v>
      </c>
      <c r="R71" s="662" t="s">
        <v>267</v>
      </c>
      <c r="S71" s="663"/>
      <c r="T71" s="939"/>
      <c r="U71" s="937"/>
      <c r="V71" s="662" t="s">
        <v>267</v>
      </c>
      <c r="W71" s="662" t="s">
        <v>267</v>
      </c>
      <c r="X71" s="662" t="s">
        <v>267</v>
      </c>
      <c r="Y71" s="662" t="s">
        <v>267</v>
      </c>
      <c r="Z71" s="663"/>
      <c r="AA71" s="937"/>
      <c r="AB71" s="937"/>
      <c r="AC71" s="662" t="s">
        <v>267</v>
      </c>
      <c r="AD71" s="662" t="s">
        <v>267</v>
      </c>
      <c r="AE71" s="662" t="s">
        <v>267</v>
      </c>
      <c r="AF71" s="662" t="s">
        <v>267</v>
      </c>
      <c r="AG71" s="663"/>
      <c r="AH71" s="937"/>
      <c r="AI71" s="937"/>
      <c r="AJ71" s="662" t="s">
        <v>267</v>
      </c>
      <c r="AK71" s="662" t="s">
        <v>267</v>
      </c>
      <c r="AL71" s="662" t="s">
        <v>267</v>
      </c>
      <c r="AM71" s="662" t="s">
        <v>267</v>
      </c>
      <c r="AN71" s="663"/>
      <c r="AO71" s="938" t="s">
        <v>267</v>
      </c>
      <c r="AP71" s="938" t="s">
        <v>267</v>
      </c>
      <c r="AQ71" s="662" t="s">
        <v>267</v>
      </c>
      <c r="AR71" s="671"/>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c r="A72" s="214"/>
      <c r="B72" s="627" t="str">
        <f t="shared" si="15"/>
        <v>クマル</v>
      </c>
      <c r="C72" s="636" t="str">
        <f t="shared" si="16"/>
        <v/>
      </c>
      <c r="D72" s="214"/>
      <c r="E72" s="627" t="str">
        <f t="shared" si="17"/>
        <v>クマル</v>
      </c>
      <c r="F72" s="636" t="str">
        <f t="shared" si="18"/>
        <v/>
      </c>
      <c r="G72" s="214"/>
      <c r="H72" s="214"/>
      <c r="I72" s="169" t="b">
        <v>0</v>
      </c>
      <c r="J72" s="678">
        <v>15.0</v>
      </c>
      <c r="K72" s="679" t="s">
        <v>186</v>
      </c>
      <c r="L72" s="675"/>
      <c r="M72" s="680" t="s">
        <v>643</v>
      </c>
      <c r="N72" s="938" t="s">
        <v>464</v>
      </c>
      <c r="O72" s="669" t="s">
        <v>267</v>
      </c>
      <c r="P72" s="662" t="s">
        <v>267</v>
      </c>
      <c r="Q72" s="662" t="s">
        <v>267</v>
      </c>
      <c r="R72" s="662" t="s">
        <v>267</v>
      </c>
      <c r="S72" s="662" t="s">
        <v>267</v>
      </c>
      <c r="T72" s="938" t="s">
        <v>464</v>
      </c>
      <c r="U72" s="939"/>
      <c r="V72" s="671"/>
      <c r="W72" s="669" t="s">
        <v>267</v>
      </c>
      <c r="X72" s="662" t="s">
        <v>267</v>
      </c>
      <c r="Y72" s="662" t="s">
        <v>267</v>
      </c>
      <c r="Z72" s="663"/>
      <c r="AA72" s="939"/>
      <c r="AB72" s="939"/>
      <c r="AC72" s="662"/>
      <c r="AD72" s="669" t="s">
        <v>464</v>
      </c>
      <c r="AE72" s="662" t="s">
        <v>466</v>
      </c>
      <c r="AF72" s="662" t="s">
        <v>466</v>
      </c>
      <c r="AG72" s="663"/>
      <c r="AH72" s="939"/>
      <c r="AI72" s="939"/>
      <c r="AJ72" s="671"/>
      <c r="AK72" s="669" t="s">
        <v>466</v>
      </c>
      <c r="AL72" s="662" t="s">
        <v>466</v>
      </c>
      <c r="AM72" s="662" t="s">
        <v>466</v>
      </c>
      <c r="AN72" s="663"/>
      <c r="AO72" s="939"/>
      <c r="AP72" s="939"/>
      <c r="AQ72" s="663"/>
      <c r="AR72" s="663"/>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c r="A73" s="214"/>
      <c r="B73" s="627" t="str">
        <f t="shared" si="15"/>
        <v>毛利</v>
      </c>
      <c r="C73" s="636" t="str">
        <f t="shared" si="16"/>
        <v>✕</v>
      </c>
      <c r="D73" s="214"/>
      <c r="E73" s="627" t="str">
        <f t="shared" si="17"/>
        <v>毛利</v>
      </c>
      <c r="F73" s="636" t="str">
        <f t="shared" si="18"/>
        <v/>
      </c>
      <c r="G73" s="214"/>
      <c r="H73" s="214"/>
      <c r="I73" s="169" t="b">
        <v>0</v>
      </c>
      <c r="J73" s="678">
        <v>7.0</v>
      </c>
      <c r="K73" s="681" t="s">
        <v>521</v>
      </c>
      <c r="L73" s="675"/>
      <c r="M73" s="675"/>
      <c r="N73" s="938" t="s">
        <v>466</v>
      </c>
      <c r="O73" s="663"/>
      <c r="P73" s="662" t="s">
        <v>466</v>
      </c>
      <c r="Q73" s="663"/>
      <c r="R73" s="663"/>
      <c r="S73" s="662" t="s">
        <v>466</v>
      </c>
      <c r="T73" s="938"/>
      <c r="U73" s="938"/>
      <c r="V73" s="663"/>
      <c r="W73" s="663"/>
      <c r="X73" s="663"/>
      <c r="Y73" s="663"/>
      <c r="Z73" s="662" t="s">
        <v>466</v>
      </c>
      <c r="AA73" s="937"/>
      <c r="AB73" s="938" t="s">
        <v>466</v>
      </c>
      <c r="AC73" s="663"/>
      <c r="AD73" s="662" t="s">
        <v>466</v>
      </c>
      <c r="AE73" s="663"/>
      <c r="AF73" s="663"/>
      <c r="AG73" s="662" t="s">
        <v>466</v>
      </c>
      <c r="AH73" s="937"/>
      <c r="AI73" s="938" t="s">
        <v>466</v>
      </c>
      <c r="AJ73" s="663"/>
      <c r="AK73" s="662" t="s">
        <v>466</v>
      </c>
      <c r="AL73" s="663"/>
      <c r="AM73" s="663"/>
      <c r="AN73" s="662" t="s">
        <v>466</v>
      </c>
      <c r="AO73" s="937"/>
      <c r="AP73" s="938" t="s">
        <v>466</v>
      </c>
      <c r="AQ73" s="663"/>
      <c r="AR73" s="677"/>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5"/>
        <v>ペロ</v>
      </c>
      <c r="C74" s="636" t="str">
        <f t="shared" si="16"/>
        <v>〇</v>
      </c>
      <c r="D74" s="214"/>
      <c r="E74" s="627" t="str">
        <f t="shared" si="17"/>
        <v>ペロ</v>
      </c>
      <c r="F74" s="636" t="str">
        <f t="shared" si="18"/>
        <v>〇</v>
      </c>
      <c r="G74" s="214"/>
      <c r="H74" s="214"/>
      <c r="I74" s="169" t="b">
        <v>0</v>
      </c>
      <c r="J74" s="678">
        <v>15.0</v>
      </c>
      <c r="K74" s="681" t="s">
        <v>522</v>
      </c>
      <c r="L74" s="677"/>
      <c r="M74" s="675"/>
      <c r="N74" s="938" t="s">
        <v>267</v>
      </c>
      <c r="O74" s="663"/>
      <c r="P74" s="662" t="s">
        <v>267</v>
      </c>
      <c r="Q74" s="671"/>
      <c r="R74" s="671"/>
      <c r="S74" s="662" t="s">
        <v>267</v>
      </c>
      <c r="T74" s="938" t="s">
        <v>464</v>
      </c>
      <c r="U74" s="938"/>
      <c r="V74" s="662" t="s">
        <v>267</v>
      </c>
      <c r="W74" s="662" t="s">
        <v>267</v>
      </c>
      <c r="X74" s="671"/>
      <c r="Y74" s="662" t="s">
        <v>267</v>
      </c>
      <c r="Z74" s="662" t="s">
        <v>267</v>
      </c>
      <c r="AA74" s="938" t="s">
        <v>267</v>
      </c>
      <c r="AB74" s="938" t="s">
        <v>267</v>
      </c>
      <c r="AC74" s="671"/>
      <c r="AD74" s="662" t="s">
        <v>267</v>
      </c>
      <c r="AE74" s="671"/>
      <c r="AF74" s="671"/>
      <c r="AG74" s="662" t="s">
        <v>267</v>
      </c>
      <c r="AH74" s="938" t="s">
        <v>267</v>
      </c>
      <c r="AI74" s="938" t="s">
        <v>267</v>
      </c>
      <c r="AJ74" s="671"/>
      <c r="AK74" s="662" t="s">
        <v>267</v>
      </c>
      <c r="AL74" s="671"/>
      <c r="AM74" s="663"/>
      <c r="AN74" s="662" t="s">
        <v>267</v>
      </c>
      <c r="AO74" s="938" t="s">
        <v>267</v>
      </c>
      <c r="AP74" s="938" t="s">
        <v>267</v>
      </c>
      <c r="AQ74" s="671"/>
      <c r="AR74" s="671"/>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5"/>
        <v>ラナ</v>
      </c>
      <c r="C75" s="636" t="str">
        <f t="shared" si="16"/>
        <v>〇</v>
      </c>
      <c r="D75" s="214"/>
      <c r="E75" s="627" t="str">
        <f t="shared" si="17"/>
        <v>ラナ</v>
      </c>
      <c r="F75" s="636" t="str">
        <f t="shared" si="18"/>
        <v>〇</v>
      </c>
      <c r="G75" s="214"/>
      <c r="H75" s="214"/>
      <c r="I75" s="169" t="b">
        <v>0</v>
      </c>
      <c r="J75" s="678">
        <v>12.0</v>
      </c>
      <c r="K75" s="681" t="s">
        <v>523</v>
      </c>
      <c r="L75" s="675"/>
      <c r="M75" s="675"/>
      <c r="N75" s="938" t="s">
        <v>267</v>
      </c>
      <c r="O75" s="640"/>
      <c r="P75" s="554" t="s">
        <v>267</v>
      </c>
      <c r="Q75" s="662" t="s">
        <v>267</v>
      </c>
      <c r="R75" s="554" t="s">
        <v>267</v>
      </c>
      <c r="S75" s="640"/>
      <c r="T75" s="938" t="s">
        <v>267</v>
      </c>
      <c r="U75" s="938" t="s">
        <v>267</v>
      </c>
      <c r="V75" s="671"/>
      <c r="W75" s="554" t="s">
        <v>267</v>
      </c>
      <c r="X75" s="554" t="s">
        <v>267</v>
      </c>
      <c r="Y75" s="554" t="s">
        <v>267</v>
      </c>
      <c r="Z75" s="938" t="s">
        <v>267</v>
      </c>
      <c r="AA75" s="938" t="s">
        <v>267</v>
      </c>
      <c r="AB75" s="938"/>
      <c r="AC75" s="671"/>
      <c r="AD75" s="662"/>
      <c r="AE75" s="662" t="s">
        <v>267</v>
      </c>
      <c r="AF75" s="662" t="s">
        <v>267</v>
      </c>
      <c r="AG75" s="938" t="s">
        <v>267</v>
      </c>
      <c r="AH75" s="938" t="s">
        <v>267</v>
      </c>
      <c r="AI75" s="938"/>
      <c r="AJ75" s="671"/>
      <c r="AK75" s="662"/>
      <c r="AL75" s="662" t="s">
        <v>267</v>
      </c>
      <c r="AM75" s="662" t="s">
        <v>267</v>
      </c>
      <c r="AN75" s="938" t="s">
        <v>267</v>
      </c>
      <c r="AO75" s="938" t="s">
        <v>267</v>
      </c>
      <c r="AP75" s="938" t="s">
        <v>267</v>
      </c>
      <c r="AQ75" s="671"/>
      <c r="AR75" s="671"/>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5"/>
        <v>西村</v>
      </c>
      <c r="C76" s="636" t="str">
        <f t="shared" si="16"/>
        <v>〇</v>
      </c>
      <c r="D76" s="214"/>
      <c r="E76" s="627" t="str">
        <f t="shared" si="17"/>
        <v>西村</v>
      </c>
      <c r="F76" s="636" t="str">
        <f t="shared" si="18"/>
        <v/>
      </c>
      <c r="G76" s="214"/>
      <c r="H76" s="214"/>
      <c r="I76" s="169" t="b">
        <v>0</v>
      </c>
      <c r="J76" s="678">
        <v>7.0</v>
      </c>
      <c r="K76" s="637" t="s">
        <v>524</v>
      </c>
      <c r="L76" s="675"/>
      <c r="M76" s="675"/>
      <c r="N76" s="938" t="s">
        <v>267</v>
      </c>
      <c r="O76" s="663"/>
      <c r="P76" s="662" t="s">
        <v>267</v>
      </c>
      <c r="Q76" s="663"/>
      <c r="R76" s="671"/>
      <c r="S76" s="662" t="s">
        <v>267</v>
      </c>
      <c r="T76" s="939"/>
      <c r="U76" s="938" t="s">
        <v>267</v>
      </c>
      <c r="V76" s="663"/>
      <c r="W76" s="663"/>
      <c r="X76" s="663"/>
      <c r="Y76" s="671"/>
      <c r="Z76" s="662" t="s">
        <v>267</v>
      </c>
      <c r="AA76" s="939"/>
      <c r="AB76" s="938" t="s">
        <v>267</v>
      </c>
      <c r="AC76" s="663"/>
      <c r="AD76" s="663"/>
      <c r="AE76" s="663"/>
      <c r="AF76" s="671"/>
      <c r="AG76" s="662" t="s">
        <v>267</v>
      </c>
      <c r="AH76" s="939"/>
      <c r="AI76" s="938" t="s">
        <v>267</v>
      </c>
      <c r="AJ76" s="663"/>
      <c r="AK76" s="662" t="s">
        <v>267</v>
      </c>
      <c r="AL76" s="663"/>
      <c r="AM76" s="671"/>
      <c r="AN76" s="662" t="s">
        <v>267</v>
      </c>
      <c r="AO76" s="939"/>
      <c r="AP76" s="938" t="s">
        <v>267</v>
      </c>
      <c r="AQ76" s="671"/>
      <c r="AR76" s="671"/>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5"/>
        <v>シタ</v>
      </c>
      <c r="C77" s="636" t="str">
        <f t="shared" si="16"/>
        <v>〇</v>
      </c>
      <c r="D77" s="214"/>
      <c r="E77" s="627" t="str">
        <f t="shared" si="17"/>
        <v>シタ</v>
      </c>
      <c r="F77" s="636" t="str">
        <f t="shared" si="18"/>
        <v>〇</v>
      </c>
      <c r="G77" s="214"/>
      <c r="H77" s="214"/>
      <c r="I77" s="169" t="b">
        <v>0</v>
      </c>
      <c r="J77" s="678">
        <v>10.0</v>
      </c>
      <c r="K77" s="637" t="s">
        <v>525</v>
      </c>
      <c r="L77" s="675"/>
      <c r="M77" s="675"/>
      <c r="N77" s="938" t="s">
        <v>267</v>
      </c>
      <c r="O77" s="671"/>
      <c r="P77" s="662" t="s">
        <v>267</v>
      </c>
      <c r="Q77" s="662" t="s">
        <v>267</v>
      </c>
      <c r="R77" s="662" t="s">
        <v>267</v>
      </c>
      <c r="S77" s="671"/>
      <c r="T77" s="938" t="s">
        <v>267</v>
      </c>
      <c r="U77" s="938" t="s">
        <v>267</v>
      </c>
      <c r="V77" s="671"/>
      <c r="W77" s="662" t="s">
        <v>267</v>
      </c>
      <c r="X77" s="662" t="s">
        <v>267</v>
      </c>
      <c r="Y77" s="662" t="s">
        <v>267</v>
      </c>
      <c r="Z77" s="938" t="s">
        <v>267</v>
      </c>
      <c r="AA77" s="938" t="s">
        <v>267</v>
      </c>
      <c r="AB77" s="938"/>
      <c r="AC77" s="671"/>
      <c r="AD77" s="662"/>
      <c r="AE77" s="662" t="s">
        <v>267</v>
      </c>
      <c r="AF77" s="662" t="s">
        <v>267</v>
      </c>
      <c r="AG77" s="938" t="s">
        <v>267</v>
      </c>
      <c r="AH77" s="938" t="s">
        <v>267</v>
      </c>
      <c r="AI77" s="938" t="s">
        <v>267</v>
      </c>
      <c r="AJ77" s="671"/>
      <c r="AK77" s="662"/>
      <c r="AL77" s="662" t="s">
        <v>267</v>
      </c>
      <c r="AM77" s="662" t="s">
        <v>267</v>
      </c>
      <c r="AN77" s="938" t="s">
        <v>267</v>
      </c>
      <c r="AO77" s="938" t="s">
        <v>267</v>
      </c>
      <c r="AP77" s="938" t="s">
        <v>267</v>
      </c>
      <c r="AQ77" s="671"/>
      <c r="AR77" s="671"/>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5"/>
        <v>田中</v>
      </c>
      <c r="C78" s="636" t="str">
        <f t="shared" si="16"/>
        <v/>
      </c>
      <c r="D78" s="214"/>
      <c r="E78" s="627" t="str">
        <f t="shared" si="17"/>
        <v>田中</v>
      </c>
      <c r="F78" s="636" t="str">
        <f t="shared" si="18"/>
        <v/>
      </c>
      <c r="G78" s="214"/>
      <c r="H78" s="214"/>
      <c r="I78" s="169" t="b">
        <v>0</v>
      </c>
      <c r="J78" s="678">
        <v>10.0</v>
      </c>
      <c r="K78" s="637" t="s">
        <v>526</v>
      </c>
      <c r="L78" s="675"/>
      <c r="M78" s="675"/>
      <c r="N78" s="939"/>
      <c r="O78" s="663"/>
      <c r="P78" s="663"/>
      <c r="Q78" s="663"/>
      <c r="R78" s="662" t="s">
        <v>267</v>
      </c>
      <c r="S78" s="663"/>
      <c r="T78" s="939"/>
      <c r="U78" s="937"/>
      <c r="V78" s="663"/>
      <c r="W78" s="663"/>
      <c r="X78" s="663"/>
      <c r="Y78" s="662" t="s">
        <v>267</v>
      </c>
      <c r="Z78" s="663"/>
      <c r="AA78" s="937"/>
      <c r="AB78" s="937"/>
      <c r="AC78" s="663"/>
      <c r="AD78" s="663"/>
      <c r="AE78" s="663"/>
      <c r="AF78" s="662" t="s">
        <v>267</v>
      </c>
      <c r="AG78" s="663"/>
      <c r="AH78" s="939"/>
      <c r="AI78" s="939"/>
      <c r="AJ78" s="663"/>
      <c r="AK78" s="663"/>
      <c r="AL78" s="663"/>
      <c r="AM78" s="662" t="s">
        <v>267</v>
      </c>
      <c r="AN78" s="663"/>
      <c r="AO78" s="939"/>
      <c r="AP78" s="939"/>
      <c r="AQ78" s="671"/>
      <c r="AR78" s="675"/>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5"/>
        <v>ジジ</v>
      </c>
      <c r="C79" s="636" t="str">
        <f t="shared" si="16"/>
        <v/>
      </c>
      <c r="D79" s="214"/>
      <c r="E79" s="627" t="str">
        <f t="shared" si="17"/>
        <v>ジジ</v>
      </c>
      <c r="F79" s="636" t="str">
        <f t="shared" si="18"/>
        <v/>
      </c>
      <c r="G79" s="214"/>
      <c r="H79" s="214"/>
      <c r="I79" s="169" t="b">
        <v>0</v>
      </c>
      <c r="J79" s="678">
        <v>10.0</v>
      </c>
      <c r="K79" s="637" t="s">
        <v>527</v>
      </c>
      <c r="L79" s="675"/>
      <c r="M79" s="675"/>
      <c r="N79" s="662" t="s">
        <v>267</v>
      </c>
      <c r="O79" s="662" t="s">
        <v>267</v>
      </c>
      <c r="P79" s="662"/>
      <c r="Q79" s="662" t="s">
        <v>267</v>
      </c>
      <c r="R79" s="663"/>
      <c r="S79" s="671"/>
      <c r="T79" s="662" t="s">
        <v>267</v>
      </c>
      <c r="U79" s="662" t="s">
        <v>267</v>
      </c>
      <c r="V79" s="662" t="s">
        <v>267</v>
      </c>
      <c r="W79" s="663"/>
      <c r="X79" s="662" t="s">
        <v>267</v>
      </c>
      <c r="Y79" s="671"/>
      <c r="Z79" s="671"/>
      <c r="AA79" s="662" t="s">
        <v>267</v>
      </c>
      <c r="AB79" s="662" t="s">
        <v>267</v>
      </c>
      <c r="AC79" s="662" t="s">
        <v>267</v>
      </c>
      <c r="AD79" s="663"/>
      <c r="AE79" s="662" t="s">
        <v>267</v>
      </c>
      <c r="AF79" s="671"/>
      <c r="AG79" s="671"/>
      <c r="AH79" s="662" t="s">
        <v>267</v>
      </c>
      <c r="AI79" s="662" t="s">
        <v>267</v>
      </c>
      <c r="AJ79" s="662" t="s">
        <v>267</v>
      </c>
      <c r="AK79" s="663"/>
      <c r="AL79" s="662" t="s">
        <v>267</v>
      </c>
      <c r="AM79" s="663"/>
      <c r="AN79" s="671"/>
      <c r="AO79" s="937"/>
      <c r="AP79" s="662" t="s">
        <v>267</v>
      </c>
      <c r="AQ79" s="662" t="s">
        <v>267</v>
      </c>
      <c r="AR79" s="675"/>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5"/>
        <v>ナロミ</v>
      </c>
      <c r="C80" s="636" t="str">
        <f t="shared" si="16"/>
        <v/>
      </c>
      <c r="D80" s="214"/>
      <c r="E80" s="627" t="str">
        <f t="shared" si="17"/>
        <v>ナロミ</v>
      </c>
      <c r="F80" s="636" t="str">
        <f t="shared" si="18"/>
        <v/>
      </c>
      <c r="G80" s="214"/>
      <c r="H80" s="214"/>
      <c r="I80" s="169" t="b">
        <v>0</v>
      </c>
      <c r="J80" s="678">
        <v>12.0</v>
      </c>
      <c r="K80" s="637" t="s">
        <v>528</v>
      </c>
      <c r="L80" s="675"/>
      <c r="M80" s="675"/>
      <c r="N80" s="939"/>
      <c r="O80" s="662" t="s">
        <v>267</v>
      </c>
      <c r="P80" s="662" t="s">
        <v>267</v>
      </c>
      <c r="Q80" s="662" t="s">
        <v>267</v>
      </c>
      <c r="R80" s="675"/>
      <c r="S80" s="675"/>
      <c r="T80" s="662" t="s">
        <v>267</v>
      </c>
      <c r="U80" s="939"/>
      <c r="V80" s="662" t="s">
        <v>267</v>
      </c>
      <c r="W80" s="662" t="s">
        <v>267</v>
      </c>
      <c r="X80" s="662" t="s">
        <v>267</v>
      </c>
      <c r="Y80" s="677"/>
      <c r="Z80" s="677"/>
      <c r="AA80" s="662" t="s">
        <v>267</v>
      </c>
      <c r="AB80" s="939"/>
      <c r="AC80" s="662" t="s">
        <v>267</v>
      </c>
      <c r="AD80" s="662" t="s">
        <v>267</v>
      </c>
      <c r="AE80" s="662" t="s">
        <v>267</v>
      </c>
      <c r="AF80" s="677"/>
      <c r="AG80" s="675"/>
      <c r="AH80" s="662" t="s">
        <v>267</v>
      </c>
      <c r="AI80" s="671"/>
      <c r="AJ80" s="675"/>
      <c r="AK80" s="671"/>
      <c r="AL80" s="671"/>
      <c r="AM80" s="675"/>
      <c r="AN80" s="675"/>
      <c r="AO80" s="939"/>
      <c r="AP80" s="939"/>
      <c r="AQ80" s="671"/>
      <c r="AR80" s="671"/>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c r="A81" s="214"/>
      <c r="B81" s="627" t="str">
        <f t="shared" si="15"/>
        <v>小野</v>
      </c>
      <c r="C81" s="636" t="str">
        <f t="shared" si="16"/>
        <v/>
      </c>
      <c r="D81" s="214"/>
      <c r="E81" s="627" t="str">
        <f t="shared" si="17"/>
        <v>小野</v>
      </c>
      <c r="F81" s="636" t="str">
        <f t="shared" si="18"/>
        <v/>
      </c>
      <c r="G81" s="214"/>
      <c r="H81" s="214"/>
      <c r="I81" s="169" t="b">
        <v>0</v>
      </c>
      <c r="J81" s="678">
        <v>10.0</v>
      </c>
      <c r="K81" s="637" t="s">
        <v>529</v>
      </c>
      <c r="L81" s="675"/>
      <c r="M81" s="675"/>
      <c r="N81" s="943"/>
      <c r="O81" s="675"/>
      <c r="P81" s="671"/>
      <c r="Q81" s="671"/>
      <c r="R81" s="675"/>
      <c r="S81" s="671"/>
      <c r="T81" s="939"/>
      <c r="U81" s="939"/>
      <c r="V81" s="677"/>
      <c r="W81" s="671"/>
      <c r="X81" s="672"/>
      <c r="Y81" s="677"/>
      <c r="Z81" s="671"/>
      <c r="AA81" s="939"/>
      <c r="AB81" s="939"/>
      <c r="AC81" s="671"/>
      <c r="AD81" s="671"/>
      <c r="AE81" s="671"/>
      <c r="AF81" s="677"/>
      <c r="AG81" s="671"/>
      <c r="AH81" s="671"/>
      <c r="AI81" s="671"/>
      <c r="AJ81" s="671"/>
      <c r="AK81" s="671"/>
      <c r="AL81" s="671"/>
      <c r="AM81" s="675"/>
      <c r="AN81" s="671"/>
      <c r="AO81" s="939"/>
      <c r="AP81" s="939"/>
      <c r="AQ81" s="675"/>
      <c r="AR81" s="67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5"/>
        <v>森崎</v>
      </c>
      <c r="C82" s="636" t="str">
        <f t="shared" si="16"/>
        <v/>
      </c>
      <c r="D82" s="214"/>
      <c r="E82" s="627" t="str">
        <f t="shared" si="17"/>
        <v>森崎</v>
      </c>
      <c r="F82" s="636" t="str">
        <f t="shared" si="18"/>
        <v/>
      </c>
      <c r="G82" s="214"/>
      <c r="H82" s="214"/>
      <c r="I82" s="169" t="b">
        <v>0</v>
      </c>
      <c r="J82" s="617">
        <v>7.0</v>
      </c>
      <c r="K82" s="637" t="s">
        <v>530</v>
      </c>
      <c r="L82" s="683"/>
      <c r="M82" s="639" t="s">
        <v>531</v>
      </c>
      <c r="N82" s="935" t="s">
        <v>267</v>
      </c>
      <c r="O82" s="554" t="s">
        <v>267</v>
      </c>
      <c r="P82" s="554" t="s">
        <v>267</v>
      </c>
      <c r="Q82" s="640"/>
      <c r="R82" s="554" t="s">
        <v>267</v>
      </c>
      <c r="S82" s="640"/>
      <c r="T82" s="944"/>
      <c r="U82" s="935" t="s">
        <v>267</v>
      </c>
      <c r="V82" s="554" t="s">
        <v>267</v>
      </c>
      <c r="W82" s="554" t="s">
        <v>267</v>
      </c>
      <c r="X82" s="554"/>
      <c r="Y82" s="554" t="s">
        <v>267</v>
      </c>
      <c r="Z82" s="554"/>
      <c r="AA82" s="935"/>
      <c r="AB82" s="938" t="s">
        <v>267</v>
      </c>
      <c r="AC82" s="554" t="s">
        <v>267</v>
      </c>
      <c r="AD82" s="554" t="s">
        <v>267</v>
      </c>
      <c r="AE82" s="640"/>
      <c r="AF82" s="554" t="s">
        <v>267</v>
      </c>
      <c r="AG82" s="640"/>
      <c r="AH82" s="640"/>
      <c r="AI82" s="554"/>
      <c r="AJ82" s="554" t="s">
        <v>267</v>
      </c>
      <c r="AK82" s="662" t="s">
        <v>267</v>
      </c>
      <c r="AL82" s="671"/>
      <c r="AM82" s="662" t="s">
        <v>267</v>
      </c>
      <c r="AN82" s="640"/>
      <c r="AO82" s="944"/>
      <c r="AP82" s="938" t="s">
        <v>267</v>
      </c>
      <c r="AQ82" s="662" t="s">
        <v>267</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5"/>
        <v>石垣</v>
      </c>
      <c r="C83" s="636" t="str">
        <f t="shared" si="16"/>
        <v>〇</v>
      </c>
      <c r="D83" s="214"/>
      <c r="E83" s="627" t="str">
        <f t="shared" si="17"/>
        <v>石垣</v>
      </c>
      <c r="F83" s="636" t="str">
        <f t="shared" si="18"/>
        <v/>
      </c>
      <c r="G83" s="214"/>
      <c r="H83" s="214"/>
      <c r="I83" s="169" t="b">
        <v>0</v>
      </c>
      <c r="J83" s="617">
        <v>10.0</v>
      </c>
      <c r="K83" s="637" t="s">
        <v>532</v>
      </c>
      <c r="L83" s="683"/>
      <c r="M83" s="639" t="s">
        <v>644</v>
      </c>
      <c r="N83" s="944"/>
      <c r="O83" s="640"/>
      <c r="P83" s="640"/>
      <c r="Q83" s="640"/>
      <c r="R83" s="640"/>
      <c r="S83" s="640"/>
      <c r="T83" s="944"/>
      <c r="U83" s="935" t="s">
        <v>267</v>
      </c>
      <c r="V83" s="554" t="s">
        <v>267</v>
      </c>
      <c r="W83" s="640"/>
      <c r="X83" s="640"/>
      <c r="Y83" s="640"/>
      <c r="Z83" s="640"/>
      <c r="AA83" s="935" t="s">
        <v>267</v>
      </c>
      <c r="AB83" s="935" t="s">
        <v>267</v>
      </c>
      <c r="AC83" s="554" t="s">
        <v>267</v>
      </c>
      <c r="AD83" s="554" t="s">
        <v>267</v>
      </c>
      <c r="AE83" s="640"/>
      <c r="AF83" s="640"/>
      <c r="AG83" s="554" t="s">
        <v>466</v>
      </c>
      <c r="AH83" s="554" t="s">
        <v>267</v>
      </c>
      <c r="AI83" s="554" t="s">
        <v>267</v>
      </c>
      <c r="AJ83" s="640"/>
      <c r="AK83" s="640"/>
      <c r="AL83" s="640"/>
      <c r="AM83" s="640"/>
      <c r="AN83" s="554" t="s">
        <v>267</v>
      </c>
      <c r="AO83" s="944"/>
      <c r="AP83" s="944"/>
      <c r="AQ83" s="554" t="s">
        <v>267</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5"/>
        <v>アイリシ</v>
      </c>
      <c r="C84" s="636" t="str">
        <f t="shared" si="16"/>
        <v/>
      </c>
      <c r="D84" s="214"/>
      <c r="E84" s="627" t="str">
        <f t="shared" si="17"/>
        <v>アイリシ</v>
      </c>
      <c r="F84" s="636" t="str">
        <f t="shared" si="18"/>
        <v>〇</v>
      </c>
      <c r="G84" s="214"/>
      <c r="H84" s="214"/>
      <c r="I84" s="169" t="b">
        <v>0</v>
      </c>
      <c r="J84" s="617"/>
      <c r="K84" s="637" t="s">
        <v>533</v>
      </c>
      <c r="L84" s="683"/>
      <c r="M84" s="644"/>
      <c r="N84" s="554"/>
      <c r="O84" s="554"/>
      <c r="P84" s="554"/>
      <c r="Q84" s="554"/>
      <c r="R84" s="554"/>
      <c r="S84" s="554"/>
      <c r="T84" s="554"/>
      <c r="U84" s="554"/>
      <c r="V84" s="554"/>
      <c r="W84" s="554"/>
      <c r="X84" s="554"/>
      <c r="Y84" s="554"/>
      <c r="Z84" s="671"/>
      <c r="AA84" s="554"/>
      <c r="AB84" s="671"/>
      <c r="AC84" s="671"/>
      <c r="AD84" s="671"/>
      <c r="AE84" s="671"/>
      <c r="AF84" s="677"/>
      <c r="AG84" s="671"/>
      <c r="AH84" s="671"/>
      <c r="AI84" s="671"/>
      <c r="AJ84" s="671"/>
      <c r="AK84" s="671"/>
      <c r="AL84" s="662" t="s">
        <v>267</v>
      </c>
      <c r="AM84" s="662" t="s">
        <v>267</v>
      </c>
      <c r="AN84" s="662"/>
      <c r="AO84" s="662" t="s">
        <v>267</v>
      </c>
      <c r="AP84" s="662" t="s">
        <v>267</v>
      </c>
      <c r="AQ84" s="662" t="s">
        <v>267</v>
      </c>
      <c r="AR84" s="671"/>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5"/>
        <v>リン</v>
      </c>
      <c r="C85" s="636" t="str">
        <f t="shared" si="16"/>
        <v>〇</v>
      </c>
      <c r="D85" s="214"/>
      <c r="E85" s="627" t="str">
        <f t="shared" si="17"/>
        <v>リン</v>
      </c>
      <c r="F85" s="636" t="str">
        <f t="shared" si="18"/>
        <v>〇</v>
      </c>
      <c r="G85" s="214"/>
      <c r="H85" s="214"/>
      <c r="I85" s="169" t="b">
        <v>0</v>
      </c>
      <c r="J85" s="617"/>
      <c r="K85" s="637" t="s">
        <v>534</v>
      </c>
      <c r="L85" s="683"/>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267</v>
      </c>
      <c r="AM85" s="554"/>
      <c r="AN85" s="554" t="s">
        <v>267</v>
      </c>
      <c r="AO85" s="554" t="s">
        <v>267</v>
      </c>
      <c r="AP85" s="554" t="s">
        <v>267</v>
      </c>
      <c r="AQ85" s="554" t="s">
        <v>267</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79"/>
      <c r="L86" s="683"/>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79"/>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79"/>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79"/>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79"/>
      <c r="L90" s="683"/>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79"/>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79"/>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79"/>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24.0" customHeight="1">
      <c r="A2" s="684"/>
      <c r="B2" s="530" t="s">
        <v>535</v>
      </c>
      <c r="C2" s="530"/>
      <c r="D2" s="530"/>
      <c r="E2" s="530"/>
      <c r="F2" s="689" t="s">
        <v>536</v>
      </c>
      <c r="G2" s="945" t="s">
        <v>645</v>
      </c>
      <c r="H2" s="246"/>
      <c r="I2" s="246"/>
      <c r="J2" s="246"/>
      <c r="K2" s="246"/>
      <c r="L2" s="246"/>
      <c r="M2" s="246"/>
      <c r="N2" s="246"/>
      <c r="O2" s="246"/>
      <c r="P2" s="246"/>
      <c r="Q2" s="3"/>
      <c r="R2" s="691" t="s">
        <v>537</v>
      </c>
      <c r="S2" s="684"/>
      <c r="T2" s="686"/>
      <c r="U2" s="692"/>
      <c r="V2" s="688"/>
      <c r="W2" s="684"/>
      <c r="X2" s="684"/>
      <c r="Y2" s="684"/>
      <c r="Z2" s="684"/>
    </row>
    <row r="3" ht="27.0" customHeight="1">
      <c r="A3" s="684"/>
      <c r="B3" s="693" t="s">
        <v>538</v>
      </c>
      <c r="C3" s="530"/>
      <c r="D3" s="530"/>
      <c r="E3" s="530"/>
      <c r="F3" s="694" t="s">
        <v>539</v>
      </c>
      <c r="G3" s="695" t="s">
        <v>646</v>
      </c>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46113.0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4</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ウィング</v>
      </c>
      <c r="W8" s="739"/>
      <c r="X8" s="740">
        <v>46054.0</v>
      </c>
      <c r="Y8" s="684"/>
      <c r="Z8" s="684"/>
    </row>
    <row r="9" ht="31.5" hidden="1" customHeight="1" outlineLevel="1">
      <c r="A9" s="684"/>
      <c r="B9" s="741"/>
      <c r="C9" s="742">
        <f>D5</f>
        <v>46113</v>
      </c>
      <c r="D9" s="743" t="str">
        <f>TEXT(C9,"ddd")</f>
        <v>水</v>
      </c>
      <c r="E9" s="744"/>
      <c r="F9" s="745" t="s">
        <v>557</v>
      </c>
      <c r="G9" s="798" t="s">
        <v>647</v>
      </c>
      <c r="H9" s="747"/>
      <c r="I9" s="748">
        <v>0.6666666666666666</v>
      </c>
      <c r="J9" s="747">
        <v>19.0</v>
      </c>
      <c r="K9" s="747">
        <v>5.0</v>
      </c>
      <c r="L9" s="749"/>
      <c r="M9" s="749"/>
      <c r="N9" s="747"/>
      <c r="O9" s="946" t="s">
        <v>648</v>
      </c>
      <c r="Q9" s="751"/>
      <c r="R9" s="686"/>
      <c r="S9" s="242" t="str">
        <f t="array" ref="S9">IFERROR(INDEX('💻シート作成'!$D$6:$D1001, MATCH(T9, '💻シート作成'!$E$6:$E1001, 0)), "")</f>
        <v/>
      </c>
      <c r="T9" s="169" t="str">
        <f>IFERROR(__xludf.DUMMYFUNCTION("""COMPUTED_VALUE"""),"🔵クレーム")</f>
        <v>🔵クレーム</v>
      </c>
      <c r="U9" s="692"/>
      <c r="V9" s="738" t="s">
        <v>204</v>
      </c>
      <c r="W9" s="739"/>
      <c r="X9" s="740">
        <v>46082.0</v>
      </c>
      <c r="Y9" s="684"/>
      <c r="Z9" s="684"/>
    </row>
    <row r="10" ht="31.5" hidden="1" customHeight="1" outlineLevel="1">
      <c r="B10" s="752"/>
      <c r="C10" s="753"/>
      <c r="D10" s="753"/>
      <c r="E10" s="753"/>
      <c r="F10" s="753"/>
      <c r="G10" s="754"/>
      <c r="H10" s="753"/>
      <c r="I10" s="753"/>
      <c r="J10" s="753"/>
      <c r="K10" s="753"/>
      <c r="L10" s="755"/>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155</v>
      </c>
      <c r="W10" s="739"/>
      <c r="X10" s="740">
        <v>46113.0</v>
      </c>
      <c r="Y10" s="684"/>
      <c r="Z10" s="684"/>
    </row>
    <row r="11" ht="31.5" hidden="1" customHeight="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190</v>
      </c>
      <c r="W11" s="739"/>
      <c r="X11" s="740">
        <v>46143.0</v>
      </c>
      <c r="Y11" s="684"/>
      <c r="Z11" s="684"/>
    </row>
    <row r="12" ht="31.5" hidden="1" customHeight="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144</v>
      </c>
      <c r="W12" s="739"/>
      <c r="X12" s="740">
        <v>46174.0</v>
      </c>
      <c r="Y12" s="684"/>
      <c r="Z12" s="684"/>
    </row>
    <row r="13" ht="31.5" hidden="1" customHeight="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495</v>
      </c>
      <c r="W13" s="739"/>
      <c r="X13" s="740">
        <v>46204.0</v>
      </c>
      <c r="Y13" s="684"/>
      <c r="Z13" s="684"/>
    </row>
    <row r="14" ht="31.5" hidden="1" customHeight="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637</v>
      </c>
      <c r="W14" s="739"/>
      <c r="X14" s="740">
        <v>46235.0</v>
      </c>
      <c r="Y14" s="684"/>
      <c r="Z14" s="684"/>
    </row>
    <row r="15" ht="31.5" hidden="1" customHeight="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802" t="s">
        <v>496</v>
      </c>
      <c r="W15" s="739"/>
      <c r="X15" s="740">
        <v>46266.0</v>
      </c>
      <c r="Y15" s="684"/>
      <c r="Z15" s="684"/>
    </row>
    <row r="16" ht="31.5" hidden="1" customHeight="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506</v>
      </c>
      <c r="W16" s="739"/>
      <c r="X16" s="740">
        <v>46296.0</v>
      </c>
      <c r="Y16" s="684"/>
      <c r="Z16" s="684"/>
    </row>
    <row r="17" ht="31.5" hidden="1" customHeight="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505</v>
      </c>
      <c r="W17" s="739"/>
      <c r="X17" s="740">
        <v>46327.0</v>
      </c>
      <c r="Y17" s="684"/>
      <c r="Z17" s="684"/>
    </row>
    <row r="18" ht="31.5" hidden="1" customHeight="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507</v>
      </c>
      <c r="W18" s="739"/>
      <c r="X18" s="740">
        <v>46357.0</v>
      </c>
      <c r="Y18" s="684"/>
      <c r="Z18" s="684"/>
    </row>
    <row r="19" ht="31.5" hidden="1" customHeight="1" outlineLevel="1">
      <c r="B19" s="761"/>
      <c r="C19" s="720"/>
      <c r="D19" s="720"/>
      <c r="E19" s="720"/>
      <c r="F19" s="762" t="s">
        <v>560</v>
      </c>
      <c r="G19" s="763" t="s">
        <v>649</v>
      </c>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205</v>
      </c>
      <c r="W19" s="739"/>
      <c r="X19" s="740">
        <v>46388.0</v>
      </c>
      <c r="Y19" s="684"/>
      <c r="Z19" s="684"/>
    </row>
    <row r="20" ht="19.5" hidden="1" customHeight="1" outlineLevel="1">
      <c r="A20" s="684"/>
      <c r="B20" s="766"/>
      <c r="C20" s="767">
        <f>IF(C9="","",IF(DAY(C9+1)=1,"",C9+1))</f>
        <v>46114</v>
      </c>
      <c r="D20" s="768" t="str">
        <f>TEXT(C20,"ddd")</f>
        <v>木</v>
      </c>
      <c r="E20" s="769"/>
      <c r="F20" s="770" t="s">
        <v>557</v>
      </c>
      <c r="G20" s="771" t="s">
        <v>650</v>
      </c>
      <c r="H20" s="772"/>
      <c r="I20" s="800">
        <v>0.6666666666666666</v>
      </c>
      <c r="J20" s="772">
        <v>16.0</v>
      </c>
      <c r="K20" s="774"/>
      <c r="L20" s="775"/>
      <c r="M20" s="775"/>
      <c r="N20" s="770"/>
      <c r="O20" s="947" t="s">
        <v>651</v>
      </c>
      <c r="Q20" s="751"/>
      <c r="R20" s="684"/>
      <c r="S20" s="242" t="str">
        <f t="array" ref="S20">IFERROR(INDEX('💻シート作成'!$D$6:$D1001, MATCH(T20, '💻シート作成'!$E$6:$E1001, 0)), "")</f>
        <v>12月</v>
      </c>
      <c r="T20" s="169" t="str">
        <f>IFERROR(__xludf.DUMMYFUNCTION("""COMPUTED_VALUE"""),"④R8_12月報")</f>
        <v>④R8_12月報</v>
      </c>
      <c r="U20" s="777"/>
      <c r="V20" s="738" t="s">
        <v>182</v>
      </c>
      <c r="W20" s="739"/>
      <c r="X20" s="740"/>
      <c r="Y20" s="684"/>
      <c r="Z20" s="684"/>
    </row>
    <row r="21" ht="19.5" hidden="1" customHeight="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191</v>
      </c>
      <c r="W21" s="739"/>
      <c r="X21" s="740"/>
      <c r="Y21" s="684"/>
      <c r="Z21" s="684"/>
    </row>
    <row r="22" ht="19.5" hidden="1" customHeight="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171</v>
      </c>
      <c r="W22" s="739"/>
      <c r="X22" s="740"/>
      <c r="Y22" s="684"/>
      <c r="Z22" s="684"/>
    </row>
    <row r="23" ht="19.5" hidden="1" customHeight="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200</v>
      </c>
      <c r="W23" s="684"/>
      <c r="X23" s="780"/>
      <c r="Y23" s="684"/>
      <c r="Z23" s="684"/>
    </row>
    <row r="24" ht="19.5" hidden="1" customHeight="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128</v>
      </c>
      <c r="W24" s="684"/>
      <c r="X24" s="780"/>
      <c r="Y24" s="684"/>
      <c r="Z24" s="684"/>
    </row>
    <row r="25" ht="59.25" hidden="1" customHeight="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509</v>
      </c>
      <c r="W25" s="684"/>
      <c r="X25" s="780"/>
      <c r="Y25" s="684"/>
      <c r="Z25" s="684"/>
    </row>
    <row r="26" ht="19.5" hidden="1" customHeight="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510</v>
      </c>
      <c r="W26" s="684"/>
      <c r="X26" s="780"/>
      <c r="Y26" s="684"/>
      <c r="Z26" s="684"/>
    </row>
    <row r="27" ht="19.5" hidden="1" customHeight="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511</v>
      </c>
      <c r="W27" s="684"/>
      <c r="X27" s="780"/>
      <c r="Y27" s="684"/>
      <c r="Z27" s="684"/>
    </row>
    <row r="28" ht="19.5" hidden="1" customHeight="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513</v>
      </c>
      <c r="W28" s="684"/>
      <c r="X28" s="780"/>
      <c r="Y28" s="684"/>
      <c r="Z28" s="684"/>
    </row>
    <row r="29" ht="19.5" hidden="1" customHeight="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512</v>
      </c>
      <c r="W29" s="684"/>
      <c r="X29" s="780"/>
      <c r="Y29" s="684"/>
      <c r="Z29" s="684"/>
    </row>
    <row r="30" ht="31.5" hidden="1" customHeight="1" outlineLevel="1">
      <c r="A30" s="684"/>
      <c r="B30" s="761"/>
      <c r="C30" s="720"/>
      <c r="D30" s="720"/>
      <c r="E30" s="720"/>
      <c r="F30" s="781" t="s">
        <v>560</v>
      </c>
      <c r="G30" s="782" t="s">
        <v>652</v>
      </c>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110</v>
      </c>
      <c r="W30" s="684"/>
      <c r="X30" s="780"/>
      <c r="Y30" s="684"/>
      <c r="Z30" s="684"/>
    </row>
    <row r="31" ht="26.25" hidden="1" customHeight="1" outlineLevel="1">
      <c r="A31" s="684"/>
      <c r="B31" s="784"/>
      <c r="C31" s="785">
        <f>IF(C20="","",IF(DAY(C20+1)=1,"",C20+1))</f>
        <v>46115</v>
      </c>
      <c r="D31" s="786" t="str">
        <f>TEXT(C31,"ddd")</f>
        <v>金</v>
      </c>
      <c r="E31" s="787"/>
      <c r="F31" s="788" t="s">
        <v>557</v>
      </c>
      <c r="G31" s="798" t="s">
        <v>653</v>
      </c>
      <c r="H31" s="790"/>
      <c r="I31" s="791">
        <v>0.6319444444444444</v>
      </c>
      <c r="J31" s="790">
        <v>18.0</v>
      </c>
      <c r="K31" s="790">
        <v>6.0</v>
      </c>
      <c r="L31" s="792" t="s">
        <v>519</v>
      </c>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196</v>
      </c>
      <c r="W31" s="684"/>
      <c r="X31" s="780"/>
      <c r="Y31" s="684"/>
      <c r="Z31" s="684"/>
    </row>
    <row r="32" ht="26.25" hidden="1" customHeight="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515</v>
      </c>
      <c r="W32" s="684"/>
      <c r="X32" s="780"/>
      <c r="Y32" s="684"/>
      <c r="Z32" s="684"/>
    </row>
    <row r="33" ht="26.25" hidden="1" customHeight="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516</v>
      </c>
      <c r="W33" s="684"/>
      <c r="X33" s="780"/>
      <c r="Y33" s="684"/>
      <c r="Z33" s="684"/>
    </row>
    <row r="34" ht="94.5" hidden="1" customHeight="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517</v>
      </c>
      <c r="W34" s="684"/>
      <c r="X34" s="780"/>
      <c r="Y34" s="684"/>
      <c r="Z34" s="684"/>
    </row>
    <row r="35" ht="26.25" hidden="1" customHeight="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518</v>
      </c>
      <c r="W35" s="684"/>
      <c r="X35" s="780"/>
      <c r="Y35" s="684"/>
      <c r="Z35" s="684"/>
    </row>
    <row r="36" ht="26.25" hidden="1" customHeight="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176</v>
      </c>
      <c r="W36" s="684"/>
      <c r="X36" s="780"/>
      <c r="Y36" s="684"/>
      <c r="Z36" s="684"/>
    </row>
    <row r="37" ht="26.25" hidden="1" customHeight="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519</v>
      </c>
      <c r="W37" s="684"/>
      <c r="X37" s="780"/>
      <c r="Y37" s="684"/>
      <c r="Z37" s="684"/>
    </row>
    <row r="38" ht="26.25" hidden="1" customHeight="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520</v>
      </c>
      <c r="W38" s="684"/>
      <c r="X38" s="780"/>
      <c r="Y38" s="684"/>
      <c r="Z38" s="684"/>
    </row>
    <row r="39" ht="26.25" hidden="1" customHeight="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186</v>
      </c>
      <c r="W39" s="684"/>
      <c r="X39" s="780"/>
      <c r="Y39" s="684"/>
      <c r="Z39" s="684"/>
    </row>
    <row r="40" ht="26.25" hidden="1" customHeight="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522</v>
      </c>
      <c r="W40" s="684"/>
      <c r="X40" s="780"/>
      <c r="Y40" s="684"/>
      <c r="Z40" s="684"/>
    </row>
    <row r="41" ht="45.0" hidden="1" customHeight="1" outlineLevel="1">
      <c r="A41" s="684"/>
      <c r="B41" s="761"/>
      <c r="C41" s="720"/>
      <c r="D41" s="720"/>
      <c r="E41" s="720"/>
      <c r="F41" s="762" t="s">
        <v>560</v>
      </c>
      <c r="G41" s="763" t="s">
        <v>654</v>
      </c>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529</v>
      </c>
      <c r="W41" s="684"/>
      <c r="X41" s="780"/>
      <c r="Y41" s="684"/>
      <c r="Z41" s="684"/>
    </row>
    <row r="42" hidden="1" outlineLevel="1">
      <c r="A42" s="684"/>
      <c r="B42" s="766"/>
      <c r="C42" s="767">
        <f>IF(C31="","",IF(DAY(C31+1)=1,"",C31+1))</f>
        <v>46116</v>
      </c>
      <c r="D42" s="768" t="str">
        <f>TEXT(C42,"ddd")</f>
        <v>土</v>
      </c>
      <c r="E42" s="769"/>
      <c r="F42" s="797" t="s">
        <v>557</v>
      </c>
      <c r="G42" s="798" t="s">
        <v>655</v>
      </c>
      <c r="H42" s="799"/>
      <c r="I42" s="800">
        <v>0.65625</v>
      </c>
      <c r="J42" s="799">
        <v>15.0</v>
      </c>
      <c r="K42" s="799">
        <v>5.0</v>
      </c>
      <c r="L42" s="778" t="s">
        <v>637</v>
      </c>
      <c r="M42" s="778" t="s">
        <v>656</v>
      </c>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523</v>
      </c>
      <c r="W42" s="684"/>
      <c r="X42" s="780"/>
      <c r="Y42" s="684"/>
      <c r="Z42" s="684"/>
    </row>
    <row r="43" hidden="1" outlineLevel="1">
      <c r="A43" s="684"/>
      <c r="B43" s="752"/>
      <c r="C43" s="753"/>
      <c r="D43" s="753"/>
      <c r="E43" s="753"/>
      <c r="F43" s="753"/>
      <c r="G43" s="754"/>
      <c r="H43" s="753"/>
      <c r="I43" s="753"/>
      <c r="J43" s="753"/>
      <c r="K43" s="753"/>
      <c r="L43" s="778" t="s">
        <v>186</v>
      </c>
      <c r="M43" s="778" t="s">
        <v>656</v>
      </c>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524</v>
      </c>
      <c r="W43" s="684"/>
      <c r="X43" s="780"/>
      <c r="Y43" s="684"/>
      <c r="Z43" s="684"/>
    </row>
    <row r="44" hidden="1" outlineLevel="1">
      <c r="A44" s="684"/>
      <c r="B44" s="752"/>
      <c r="C44" s="753"/>
      <c r="D44" s="753"/>
      <c r="E44" s="753"/>
      <c r="F44" s="753"/>
      <c r="G44" s="754"/>
      <c r="H44" s="753"/>
      <c r="I44" s="753"/>
      <c r="J44" s="753"/>
      <c r="K44" s="753"/>
      <c r="L44" s="778" t="s">
        <v>520</v>
      </c>
      <c r="M44" s="778" t="s">
        <v>656</v>
      </c>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525</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528</v>
      </c>
      <c r="W45" s="684"/>
      <c r="X45" s="780"/>
      <c r="Y45" s="684"/>
      <c r="Z45" s="684"/>
    </row>
    <row r="46" ht="75.0" hidden="1" customHeight="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657</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802" t="s">
        <v>526</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802" t="s">
        <v>530</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802" t="s">
        <v>532</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802"/>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802"/>
      <c r="W51" s="684"/>
      <c r="X51" s="780"/>
      <c r="Y51" s="684"/>
      <c r="Z51" s="684"/>
    </row>
    <row r="52" ht="31.5" hidden="1" customHeight="1" outlineLevel="1">
      <c r="A52" s="684"/>
      <c r="B52" s="761"/>
      <c r="C52" s="720"/>
      <c r="D52" s="720"/>
      <c r="E52" s="720"/>
      <c r="F52" s="781" t="s">
        <v>560</v>
      </c>
      <c r="G52" s="782" t="s">
        <v>658</v>
      </c>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802"/>
      <c r="W52" s="684"/>
      <c r="X52" s="780"/>
      <c r="Y52" s="684"/>
      <c r="Z52" s="684"/>
    </row>
    <row r="53" ht="41.25" hidden="1" customHeight="1" outlineLevel="1">
      <c r="A53" s="684"/>
      <c r="B53" s="784"/>
      <c r="C53" s="785">
        <f>IF(C42="","",IF(DAY(C42+1)=1,"",C42+1))</f>
        <v>46117</v>
      </c>
      <c r="D53" s="786" t="str">
        <f>TEXT(C53,"ddd")</f>
        <v>日</v>
      </c>
      <c r="E53" s="787"/>
      <c r="F53" s="788" t="s">
        <v>557</v>
      </c>
      <c r="G53" s="789" t="s">
        <v>659</v>
      </c>
      <c r="H53" s="790">
        <v>1.0</v>
      </c>
      <c r="I53" s="791">
        <v>0.6666666666666666</v>
      </c>
      <c r="J53" s="790">
        <v>15.0</v>
      </c>
      <c r="K53" s="790">
        <v>4.0</v>
      </c>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802"/>
      <c r="W53" s="684"/>
      <c r="X53" s="780"/>
      <c r="Y53" s="684"/>
      <c r="Z53" s="684"/>
    </row>
    <row r="54" ht="41.25" hidden="1" customHeight="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802"/>
      <c r="W54" s="684"/>
      <c r="X54" s="780"/>
      <c r="Y54" s="684"/>
      <c r="Z54" s="684"/>
    </row>
    <row r="55" ht="41.25" hidden="1" customHeight="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802"/>
      <c r="W55" s="684"/>
      <c r="X55" s="780"/>
      <c r="Y55" s="684"/>
      <c r="Z55" s="684"/>
    </row>
    <row r="56" ht="41.25" hidden="1" customHeight="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802"/>
      <c r="W56" s="684"/>
      <c r="X56" s="780"/>
      <c r="Y56" s="684"/>
      <c r="Z56" s="684"/>
    </row>
    <row r="57" ht="41.25" hidden="1" customHeight="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802"/>
      <c r="W57" s="684"/>
      <c r="X57" s="780"/>
      <c r="Y57" s="684"/>
      <c r="Z57" s="684"/>
    </row>
    <row r="58" ht="41.25" hidden="1" customHeight="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802"/>
      <c r="W58" s="684"/>
      <c r="X58" s="780"/>
      <c r="Y58" s="684"/>
      <c r="Z58" s="684"/>
    </row>
    <row r="59" ht="41.25" hidden="1" customHeight="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802"/>
      <c r="W59" s="684"/>
      <c r="X59" s="780"/>
      <c r="Y59" s="684"/>
      <c r="Z59" s="684"/>
    </row>
    <row r="60" ht="41.25" hidden="1" customHeight="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802"/>
      <c r="W60" s="684"/>
      <c r="X60" s="780"/>
      <c r="Y60" s="684"/>
      <c r="Z60" s="684"/>
    </row>
    <row r="61" ht="41.25" hidden="1" customHeight="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802"/>
      <c r="W61" s="684"/>
      <c r="X61" s="780"/>
      <c r="Y61" s="684"/>
      <c r="Z61" s="684"/>
    </row>
    <row r="62" ht="41.25" hidden="1" customHeight="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802"/>
      <c r="W62" s="684"/>
      <c r="X62" s="780"/>
      <c r="Y62" s="684"/>
      <c r="Z62" s="684"/>
    </row>
    <row r="63" ht="45.0" hidden="1" customHeight="1" outlineLevel="1">
      <c r="A63" s="684"/>
      <c r="B63" s="761"/>
      <c r="C63" s="720"/>
      <c r="D63" s="720"/>
      <c r="E63" s="720"/>
      <c r="F63" s="762" t="s">
        <v>560</v>
      </c>
      <c r="G63" s="763" t="s">
        <v>660</v>
      </c>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c r="W64" s="684"/>
      <c r="X64" s="780"/>
      <c r="Y64" s="684"/>
      <c r="Z64" s="684"/>
    </row>
    <row r="65" ht="19.5" hidden="1" customHeight="1" outlineLevel="1">
      <c r="A65" s="684"/>
      <c r="B65" s="766"/>
      <c r="C65" s="767">
        <f>IF(C53="","",IF(DAY(C53+1)=1,"",C53+1))</f>
        <v>46118</v>
      </c>
      <c r="D65" s="768" t="str">
        <f>TEXT(C65,"ddd")</f>
        <v>月</v>
      </c>
      <c r="E65" s="769"/>
      <c r="F65" s="797" t="s">
        <v>557</v>
      </c>
      <c r="G65" s="798" t="s">
        <v>661</v>
      </c>
      <c r="H65" s="799"/>
      <c r="I65" s="800">
        <v>0.0</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c r="W65" s="684"/>
      <c r="X65" s="780"/>
      <c r="Y65" s="684"/>
      <c r="Z65" s="684"/>
    </row>
    <row r="66" ht="19.5" hidden="1" customHeight="1" outlineLevel="1">
      <c r="A66" s="684"/>
      <c r="B66" s="752"/>
      <c r="C66" s="753"/>
      <c r="D66" s="753"/>
      <c r="E66" s="753"/>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t="19.5" hidden="1" customHeight="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t="19.5" hidden="1" customHeight="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t="19.5" hidden="1" customHeight="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t="18.75" hidden="1" customHeight="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t="51.0" hidden="1" customHeight="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t="19.5" hidden="1" customHeight="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t="19.5" hidden="1" customHeight="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t="19.5" hidden="1" customHeight="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t="39.75" hidden="1" customHeight="1" outlineLevel="1">
      <c r="A76" s="684"/>
      <c r="B76" s="784"/>
      <c r="C76" s="785">
        <f>IF(C65="","",IF(DAY(C65+1)=1,"",C65+1))</f>
        <v>46119</v>
      </c>
      <c r="D76" s="786" t="str">
        <f>TEXT(C76,"ddd")</f>
        <v>火</v>
      </c>
      <c r="E76" s="787"/>
      <c r="F76" s="788" t="s">
        <v>557</v>
      </c>
      <c r="G76" s="789" t="s">
        <v>662</v>
      </c>
      <c r="H76" s="790"/>
      <c r="I76" s="791">
        <v>0.625</v>
      </c>
      <c r="J76" s="790">
        <v>18.0</v>
      </c>
      <c r="K76" s="790">
        <v>7.0</v>
      </c>
      <c r="L76" s="792"/>
      <c r="M76" s="792"/>
      <c r="N76" s="788"/>
      <c r="O76" s="948" t="s">
        <v>663</v>
      </c>
      <c r="P76" s="794"/>
      <c r="Q76" s="795"/>
      <c r="R76" s="684"/>
      <c r="S76" s="242" t="str">
        <f t="array" ref="S76">IFERROR(INDEX('💻シート作成'!$D$6:$D1001, MATCH(T76, '💻シート作成'!$E$6:$E1001, 0)), "")</f>
        <v/>
      </c>
      <c r="T76" s="169"/>
      <c r="U76" s="687"/>
      <c r="V76" s="802"/>
      <c r="W76" s="684"/>
      <c r="X76" s="780"/>
      <c r="Y76" s="684"/>
      <c r="Z76" s="684"/>
    </row>
    <row r="77" ht="39.75" hidden="1" customHeight="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t="39.75" hidden="1" customHeight="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t="39.75" hidden="1" customHeight="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t="39.75" hidden="1" customHeight="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t="39.75" hidden="1" customHeight="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t="39.75" hidden="1" customHeight="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t="39.75" hidden="1" customHeight="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t="39.75" hidden="1" customHeight="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t="39.75" hidden="1" customHeight="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idden="1" outlineLevel="1">
      <c r="A87" s="684"/>
      <c r="B87" s="766"/>
      <c r="C87" s="767">
        <f>IF(C76="","",IF(DAY(C76+1)=1,"",C76+1))</f>
        <v>46120</v>
      </c>
      <c r="D87" s="768" t="str">
        <f>TEXT(C87,"ddd")</f>
        <v>水</v>
      </c>
      <c r="E87" s="769"/>
      <c r="F87" s="797" t="s">
        <v>108</v>
      </c>
      <c r="G87" s="798"/>
      <c r="H87" s="799"/>
      <c r="I87" s="800">
        <v>0.6666666666666666</v>
      </c>
      <c r="J87" s="799">
        <v>14.0</v>
      </c>
      <c r="K87" s="799">
        <v>7.0</v>
      </c>
      <c r="L87" s="778" t="s">
        <v>196</v>
      </c>
      <c r="M87" s="778"/>
      <c r="N87" s="797">
        <v>226.0</v>
      </c>
      <c r="O87" s="949" t="s">
        <v>664</v>
      </c>
      <c r="P87" s="794"/>
      <c r="Q87" s="795"/>
      <c r="R87" s="684"/>
      <c r="S87" s="242" t="str">
        <f t="array" ref="S87">IFERROR(INDEX('💻シート作成'!$D$6:$D1001, MATCH(T87, '💻シート作成'!$E$6:$E1001, 0)), "")</f>
        <v/>
      </c>
      <c r="T87" s="169"/>
      <c r="U87" s="687"/>
      <c r="V87" s="802"/>
      <c r="W87" s="684"/>
      <c r="X87" s="780"/>
      <c r="Y87" s="684"/>
      <c r="Z87" s="684"/>
    </row>
    <row r="88" hidden="1" outlineLevel="1">
      <c r="A88" s="684"/>
      <c r="B88" s="752"/>
      <c r="C88" s="753"/>
      <c r="D88" s="753"/>
      <c r="E88" s="753"/>
      <c r="F88" s="753"/>
      <c r="G88" s="771"/>
      <c r="H88" s="753"/>
      <c r="I88" s="753"/>
      <c r="J88" s="753"/>
      <c r="K88" s="753"/>
      <c r="L88" s="778" t="s">
        <v>515</v>
      </c>
      <c r="M88" s="778"/>
      <c r="N88" s="753"/>
      <c r="O88" s="756"/>
      <c r="Q88" s="751"/>
      <c r="R88" s="684"/>
      <c r="S88" s="242" t="str">
        <f t="array" ref="S88">IFERROR(INDEX('💻シート作成'!$D$6:$D1001, MATCH(T88, '💻シート作成'!$E$6:$E1001, 0)), "")</f>
        <v/>
      </c>
      <c r="T88" s="169"/>
      <c r="U88" s="687"/>
      <c r="V88" s="802"/>
      <c r="W88" s="684"/>
      <c r="X88" s="780"/>
      <c r="Y88" s="684"/>
      <c r="Z88" s="684"/>
    </row>
    <row r="89" ht="72.0" hidden="1" customHeight="1" outlineLevel="1">
      <c r="A89" s="684"/>
      <c r="B89" s="752"/>
      <c r="C89" s="753"/>
      <c r="D89" s="753"/>
      <c r="E89" s="753"/>
      <c r="F89" s="753"/>
      <c r="G89" s="771" t="s">
        <v>665</v>
      </c>
      <c r="H89" s="753"/>
      <c r="I89" s="753"/>
      <c r="J89" s="753"/>
      <c r="K89" s="753"/>
      <c r="L89" s="778" t="s">
        <v>182</v>
      </c>
      <c r="M89" s="778" t="s">
        <v>666</v>
      </c>
      <c r="N89" s="753"/>
      <c r="O89" s="756"/>
      <c r="Q89" s="751"/>
      <c r="R89" s="684"/>
      <c r="S89" s="242" t="str">
        <f t="array" ref="S89">IFERROR(INDEX('💻シート作成'!$D$6:$D1001, MATCH(T89, '💻シート作成'!$E$6:$E1001, 0)), "")</f>
        <v/>
      </c>
      <c r="T89" s="169"/>
      <c r="U89" s="687"/>
      <c r="V89" s="802"/>
      <c r="W89" s="684"/>
      <c r="X89" s="780"/>
      <c r="Y89" s="684"/>
      <c r="Z89" s="684"/>
    </row>
    <row r="90" hidden="1" outlineLevel="1">
      <c r="A90" s="684"/>
      <c r="B90" s="752"/>
      <c r="C90" s="753"/>
      <c r="D90" s="753"/>
      <c r="E90" s="753"/>
      <c r="F90" s="753"/>
      <c r="G90" s="771"/>
      <c r="H90" s="753"/>
      <c r="I90" s="753"/>
      <c r="J90" s="753"/>
      <c r="K90" s="753"/>
      <c r="L90" s="778" t="s">
        <v>191</v>
      </c>
      <c r="M90" s="778" t="s">
        <v>667</v>
      </c>
      <c r="N90" s="753"/>
      <c r="O90" s="756"/>
      <c r="Q90" s="751"/>
      <c r="R90" s="684"/>
      <c r="S90" s="242" t="str">
        <f t="array" ref="S90">IFERROR(INDEX('💻シート作成'!$D$6:$D1001, MATCH(T90, '💻シート作成'!$E$6:$E1001, 0)), "")</f>
        <v/>
      </c>
      <c r="T90" s="169"/>
      <c r="U90" s="687"/>
      <c r="V90" s="802"/>
      <c r="W90" s="684"/>
      <c r="X90" s="780"/>
      <c r="Y90" s="684"/>
      <c r="Z90" s="684"/>
    </row>
    <row r="91" ht="315.0" hidden="1" customHeight="1" outlineLevel="1">
      <c r="A91" s="684"/>
      <c r="B91" s="752"/>
      <c r="C91" s="753"/>
      <c r="D91" s="753"/>
      <c r="E91" s="753"/>
      <c r="F91" s="753"/>
      <c r="G91" s="771" t="s">
        <v>668</v>
      </c>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idden="1" outlineLevel="1">
      <c r="A92" s="684"/>
      <c r="B92" s="752"/>
      <c r="C92" s="753"/>
      <c r="D92" s="753"/>
      <c r="E92" s="753"/>
      <c r="F92" s="753"/>
      <c r="G92" s="771"/>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t="139.5" hidden="1" customHeight="1" outlineLevel="1">
      <c r="A93" s="684"/>
      <c r="B93" s="752"/>
      <c r="C93" s="753"/>
      <c r="D93" s="753"/>
      <c r="E93" s="753"/>
      <c r="F93" s="753"/>
      <c r="G93" s="771" t="s">
        <v>669</v>
      </c>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idden="1" outlineLevel="1">
      <c r="A94" s="684"/>
      <c r="B94" s="752"/>
      <c r="C94" s="753"/>
      <c r="D94" s="753"/>
      <c r="E94" s="753"/>
      <c r="F94" s="753"/>
      <c r="G94" s="771"/>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idden="1" outlineLevel="1">
      <c r="A95" s="684"/>
      <c r="B95" s="752"/>
      <c r="C95" s="753"/>
      <c r="D95" s="753"/>
      <c r="E95" s="753"/>
      <c r="F95" s="753"/>
      <c r="G95" s="771"/>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idden="1" outlineLevel="1">
      <c r="A96" s="684"/>
      <c r="B96" s="752"/>
      <c r="C96" s="753"/>
      <c r="D96" s="753"/>
      <c r="E96" s="753"/>
      <c r="F96" s="720"/>
      <c r="G96" s="950"/>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t="18.0" hidden="1" customHeight="1" outlineLevel="1">
      <c r="A98" s="684"/>
      <c r="B98" s="784"/>
      <c r="C98" s="785">
        <f>IF(C87="","",IF(DAY(C87+1)=1,"",C87+1))</f>
        <v>46121</v>
      </c>
      <c r="D98" s="786" t="str">
        <f>TEXT(C98,"ddd")</f>
        <v>木</v>
      </c>
      <c r="E98" s="787"/>
      <c r="F98" s="788" t="s">
        <v>557</v>
      </c>
      <c r="G98" s="789" t="s">
        <v>670</v>
      </c>
      <c r="H98" s="790"/>
      <c r="I98" s="791">
        <v>0.65625</v>
      </c>
      <c r="J98" s="790">
        <v>17.0</v>
      </c>
      <c r="K98" s="790">
        <v>5.0</v>
      </c>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t="18.0" hidden="1" customHeight="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t="18.0" hidden="1" customHeight="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t="18.0" hidden="1" customHeight="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t="18.0" hidden="1" customHeight="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t="18.0" hidden="1" customHeight="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t="18.0" hidden="1" customHeight="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t="18.0" hidden="1" customHeight="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t="18.0" hidden="1" customHeight="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t="18.0" hidden="1" customHeight="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t="94.5" hidden="1" customHeight="1" outlineLevel="1">
      <c r="A109" s="684"/>
      <c r="B109" s="766"/>
      <c r="C109" s="767">
        <f>IF(C98="","",IF(DAY(C98+1)=1,"",C98+1))</f>
        <v>46122</v>
      </c>
      <c r="D109" s="768" t="str">
        <f>TEXT(C109,"ddd")</f>
        <v>金</v>
      </c>
      <c r="E109" s="769"/>
      <c r="F109" s="797" t="s">
        <v>557</v>
      </c>
      <c r="G109" s="798" t="s">
        <v>671</v>
      </c>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t="18.0" hidden="1" customHeight="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t="18.0" hidden="1" customHeight="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t="18.0" hidden="1" customHeight="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t="18.0" hidden="1" customHeight="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t="18.0" hidden="1" customHeight="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t="24.0" hidden="1" customHeight="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t="18.0" hidden="1" customHeight="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t="18.0" hidden="1" customHeight="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t="18.0" hidden="1" customHeight="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t="30.75" hidden="1" customHeight="1" outlineLevel="1">
      <c r="A121" s="684"/>
      <c r="B121" s="784"/>
      <c r="C121" s="785">
        <f>IF(C109="","",IF(DAY(C109+1)=1,"",C109+1))</f>
        <v>46123</v>
      </c>
      <c r="D121" s="786" t="str">
        <f>TEXT(C121,"ddd")</f>
        <v>土</v>
      </c>
      <c r="E121" s="787"/>
      <c r="F121" s="788" t="s">
        <v>557</v>
      </c>
      <c r="G121" s="789" t="s">
        <v>672</v>
      </c>
      <c r="H121" s="790"/>
      <c r="I121" s="791">
        <v>0.6458333333333334</v>
      </c>
      <c r="J121" s="790">
        <v>16.0</v>
      </c>
      <c r="K121" s="790">
        <v>5.0</v>
      </c>
      <c r="L121" s="792" t="s">
        <v>191</v>
      </c>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t="30.75" hidden="1" customHeight="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t="30.75" hidden="1" customHeight="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t="30.75" hidden="1" customHeight="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t="30.75" hidden="1" customHeight="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t="30.75" hidden="1" customHeight="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t="30.75" hidden="1" customHeight="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t="30.75" hidden="1" customHeight="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t="30.75" hidden="1" customHeight="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t="87.75" hidden="1" customHeight="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t="31.5" hidden="1" customHeight="1" outlineLevel="1">
      <c r="A131" s="684"/>
      <c r="B131" s="761"/>
      <c r="C131" s="720"/>
      <c r="D131" s="720"/>
      <c r="E131" s="720"/>
      <c r="F131" s="762" t="s">
        <v>560</v>
      </c>
      <c r="G131" s="763" t="s">
        <v>673</v>
      </c>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t="17.25" hidden="1" customHeight="1" outlineLevel="1">
      <c r="A132" s="684"/>
      <c r="B132" s="766"/>
      <c r="C132" s="767">
        <f>IF(C121="","",IF(DAY(C121+1)=1,"",C121+1))</f>
        <v>46124</v>
      </c>
      <c r="D132" s="768" t="str">
        <f>TEXT(C132,"ddd")</f>
        <v>日</v>
      </c>
      <c r="E132" s="769"/>
      <c r="F132" s="797" t="s">
        <v>557</v>
      </c>
      <c r="G132" s="798" t="s">
        <v>674</v>
      </c>
      <c r="H132" s="799"/>
      <c r="I132" s="800">
        <v>0.6666666666666666</v>
      </c>
      <c r="J132" s="799">
        <v>15.0</v>
      </c>
      <c r="K132" s="799">
        <v>5.0</v>
      </c>
      <c r="L132" s="778" t="s">
        <v>526</v>
      </c>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t="17.25" hidden="1" customHeight="1" outlineLevel="1">
      <c r="A133" s="684"/>
      <c r="B133" s="752"/>
      <c r="C133" s="753"/>
      <c r="D133" s="753"/>
      <c r="E133" s="753"/>
      <c r="F133" s="753"/>
      <c r="G133" s="754"/>
      <c r="H133" s="753"/>
      <c r="I133" s="753"/>
      <c r="J133" s="753"/>
      <c r="K133" s="753"/>
      <c r="L133" s="778" t="s">
        <v>522</v>
      </c>
      <c r="M133" s="778" t="s">
        <v>675</v>
      </c>
      <c r="N133" s="753"/>
      <c r="O133" s="756"/>
      <c r="Q133" s="751"/>
      <c r="R133" s="684"/>
      <c r="S133" s="242" t="str">
        <f t="array" ref="S133">IFERROR(INDEX('💻シート作成'!$D$6:$D1001, MATCH(T133, '💻シート作成'!$E$6:$E1001, 0)), "")</f>
        <v/>
      </c>
      <c r="T133" s="190"/>
      <c r="U133" s="687"/>
      <c r="V133" s="802"/>
      <c r="W133" s="684"/>
      <c r="X133" s="780"/>
      <c r="Y133" s="684"/>
      <c r="Z133" s="684"/>
    </row>
    <row r="134" ht="17.25" hidden="1" customHeight="1" outlineLevel="1">
      <c r="A134" s="684"/>
      <c r="B134" s="752"/>
      <c r="C134" s="753"/>
      <c r="D134" s="753"/>
      <c r="E134" s="753"/>
      <c r="F134" s="753"/>
      <c r="G134" s="754"/>
      <c r="H134" s="753"/>
      <c r="I134" s="753"/>
      <c r="J134" s="753"/>
      <c r="K134" s="753"/>
      <c r="L134" s="778" t="s">
        <v>196</v>
      </c>
      <c r="M134" s="778" t="s">
        <v>676</v>
      </c>
      <c r="N134" s="753"/>
      <c r="O134" s="756"/>
      <c r="Q134" s="751"/>
      <c r="R134" s="684"/>
      <c r="S134" s="242" t="str">
        <f t="array" ref="S134">IFERROR(INDEX('💻シート作成'!$D$6:$D1001, MATCH(T134, '💻シート作成'!$E$6:$E1001, 0)), "")</f>
        <v/>
      </c>
      <c r="T134" s="190"/>
      <c r="U134" s="687"/>
      <c r="V134" s="802"/>
      <c r="W134" s="684"/>
      <c r="X134" s="780"/>
      <c r="Y134" s="684"/>
      <c r="Z134" s="684"/>
    </row>
    <row r="135" ht="17.25" hidden="1" customHeight="1" outlineLevel="1">
      <c r="A135" s="684"/>
      <c r="B135" s="752"/>
      <c r="C135" s="753"/>
      <c r="D135" s="753"/>
      <c r="E135" s="753"/>
      <c r="F135" s="753"/>
      <c r="G135" s="754"/>
      <c r="H135" s="753"/>
      <c r="I135" s="753"/>
      <c r="J135" s="753"/>
      <c r="K135" s="753"/>
      <c r="L135" s="778" t="s">
        <v>110</v>
      </c>
      <c r="M135" s="778" t="s">
        <v>677</v>
      </c>
      <c r="N135" s="753"/>
      <c r="O135" s="756"/>
      <c r="Q135" s="751"/>
      <c r="R135" s="684"/>
      <c r="S135" s="242" t="str">
        <f t="array" ref="S135">IFERROR(INDEX('💻シート作成'!$D$6:$D1001, MATCH(T135, '💻シート作成'!$E$6:$E1001, 0)), "")</f>
        <v/>
      </c>
      <c r="T135" s="190"/>
      <c r="U135" s="687"/>
      <c r="V135" s="802"/>
      <c r="W135" s="684"/>
      <c r="X135" s="780"/>
      <c r="Y135" s="684"/>
      <c r="Z135" s="684"/>
    </row>
    <row r="136" ht="17.25" hidden="1" customHeight="1" outlineLevel="1">
      <c r="A136" s="684"/>
      <c r="B136" s="752"/>
      <c r="C136" s="753"/>
      <c r="D136" s="753"/>
      <c r="E136" s="753"/>
      <c r="F136" s="753"/>
      <c r="G136" s="754"/>
      <c r="H136" s="753"/>
      <c r="I136" s="753"/>
      <c r="J136" s="753"/>
      <c r="K136" s="753"/>
      <c r="L136" s="778" t="s">
        <v>637</v>
      </c>
      <c r="M136" s="778" t="s">
        <v>678</v>
      </c>
      <c r="N136" s="753"/>
      <c r="O136" s="756"/>
      <c r="Q136" s="751"/>
      <c r="R136" s="684"/>
      <c r="S136" s="242" t="str">
        <f t="array" ref="S136">IFERROR(INDEX('💻シート作成'!$D$6:$D1001, MATCH(T136, '💻シート作成'!$E$6:$E1001, 0)), "")</f>
        <v/>
      </c>
      <c r="T136" s="190"/>
      <c r="U136" s="687"/>
      <c r="V136" s="802"/>
      <c r="W136" s="684"/>
      <c r="X136" s="780"/>
      <c r="Y136" s="684"/>
      <c r="Z136" s="684"/>
    </row>
    <row r="137" ht="17.25" hidden="1" customHeight="1" outlineLevel="1">
      <c r="A137" s="684"/>
      <c r="B137" s="752"/>
      <c r="C137" s="753"/>
      <c r="D137" s="753"/>
      <c r="E137" s="753"/>
      <c r="F137" s="753"/>
      <c r="G137" s="754"/>
      <c r="H137" s="753"/>
      <c r="I137" s="753"/>
      <c r="J137" s="753"/>
      <c r="K137" s="753"/>
      <c r="L137" s="778"/>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t="17.25" hidden="1" customHeight="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t="17.25" hidden="1" customHeight="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t="17.25" hidden="1" customHeight="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t="17.25" hidden="1" customHeight="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t="31.5" hidden="1" customHeight="1" outlineLevel="1">
      <c r="A142" s="684"/>
      <c r="B142" s="761"/>
      <c r="C142" s="720"/>
      <c r="D142" s="720"/>
      <c r="E142" s="720"/>
      <c r="F142" s="781" t="s">
        <v>560</v>
      </c>
      <c r="G142" s="782" t="s">
        <v>679</v>
      </c>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idden="1" outlineLevel="1">
      <c r="A143" s="684"/>
      <c r="B143" s="784"/>
      <c r="C143" s="785">
        <f>IF(C132="","",IF(DAY(C132+1)=1,"",C132+1))</f>
        <v>46125</v>
      </c>
      <c r="D143" s="786" t="str">
        <f>TEXT(C143,"ddd")</f>
        <v>月</v>
      </c>
      <c r="E143" s="787"/>
      <c r="F143" s="788" t="s">
        <v>108</v>
      </c>
      <c r="G143" s="789"/>
      <c r="H143" s="790"/>
      <c r="I143" s="791">
        <v>0.6666666666666666</v>
      </c>
      <c r="J143" s="790">
        <v>14.0</v>
      </c>
      <c r="K143" s="790">
        <v>6.0</v>
      </c>
      <c r="L143" s="792" t="s">
        <v>515</v>
      </c>
      <c r="M143" s="792" t="s">
        <v>680</v>
      </c>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t="85.5" hidden="1" customHeight="1" outlineLevel="1">
      <c r="A144" s="684"/>
      <c r="B144" s="752"/>
      <c r="C144" s="753"/>
      <c r="D144" s="753"/>
      <c r="E144" s="753"/>
      <c r="F144" s="753"/>
      <c r="G144" s="951" t="s">
        <v>681</v>
      </c>
      <c r="H144" s="753"/>
      <c r="I144" s="753"/>
      <c r="J144" s="753"/>
      <c r="K144" s="753"/>
      <c r="L144" s="792" t="s">
        <v>110</v>
      </c>
      <c r="M144" s="792" t="s">
        <v>682</v>
      </c>
      <c r="N144" s="753"/>
      <c r="O144" s="756"/>
      <c r="Q144" s="751"/>
      <c r="R144" s="684"/>
      <c r="S144" s="242" t="str">
        <f t="array" ref="S144">IFERROR(INDEX('💻シート作成'!$D$6:$D1001, MATCH(T144, '💻シート作成'!$E$6:$E1001, 0)), "")</f>
        <v/>
      </c>
      <c r="T144" s="190"/>
      <c r="U144" s="687"/>
      <c r="V144" s="802"/>
      <c r="W144" s="684"/>
      <c r="X144" s="780"/>
      <c r="Y144" s="684"/>
      <c r="Z144" s="684"/>
    </row>
    <row r="145" hidden="1" outlineLevel="1">
      <c r="A145" s="684"/>
      <c r="B145" s="752"/>
      <c r="C145" s="753"/>
      <c r="D145" s="753"/>
      <c r="E145" s="753"/>
      <c r="F145" s="753"/>
      <c r="G145" s="951"/>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t="234.0" hidden="1" customHeight="1" outlineLevel="1">
      <c r="A146" s="684"/>
      <c r="B146" s="752"/>
      <c r="C146" s="753"/>
      <c r="D146" s="753"/>
      <c r="E146" s="753"/>
      <c r="F146" s="753"/>
      <c r="G146" s="951" t="s">
        <v>683</v>
      </c>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idden="1" outlineLevel="1">
      <c r="A147" s="684"/>
      <c r="B147" s="752"/>
      <c r="C147" s="753"/>
      <c r="D147" s="753"/>
      <c r="E147" s="753"/>
      <c r="F147" s="753"/>
      <c r="G147" s="951"/>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t="301.5" hidden="1" customHeight="1" outlineLevel="1">
      <c r="A148" s="684"/>
      <c r="B148" s="752"/>
      <c r="C148" s="753"/>
      <c r="D148" s="753"/>
      <c r="E148" s="753"/>
      <c r="F148" s="753"/>
      <c r="G148" s="951" t="s">
        <v>684</v>
      </c>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idden="1" outlineLevel="1">
      <c r="A149" s="684"/>
      <c r="B149" s="752"/>
      <c r="C149" s="753"/>
      <c r="D149" s="753"/>
      <c r="E149" s="753"/>
      <c r="F149" s="753"/>
      <c r="G149" s="951"/>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t="45.0" hidden="1" customHeight="1" outlineLevel="1">
      <c r="A150" s="684"/>
      <c r="B150" s="752"/>
      <c r="C150" s="753"/>
      <c r="D150" s="753"/>
      <c r="E150" s="753"/>
      <c r="F150" s="753"/>
      <c r="G150" s="951" t="s">
        <v>685</v>
      </c>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idden="1" outlineLevel="1">
      <c r="A151" s="684"/>
      <c r="B151" s="752"/>
      <c r="C151" s="753"/>
      <c r="D151" s="753"/>
      <c r="E151" s="753"/>
      <c r="F151" s="753"/>
      <c r="G151" s="951"/>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idden="1" outlineLevel="1">
      <c r="A152" s="684"/>
      <c r="B152" s="752"/>
      <c r="C152" s="753"/>
      <c r="D152" s="753"/>
      <c r="E152" s="753"/>
      <c r="F152" s="720"/>
      <c r="G152" s="952"/>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t="45.0" hidden="1" customHeight="1" outlineLevel="1">
      <c r="A153" s="684"/>
      <c r="B153" s="761"/>
      <c r="C153" s="720"/>
      <c r="D153" s="720"/>
      <c r="E153" s="720"/>
      <c r="F153" s="762" t="s">
        <v>560</v>
      </c>
      <c r="G153" s="763" t="s">
        <v>686</v>
      </c>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t="27.75" hidden="1" customHeight="1" outlineLevel="1">
      <c r="A154" s="684"/>
      <c r="B154" s="766"/>
      <c r="C154" s="767">
        <f>IF(C143="","",IF(DAY(C143+1)=1,"",C143+1))</f>
        <v>46126</v>
      </c>
      <c r="D154" s="768" t="str">
        <f>TEXT(C154,"ddd")</f>
        <v>火</v>
      </c>
      <c r="E154" s="769"/>
      <c r="F154" s="797" t="s">
        <v>557</v>
      </c>
      <c r="G154" s="789" t="s">
        <v>687</v>
      </c>
      <c r="H154" s="799"/>
      <c r="I154" s="800">
        <v>0.6458333333333334</v>
      </c>
      <c r="J154" s="799">
        <v>14.0</v>
      </c>
      <c r="K154" s="799">
        <v>6.0</v>
      </c>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t="27.75" hidden="1" customHeight="1" outlineLevel="1">
      <c r="A155" s="684"/>
      <c r="B155" s="752"/>
      <c r="C155" s="753"/>
      <c r="D155" s="753"/>
      <c r="E155" s="753"/>
      <c r="F155" s="753"/>
      <c r="G155" s="754"/>
      <c r="H155" s="753"/>
      <c r="I155" s="753"/>
      <c r="J155" s="753"/>
      <c r="K155" s="753"/>
      <c r="L155" s="778"/>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t="27.75" hidden="1" customHeight="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t="27.75" hidden="1" customHeight="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t="27.75" hidden="1" customHeight="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t="27.75" hidden="1" customHeight="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t="27.75" hidden="1" customHeight="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t="27.75" hidden="1" customHeight="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t="27.75" hidden="1" customHeight="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t="27.75" hidden="1" customHeight="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t="45.0" hidden="1" customHeight="1" outlineLevel="1">
      <c r="A164" s="684"/>
      <c r="B164" s="761"/>
      <c r="C164" s="720"/>
      <c r="D164" s="720"/>
      <c r="E164" s="720"/>
      <c r="F164" s="781" t="s">
        <v>560</v>
      </c>
      <c r="G164" s="782" t="s">
        <v>688</v>
      </c>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t="26.25" hidden="1" customHeight="1" outlineLevel="1">
      <c r="A165" s="684"/>
      <c r="B165" s="784"/>
      <c r="C165" s="785">
        <f>IF(C154="","",IF(DAY(C154+1)=1,"",C154+1))</f>
        <v>46127</v>
      </c>
      <c r="D165" s="786" t="str">
        <f>TEXT(C165,"ddd")</f>
        <v>水</v>
      </c>
      <c r="E165" s="787"/>
      <c r="F165" s="788" t="s">
        <v>557</v>
      </c>
      <c r="G165" s="789" t="s">
        <v>689</v>
      </c>
      <c r="H165" s="790"/>
      <c r="I165" s="791">
        <v>0.6666666666666666</v>
      </c>
      <c r="J165" s="790">
        <v>16.0</v>
      </c>
      <c r="K165" s="790">
        <v>5.0</v>
      </c>
      <c r="L165" s="792" t="s">
        <v>637</v>
      </c>
      <c r="M165" s="792"/>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t="26.25" hidden="1" customHeight="1" outlineLevel="1">
      <c r="A166" s="684"/>
      <c r="B166" s="752"/>
      <c r="C166" s="753"/>
      <c r="D166" s="753"/>
      <c r="E166" s="753"/>
      <c r="F166" s="753"/>
      <c r="G166" s="754"/>
      <c r="H166" s="753"/>
      <c r="I166" s="753"/>
      <c r="J166" s="753"/>
      <c r="K166" s="753"/>
      <c r="L166" s="792" t="s">
        <v>196</v>
      </c>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t="26.25" hidden="1" customHeight="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t="26.25" hidden="1" customHeight="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t="26.25" hidden="1" customHeight="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t="26.25" hidden="1" customHeight="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t="26.25" hidden="1" customHeight="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t="26.25" hidden="1" customHeight="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t="26.25" hidden="1" customHeight="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t="26.25" hidden="1" customHeight="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t="18.0" hidden="1" customHeight="1" outlineLevel="1">
      <c r="A175" s="684"/>
      <c r="B175" s="761"/>
      <c r="C175" s="720"/>
      <c r="D175" s="720"/>
      <c r="E175" s="720"/>
      <c r="F175" s="762" t="s">
        <v>560</v>
      </c>
      <c r="G175" s="763" t="s">
        <v>690</v>
      </c>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t="27.75" customHeight="1" outlineLevel="1">
      <c r="A177" s="684"/>
      <c r="B177" s="766"/>
      <c r="C177" s="767">
        <f>IF(C165="","",IF(DAY(C165+1)=1,"",C165+1))</f>
        <v>46128</v>
      </c>
      <c r="D177" s="768" t="str">
        <f>TEXT(C177,"ddd")</f>
        <v>木</v>
      </c>
      <c r="E177" s="769"/>
      <c r="F177" s="797" t="s">
        <v>557</v>
      </c>
      <c r="G177" s="798" t="s">
        <v>691</v>
      </c>
      <c r="H177" s="799"/>
      <c r="I177" s="800">
        <v>0.6458333333333334</v>
      </c>
      <c r="J177" s="799">
        <v>18.0</v>
      </c>
      <c r="K177" s="799">
        <v>6.0</v>
      </c>
      <c r="L177" s="778" t="s">
        <v>511</v>
      </c>
      <c r="M177" s="778" t="s">
        <v>692</v>
      </c>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t="27.75" customHeight="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t="27.75" customHeight="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t="27.75" customHeight="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t="27.75" customHeight="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t="27.75" customHeight="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t="27.75" customHeight="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t="27.75" customHeight="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t="27.75" customHeight="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t="27.75" customHeight="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t="72.0" customHeight="1" outlineLevel="1">
      <c r="A187" s="684"/>
      <c r="B187" s="761"/>
      <c r="C187" s="720"/>
      <c r="D187" s="720"/>
      <c r="E187" s="720"/>
      <c r="F187" s="781" t="s">
        <v>560</v>
      </c>
      <c r="G187" s="782" t="s">
        <v>693</v>
      </c>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outlineLevel="1">
      <c r="A188" s="684"/>
      <c r="B188" s="784"/>
      <c r="C188" s="785">
        <f>IF(C177="","",IF(DAY(C177+1)=1,"",C177+1))</f>
        <v>46129</v>
      </c>
      <c r="D188" s="786" t="str">
        <f>TEXT(C188,"ddd")</f>
        <v>金</v>
      </c>
      <c r="E188" s="787"/>
      <c r="F188" s="788" t="s">
        <v>108</v>
      </c>
      <c r="G188" s="789"/>
      <c r="H188" s="790">
        <v>1.0</v>
      </c>
      <c r="I188" s="791">
        <v>0.625</v>
      </c>
      <c r="J188" s="790">
        <v>18.0</v>
      </c>
      <c r="K188" s="790">
        <v>8.0</v>
      </c>
      <c r="L188" s="792" t="s">
        <v>110</v>
      </c>
      <c r="M188" s="792" t="s">
        <v>694</v>
      </c>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t="99.0" customHeight="1" outlineLevel="1">
      <c r="A189" s="684"/>
      <c r="B189" s="752"/>
      <c r="C189" s="753"/>
      <c r="D189" s="753"/>
      <c r="E189" s="753"/>
      <c r="F189" s="753"/>
      <c r="G189" s="951" t="s">
        <v>695</v>
      </c>
      <c r="H189" s="753"/>
      <c r="I189" s="753"/>
      <c r="J189" s="753"/>
      <c r="K189" s="753"/>
      <c r="L189" s="792" t="s">
        <v>186</v>
      </c>
      <c r="M189" s="792" t="s">
        <v>696</v>
      </c>
      <c r="N189" s="753"/>
      <c r="O189" s="756"/>
      <c r="Q189" s="751"/>
      <c r="R189" s="684"/>
      <c r="S189" s="242" t="str">
        <f t="array" ref="S189">IFERROR(INDEX('💻シート作成'!$D$6:$D1001, MATCH(T189, '💻シート作成'!$E$6:$E1001, 0)), "")</f>
        <v/>
      </c>
      <c r="T189" s="190"/>
      <c r="U189" s="687"/>
      <c r="V189" s="802"/>
      <c r="W189" s="684"/>
      <c r="X189" s="780"/>
      <c r="Y189" s="684"/>
      <c r="Z189" s="684"/>
    </row>
    <row r="190" outlineLevel="1">
      <c r="A190" s="684"/>
      <c r="B190" s="752"/>
      <c r="C190" s="753"/>
      <c r="D190" s="753"/>
      <c r="E190" s="753"/>
      <c r="F190" s="753"/>
      <c r="G190" s="951"/>
      <c r="H190" s="753"/>
      <c r="I190" s="753"/>
      <c r="J190" s="753"/>
      <c r="K190" s="753"/>
      <c r="L190" s="792"/>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t="207.0" customHeight="1" outlineLevel="1">
      <c r="A191" s="684"/>
      <c r="B191" s="752"/>
      <c r="C191" s="753"/>
      <c r="D191" s="753"/>
      <c r="E191" s="753"/>
      <c r="F191" s="753"/>
      <c r="G191" s="951" t="s">
        <v>697</v>
      </c>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outlineLevel="1">
      <c r="A192" s="684"/>
      <c r="B192" s="752"/>
      <c r="C192" s="753"/>
      <c r="D192" s="753"/>
      <c r="E192" s="753"/>
      <c r="F192" s="753"/>
      <c r="G192" s="951"/>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t="99.0" customHeight="1" outlineLevel="1">
      <c r="A193" s="684"/>
      <c r="B193" s="752"/>
      <c r="C193" s="753"/>
      <c r="D193" s="753"/>
      <c r="E193" s="753"/>
      <c r="F193" s="753"/>
      <c r="G193" s="951" t="s">
        <v>698</v>
      </c>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outlineLevel="1">
      <c r="A194" s="684"/>
      <c r="B194" s="752"/>
      <c r="C194" s="753"/>
      <c r="D194" s="753"/>
      <c r="E194" s="753"/>
      <c r="F194" s="753"/>
      <c r="G194" s="951"/>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outlineLevel="1">
      <c r="A195" s="684"/>
      <c r="B195" s="752"/>
      <c r="C195" s="753"/>
      <c r="D195" s="753"/>
      <c r="E195" s="753"/>
      <c r="F195" s="753"/>
      <c r="G195" s="951"/>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outlineLevel="1">
      <c r="A196" s="684"/>
      <c r="B196" s="752"/>
      <c r="C196" s="753"/>
      <c r="D196" s="753"/>
      <c r="E196" s="753"/>
      <c r="F196" s="753"/>
      <c r="G196" s="951"/>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outlineLevel="1">
      <c r="A197" s="684"/>
      <c r="B197" s="752"/>
      <c r="C197" s="753"/>
      <c r="D197" s="753"/>
      <c r="E197" s="753"/>
      <c r="F197" s="720"/>
      <c r="G197" s="952"/>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t="31.5" customHeight="1" outlineLevel="1">
      <c r="A198" s="684"/>
      <c r="B198" s="761"/>
      <c r="C198" s="720"/>
      <c r="D198" s="720"/>
      <c r="E198" s="720"/>
      <c r="F198" s="762" t="s">
        <v>560</v>
      </c>
      <c r="G198" s="763" t="s">
        <v>699</v>
      </c>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outlineLevel="1">
      <c r="A199" s="684"/>
      <c r="B199" s="766"/>
      <c r="C199" s="767">
        <f>IF(C188="","",IF(DAY(C188+1)=1,"",C188+1))</f>
        <v>46130</v>
      </c>
      <c r="D199" s="768" t="str">
        <f>TEXT(C199,"ddd")</f>
        <v>土</v>
      </c>
      <c r="E199" s="769"/>
      <c r="F199" s="797" t="s">
        <v>557</v>
      </c>
      <c r="G199" s="798" t="s">
        <v>700</v>
      </c>
      <c r="H199" s="799"/>
      <c r="I199" s="800">
        <v>0.625</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t="20.25" customHeight="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t="31.5" customHeight="1" outlineLevel="1">
      <c r="A209" s="684"/>
      <c r="B209" s="761"/>
      <c r="C209" s="720"/>
      <c r="D209" s="720"/>
      <c r="E209" s="720"/>
      <c r="F209" s="781" t="s">
        <v>560</v>
      </c>
      <c r="G209" s="782" t="s">
        <v>701</v>
      </c>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t="30.75" customHeight="1" outlineLevel="1">
      <c r="A210" s="684"/>
      <c r="B210" s="784"/>
      <c r="C210" s="785">
        <f>IF(C199="","",IF(DAY(C199+1)=1,"",C199+1))</f>
        <v>46131</v>
      </c>
      <c r="D210" s="786" t="str">
        <f>TEXT(C210,"ddd")</f>
        <v>日</v>
      </c>
      <c r="E210" s="787"/>
      <c r="F210" s="788" t="s">
        <v>557</v>
      </c>
      <c r="G210" s="789" t="s">
        <v>702</v>
      </c>
      <c r="H210" s="790"/>
      <c r="I210" s="791">
        <v>0.6666666666666666</v>
      </c>
      <c r="J210" s="790">
        <v>13.0</v>
      </c>
      <c r="K210" s="790">
        <v>5.0</v>
      </c>
      <c r="L210" s="792" t="s">
        <v>526</v>
      </c>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t="30.75" customHeight="1" outlineLevel="1">
      <c r="A211" s="684"/>
      <c r="B211" s="752"/>
      <c r="C211" s="753"/>
      <c r="D211" s="753"/>
      <c r="E211" s="753"/>
      <c r="F211" s="753"/>
      <c r="G211" s="754"/>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t="30.75" customHeight="1" outlineLevel="1">
      <c r="A212" s="684"/>
      <c r="B212" s="752"/>
      <c r="C212" s="753"/>
      <c r="D212" s="753"/>
      <c r="E212" s="753"/>
      <c r="F212" s="753"/>
      <c r="G212" s="754"/>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t="30.75" customHeight="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t="30.75" customHeight="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t="30.75" customHeight="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t="30.75" customHeight="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t="30.75" customHeight="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t="30.75" customHeight="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t="30.75" customHeight="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t="31.5" customHeight="1" outlineLevel="1">
      <c r="A220" s="684"/>
      <c r="B220" s="761"/>
      <c r="C220" s="720"/>
      <c r="D220" s="720"/>
      <c r="E220" s="720"/>
      <c r="F220" s="762" t="s">
        <v>560</v>
      </c>
      <c r="G220" s="763" t="s">
        <v>703</v>
      </c>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t="31.5" customHeight="1" outlineLevel="1">
      <c r="A221" s="684"/>
      <c r="B221" s="766"/>
      <c r="C221" s="767">
        <f>IF(C210="","",IF(DAY(C210+1)=1,"",C210+1))</f>
        <v>46132</v>
      </c>
      <c r="D221" s="768" t="str">
        <f>TEXT(C221,"ddd")</f>
        <v>月</v>
      </c>
      <c r="E221" s="769"/>
      <c r="F221" s="797" t="s">
        <v>557</v>
      </c>
      <c r="G221" s="798" t="s">
        <v>704</v>
      </c>
      <c r="H221" s="799"/>
      <c r="I221" s="800">
        <v>0.65625</v>
      </c>
      <c r="J221" s="799">
        <v>15.0</v>
      </c>
      <c r="K221" s="799">
        <v>5.0</v>
      </c>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t="31.5" customHeight="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t="31.5" customHeight="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t="31.5" customHeight="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t="31.5" customHeight="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t="31.5" customHeight="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t="31.5" customHeight="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t="31.5" customHeight="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t="31.5" customHeight="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t="31.5" customHeight="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t="45.0" customHeight="1" outlineLevel="1">
      <c r="A231" s="684"/>
      <c r="B231" s="761"/>
      <c r="C231" s="720"/>
      <c r="D231" s="720"/>
      <c r="E231" s="720"/>
      <c r="F231" s="781" t="s">
        <v>560</v>
      </c>
      <c r="G231" s="782" t="s">
        <v>705</v>
      </c>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 r="A232" s="684"/>
      <c r="B232" s="803" t="s">
        <v>587</v>
      </c>
      <c r="C232" s="804"/>
      <c r="D232" s="804"/>
      <c r="E232" s="804"/>
      <c r="F232" s="805"/>
      <c r="G232" s="953"/>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outlineLevel="1">
      <c r="A233" s="684"/>
      <c r="B233" s="784"/>
      <c r="C233" s="785">
        <f>IF(C221="","",IF(DAY(C221+1)=1,"",C221+1))</f>
        <v>46133</v>
      </c>
      <c r="D233" s="786" t="str">
        <f>TEXT(C233,"ddd")</f>
        <v>火</v>
      </c>
      <c r="E233" s="787"/>
      <c r="F233" s="788" t="s">
        <v>108</v>
      </c>
      <c r="G233" s="789"/>
      <c r="H233" s="790"/>
      <c r="I233" s="791">
        <v>0.6770833333333334</v>
      </c>
      <c r="J233" s="790">
        <v>15.0</v>
      </c>
      <c r="K233" s="790">
        <v>5.0</v>
      </c>
      <c r="L233" s="792" t="s">
        <v>144</v>
      </c>
      <c r="M233" s="792" t="s">
        <v>706</v>
      </c>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t="166.5" customHeight="1" outlineLevel="1">
      <c r="A234" s="684"/>
      <c r="B234" s="752"/>
      <c r="C234" s="753"/>
      <c r="D234" s="753"/>
      <c r="E234" s="753"/>
      <c r="F234" s="753"/>
      <c r="G234" s="951" t="s">
        <v>707</v>
      </c>
      <c r="H234" s="753"/>
      <c r="I234" s="753"/>
      <c r="J234" s="753"/>
      <c r="K234" s="753"/>
      <c r="L234" s="792" t="s">
        <v>637</v>
      </c>
      <c r="M234" s="792" t="s">
        <v>708</v>
      </c>
      <c r="N234" s="753"/>
      <c r="O234" s="756"/>
      <c r="Q234" s="751"/>
      <c r="R234" s="684"/>
      <c r="S234" s="242" t="str">
        <f t="array" ref="S234">IFERROR(INDEX('💻シート作成'!$D$6:$D1001, MATCH(T234, '💻シート作成'!$E$6:$E1001, 0)), "")</f>
        <v/>
      </c>
      <c r="T234" s="190"/>
      <c r="U234" s="687"/>
      <c r="V234" s="802"/>
      <c r="W234" s="684"/>
      <c r="X234" s="780"/>
      <c r="Y234" s="684"/>
      <c r="Z234" s="684"/>
    </row>
    <row r="235" outlineLevel="1">
      <c r="A235" s="684"/>
      <c r="B235" s="752"/>
      <c r="C235" s="753"/>
      <c r="D235" s="753"/>
      <c r="E235" s="753"/>
      <c r="F235" s="753"/>
      <c r="G235" s="951"/>
      <c r="H235" s="753"/>
      <c r="I235" s="753"/>
      <c r="J235" s="753"/>
      <c r="K235" s="753"/>
      <c r="L235" s="792" t="s">
        <v>110</v>
      </c>
      <c r="M235" s="792" t="s">
        <v>709</v>
      </c>
      <c r="N235" s="753"/>
      <c r="O235" s="756"/>
      <c r="Q235" s="751"/>
      <c r="R235" s="684"/>
      <c r="S235" s="242" t="str">
        <f t="array" ref="S235">IFERROR(INDEX('💻シート作成'!$D$6:$D1001, MATCH(T235, '💻シート作成'!$E$6:$E1001, 0)), "")</f>
        <v/>
      </c>
      <c r="T235" s="190"/>
      <c r="U235" s="687"/>
      <c r="V235" s="802"/>
      <c r="W235" s="684"/>
      <c r="X235" s="780"/>
      <c r="Y235" s="684"/>
      <c r="Z235" s="684"/>
    </row>
    <row r="236" ht="180.0" customHeight="1" outlineLevel="1">
      <c r="A236" s="684"/>
      <c r="B236" s="752"/>
      <c r="C236" s="753"/>
      <c r="D236" s="753"/>
      <c r="E236" s="753"/>
      <c r="F236" s="753"/>
      <c r="G236" s="951" t="s">
        <v>710</v>
      </c>
      <c r="H236" s="753"/>
      <c r="I236" s="753"/>
      <c r="J236" s="753"/>
      <c r="K236" s="753"/>
      <c r="L236" s="792" t="s">
        <v>196</v>
      </c>
      <c r="M236" s="792" t="s">
        <v>711</v>
      </c>
      <c r="N236" s="753"/>
      <c r="O236" s="756"/>
      <c r="Q236" s="751"/>
      <c r="R236" s="684"/>
      <c r="S236" s="242" t="str">
        <f t="array" ref="S236">IFERROR(INDEX('💻シート作成'!$D$6:$D1001, MATCH(T236, '💻シート作成'!$E$6:$E1001, 0)), "")</f>
        <v/>
      </c>
      <c r="T236" s="190"/>
      <c r="U236" s="687"/>
      <c r="V236" s="802"/>
      <c r="W236" s="684"/>
      <c r="X236" s="780"/>
      <c r="Y236" s="684"/>
      <c r="Z236" s="684"/>
    </row>
    <row r="237" outlineLevel="1">
      <c r="A237" s="684"/>
      <c r="B237" s="752"/>
      <c r="C237" s="753"/>
      <c r="D237" s="753"/>
      <c r="E237" s="753"/>
      <c r="F237" s="753"/>
      <c r="G237" s="951"/>
      <c r="H237" s="753"/>
      <c r="I237" s="753"/>
      <c r="J237" s="753"/>
      <c r="K237" s="753"/>
      <c r="L237" s="792" t="s">
        <v>525</v>
      </c>
      <c r="M237" s="792" t="s">
        <v>712</v>
      </c>
      <c r="N237" s="753"/>
      <c r="O237" s="756"/>
      <c r="Q237" s="751"/>
      <c r="R237" s="684"/>
      <c r="S237" s="242" t="str">
        <f t="array" ref="S237">IFERROR(INDEX('💻シート作成'!$D$6:$D1001, MATCH(T237, '💻シート作成'!$E$6:$E1001, 0)), "")</f>
        <v/>
      </c>
      <c r="T237" s="190"/>
      <c r="U237" s="687"/>
      <c r="V237" s="802"/>
      <c r="W237" s="684"/>
      <c r="X237" s="780"/>
      <c r="Y237" s="684"/>
      <c r="Z237" s="684"/>
    </row>
    <row r="238" ht="126.0" customHeight="1" outlineLevel="1">
      <c r="A238" s="684"/>
      <c r="B238" s="752"/>
      <c r="C238" s="753"/>
      <c r="D238" s="753"/>
      <c r="E238" s="753"/>
      <c r="F238" s="753"/>
      <c r="G238" s="951" t="s">
        <v>713</v>
      </c>
      <c r="H238" s="753"/>
      <c r="I238" s="753"/>
      <c r="J238" s="753"/>
      <c r="K238" s="753"/>
      <c r="L238" s="792" t="s">
        <v>523</v>
      </c>
      <c r="M238" s="792" t="s">
        <v>712</v>
      </c>
      <c r="N238" s="753"/>
      <c r="O238" s="756"/>
      <c r="Q238" s="751"/>
      <c r="R238" s="684"/>
      <c r="S238" s="242" t="str">
        <f t="array" ref="S238">IFERROR(INDEX('💻シート作成'!$D$6:$D1001, MATCH(T238, '💻シート作成'!$E$6:$E1001, 0)), "")</f>
        <v/>
      </c>
      <c r="T238" s="190"/>
      <c r="U238" s="687"/>
      <c r="V238" s="802"/>
      <c r="W238" s="684"/>
      <c r="X238" s="780"/>
      <c r="Y238" s="684"/>
      <c r="Z238" s="684"/>
    </row>
    <row r="239" outlineLevel="1">
      <c r="A239" s="684"/>
      <c r="B239" s="752"/>
      <c r="C239" s="753"/>
      <c r="D239" s="753"/>
      <c r="E239" s="753"/>
      <c r="F239" s="753"/>
      <c r="G239" s="951"/>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t="18.0" customHeight="1" outlineLevel="1">
      <c r="A240" s="684"/>
      <c r="B240" s="752"/>
      <c r="C240" s="753"/>
      <c r="D240" s="753"/>
      <c r="E240" s="753"/>
      <c r="F240" s="753"/>
      <c r="G240" s="951" t="s">
        <v>714</v>
      </c>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outlineLevel="1">
      <c r="A241" s="684"/>
      <c r="B241" s="752"/>
      <c r="C241" s="753"/>
      <c r="D241" s="753"/>
      <c r="E241" s="753"/>
      <c r="F241" s="753"/>
      <c r="G241" s="951"/>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outlineLevel="1">
      <c r="A242" s="684"/>
      <c r="B242" s="752"/>
      <c r="C242" s="753"/>
      <c r="D242" s="753"/>
      <c r="E242" s="753"/>
      <c r="F242" s="720"/>
      <c r="G242" s="952"/>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t="31.5" customHeight="1" outlineLevel="1">
      <c r="A243" s="684"/>
      <c r="B243" s="761"/>
      <c r="C243" s="720"/>
      <c r="D243" s="720"/>
      <c r="E243" s="720"/>
      <c r="F243" s="762" t="s">
        <v>560</v>
      </c>
      <c r="G243" s="763" t="s">
        <v>715</v>
      </c>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t="27.75" customHeight="1" outlineLevel="1">
      <c r="A244" s="684"/>
      <c r="B244" s="766"/>
      <c r="C244" s="767">
        <f>IF(C233="","",IF(DAY(C233+1)=1,"",C233+1))</f>
        <v>46134</v>
      </c>
      <c r="D244" s="768" t="str">
        <f>TEXT(C244,"ddd")</f>
        <v>水</v>
      </c>
      <c r="E244" s="769"/>
      <c r="F244" s="797" t="s">
        <v>169</v>
      </c>
      <c r="G244" s="798" t="s">
        <v>716</v>
      </c>
      <c r="H244" s="799"/>
      <c r="I244" s="791">
        <v>0.6666666666666666</v>
      </c>
      <c r="J244" s="768"/>
      <c r="K244" s="768"/>
      <c r="L244" s="778" t="s">
        <v>637</v>
      </c>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t="27.75" customHeight="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t="78.0" customHeight="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t="27.75" customHeight="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t="83.25" customHeight="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t="27.75" customHeight="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t="27.75" customHeight="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t="27.75" customHeight="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t="27.75" customHeight="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t="27.75" customHeight="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t="31.5" customHeight="1" outlineLevel="1">
      <c r="A254" s="684"/>
      <c r="B254" s="761"/>
      <c r="C254" s="720"/>
      <c r="D254" s="720"/>
      <c r="E254" s="720"/>
      <c r="F254" s="781" t="s">
        <v>560</v>
      </c>
      <c r="G254" s="782" t="s">
        <v>717</v>
      </c>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t="26.25" customHeight="1" outlineLevel="1">
      <c r="A255" s="684"/>
      <c r="B255" s="784"/>
      <c r="C255" s="785">
        <f>IF(C244="","",IF(DAY(C244+1)=1,"",C244+1))</f>
        <v>46135</v>
      </c>
      <c r="D255" s="786" t="str">
        <f>TEXT(C255,"ddd")</f>
        <v>木</v>
      </c>
      <c r="E255" s="787"/>
      <c r="F255" s="788" t="s">
        <v>557</v>
      </c>
      <c r="G255" s="798" t="s">
        <v>718</v>
      </c>
      <c r="H255" s="790"/>
      <c r="I255" s="791">
        <v>0.625</v>
      </c>
      <c r="J255" s="790">
        <v>13.0</v>
      </c>
      <c r="K255" s="790">
        <v>6.0</v>
      </c>
      <c r="L255" s="792" t="s">
        <v>512</v>
      </c>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t="26.25" customHeight="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t="26.25" customHeight="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t="26.25" customHeight="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t="26.25" customHeight="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t="26.25" customHeight="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t="26.25" customHeight="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t="26.25" customHeight="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t="26.25" customHeight="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t="26.25" customHeight="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t="31.5" customHeight="1" outlineLevel="1">
      <c r="A265" s="684"/>
      <c r="B265" s="761"/>
      <c r="C265" s="720"/>
      <c r="D265" s="720"/>
      <c r="E265" s="720"/>
      <c r="F265" s="762" t="s">
        <v>560</v>
      </c>
      <c r="G265" s="763" t="s">
        <v>719</v>
      </c>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t="22.5" customHeight="1" outlineLevel="1">
      <c r="A266" s="684"/>
      <c r="B266" s="766"/>
      <c r="C266" s="767">
        <f>IF(C255="","",IF(DAY(C255+1)=1,"",C255+1))</f>
        <v>46136</v>
      </c>
      <c r="D266" s="768" t="str">
        <f>TEXT(C266,"ddd")</f>
        <v>金</v>
      </c>
      <c r="E266" s="769"/>
      <c r="F266" s="797" t="s">
        <v>557</v>
      </c>
      <c r="G266" s="798" t="s">
        <v>720</v>
      </c>
      <c r="H266" s="799"/>
      <c r="I266" s="800">
        <v>0.6458333333333334</v>
      </c>
      <c r="J266" s="799">
        <v>16.0</v>
      </c>
      <c r="K266" s="799">
        <v>6.0</v>
      </c>
      <c r="L266" s="778" t="s">
        <v>511</v>
      </c>
      <c r="M266" s="778" t="s">
        <v>721</v>
      </c>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t="22.5" customHeight="1" outlineLevel="1">
      <c r="A267" s="684"/>
      <c r="B267" s="752"/>
      <c r="C267" s="753"/>
      <c r="D267" s="753"/>
      <c r="E267" s="753"/>
      <c r="F267" s="753"/>
      <c r="G267" s="754"/>
      <c r="H267" s="753"/>
      <c r="I267" s="753"/>
      <c r="J267" s="753"/>
      <c r="K267" s="753"/>
      <c r="L267" s="778" t="s">
        <v>507</v>
      </c>
      <c r="M267" s="778" t="s">
        <v>721</v>
      </c>
      <c r="N267" s="753"/>
      <c r="O267" s="756"/>
      <c r="Q267" s="751"/>
      <c r="R267" s="684"/>
      <c r="S267" s="242" t="str">
        <f t="array" ref="S267">IFERROR(INDEX('💻シート作成'!$D$6:$D1001, MATCH(T267, '💻シート作成'!$E$6:$E1001, 0)), "")</f>
        <v/>
      </c>
      <c r="T267" s="190"/>
      <c r="U267" s="687"/>
      <c r="V267" s="802"/>
      <c r="W267" s="684"/>
      <c r="X267" s="780"/>
      <c r="Y267" s="684"/>
      <c r="Z267" s="684"/>
    </row>
    <row r="268" ht="22.5" customHeight="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t="22.5" customHeight="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t="22.5" customHeight="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t="22.5" customHeight="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t="22.5" customHeight="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t="22.5" customHeight="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t="22.5" customHeight="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t="22.5" customHeight="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t="31.5" customHeight="1" outlineLevel="1">
      <c r="A276" s="684"/>
      <c r="B276" s="761"/>
      <c r="C276" s="720"/>
      <c r="D276" s="720"/>
      <c r="E276" s="720"/>
      <c r="F276" s="781" t="s">
        <v>560</v>
      </c>
      <c r="G276" s="782" t="s">
        <v>722</v>
      </c>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outlineLevel="1">
      <c r="A277" s="684"/>
      <c r="B277" s="784"/>
      <c r="C277" s="785">
        <f>IF(C266="","",IF(DAY(C266+1)=1,"",C266+1))</f>
        <v>46137</v>
      </c>
      <c r="D277" s="786" t="str">
        <f>TEXT(C277,"ddd")</f>
        <v>土</v>
      </c>
      <c r="E277" s="787"/>
      <c r="F277" s="788" t="s">
        <v>108</v>
      </c>
      <c r="G277" s="789"/>
      <c r="H277" s="790"/>
      <c r="I277" s="791">
        <v>0.5833333333333334</v>
      </c>
      <c r="J277" s="790">
        <v>17.0</v>
      </c>
      <c r="K277" s="790">
        <v>6.0</v>
      </c>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t="180.0" customHeight="1" outlineLevel="1">
      <c r="A278" s="684"/>
      <c r="B278" s="752"/>
      <c r="C278" s="753"/>
      <c r="D278" s="753"/>
      <c r="E278" s="753"/>
      <c r="F278" s="753"/>
      <c r="G278" s="951" t="s">
        <v>723</v>
      </c>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outlineLevel="1">
      <c r="A279" s="684"/>
      <c r="B279" s="752"/>
      <c r="C279" s="753"/>
      <c r="D279" s="753"/>
      <c r="E279" s="753"/>
      <c r="F279" s="753"/>
      <c r="G279" s="951"/>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t="193.5" customHeight="1" outlineLevel="1">
      <c r="A280" s="684"/>
      <c r="B280" s="752"/>
      <c r="C280" s="753"/>
      <c r="D280" s="753"/>
      <c r="E280" s="753"/>
      <c r="F280" s="753"/>
      <c r="G280" s="951" t="s">
        <v>724</v>
      </c>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t="58.5" customHeight="1" outlineLevel="1">
      <c r="A281" s="684"/>
      <c r="B281" s="752"/>
      <c r="C281" s="753"/>
      <c r="D281" s="753"/>
      <c r="E281" s="753"/>
      <c r="F281" s="753"/>
      <c r="G281" s="951" t="s">
        <v>725</v>
      </c>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t="126.0" customHeight="1" outlineLevel="1">
      <c r="A282" s="684"/>
      <c r="B282" s="752"/>
      <c r="C282" s="753"/>
      <c r="D282" s="753"/>
      <c r="E282" s="753"/>
      <c r="F282" s="753"/>
      <c r="G282" s="951" t="s">
        <v>726</v>
      </c>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outlineLevel="1">
      <c r="A283" s="684"/>
      <c r="B283" s="752"/>
      <c r="C283" s="753"/>
      <c r="D283" s="753"/>
      <c r="E283" s="753"/>
      <c r="F283" s="753"/>
      <c r="G283" s="951"/>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outlineLevel="1">
      <c r="A284" s="684"/>
      <c r="B284" s="752"/>
      <c r="C284" s="753"/>
      <c r="D284" s="753"/>
      <c r="E284" s="753"/>
      <c r="F284" s="753"/>
      <c r="G284" s="951"/>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outlineLevel="1">
      <c r="A285" s="684"/>
      <c r="B285" s="752"/>
      <c r="C285" s="753"/>
      <c r="D285" s="753"/>
      <c r="E285" s="753"/>
      <c r="F285" s="753"/>
      <c r="G285" s="951"/>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outlineLevel="1">
      <c r="A286" s="684"/>
      <c r="B286" s="752"/>
      <c r="C286" s="753"/>
      <c r="D286" s="753"/>
      <c r="E286" s="753"/>
      <c r="F286" s="720"/>
      <c r="G286" s="952"/>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t="31.5" customHeight="1" outlineLevel="1">
      <c r="A287" s="684"/>
      <c r="B287" s="761"/>
      <c r="C287" s="720"/>
      <c r="D287" s="720"/>
      <c r="E287" s="720"/>
      <c r="F287" s="762" t="s">
        <v>560</v>
      </c>
      <c r="G287" s="763" t="s">
        <v>727</v>
      </c>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outlineLevel="1">
      <c r="A289" s="684"/>
      <c r="B289" s="766"/>
      <c r="C289" s="767">
        <f>IF(C277="","",IF(DAY(C277+1)=1,"",C277+1))</f>
        <v>46138</v>
      </c>
      <c r="D289" s="768" t="str">
        <f>TEXT(C289,"ddd")</f>
        <v>日</v>
      </c>
      <c r="E289" s="769"/>
      <c r="F289" s="797" t="s">
        <v>557</v>
      </c>
      <c r="G289" s="798" t="s">
        <v>728</v>
      </c>
      <c r="H289" s="799"/>
      <c r="I289" s="800">
        <v>0.6666666666666666</v>
      </c>
      <c r="J289" s="768"/>
      <c r="K289" s="768"/>
      <c r="L289" s="778"/>
      <c r="M289" s="778"/>
      <c r="N289" s="797"/>
      <c r="O289" s="801"/>
      <c r="P289" s="794"/>
      <c r="Q289" s="795"/>
      <c r="R289" s="684"/>
      <c r="S289" s="684"/>
      <c r="T289" s="684"/>
      <c r="U289" s="687"/>
      <c r="V289" s="688"/>
      <c r="W289" s="684"/>
      <c r="X289" s="684"/>
      <c r="Y289" s="684"/>
      <c r="Z289" s="684"/>
    </row>
    <row r="290" outlineLevel="1">
      <c r="A290" s="684"/>
      <c r="B290" s="752"/>
      <c r="C290" s="753"/>
      <c r="D290" s="753"/>
      <c r="E290" s="753"/>
      <c r="F290" s="753"/>
      <c r="G290" s="754"/>
      <c r="H290" s="753"/>
      <c r="I290" s="753"/>
      <c r="J290" s="753"/>
      <c r="K290" s="753"/>
      <c r="L290" s="778" t="s">
        <v>191</v>
      </c>
      <c r="M290" s="778"/>
      <c r="N290" s="753"/>
      <c r="O290" s="756"/>
      <c r="Q290" s="751"/>
      <c r="R290" s="684"/>
      <c r="S290" s="684"/>
      <c r="T290" s="684"/>
      <c r="U290" s="687"/>
      <c r="V290" s="688"/>
      <c r="W290" s="684"/>
      <c r="X290" s="684"/>
      <c r="Y290" s="684"/>
      <c r="Z290" s="684"/>
    </row>
    <row r="291" outlineLevel="1">
      <c r="A291" s="684"/>
      <c r="B291" s="752"/>
      <c r="C291" s="753"/>
      <c r="D291" s="753"/>
      <c r="E291" s="753"/>
      <c r="F291" s="753"/>
      <c r="G291" s="754"/>
      <c r="H291" s="753"/>
      <c r="I291" s="753"/>
      <c r="J291" s="753"/>
      <c r="K291" s="753"/>
      <c r="L291" s="778"/>
      <c r="M291" s="778"/>
      <c r="N291" s="753"/>
      <c r="O291" s="756"/>
      <c r="Q291" s="751"/>
      <c r="R291" s="684"/>
      <c r="S291" s="684"/>
      <c r="T291" s="684"/>
      <c r="U291" s="687"/>
      <c r="V291" s="688"/>
      <c r="W291" s="684"/>
      <c r="X291" s="684"/>
      <c r="Y291" s="684"/>
      <c r="Z291" s="684"/>
    </row>
    <row r="292"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t="66.75" customHeight="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outlineLevel="1">
      <c r="A300" s="684"/>
      <c r="B300" s="784"/>
      <c r="C300" s="785">
        <f>IF(C289="","",IF(DAY(C289+1)=1,"",C289+1))</f>
        <v>46139</v>
      </c>
      <c r="D300" s="786" t="str">
        <f>TEXT(C300,"ddd")</f>
        <v>月</v>
      </c>
      <c r="E300" s="787"/>
      <c r="F300" s="788" t="s">
        <v>557</v>
      </c>
      <c r="G300" s="789"/>
      <c r="H300" s="790"/>
      <c r="I300" s="791">
        <v>0.0</v>
      </c>
      <c r="J300" s="786"/>
      <c r="K300" s="786"/>
      <c r="L300" s="792"/>
      <c r="M300" s="792"/>
      <c r="N300" s="788"/>
      <c r="O300" s="793"/>
      <c r="P300" s="794"/>
      <c r="Q300" s="795"/>
      <c r="R300" s="684"/>
      <c r="S300" s="684"/>
      <c r="T300" s="684"/>
      <c r="U300" s="687"/>
      <c r="V300" s="688"/>
      <c r="W300" s="684"/>
      <c r="X300" s="684"/>
      <c r="Y300" s="684"/>
      <c r="Z300" s="684"/>
    </row>
    <row r="301" outlineLevel="1">
      <c r="A301" s="684"/>
      <c r="B301" s="752"/>
      <c r="C301" s="753"/>
      <c r="D301" s="753"/>
      <c r="E301" s="753"/>
      <c r="F301" s="753"/>
      <c r="G301" s="754"/>
      <c r="H301" s="753"/>
      <c r="I301" s="753"/>
      <c r="J301" s="753"/>
      <c r="K301" s="753"/>
      <c r="L301" s="792"/>
      <c r="M301" s="792"/>
      <c r="N301" s="753"/>
      <c r="O301" s="756"/>
      <c r="Q301" s="751"/>
      <c r="R301" s="684"/>
      <c r="S301" s="684"/>
      <c r="T301" s="684"/>
      <c r="U301" s="687"/>
      <c r="V301" s="688"/>
      <c r="W301" s="684"/>
      <c r="X301" s="684"/>
      <c r="Y301" s="684"/>
      <c r="Z301" s="684"/>
    </row>
    <row r="302" outlineLevel="1">
      <c r="A302" s="684"/>
      <c r="B302" s="752"/>
      <c r="C302" s="753"/>
      <c r="D302" s="753"/>
      <c r="E302" s="753"/>
      <c r="F302" s="753"/>
      <c r="G302" s="754"/>
      <c r="H302" s="753"/>
      <c r="I302" s="753"/>
      <c r="J302" s="753"/>
      <c r="K302" s="753"/>
      <c r="L302" s="792"/>
      <c r="M302" s="792"/>
      <c r="N302" s="753"/>
      <c r="O302" s="756"/>
      <c r="Q302" s="751"/>
      <c r="R302" s="684"/>
      <c r="S302" s="684"/>
      <c r="T302" s="684"/>
      <c r="U302" s="687"/>
      <c r="V302" s="688"/>
      <c r="W302" s="684"/>
      <c r="X302" s="684"/>
      <c r="Y302" s="684"/>
      <c r="Z302" s="684"/>
    </row>
    <row r="303" outlineLevel="1">
      <c r="A303" s="684"/>
      <c r="B303" s="752"/>
      <c r="C303" s="753"/>
      <c r="D303" s="753"/>
      <c r="E303" s="753"/>
      <c r="F303" s="753"/>
      <c r="G303" s="754"/>
      <c r="H303" s="753"/>
      <c r="I303" s="753"/>
      <c r="J303" s="753"/>
      <c r="K303" s="753"/>
      <c r="L303" s="796"/>
      <c r="M303" s="792"/>
      <c r="N303" s="753"/>
      <c r="O303" s="756"/>
      <c r="Q303" s="751"/>
      <c r="R303" s="684"/>
      <c r="S303" s="684"/>
      <c r="T303" s="684"/>
      <c r="U303" s="687"/>
      <c r="V303" s="688"/>
      <c r="W303" s="684"/>
      <c r="X303" s="684"/>
      <c r="Y303" s="684"/>
      <c r="Z303" s="684"/>
    </row>
    <row r="304" outlineLevel="1">
      <c r="A304" s="684"/>
      <c r="B304" s="752"/>
      <c r="C304" s="753"/>
      <c r="D304" s="753"/>
      <c r="E304" s="753"/>
      <c r="F304" s="753"/>
      <c r="G304" s="754"/>
      <c r="H304" s="753"/>
      <c r="I304" s="753"/>
      <c r="J304" s="753"/>
      <c r="K304" s="753"/>
      <c r="L304" s="796"/>
      <c r="M304" s="792"/>
      <c r="N304" s="753"/>
      <c r="O304" s="756"/>
      <c r="Q304" s="751"/>
      <c r="R304" s="684"/>
      <c r="S304" s="684"/>
      <c r="T304" s="684"/>
      <c r="U304" s="687"/>
      <c r="V304" s="688"/>
      <c r="W304" s="684"/>
      <c r="X304" s="684"/>
      <c r="Y304" s="684"/>
      <c r="Z304" s="684"/>
    </row>
    <row r="305" outlineLevel="1">
      <c r="A305" s="684"/>
      <c r="B305" s="752"/>
      <c r="C305" s="753"/>
      <c r="D305" s="753"/>
      <c r="E305" s="753"/>
      <c r="F305" s="753"/>
      <c r="G305" s="754"/>
      <c r="H305" s="753"/>
      <c r="I305" s="753"/>
      <c r="J305" s="753"/>
      <c r="K305" s="753"/>
      <c r="L305" s="796"/>
      <c r="M305" s="792"/>
      <c r="N305" s="753"/>
      <c r="O305" s="756"/>
      <c r="Q305" s="751"/>
      <c r="R305" s="684"/>
      <c r="S305" s="684"/>
      <c r="T305" s="684"/>
      <c r="U305" s="687"/>
      <c r="V305" s="688"/>
      <c r="W305" s="684"/>
      <c r="X305" s="684"/>
      <c r="Y305" s="684"/>
      <c r="Z305" s="684"/>
    </row>
    <row r="306" outlineLevel="1">
      <c r="A306" s="684"/>
      <c r="B306" s="752"/>
      <c r="C306" s="753"/>
      <c r="D306" s="753"/>
      <c r="E306" s="753"/>
      <c r="F306" s="753"/>
      <c r="G306" s="754"/>
      <c r="H306" s="753"/>
      <c r="I306" s="753"/>
      <c r="J306" s="753"/>
      <c r="K306" s="753"/>
      <c r="L306" s="796"/>
      <c r="M306" s="792"/>
      <c r="N306" s="753"/>
      <c r="O306" s="756"/>
      <c r="Q306" s="751"/>
      <c r="R306" s="684"/>
      <c r="S306" s="684"/>
      <c r="T306" s="684"/>
      <c r="U306" s="687"/>
      <c r="V306" s="688"/>
      <c r="W306" s="684"/>
      <c r="X306" s="684"/>
      <c r="Y306" s="684"/>
      <c r="Z306" s="684"/>
    </row>
    <row r="307" outlineLevel="1">
      <c r="A307" s="684"/>
      <c r="B307" s="752"/>
      <c r="C307" s="753"/>
      <c r="D307" s="753"/>
      <c r="E307" s="753"/>
      <c r="F307" s="753"/>
      <c r="G307" s="754"/>
      <c r="H307" s="753"/>
      <c r="I307" s="753"/>
      <c r="J307" s="753"/>
      <c r="K307" s="753"/>
      <c r="L307" s="796"/>
      <c r="M307" s="792"/>
      <c r="N307" s="753"/>
      <c r="O307" s="756"/>
      <c r="Q307" s="751"/>
      <c r="R307" s="684"/>
      <c r="S307" s="684"/>
      <c r="T307" s="684"/>
      <c r="U307" s="687"/>
      <c r="V307" s="688"/>
      <c r="W307" s="684"/>
      <c r="X307" s="684"/>
      <c r="Y307" s="684"/>
      <c r="Z307" s="684"/>
    </row>
    <row r="308"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outlineLevel="1">
      <c r="A311" s="684"/>
      <c r="B311" s="766"/>
      <c r="C311" s="767">
        <f>IF(C300="","",IF(DAY(C300+1)=1,"",C300+1))</f>
        <v>46140</v>
      </c>
      <c r="D311" s="768" t="str">
        <f>TEXT(C311,"ddd")</f>
        <v>火</v>
      </c>
      <c r="E311" s="769"/>
      <c r="F311" s="797" t="s">
        <v>557</v>
      </c>
      <c r="G311" s="798"/>
      <c r="H311" s="799"/>
      <c r="I311" s="800">
        <v>0.0</v>
      </c>
      <c r="J311" s="768"/>
      <c r="K311" s="768"/>
      <c r="L311" s="778"/>
      <c r="M311" s="778"/>
      <c r="N311" s="797"/>
      <c r="O311" s="801"/>
      <c r="P311" s="794"/>
      <c r="Q311" s="795"/>
      <c r="R311" s="684"/>
      <c r="S311" s="684"/>
      <c r="T311" s="684"/>
      <c r="U311" s="687"/>
      <c r="V311" s="688"/>
      <c r="W311" s="684"/>
      <c r="X311" s="684"/>
      <c r="Y311" s="684"/>
      <c r="Z311" s="684"/>
    </row>
    <row r="312"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outlineLevel="1">
      <c r="A322" s="684"/>
      <c r="B322" s="784"/>
      <c r="C322" s="785">
        <f>IF(C311="","",IF(DAY(C311+1)=1,"",C311+1))</f>
        <v>46141</v>
      </c>
      <c r="D322" s="786" t="str">
        <f>TEXT(C322,"ddd")</f>
        <v>水</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outlineLevel="1">
      <c r="A333" s="684"/>
      <c r="B333" s="766"/>
      <c r="C333" s="767">
        <f>IF(C322="","",IF(DAY(C322+1)=1,"",C322+1))</f>
        <v>46142</v>
      </c>
      <c r="D333" s="768" t="str">
        <f>TEXT(C333,"ddd")</f>
        <v>木</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19">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33</v>
      </c>
      <c r="C5" s="832" t="s">
        <v>83</v>
      </c>
      <c r="D5" s="833"/>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"),"①R8_4集計")</f>
        <v>①R8_4集計</v>
      </c>
      <c r="F8" s="525"/>
      <c r="G8" s="237"/>
      <c r="H8" s="237"/>
      <c r="I8" s="214"/>
      <c r="J8" s="837"/>
      <c r="K8" s="821"/>
      <c r="L8" s="850"/>
      <c r="M8" s="261"/>
      <c r="N8" s="261"/>
      <c r="O8" s="261"/>
      <c r="P8" s="261"/>
      <c r="Q8" s="261"/>
      <c r="R8" s="261"/>
      <c r="S8" s="263"/>
      <c r="U8" s="850"/>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0.1790809024</v>
      </c>
      <c r="D10" s="856">
        <f t="array" ref="D10">INDIRECT($E$8 &amp; "!E8")</f>
        <v>0.6653403586</v>
      </c>
      <c r="E10" s="856">
        <f t="array" ref="E10">INDIRECT($E$8 &amp; "!G8")</f>
        <v>0.756993007</v>
      </c>
      <c r="F10" s="857">
        <f t="array" ref="F10">INDIRECT($E$8 &amp; "!H8")</f>
        <v>5190976</v>
      </c>
      <c r="G10" s="857">
        <f t="array" ref="G10">INDIRECT($E$8 &amp; "!K8")</f>
        <v>0</v>
      </c>
      <c r="H10" s="857">
        <f t="array" ref="H10">INDIRECT($E$8 &amp; "!M8")</f>
        <v>929604.6667</v>
      </c>
      <c r="I10" s="856">
        <f t="array" ref="I10">INDIRECT($E$8 &amp; "!AT7")</f>
        <v>0.0004767959313</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0.1916385016</v>
      </c>
      <c r="D11" s="860"/>
      <c r="E11" s="861"/>
      <c r="F11" s="862">
        <f t="array" ref="F11">INDIRECT($E$8 &amp; "!H7")</f>
        <v>5780662.5</v>
      </c>
      <c r="G11" s="860"/>
      <c r="H11" s="863">
        <f t="array" ref="H11">INDIRECT($E$8 &amp; "!M7")</f>
        <v>1107797.5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0.0005070993915</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0</v>
      </c>
      <c r="G15" s="873">
        <f t="array" ref="G15">xlookup($B$5,'🔵クレーム'!$C$10:$C$21,'🔵クレーム'!I$10:I$21)</f>
        <v>2</v>
      </c>
      <c r="H15" s="873">
        <f t="array" ref="H15">xlookup($B$5,'🔵クレーム'!$C$10:$C$21,'🔵クレーム'!J$10:J$21)</f>
        <v>0</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3</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c r="C21" s="884"/>
      <c r="D21" s="884"/>
      <c r="E21" s="884"/>
      <c r="F21" s="885"/>
      <c r="G21" s="885"/>
      <c r="H21" s="885"/>
      <c r="I21" s="886">
        <f>sum(B21:G21)</f>
        <v>0</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c r="M22" s="261"/>
      <c r="N22" s="261"/>
      <c r="O22" s="261"/>
      <c r="P22" s="261"/>
      <c r="Q22" s="261"/>
      <c r="R22" s="261"/>
      <c r="S22" s="263"/>
      <c r="U22" s="850"/>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c r="F26" s="246"/>
      <c r="G26" s="246"/>
      <c r="H26" s="895"/>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c r="F27" s="246"/>
      <c r="G27" s="246"/>
      <c r="H27" s="895"/>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0</v>
      </c>
      <c r="E64" s="882"/>
      <c r="F64" s="882"/>
      <c r="G64" s="882"/>
      <c r="H64" s="882"/>
      <c r="I64" s="882"/>
      <c r="J64" s="822"/>
      <c r="K64" s="821"/>
      <c r="L64" s="850"/>
      <c r="M64" s="261"/>
      <c r="N64" s="261"/>
      <c r="O64" s="261"/>
      <c r="P64" s="261"/>
      <c r="Q64" s="261"/>
      <c r="R64" s="261"/>
      <c r="S64" s="263"/>
      <c r="U64" s="850"/>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c r="D66" s="905"/>
      <c r="E66" s="926"/>
      <c r="F66" s="910"/>
      <c r="G66" s="905"/>
      <c r="H66" s="927"/>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13"/>
      <c r="D67" s="905"/>
      <c r="E67" s="926"/>
      <c r="F67" s="910"/>
      <c r="G67" s="905"/>
      <c r="H67" s="927"/>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13"/>
      <c r="D68" s="905"/>
      <c r="E68" s="926"/>
      <c r="F68" s="910"/>
      <c r="G68" s="905"/>
      <c r="H68" s="927"/>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13"/>
      <c r="D69" s="905"/>
      <c r="E69" s="926"/>
      <c r="F69" s="910"/>
      <c r="G69" s="905"/>
      <c r="H69" s="927"/>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46082.0</v>
      </c>
      <c r="E5" s="73"/>
      <c r="F5" s="318" t="s">
        <v>326</v>
      </c>
      <c r="G5" s="319">
        <f>DAY(EOMONTH(D5,0))</f>
        <v>31</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343</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46082</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394</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IFERROR(__xludf.DUMMYFUNCTION("IMPORTRANGE(""https://docs.google.com/spreadsheets/d/1QbHfX9wvC_RRupa4CCe_ZxA6O4e2Ap9vqX5hrZPeQRg/edit?gid=284905409#gid=284905409"",""date2_1!C21"")/G5*COUNTIFS($E$13:$E$43,""&gt;0"")+sum(AZ14:BA19)"),810000.0)</f>
        <v>810000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19"/>
      <c r="P26" s="419"/>
      <c r="Q26" s="419"/>
      <c r="R26" s="419"/>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19"/>
      <c r="K30" s="419"/>
      <c r="L30" s="418">
        <v>5.0</v>
      </c>
      <c r="M30" s="418">
        <v>16.0</v>
      </c>
      <c r="N30" s="419"/>
      <c r="O30" s="418">
        <v>3.0</v>
      </c>
      <c r="P30" s="419"/>
      <c r="Q30" s="418">
        <v>1.0</v>
      </c>
      <c r="R30" s="418">
        <v>1.0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414</v>
      </c>
      <c r="AZ30" s="443">
        <f>AS46</f>
        <v>5847350</v>
      </c>
      <c r="BA30" s="454" t="s">
        <v>164</v>
      </c>
      <c r="BB30" s="441">
        <f>SUM(AZ30:AZ36)</f>
        <v>6795930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424</v>
      </c>
      <c r="AZ36" s="422">
        <f>BB40</f>
        <v>550300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729</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19"/>
      <c r="L41" s="418">
        <v>8.0</v>
      </c>
      <c r="M41" s="418">
        <v>15.0</v>
      </c>
      <c r="N41" s="418">
        <v>1.0</v>
      </c>
      <c r="O41" s="418">
        <v>5.0</v>
      </c>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730</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19"/>
      <c r="L42" s="418">
        <v>6.0</v>
      </c>
      <c r="M42" s="418">
        <v>16.0</v>
      </c>
      <c r="N42" s="418">
        <v>0.0</v>
      </c>
      <c r="O42" s="418">
        <v>0.0</v>
      </c>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731</v>
      </c>
      <c r="AZ42" s="474">
        <v>250000.0</v>
      </c>
      <c r="BA42" s="469">
        <v>3.0</v>
      </c>
      <c r="BB42" s="444"/>
      <c r="BC42" s="311"/>
      <c r="BD42" s="473" t="s">
        <v>731</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19"/>
      <c r="L43" s="418">
        <v>7.0</v>
      </c>
      <c r="M43" s="418">
        <v>16.0</v>
      </c>
      <c r="N43" s="418">
        <v>1.0</v>
      </c>
      <c r="O43" s="418">
        <v>0.0</v>
      </c>
      <c r="P43" s="419"/>
      <c r="Q43" s="419"/>
      <c r="R43" s="418">
        <v>2.0</v>
      </c>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732</v>
      </c>
      <c r="O2" s="533"/>
      <c r="P2" s="534"/>
      <c r="Q2" s="535"/>
      <c r="R2" s="535"/>
      <c r="S2" s="536"/>
      <c r="T2" s="535"/>
      <c r="U2" s="535"/>
      <c r="V2" s="535"/>
      <c r="W2" s="535"/>
      <c r="X2" s="535"/>
      <c r="Y2" s="537"/>
      <c r="Z2" s="296"/>
      <c r="AA2" s="296"/>
      <c r="AB2" s="296"/>
      <c r="AC2" s="296"/>
      <c r="AD2" s="296"/>
      <c r="AE2" s="296"/>
      <c r="AF2" s="538"/>
      <c r="AG2" s="539"/>
      <c r="AH2" s="540"/>
      <c r="AI2" s="541" t="s">
        <v>733</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46139</v>
      </c>
      <c r="C7" s="613"/>
      <c r="D7" s="528"/>
      <c r="E7" s="614">
        <f>today()+1</f>
        <v>46140</v>
      </c>
      <c r="F7" s="615"/>
      <c r="G7" s="528"/>
      <c r="H7" s="528"/>
      <c r="I7" s="616" t="s">
        <v>473</v>
      </c>
      <c r="J7" s="617" t="s">
        <v>474</v>
      </c>
      <c r="K7" s="618">
        <v>46082.0</v>
      </c>
      <c r="L7" s="619" t="s">
        <v>475</v>
      </c>
      <c r="M7" s="620" t="s">
        <v>476</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月</v>
      </c>
      <c r="D8" s="214"/>
      <c r="E8" s="629" t="s">
        <v>348</v>
      </c>
      <c r="F8" s="630" t="str">
        <f>TEXT(E7,"ddd")</f>
        <v>火</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t="s">
        <v>447</v>
      </c>
      <c r="Q11" s="554"/>
      <c r="R11" s="554"/>
      <c r="S11" s="554" t="s">
        <v>447</v>
      </c>
      <c r="T11" s="554" t="s">
        <v>447</v>
      </c>
      <c r="U11" s="554" t="s">
        <v>447</v>
      </c>
      <c r="V11" s="554" t="s">
        <v>447</v>
      </c>
      <c r="W11" s="554" t="s">
        <v>447</v>
      </c>
      <c r="X11" s="554" t="s">
        <v>493</v>
      </c>
      <c r="Y11" s="554"/>
      <c r="Z11" s="554" t="s">
        <v>447</v>
      </c>
      <c r="AA11" s="554"/>
      <c r="AB11" s="554" t="s">
        <v>447</v>
      </c>
      <c r="AC11" s="554" t="s">
        <v>447</v>
      </c>
      <c r="AD11" s="554"/>
      <c r="AE11" s="554" t="s">
        <v>447</v>
      </c>
      <c r="AF11" s="554"/>
      <c r="AG11" s="554" t="s">
        <v>447</v>
      </c>
      <c r="AH11" s="554" t="s">
        <v>447</v>
      </c>
      <c r="AI11" s="554"/>
      <c r="AJ11" s="554"/>
      <c r="AK11" s="554" t="s">
        <v>447</v>
      </c>
      <c r="AL11" s="554" t="s">
        <v>447</v>
      </c>
      <c r="AM11" s="554" t="s">
        <v>447</v>
      </c>
      <c r="AN11" s="554"/>
      <c r="AO11" s="554" t="s">
        <v>447</v>
      </c>
      <c r="AP11" s="554"/>
      <c r="AQ11" s="554" t="s">
        <v>447</v>
      </c>
      <c r="AR11" s="554" t="s">
        <v>447</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492</v>
      </c>
      <c r="M12" s="644"/>
      <c r="N12" s="554" t="s">
        <v>447</v>
      </c>
      <c r="O12" s="554"/>
      <c r="P12" s="554" t="s">
        <v>447</v>
      </c>
      <c r="Q12" s="554" t="s">
        <v>447</v>
      </c>
      <c r="R12" s="554" t="s">
        <v>447</v>
      </c>
      <c r="S12" s="554"/>
      <c r="T12" s="554" t="s">
        <v>447</v>
      </c>
      <c r="U12" s="554" t="s">
        <v>447</v>
      </c>
      <c r="V12" s="554"/>
      <c r="W12" s="554" t="s">
        <v>447</v>
      </c>
      <c r="X12" s="554" t="s">
        <v>447</v>
      </c>
      <c r="Y12" s="554" t="s">
        <v>447</v>
      </c>
      <c r="Z12" s="554" t="s">
        <v>466</v>
      </c>
      <c r="AA12" s="554" t="s">
        <v>466</v>
      </c>
      <c r="AB12" s="554" t="s">
        <v>447</v>
      </c>
      <c r="AC12" s="554" t="s">
        <v>447</v>
      </c>
      <c r="AD12" s="554" t="s">
        <v>447</v>
      </c>
      <c r="AE12" s="554"/>
      <c r="AF12" s="554" t="s">
        <v>447</v>
      </c>
      <c r="AG12" s="554" t="s">
        <v>447</v>
      </c>
      <c r="AH12" s="554"/>
      <c r="AI12" s="554" t="s">
        <v>447</v>
      </c>
      <c r="AJ12" s="554" t="s">
        <v>447</v>
      </c>
      <c r="AK12" s="554" t="s">
        <v>447</v>
      </c>
      <c r="AL12" s="554" t="s">
        <v>462</v>
      </c>
      <c r="AM12" s="554"/>
      <c r="AN12" s="554" t="s">
        <v>447</v>
      </c>
      <c r="AO12" s="554" t="s">
        <v>447</v>
      </c>
      <c r="AP12" s="554" t="s">
        <v>447</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447</v>
      </c>
      <c r="O13" s="554" t="s">
        <v>447</v>
      </c>
      <c r="P13" s="554"/>
      <c r="Q13" s="554" t="s">
        <v>447</v>
      </c>
      <c r="R13" s="554" t="s">
        <v>447</v>
      </c>
      <c r="S13" s="554" t="s">
        <v>447</v>
      </c>
      <c r="T13" s="554"/>
      <c r="U13" s="554" t="s">
        <v>447</v>
      </c>
      <c r="V13" s="554" t="s">
        <v>447</v>
      </c>
      <c r="W13" s="554" t="s">
        <v>447</v>
      </c>
      <c r="X13" s="554" t="s">
        <v>466</v>
      </c>
      <c r="Y13" s="554" t="s">
        <v>466</v>
      </c>
      <c r="Z13" s="554" t="s">
        <v>447</v>
      </c>
      <c r="AA13" s="554" t="s">
        <v>447</v>
      </c>
      <c r="AB13" s="554" t="s">
        <v>447</v>
      </c>
      <c r="AC13" s="554"/>
      <c r="AD13" s="554" t="s">
        <v>447</v>
      </c>
      <c r="AE13" s="554" t="s">
        <v>447</v>
      </c>
      <c r="AF13" s="554" t="s">
        <v>447</v>
      </c>
      <c r="AG13" s="554"/>
      <c r="AH13" s="554" t="s">
        <v>447</v>
      </c>
      <c r="AI13" s="554" t="s">
        <v>447</v>
      </c>
      <c r="AJ13" s="554" t="s">
        <v>447</v>
      </c>
      <c r="AK13" s="554"/>
      <c r="AL13" s="554" t="s">
        <v>447</v>
      </c>
      <c r="AM13" s="554" t="s">
        <v>447</v>
      </c>
      <c r="AN13" s="554" t="s">
        <v>447</v>
      </c>
      <c r="AO13" s="554"/>
      <c r="AP13" s="554" t="s">
        <v>447</v>
      </c>
      <c r="AQ13" s="554" t="s">
        <v>447</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447</v>
      </c>
      <c r="O14" s="554" t="s">
        <v>447</v>
      </c>
      <c r="P14" s="554" t="s">
        <v>447</v>
      </c>
      <c r="Q14" s="554"/>
      <c r="R14" s="554" t="s">
        <v>466</v>
      </c>
      <c r="S14" s="554" t="s">
        <v>447</v>
      </c>
      <c r="T14" s="554" t="s">
        <v>447</v>
      </c>
      <c r="U14" s="554"/>
      <c r="V14" s="554" t="s">
        <v>447</v>
      </c>
      <c r="W14" s="554" t="s">
        <v>447</v>
      </c>
      <c r="X14" s="554" t="s">
        <v>447</v>
      </c>
      <c r="Y14" s="554" t="s">
        <v>447</v>
      </c>
      <c r="Z14" s="554"/>
      <c r="AA14" s="554" t="s">
        <v>447</v>
      </c>
      <c r="AB14" s="554" t="s">
        <v>447</v>
      </c>
      <c r="AC14" s="554" t="s">
        <v>447</v>
      </c>
      <c r="AD14" s="554"/>
      <c r="AE14" s="554"/>
      <c r="AF14" s="554" t="s">
        <v>447</v>
      </c>
      <c r="AG14" s="554" t="s">
        <v>447</v>
      </c>
      <c r="AH14" s="554"/>
      <c r="AI14" s="554" t="s">
        <v>447</v>
      </c>
      <c r="AJ14" s="554" t="s">
        <v>447</v>
      </c>
      <c r="AK14" s="554" t="s">
        <v>447</v>
      </c>
      <c r="AL14" s="554"/>
      <c r="AM14" s="554" t="s">
        <v>447</v>
      </c>
      <c r="AN14" s="554" t="s">
        <v>447</v>
      </c>
      <c r="AO14" s="554" t="s">
        <v>447</v>
      </c>
      <c r="AP14" s="554"/>
      <c r="AQ14" s="554" t="s">
        <v>447</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c r="Q15" s="554" t="s">
        <v>447</v>
      </c>
      <c r="R15" s="554" t="s">
        <v>447</v>
      </c>
      <c r="S15" s="554" t="s">
        <v>447</v>
      </c>
      <c r="T15" s="554"/>
      <c r="U15" s="554" t="s">
        <v>447</v>
      </c>
      <c r="V15" s="554" t="s">
        <v>447</v>
      </c>
      <c r="W15" s="554" t="s">
        <v>447</v>
      </c>
      <c r="X15" s="554"/>
      <c r="Y15" s="554" t="s">
        <v>466</v>
      </c>
      <c r="Z15" s="554" t="s">
        <v>447</v>
      </c>
      <c r="AA15" s="554" t="s">
        <v>447</v>
      </c>
      <c r="AB15" s="554" t="s">
        <v>447</v>
      </c>
      <c r="AC15" s="554"/>
      <c r="AD15" s="554"/>
      <c r="AE15" s="554" t="s">
        <v>447</v>
      </c>
      <c r="AF15" s="554" t="s">
        <v>447</v>
      </c>
      <c r="AG15" s="554"/>
      <c r="AH15" s="554" t="s">
        <v>447</v>
      </c>
      <c r="AI15" s="554" t="s">
        <v>447</v>
      </c>
      <c r="AJ15" s="554" t="s">
        <v>447</v>
      </c>
      <c r="AK15" s="554"/>
      <c r="AL15" s="554" t="s">
        <v>447</v>
      </c>
      <c r="AM15" s="554" t="s">
        <v>447</v>
      </c>
      <c r="AN15" s="554" t="s">
        <v>447</v>
      </c>
      <c r="AO15" s="554"/>
      <c r="AP15" s="954" t="s">
        <v>447</v>
      </c>
      <c r="AQ15" s="954" t="s">
        <v>447</v>
      </c>
      <c r="AR15" s="554" t="s">
        <v>447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447</v>
      </c>
      <c r="P17" s="554" t="s">
        <v>447</v>
      </c>
      <c r="Q17" s="554" t="s">
        <v>447</v>
      </c>
      <c r="R17" s="554" t="s">
        <v>447</v>
      </c>
      <c r="S17" s="554" t="s">
        <v>447</v>
      </c>
      <c r="T17" s="554" t="s">
        <v>447</v>
      </c>
      <c r="U17" s="554"/>
      <c r="V17" s="554" t="s">
        <v>734</v>
      </c>
      <c r="W17" s="554" t="s">
        <v>734</v>
      </c>
      <c r="X17" s="554" t="s">
        <v>447</v>
      </c>
      <c r="Y17" s="554" t="s">
        <v>447</v>
      </c>
      <c r="Z17" s="554" t="s">
        <v>447</v>
      </c>
      <c r="AA17" s="554"/>
      <c r="AB17" s="554"/>
      <c r="AC17" s="554" t="s">
        <v>447</v>
      </c>
      <c r="AD17" s="554" t="s">
        <v>447</v>
      </c>
      <c r="AE17" s="554" t="s">
        <v>447</v>
      </c>
      <c r="AF17" s="554" t="s">
        <v>447</v>
      </c>
      <c r="AG17" s="554" t="s">
        <v>447</v>
      </c>
      <c r="AH17" s="554"/>
      <c r="AI17" s="554"/>
      <c r="AJ17" s="554" t="s">
        <v>447</v>
      </c>
      <c r="AK17" s="554" t="s">
        <v>447</v>
      </c>
      <c r="AL17" s="554" t="s">
        <v>447</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c r="P18" s="554" t="s">
        <v>447</v>
      </c>
      <c r="Q18" s="554" t="s">
        <v>447</v>
      </c>
      <c r="R18" s="554"/>
      <c r="S18" s="554" t="s">
        <v>447</v>
      </c>
      <c r="T18" s="554"/>
      <c r="U18" s="554" t="s">
        <v>447</v>
      </c>
      <c r="V18" s="554" t="s">
        <v>447</v>
      </c>
      <c r="W18" s="554" t="s">
        <v>447</v>
      </c>
      <c r="X18" s="554" t="s">
        <v>447</v>
      </c>
      <c r="Y18" s="554"/>
      <c r="Z18" s="554" t="s">
        <v>447</v>
      </c>
      <c r="AA18" s="554" t="s">
        <v>447</v>
      </c>
      <c r="AB18" s="554"/>
      <c r="AC18" s="554"/>
      <c r="AD18" s="554" t="s">
        <v>447</v>
      </c>
      <c r="AE18" s="554" t="s">
        <v>447</v>
      </c>
      <c r="AF18" s="554" t="s">
        <v>447</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c r="U19" s="554" t="s">
        <v>447</v>
      </c>
      <c r="V19" s="554"/>
      <c r="W19" s="554"/>
      <c r="X19" s="554"/>
      <c r="Y19" s="554"/>
      <c r="Z19" s="554"/>
      <c r="AA19" s="554" t="s">
        <v>447</v>
      </c>
      <c r="AB19" s="554" t="s">
        <v>447</v>
      </c>
      <c r="AC19" s="554"/>
      <c r="AD19" s="554"/>
      <c r="AE19" s="554"/>
      <c r="AF19" s="554"/>
      <c r="AG19" s="554" t="s">
        <v>447</v>
      </c>
      <c r="AH19" s="554" t="s">
        <v>447</v>
      </c>
      <c r="AI19" s="554" t="s">
        <v>447</v>
      </c>
      <c r="AJ19" s="554"/>
      <c r="AK19" s="554"/>
      <c r="AL19" s="554"/>
      <c r="AM19" s="554"/>
      <c r="AN19" s="554"/>
      <c r="AO19" s="554" t="s">
        <v>447</v>
      </c>
      <c r="AP19" s="554" t="s">
        <v>447</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447</v>
      </c>
      <c r="Q20" s="554" t="s">
        <v>447</v>
      </c>
      <c r="R20" s="554"/>
      <c r="S20" s="554" t="s">
        <v>447</v>
      </c>
      <c r="T20" s="554"/>
      <c r="U20" s="640"/>
      <c r="V20" s="640"/>
      <c r="W20" s="554"/>
      <c r="X20" s="554"/>
      <c r="Y20" s="554" t="s">
        <v>447</v>
      </c>
      <c r="Z20" s="554" t="s">
        <v>447</v>
      </c>
      <c r="AA20" s="554"/>
      <c r="AB20" s="640"/>
      <c r="AC20" s="554" t="s">
        <v>447</v>
      </c>
      <c r="AD20" s="554" t="s">
        <v>447</v>
      </c>
      <c r="AE20" s="554"/>
      <c r="AF20" s="554"/>
      <c r="AG20" s="554"/>
      <c r="AH20" s="554" t="s">
        <v>447</v>
      </c>
      <c r="AI20" s="640"/>
      <c r="AJ20" s="640"/>
      <c r="AK20" s="554"/>
      <c r="AL20" s="554"/>
      <c r="AM20" s="554"/>
      <c r="AN20" s="640"/>
      <c r="AO20" s="554"/>
      <c r="AP20" s="554"/>
      <c r="AQ20" s="554" t="s">
        <v>447</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t="s">
        <v>447</v>
      </c>
      <c r="AD21" s="554"/>
      <c r="AE21" s="554" t="s">
        <v>447</v>
      </c>
      <c r="AF21" s="554" t="s">
        <v>447</v>
      </c>
      <c r="AG21" s="554" t="s">
        <v>447</v>
      </c>
      <c r="AH21" s="554" t="s">
        <v>447</v>
      </c>
      <c r="AI21" s="554"/>
      <c r="AJ21" s="554"/>
      <c r="AK21" s="554" t="s">
        <v>447</v>
      </c>
      <c r="AL21" s="554" t="s">
        <v>447</v>
      </c>
      <c r="AM21" s="554" t="s">
        <v>447</v>
      </c>
      <c r="AN21" s="554" t="s">
        <v>447</v>
      </c>
      <c r="AO21" s="554" t="s">
        <v>447</v>
      </c>
      <c r="AP21" s="554"/>
      <c r="AQ21" s="554"/>
      <c r="AR21" s="554" t="s">
        <v>447</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637</v>
      </c>
      <c r="L22" s="638"/>
      <c r="M22" s="644"/>
      <c r="N22" s="554"/>
      <c r="O22" s="554"/>
      <c r="P22" s="554"/>
      <c r="Q22" s="554"/>
      <c r="R22" s="554"/>
      <c r="S22" s="554"/>
      <c r="T22" s="554"/>
      <c r="U22" s="554"/>
      <c r="V22" s="554"/>
      <c r="W22" s="554"/>
      <c r="X22" s="554"/>
      <c r="Y22" s="554"/>
      <c r="Z22" s="554"/>
      <c r="AA22" s="554"/>
      <c r="AB22" s="554" t="s">
        <v>447</v>
      </c>
      <c r="AC22" s="554" t="s">
        <v>447</v>
      </c>
      <c r="AD22" s="554" t="s">
        <v>447</v>
      </c>
      <c r="AE22" s="554" t="s">
        <v>447</v>
      </c>
      <c r="AF22" s="554" t="s">
        <v>466</v>
      </c>
      <c r="AG22" s="554" t="s">
        <v>447</v>
      </c>
      <c r="AH22" s="554"/>
      <c r="AI22" s="554" t="s">
        <v>447</v>
      </c>
      <c r="AJ22" s="554"/>
      <c r="AK22" s="554" t="s">
        <v>447</v>
      </c>
      <c r="AL22" s="554" t="s">
        <v>447</v>
      </c>
      <c r="AM22" s="554" t="s">
        <v>466</v>
      </c>
      <c r="AN22" s="554" t="s">
        <v>447</v>
      </c>
      <c r="AO22" s="554" t="s">
        <v>447</v>
      </c>
      <c r="AP22" s="554" t="s">
        <v>447</v>
      </c>
      <c r="AQ22" s="554" t="s">
        <v>447</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495</v>
      </c>
      <c r="L23" s="638"/>
      <c r="M23" s="644"/>
      <c r="N23" s="640"/>
      <c r="O23" s="640"/>
      <c r="P23" s="640"/>
      <c r="Q23" s="640"/>
      <c r="R23" s="640"/>
      <c r="S23" s="640"/>
      <c r="T23" s="640"/>
      <c r="U23" s="640"/>
      <c r="V23" s="640"/>
      <c r="W23" s="640"/>
      <c r="X23" s="640"/>
      <c r="Y23" s="640"/>
      <c r="Z23" s="640"/>
      <c r="AA23" s="640"/>
      <c r="AB23" s="554" t="s">
        <v>447</v>
      </c>
      <c r="AC23" s="640"/>
      <c r="AD23" s="554" t="s">
        <v>447</v>
      </c>
      <c r="AE23" s="640"/>
      <c r="AF23" s="554"/>
      <c r="AG23" s="640"/>
      <c r="AH23" s="554" t="s">
        <v>447</v>
      </c>
      <c r="AI23" s="554" t="s">
        <v>466</v>
      </c>
      <c r="AJ23" s="554" t="s">
        <v>466</v>
      </c>
      <c r="AK23" s="554" t="s">
        <v>447</v>
      </c>
      <c r="AL23" s="640"/>
      <c r="AM23" s="554" t="s">
        <v>447</v>
      </c>
      <c r="AN23" s="640"/>
      <c r="AO23" s="640"/>
      <c r="AP23" s="554" t="s">
        <v>447</v>
      </c>
      <c r="AQ23" s="640"/>
      <c r="AR23" s="554" t="s">
        <v>447</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496</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267</v>
      </c>
      <c r="AL24" s="554" t="s">
        <v>267</v>
      </c>
      <c r="AM24" s="554" t="s">
        <v>267</v>
      </c>
      <c r="AN24" s="554" t="s">
        <v>267</v>
      </c>
      <c r="AO24" s="554"/>
      <c r="AP24" s="554"/>
      <c r="AQ24" s="554" t="s">
        <v>267</v>
      </c>
      <c r="AR24" s="554" t="s">
        <v>267</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5"/>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t="s">
        <v>267</v>
      </c>
      <c r="AR45" s="554" t="s">
        <v>267</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t="s">
        <v>267</v>
      </c>
      <c r="Y46" s="554"/>
      <c r="Z46" s="554" t="s">
        <v>267</v>
      </c>
      <c r="AA46" s="554"/>
      <c r="AB46" s="554"/>
      <c r="AC46" s="554" t="s">
        <v>267</v>
      </c>
      <c r="AD46" s="554"/>
      <c r="AE46" s="554" t="s">
        <v>267</v>
      </c>
      <c r="AF46" s="554" t="s">
        <v>267</v>
      </c>
      <c r="AG46" s="554"/>
      <c r="AH46" s="554"/>
      <c r="AI46" s="554"/>
      <c r="AJ46" s="554" t="s">
        <v>267</v>
      </c>
      <c r="AK46" s="554"/>
      <c r="AL46" s="554" t="s">
        <v>267</v>
      </c>
      <c r="AM46" s="554"/>
      <c r="AN46" s="554" t="s">
        <v>267</v>
      </c>
      <c r="AO46" s="554"/>
      <c r="AP46" s="554"/>
      <c r="AQ46" s="554" t="s">
        <v>267</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t="s">
        <v>466</v>
      </c>
      <c r="O47" s="554" t="s">
        <v>466</v>
      </c>
      <c r="P47" s="554" t="s">
        <v>267</v>
      </c>
      <c r="Q47" s="554" t="s">
        <v>267</v>
      </c>
      <c r="R47" s="554" t="s">
        <v>466</v>
      </c>
      <c r="S47" s="554" t="s">
        <v>267</v>
      </c>
      <c r="T47" s="554" t="s">
        <v>466</v>
      </c>
      <c r="U47" s="554" t="s">
        <v>466</v>
      </c>
      <c r="V47" s="554" t="s">
        <v>267</v>
      </c>
      <c r="W47" s="554" t="s">
        <v>466</v>
      </c>
      <c r="X47" s="554" t="s">
        <v>267</v>
      </c>
      <c r="Y47" s="554" t="s">
        <v>466</v>
      </c>
      <c r="Z47" s="554" t="s">
        <v>267</v>
      </c>
      <c r="AA47" s="554" t="s">
        <v>466</v>
      </c>
      <c r="AB47" s="554" t="s">
        <v>466</v>
      </c>
      <c r="AC47" s="554" t="s">
        <v>466</v>
      </c>
      <c r="AD47" s="554" t="s">
        <v>267</v>
      </c>
      <c r="AE47" s="554" t="s">
        <v>466</v>
      </c>
      <c r="AF47" s="554" t="s">
        <v>267</v>
      </c>
      <c r="AG47" s="554" t="s">
        <v>466</v>
      </c>
      <c r="AH47" s="554" t="s">
        <v>466</v>
      </c>
      <c r="AI47" s="554" t="s">
        <v>466</v>
      </c>
      <c r="AJ47" s="554" t="s">
        <v>267</v>
      </c>
      <c r="AK47" s="554" t="s">
        <v>466</v>
      </c>
      <c r="AL47" s="554" t="s">
        <v>267</v>
      </c>
      <c r="AM47" s="554" t="s">
        <v>466</v>
      </c>
      <c r="AN47" s="554" t="s">
        <v>267</v>
      </c>
      <c r="AO47" s="554" t="s">
        <v>466</v>
      </c>
      <c r="AP47" s="554" t="s">
        <v>466</v>
      </c>
      <c r="AQ47" s="554" t="s">
        <v>466</v>
      </c>
      <c r="AR47" s="554" t="s">
        <v>267</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558</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56" t="s">
        <v>508</v>
      </c>
      <c r="L49" s="638"/>
      <c r="M49" s="644"/>
      <c r="N49" s="663" t="s">
        <v>267</v>
      </c>
      <c r="O49" s="663" t="s">
        <v>267</v>
      </c>
      <c r="P49" s="663" t="s">
        <v>267</v>
      </c>
      <c r="Q49" s="663" t="s">
        <v>267</v>
      </c>
      <c r="R49" s="663" t="s">
        <v>267</v>
      </c>
      <c r="S49" s="554" t="s">
        <v>466</v>
      </c>
      <c r="T49" s="663" t="s">
        <v>267</v>
      </c>
      <c r="U49" s="663" t="s">
        <v>267</v>
      </c>
      <c r="V49" s="663" t="s">
        <v>267</v>
      </c>
      <c r="W49" s="663" t="s">
        <v>267</v>
      </c>
      <c r="X49" s="663" t="s">
        <v>267</v>
      </c>
      <c r="Y49" s="663" t="s">
        <v>267</v>
      </c>
      <c r="Z49" s="554" t="s">
        <v>466</v>
      </c>
      <c r="AA49" s="663" t="s">
        <v>267</v>
      </c>
      <c r="AB49" s="663" t="s">
        <v>267</v>
      </c>
      <c r="AC49" s="554" t="s">
        <v>466</v>
      </c>
      <c r="AD49" s="663"/>
      <c r="AE49" s="663" t="s">
        <v>267</v>
      </c>
      <c r="AF49" s="663" t="s">
        <v>267</v>
      </c>
      <c r="AG49" s="554"/>
      <c r="AH49" s="663" t="s">
        <v>267</v>
      </c>
      <c r="AI49" s="663" t="s">
        <v>267</v>
      </c>
      <c r="AJ49" s="662" t="s">
        <v>466</v>
      </c>
      <c r="AK49" s="662" t="s">
        <v>464</v>
      </c>
      <c r="AL49" s="662" t="s">
        <v>464</v>
      </c>
      <c r="AM49" s="662" t="s">
        <v>464</v>
      </c>
      <c r="AN49" s="554" t="s">
        <v>466</v>
      </c>
      <c r="AO49" s="662" t="s">
        <v>464</v>
      </c>
      <c r="AP49" s="662" t="s">
        <v>464</v>
      </c>
      <c r="AQ49" s="662" t="s">
        <v>464</v>
      </c>
      <c r="AR49" s="662" t="s">
        <v>464</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3" t="s">
        <v>267</v>
      </c>
      <c r="V50" s="663" t="s">
        <v>267</v>
      </c>
      <c r="W50" s="663" t="s">
        <v>267</v>
      </c>
      <c r="X50" s="554"/>
      <c r="Y50" s="554"/>
      <c r="Z50" s="554"/>
      <c r="AA50" s="554"/>
      <c r="AB50" s="640"/>
      <c r="AC50" s="640"/>
      <c r="AD50" s="640"/>
      <c r="AE50" s="554"/>
      <c r="AF50" s="554"/>
      <c r="AG50" s="554"/>
      <c r="AH50" s="554"/>
      <c r="AI50" s="554" t="s">
        <v>267</v>
      </c>
      <c r="AJ50" s="640"/>
      <c r="AK50" s="640"/>
      <c r="AL50" s="554" t="s">
        <v>267</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56" t="s">
        <v>191</v>
      </c>
      <c r="L51" s="638"/>
      <c r="M51" s="644"/>
      <c r="N51" s="663" t="s">
        <v>267</v>
      </c>
      <c r="O51" s="663" t="s">
        <v>267</v>
      </c>
      <c r="P51" s="663" t="s">
        <v>267</v>
      </c>
      <c r="Q51" s="554"/>
      <c r="R51" s="663" t="s">
        <v>267</v>
      </c>
      <c r="S51" s="663" t="s">
        <v>267</v>
      </c>
      <c r="T51" s="663" t="s">
        <v>267</v>
      </c>
      <c r="U51" s="663" t="s">
        <v>267</v>
      </c>
      <c r="V51" s="663" t="s">
        <v>267</v>
      </c>
      <c r="W51" s="663" t="s">
        <v>267</v>
      </c>
      <c r="X51" s="554"/>
      <c r="Y51" s="663" t="s">
        <v>267</v>
      </c>
      <c r="Z51" s="663" t="s">
        <v>267</v>
      </c>
      <c r="AA51" s="663" t="s">
        <v>267</v>
      </c>
      <c r="AB51" s="663" t="s">
        <v>267</v>
      </c>
      <c r="AC51" s="663" t="s">
        <v>267</v>
      </c>
      <c r="AD51" s="663" t="s">
        <v>267</v>
      </c>
      <c r="AE51" s="554" t="s">
        <v>466</v>
      </c>
      <c r="AF51" s="663" t="s">
        <v>267</v>
      </c>
      <c r="AG51" s="663" t="s">
        <v>267</v>
      </c>
      <c r="AH51" s="663" t="s">
        <v>267</v>
      </c>
      <c r="AI51" s="554" t="s">
        <v>466</v>
      </c>
      <c r="AJ51" s="663" t="s">
        <v>267</v>
      </c>
      <c r="AK51" s="662" t="s">
        <v>464</v>
      </c>
      <c r="AL51" s="663" t="s">
        <v>267</v>
      </c>
      <c r="AM51" s="663" t="s">
        <v>267</v>
      </c>
      <c r="AN51" s="663" t="s">
        <v>267</v>
      </c>
      <c r="AO51" s="663" t="s">
        <v>267</v>
      </c>
      <c r="AP51" s="554" t="s">
        <v>466</v>
      </c>
      <c r="AQ51" s="663" t="s">
        <v>267</v>
      </c>
      <c r="AR51" s="663" t="s">
        <v>267</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t="s">
        <v>267</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79" t="s">
        <v>171</v>
      </c>
      <c r="L53" s="638"/>
      <c r="M53" s="639"/>
      <c r="N53" s="554" t="s">
        <v>267</v>
      </c>
      <c r="O53" s="554" t="s">
        <v>267</v>
      </c>
      <c r="P53" s="554" t="s">
        <v>267</v>
      </c>
      <c r="Q53" s="554"/>
      <c r="R53" s="554" t="s">
        <v>267</v>
      </c>
      <c r="S53" s="554" t="s">
        <v>267</v>
      </c>
      <c r="T53" s="554" t="s">
        <v>267</v>
      </c>
      <c r="U53" s="554" t="s">
        <v>267</v>
      </c>
      <c r="V53" s="554" t="s">
        <v>267</v>
      </c>
      <c r="W53" s="554" t="s">
        <v>267</v>
      </c>
      <c r="X53" s="554"/>
      <c r="Y53" s="554" t="s">
        <v>267</v>
      </c>
      <c r="Z53" s="554" t="s">
        <v>267</v>
      </c>
      <c r="AA53" s="554" t="s">
        <v>267</v>
      </c>
      <c r="AB53" s="554" t="s">
        <v>267</v>
      </c>
      <c r="AC53" s="554" t="s">
        <v>267</v>
      </c>
      <c r="AD53" s="554" t="s">
        <v>267</v>
      </c>
      <c r="AE53" s="554"/>
      <c r="AF53" s="554" t="s">
        <v>267</v>
      </c>
      <c r="AG53" s="554" t="s">
        <v>267</v>
      </c>
      <c r="AH53" s="554" t="s">
        <v>267</v>
      </c>
      <c r="AI53" s="554" t="s">
        <v>267</v>
      </c>
      <c r="AJ53" s="554" t="s">
        <v>267</v>
      </c>
      <c r="AK53" s="554" t="s">
        <v>267</v>
      </c>
      <c r="AL53" s="554" t="s">
        <v>267</v>
      </c>
      <c r="AM53" s="554" t="s">
        <v>267</v>
      </c>
      <c r="AN53" s="554" t="s">
        <v>466</v>
      </c>
      <c r="AO53" s="554" t="s">
        <v>466</v>
      </c>
      <c r="AP53" s="554" t="s">
        <v>267</v>
      </c>
      <c r="AQ53" s="554" t="s">
        <v>267</v>
      </c>
      <c r="AR53" s="554" t="s">
        <v>267</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3">
        <v>10.0</v>
      </c>
      <c r="K54" s="674" t="s">
        <v>509</v>
      </c>
      <c r="L54" s="677"/>
      <c r="M54" s="675"/>
      <c r="N54" s="957"/>
      <c r="O54" s="677"/>
      <c r="P54" s="677"/>
      <c r="Q54" s="677"/>
      <c r="R54" s="677"/>
      <c r="S54" s="663" t="s">
        <v>267</v>
      </c>
      <c r="T54" s="958"/>
      <c r="U54" s="959" t="s">
        <v>267</v>
      </c>
      <c r="V54" s="663" t="s">
        <v>267</v>
      </c>
      <c r="W54" s="677"/>
      <c r="X54" s="677"/>
      <c r="Y54" s="677"/>
      <c r="Z54" s="663" t="s">
        <v>267</v>
      </c>
      <c r="AA54" s="663" t="s">
        <v>267</v>
      </c>
      <c r="AB54" s="957"/>
      <c r="AC54" s="663" t="s">
        <v>267</v>
      </c>
      <c r="AD54" s="677"/>
      <c r="AE54" s="663" t="s">
        <v>267</v>
      </c>
      <c r="AF54" s="677"/>
      <c r="AG54" s="663" t="s">
        <v>267</v>
      </c>
      <c r="AH54" s="960" t="s">
        <v>267</v>
      </c>
      <c r="AI54" s="957"/>
      <c r="AJ54" s="663" t="s">
        <v>267</v>
      </c>
      <c r="AK54" s="677"/>
      <c r="AL54" s="677"/>
      <c r="AM54" s="677"/>
      <c r="AN54" s="663" t="s">
        <v>267</v>
      </c>
      <c r="AO54" s="958"/>
      <c r="AP54" s="959" t="s">
        <v>267</v>
      </c>
      <c r="AQ54" s="663" t="s">
        <v>267</v>
      </c>
      <c r="AR54" s="675"/>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3">
        <v>7.0</v>
      </c>
      <c r="K55" s="674" t="s">
        <v>200</v>
      </c>
      <c r="L55" s="677"/>
      <c r="M55" s="675"/>
      <c r="N55" s="959" t="s">
        <v>267</v>
      </c>
      <c r="O55" s="663" t="s">
        <v>267</v>
      </c>
      <c r="P55" s="663" t="s">
        <v>267</v>
      </c>
      <c r="Q55" s="677"/>
      <c r="R55" s="663" t="s">
        <v>267</v>
      </c>
      <c r="S55" s="663" t="s">
        <v>267</v>
      </c>
      <c r="T55" s="961" t="s">
        <v>267</v>
      </c>
      <c r="U55" s="959" t="s">
        <v>267</v>
      </c>
      <c r="V55" s="677"/>
      <c r="W55" s="663" t="s">
        <v>267</v>
      </c>
      <c r="X55" s="677"/>
      <c r="Y55" s="663" t="s">
        <v>267</v>
      </c>
      <c r="Z55" s="663" t="s">
        <v>267</v>
      </c>
      <c r="AA55" s="961" t="s">
        <v>267</v>
      </c>
      <c r="AB55" s="959" t="s">
        <v>267</v>
      </c>
      <c r="AC55" s="663" t="s">
        <v>267</v>
      </c>
      <c r="AD55" s="663" t="s">
        <v>267</v>
      </c>
      <c r="AE55" s="662" t="s">
        <v>267</v>
      </c>
      <c r="AF55" s="663"/>
      <c r="AG55" s="663" t="s">
        <v>267</v>
      </c>
      <c r="AH55" s="961" t="s">
        <v>267</v>
      </c>
      <c r="AI55" s="959" t="s">
        <v>267</v>
      </c>
      <c r="AJ55" s="663" t="s">
        <v>267</v>
      </c>
      <c r="AK55" s="663" t="s">
        <v>267</v>
      </c>
      <c r="AL55" s="677"/>
      <c r="AM55" s="663" t="s">
        <v>267</v>
      </c>
      <c r="AN55" s="663" t="s">
        <v>267</v>
      </c>
      <c r="AO55" s="961" t="s">
        <v>267</v>
      </c>
      <c r="AP55" s="959" t="s">
        <v>267</v>
      </c>
      <c r="AQ55" s="663" t="s">
        <v>267</v>
      </c>
      <c r="AR55" s="671" t="s">
        <v>267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3">
        <v>12.0</v>
      </c>
      <c r="K56" s="674" t="s">
        <v>510</v>
      </c>
      <c r="L56" s="677"/>
      <c r="M56" s="675"/>
      <c r="N56" s="959" t="s">
        <v>267</v>
      </c>
      <c r="O56" s="663" t="s">
        <v>267</v>
      </c>
      <c r="P56" s="677"/>
      <c r="Q56" s="677"/>
      <c r="R56" s="677"/>
      <c r="S56" s="677"/>
      <c r="T56" s="958"/>
      <c r="U56" s="959" t="s">
        <v>267</v>
      </c>
      <c r="V56" s="677"/>
      <c r="W56" s="677"/>
      <c r="X56" s="677"/>
      <c r="Y56" s="677"/>
      <c r="Z56" s="677"/>
      <c r="AA56" s="958"/>
      <c r="AB56" s="959" t="s">
        <v>267</v>
      </c>
      <c r="AC56" s="663" t="s">
        <v>267</v>
      </c>
      <c r="AD56" s="677"/>
      <c r="AE56" s="677"/>
      <c r="AF56" s="677"/>
      <c r="AG56" s="677"/>
      <c r="AH56" s="958"/>
      <c r="AI56" s="959" t="s">
        <v>267</v>
      </c>
      <c r="AJ56" s="677"/>
      <c r="AK56" s="677"/>
      <c r="AL56" s="677"/>
      <c r="AM56" s="677"/>
      <c r="AN56" s="677"/>
      <c r="AO56" s="958"/>
      <c r="AP56" s="959" t="s">
        <v>267</v>
      </c>
      <c r="AQ56" s="677"/>
      <c r="AR56" s="677"/>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3">
        <v>11.0</v>
      </c>
      <c r="K57" s="674" t="s">
        <v>511</v>
      </c>
      <c r="L57" s="677"/>
      <c r="M57" s="675"/>
      <c r="N57" s="957"/>
      <c r="O57" s="677"/>
      <c r="P57" s="663" t="s">
        <v>267</v>
      </c>
      <c r="Q57" s="677"/>
      <c r="R57" s="663" t="s">
        <v>267</v>
      </c>
      <c r="S57" s="663" t="s">
        <v>267</v>
      </c>
      <c r="T57" s="961" t="s">
        <v>267</v>
      </c>
      <c r="U57" s="957"/>
      <c r="V57" s="663" t="s">
        <v>267</v>
      </c>
      <c r="W57" s="663" t="s">
        <v>267</v>
      </c>
      <c r="X57" s="677"/>
      <c r="Y57" s="663" t="s">
        <v>267</v>
      </c>
      <c r="Z57" s="663" t="s">
        <v>267</v>
      </c>
      <c r="AA57" s="962" t="s">
        <v>464</v>
      </c>
      <c r="AB57" s="957"/>
      <c r="AC57" s="677"/>
      <c r="AD57" s="663" t="s">
        <v>267</v>
      </c>
      <c r="AE57" s="677"/>
      <c r="AF57" s="597" t="s">
        <v>464</v>
      </c>
      <c r="AG57" s="662" t="s">
        <v>464</v>
      </c>
      <c r="AH57" s="961" t="s">
        <v>267</v>
      </c>
      <c r="AI57" s="957"/>
      <c r="AJ57" s="677"/>
      <c r="AK57" s="662" t="s">
        <v>464</v>
      </c>
      <c r="AL57" s="675"/>
      <c r="AM57" s="663" t="s">
        <v>267</v>
      </c>
      <c r="AN57" s="663" t="s">
        <v>267</v>
      </c>
      <c r="AO57" s="961" t="s">
        <v>267</v>
      </c>
      <c r="AP57" s="957"/>
      <c r="AQ57" s="677"/>
      <c r="AR57" s="662" t="s">
        <v>466</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3">
        <v>13.0</v>
      </c>
      <c r="K58" s="674" t="s">
        <v>512</v>
      </c>
      <c r="L58" s="677"/>
      <c r="M58" s="675"/>
      <c r="N58" s="959" t="s">
        <v>267</v>
      </c>
      <c r="O58" s="675"/>
      <c r="P58" s="677"/>
      <c r="Q58" s="677"/>
      <c r="R58" s="663" t="s">
        <v>267</v>
      </c>
      <c r="S58" s="663" t="s">
        <v>267</v>
      </c>
      <c r="T58" s="961" t="s">
        <v>267</v>
      </c>
      <c r="U58" s="963" t="s">
        <v>267</v>
      </c>
      <c r="V58" s="675"/>
      <c r="W58" s="677"/>
      <c r="X58" s="677"/>
      <c r="Y58" s="663" t="s">
        <v>267</v>
      </c>
      <c r="Z58" s="663" t="s">
        <v>267</v>
      </c>
      <c r="AA58" s="961" t="s">
        <v>267</v>
      </c>
      <c r="AB58" s="959" t="s">
        <v>267</v>
      </c>
      <c r="AC58" s="677"/>
      <c r="AD58" s="677"/>
      <c r="AE58" s="677"/>
      <c r="AF58" s="663" t="s">
        <v>267</v>
      </c>
      <c r="AG58" s="663" t="s">
        <v>267</v>
      </c>
      <c r="AH58" s="961" t="s">
        <v>267</v>
      </c>
      <c r="AI58" s="959" t="s">
        <v>267</v>
      </c>
      <c r="AJ58" s="677"/>
      <c r="AK58" s="677"/>
      <c r="AL58" s="677"/>
      <c r="AM58" s="662" t="s">
        <v>464</v>
      </c>
      <c r="AN58" s="663" t="s">
        <v>267</v>
      </c>
      <c r="AO58" s="961" t="s">
        <v>267</v>
      </c>
      <c r="AP58" s="959" t="s">
        <v>267</v>
      </c>
      <c r="AQ58" s="677"/>
      <c r="AR58" s="677"/>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3">
        <v>13.0</v>
      </c>
      <c r="K59" s="674" t="s">
        <v>513</v>
      </c>
      <c r="L59" s="677"/>
      <c r="M59" s="675"/>
      <c r="N59" s="959" t="s">
        <v>267</v>
      </c>
      <c r="O59" s="675"/>
      <c r="P59" s="677"/>
      <c r="Q59" s="677"/>
      <c r="R59" s="663" t="s">
        <v>267</v>
      </c>
      <c r="S59" s="663" t="s">
        <v>267</v>
      </c>
      <c r="T59" s="961" t="s">
        <v>267</v>
      </c>
      <c r="U59" s="959" t="s">
        <v>267</v>
      </c>
      <c r="V59" s="677"/>
      <c r="W59" s="677"/>
      <c r="X59" s="677"/>
      <c r="Y59" s="663" t="s">
        <v>267</v>
      </c>
      <c r="Z59" s="663" t="s">
        <v>267</v>
      </c>
      <c r="AA59" s="961" t="s">
        <v>267</v>
      </c>
      <c r="AB59" s="959" t="s">
        <v>267</v>
      </c>
      <c r="AC59" s="677"/>
      <c r="AD59" s="677"/>
      <c r="AE59" s="677"/>
      <c r="AF59" s="663" t="s">
        <v>267</v>
      </c>
      <c r="AG59" s="663" t="s">
        <v>267</v>
      </c>
      <c r="AH59" s="961" t="s">
        <v>267</v>
      </c>
      <c r="AI59" s="959" t="s">
        <v>267</v>
      </c>
      <c r="AJ59" s="675"/>
      <c r="AK59" s="675"/>
      <c r="AL59" s="677"/>
      <c r="AM59" s="663" t="s">
        <v>267</v>
      </c>
      <c r="AN59" s="663" t="s">
        <v>267</v>
      </c>
      <c r="AO59" s="961" t="s">
        <v>267</v>
      </c>
      <c r="AP59" s="959" t="s">
        <v>267</v>
      </c>
      <c r="AQ59" s="675"/>
      <c r="AR59" s="675"/>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3">
        <v>6.0</v>
      </c>
      <c r="K60" s="679" t="s">
        <v>573</v>
      </c>
      <c r="L60" s="675"/>
      <c r="M60" s="675"/>
      <c r="N60" s="957"/>
      <c r="O60" s="675"/>
      <c r="P60" s="677"/>
      <c r="Q60" s="677"/>
      <c r="R60" s="663" t="s">
        <v>267</v>
      </c>
      <c r="S60" s="663"/>
      <c r="T60" s="663" t="s">
        <v>267</v>
      </c>
      <c r="U60" s="957"/>
      <c r="V60" s="677"/>
      <c r="W60" s="677"/>
      <c r="X60" s="677"/>
      <c r="Y60" s="663" t="s">
        <v>267</v>
      </c>
      <c r="Z60" s="677"/>
      <c r="AA60" s="958"/>
      <c r="AB60" s="957"/>
      <c r="AC60" s="662" t="s">
        <v>464</v>
      </c>
      <c r="AD60" s="677"/>
      <c r="AE60" s="662" t="s">
        <v>464</v>
      </c>
      <c r="AF60" s="662" t="s">
        <v>464</v>
      </c>
      <c r="AG60" s="677"/>
      <c r="AH60" s="958"/>
      <c r="AI60" s="957"/>
      <c r="AJ60" s="663"/>
      <c r="AK60" s="675"/>
      <c r="AL60" s="663"/>
      <c r="AM60" s="663"/>
      <c r="AN60" s="677"/>
      <c r="AO60" s="958"/>
      <c r="AP60" s="957"/>
      <c r="AQ60" s="663"/>
      <c r="AR60" s="663"/>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3">
        <v>8.0</v>
      </c>
      <c r="K61" s="674" t="s">
        <v>110</v>
      </c>
      <c r="L61" s="675"/>
      <c r="M61" s="675"/>
      <c r="N61" s="663" t="s">
        <v>267</v>
      </c>
      <c r="O61" s="677"/>
      <c r="P61" s="663" t="s">
        <v>267</v>
      </c>
      <c r="Q61" s="663" t="s">
        <v>267</v>
      </c>
      <c r="R61" s="663" t="s">
        <v>267</v>
      </c>
      <c r="S61" s="663" t="s">
        <v>267</v>
      </c>
      <c r="T61" s="663" t="s">
        <v>267</v>
      </c>
      <c r="U61" s="663" t="s">
        <v>267</v>
      </c>
      <c r="V61" s="677"/>
      <c r="W61" s="663" t="s">
        <v>267</v>
      </c>
      <c r="X61" s="663" t="s">
        <v>267</v>
      </c>
      <c r="Y61" s="663"/>
      <c r="Z61" s="663" t="s">
        <v>267</v>
      </c>
      <c r="AA61" s="663" t="s">
        <v>267</v>
      </c>
      <c r="AB61" s="663" t="s">
        <v>267</v>
      </c>
      <c r="AC61" s="677"/>
      <c r="AD61" s="663"/>
      <c r="AE61" s="663" t="s">
        <v>267</v>
      </c>
      <c r="AF61" s="663" t="s">
        <v>267</v>
      </c>
      <c r="AG61" s="663" t="s">
        <v>267</v>
      </c>
      <c r="AH61" s="663" t="s">
        <v>267</v>
      </c>
      <c r="AI61" s="663" t="s">
        <v>267</v>
      </c>
      <c r="AJ61" s="663" t="s">
        <v>267</v>
      </c>
      <c r="AK61" s="663"/>
      <c r="AL61" s="663" t="s">
        <v>267</v>
      </c>
      <c r="AM61" s="662" t="s">
        <v>464</v>
      </c>
      <c r="AN61" s="663" t="s">
        <v>267</v>
      </c>
      <c r="AO61" s="663" t="s">
        <v>267</v>
      </c>
      <c r="AP61" s="663" t="s">
        <v>267</v>
      </c>
      <c r="AQ61" s="675"/>
      <c r="AR61" s="663" t="s">
        <v>267</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3">
        <v>7.0</v>
      </c>
      <c r="K62" s="674" t="s">
        <v>578</v>
      </c>
      <c r="L62" s="675"/>
      <c r="M62" s="675"/>
      <c r="N62" s="964"/>
      <c r="O62" s="965"/>
      <c r="P62" s="965"/>
      <c r="Q62" s="965"/>
      <c r="R62" s="965"/>
      <c r="S62" s="965"/>
      <c r="T62" s="966"/>
      <c r="U62" s="964"/>
      <c r="V62" s="965"/>
      <c r="W62" s="965"/>
      <c r="X62" s="965"/>
      <c r="Y62" s="965"/>
      <c r="Z62" s="965"/>
      <c r="AA62" s="966"/>
      <c r="AB62" s="964"/>
      <c r="AC62" s="965"/>
      <c r="AD62" s="677"/>
      <c r="AE62" s="677"/>
      <c r="AF62" s="677"/>
      <c r="AG62" s="677"/>
      <c r="AH62" s="958"/>
      <c r="AI62" s="957"/>
      <c r="AJ62" s="677"/>
      <c r="AK62" s="677"/>
      <c r="AL62" s="677"/>
      <c r="AM62" s="677"/>
      <c r="AN62" s="677"/>
      <c r="AO62" s="958"/>
      <c r="AP62" s="967"/>
      <c r="AQ62" s="675"/>
      <c r="AR62" s="675"/>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3">
        <v>7.0</v>
      </c>
      <c r="K63" s="674" t="s">
        <v>196</v>
      </c>
      <c r="L63" s="677"/>
      <c r="M63" s="675"/>
      <c r="N63" s="663" t="s">
        <v>267</v>
      </c>
      <c r="O63" s="677"/>
      <c r="P63" s="663" t="s">
        <v>267</v>
      </c>
      <c r="Q63" s="663" t="s">
        <v>267</v>
      </c>
      <c r="R63" s="663" t="s">
        <v>267</v>
      </c>
      <c r="S63" s="663" t="s">
        <v>267</v>
      </c>
      <c r="T63" s="663" t="s">
        <v>267</v>
      </c>
      <c r="U63" s="663" t="s">
        <v>267</v>
      </c>
      <c r="V63" s="677"/>
      <c r="W63" s="663" t="s">
        <v>267</v>
      </c>
      <c r="X63" s="663" t="s">
        <v>267</v>
      </c>
      <c r="Y63" s="663" t="s">
        <v>267</v>
      </c>
      <c r="Z63" s="663" t="s">
        <v>267</v>
      </c>
      <c r="AA63" s="663" t="s">
        <v>267</v>
      </c>
      <c r="AB63" s="663" t="s">
        <v>267</v>
      </c>
      <c r="AC63" s="677"/>
      <c r="AD63" s="663"/>
      <c r="AE63" s="663" t="s">
        <v>267</v>
      </c>
      <c r="AF63" s="663" t="s">
        <v>267</v>
      </c>
      <c r="AG63" s="663" t="s">
        <v>267</v>
      </c>
      <c r="AH63" s="663" t="s">
        <v>267</v>
      </c>
      <c r="AI63" s="663" t="s">
        <v>267</v>
      </c>
      <c r="AJ63" s="662" t="s">
        <v>267</v>
      </c>
      <c r="AK63" s="663"/>
      <c r="AL63" s="663" t="s">
        <v>267</v>
      </c>
      <c r="AM63" s="663" t="s">
        <v>267</v>
      </c>
      <c r="AN63" s="663" t="s">
        <v>267</v>
      </c>
      <c r="AO63" s="663" t="s">
        <v>267</v>
      </c>
      <c r="AP63" s="663" t="s">
        <v>267</v>
      </c>
      <c r="AQ63" s="675"/>
      <c r="AR63" s="663" t="s">
        <v>267</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3">
        <v>10.0</v>
      </c>
      <c r="K64" s="674" t="s">
        <v>514</v>
      </c>
      <c r="L64" s="677"/>
      <c r="M64" s="680" t="s">
        <v>735</v>
      </c>
      <c r="N64" s="957"/>
      <c r="O64" s="677"/>
      <c r="P64" s="663" t="s">
        <v>267</v>
      </c>
      <c r="Q64" s="663" t="s">
        <v>267</v>
      </c>
      <c r="R64" s="677"/>
      <c r="S64" s="663" t="s">
        <v>267</v>
      </c>
      <c r="T64" s="958"/>
      <c r="U64" s="957"/>
      <c r="V64" s="677"/>
      <c r="W64" s="663" t="s">
        <v>267</v>
      </c>
      <c r="X64" s="663" t="s">
        <v>267</v>
      </c>
      <c r="Y64" s="677"/>
      <c r="Z64" s="677"/>
      <c r="AA64" s="958"/>
      <c r="AB64" s="957"/>
      <c r="AC64" s="677"/>
      <c r="AD64" s="663" t="s">
        <v>267</v>
      </c>
      <c r="AE64" s="663" t="s">
        <v>267</v>
      </c>
      <c r="AF64" s="677"/>
      <c r="AG64" s="677"/>
      <c r="AH64" s="958"/>
      <c r="AI64" s="957"/>
      <c r="AJ64" s="677"/>
      <c r="AK64" s="663" t="s">
        <v>267</v>
      </c>
      <c r="AL64" s="663" t="s">
        <v>267</v>
      </c>
      <c r="AM64" s="677"/>
      <c r="AN64" s="662" t="s">
        <v>267</v>
      </c>
      <c r="AO64" s="958"/>
      <c r="AP64" s="967"/>
      <c r="AQ64" s="675"/>
      <c r="AR64" s="671" t="s">
        <v>267</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3">
        <v>15.0</v>
      </c>
      <c r="K65" s="674" t="s">
        <v>205</v>
      </c>
      <c r="L65" s="675"/>
      <c r="M65" s="675"/>
      <c r="N65" s="957"/>
      <c r="O65" s="663" t="s">
        <v>267</v>
      </c>
      <c r="P65" s="663" t="s">
        <v>267</v>
      </c>
      <c r="Q65" s="677"/>
      <c r="R65" s="663" t="s">
        <v>267</v>
      </c>
      <c r="S65" s="663" t="s">
        <v>267</v>
      </c>
      <c r="T65" s="961" t="s">
        <v>267</v>
      </c>
      <c r="U65" s="957"/>
      <c r="V65" s="663" t="s">
        <v>267</v>
      </c>
      <c r="W65" s="663" t="s">
        <v>267</v>
      </c>
      <c r="X65" s="677"/>
      <c r="Y65" s="663" t="s">
        <v>267</v>
      </c>
      <c r="Z65" s="663" t="s">
        <v>267</v>
      </c>
      <c r="AA65" s="961" t="s">
        <v>267</v>
      </c>
      <c r="AB65" s="957"/>
      <c r="AC65" s="663" t="s">
        <v>267</v>
      </c>
      <c r="AD65" s="663" t="s">
        <v>267</v>
      </c>
      <c r="AE65" s="677"/>
      <c r="AF65" s="663" t="s">
        <v>267</v>
      </c>
      <c r="AG65" s="663" t="s">
        <v>267</v>
      </c>
      <c r="AH65" s="961" t="s">
        <v>267</v>
      </c>
      <c r="AI65" s="957"/>
      <c r="AJ65" s="663" t="s">
        <v>267</v>
      </c>
      <c r="AK65" s="663" t="s">
        <v>267</v>
      </c>
      <c r="AL65" s="677"/>
      <c r="AM65" s="663" t="s">
        <v>267</v>
      </c>
      <c r="AN65" s="663" t="s">
        <v>267</v>
      </c>
      <c r="AO65" s="961" t="s">
        <v>267</v>
      </c>
      <c r="AP65" s="967"/>
      <c r="AQ65" s="671" t="s">
        <v>267</v>
      </c>
      <c r="AR65" s="663" t="s">
        <v>267</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3">
        <v>13.0</v>
      </c>
      <c r="K66" s="674" t="s">
        <v>515</v>
      </c>
      <c r="L66" s="675"/>
      <c r="M66" s="675"/>
      <c r="N66" s="957"/>
      <c r="O66" s="663" t="s">
        <v>267</v>
      </c>
      <c r="P66" s="677"/>
      <c r="Q66" s="663" t="s">
        <v>267</v>
      </c>
      <c r="R66" s="663" t="s">
        <v>267</v>
      </c>
      <c r="S66" s="677"/>
      <c r="T66" s="958"/>
      <c r="U66" s="957"/>
      <c r="V66" s="663" t="s">
        <v>267</v>
      </c>
      <c r="W66" s="663" t="s">
        <v>267</v>
      </c>
      <c r="X66" s="677"/>
      <c r="Y66" s="663" t="s">
        <v>267</v>
      </c>
      <c r="Z66" s="663" t="s">
        <v>267</v>
      </c>
      <c r="AA66" s="958"/>
      <c r="AB66" s="957"/>
      <c r="AC66" s="677"/>
      <c r="AD66" s="663" t="s">
        <v>267</v>
      </c>
      <c r="AE66" s="663" t="s">
        <v>267</v>
      </c>
      <c r="AF66" s="677"/>
      <c r="AG66" s="663" t="s">
        <v>267</v>
      </c>
      <c r="AH66" s="958"/>
      <c r="AI66" s="957"/>
      <c r="AJ66" s="663" t="s">
        <v>267</v>
      </c>
      <c r="AK66" s="677"/>
      <c r="AL66" s="663" t="s">
        <v>267</v>
      </c>
      <c r="AM66" s="663" t="s">
        <v>267</v>
      </c>
      <c r="AN66" s="677"/>
      <c r="AO66" s="958"/>
      <c r="AP66" s="967"/>
      <c r="AQ66" s="663" t="s">
        <v>267</v>
      </c>
      <c r="AR66" s="662" t="s">
        <v>464</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68"/>
      <c r="K67" s="674" t="s">
        <v>516</v>
      </c>
      <c r="L67" s="675"/>
      <c r="M67" s="675"/>
      <c r="N67" s="957"/>
      <c r="O67" s="663" t="s">
        <v>267</v>
      </c>
      <c r="P67" s="662"/>
      <c r="Q67" s="663" t="s">
        <v>267</v>
      </c>
      <c r="R67" s="663" t="s">
        <v>267</v>
      </c>
      <c r="S67" s="663" t="s">
        <v>267</v>
      </c>
      <c r="T67" s="958"/>
      <c r="U67" s="957"/>
      <c r="V67" s="663" t="s">
        <v>267</v>
      </c>
      <c r="W67" s="663" t="s">
        <v>267</v>
      </c>
      <c r="X67" s="663" t="s">
        <v>267</v>
      </c>
      <c r="Y67" s="663" t="s">
        <v>267</v>
      </c>
      <c r="Z67" s="663" t="s">
        <v>267</v>
      </c>
      <c r="AA67" s="958"/>
      <c r="AB67" s="957"/>
      <c r="AC67" s="663"/>
      <c r="AD67" s="663" t="s">
        <v>267</v>
      </c>
      <c r="AE67" s="663" t="s">
        <v>267</v>
      </c>
      <c r="AF67" s="663" t="s">
        <v>267</v>
      </c>
      <c r="AG67" s="663" t="s">
        <v>267</v>
      </c>
      <c r="AH67" s="663" t="s">
        <v>267</v>
      </c>
      <c r="AI67" s="957"/>
      <c r="AJ67" s="663" t="s">
        <v>267</v>
      </c>
      <c r="AK67" s="663" t="s">
        <v>267</v>
      </c>
      <c r="AL67" s="663" t="s">
        <v>267</v>
      </c>
      <c r="AM67" s="663" t="s">
        <v>267</v>
      </c>
      <c r="AN67" s="663" t="s">
        <v>267</v>
      </c>
      <c r="AO67" s="958"/>
      <c r="AP67" s="967"/>
      <c r="AQ67" s="671" t="s">
        <v>267</v>
      </c>
      <c r="AR67" s="671" t="s">
        <v>267</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3">
        <v>12.0</v>
      </c>
      <c r="K68" s="674" t="s">
        <v>571</v>
      </c>
      <c r="L68" s="675"/>
      <c r="M68" s="675"/>
      <c r="N68" s="967"/>
      <c r="O68" s="677"/>
      <c r="P68" s="672"/>
      <c r="Q68" s="672"/>
      <c r="R68" s="672"/>
      <c r="S68" s="677"/>
      <c r="T68" s="960" t="s">
        <v>267</v>
      </c>
      <c r="U68" s="960" t="s">
        <v>267</v>
      </c>
      <c r="V68" s="672"/>
      <c r="W68" s="663" t="s">
        <v>267</v>
      </c>
      <c r="X68" s="672"/>
      <c r="Y68" s="677"/>
      <c r="Z68" s="677"/>
      <c r="AA68" s="960"/>
      <c r="AB68" s="969"/>
      <c r="AC68" s="672"/>
      <c r="AD68" s="663" t="s">
        <v>267</v>
      </c>
      <c r="AE68" s="672"/>
      <c r="AF68" s="677"/>
      <c r="AG68" s="677"/>
      <c r="AH68" s="970"/>
      <c r="AI68" s="969"/>
      <c r="AJ68" s="672"/>
      <c r="AK68" s="663" t="s">
        <v>267</v>
      </c>
      <c r="AL68" s="672"/>
      <c r="AM68" s="672"/>
      <c r="AN68" s="677"/>
      <c r="AO68" s="970"/>
      <c r="AP68" s="969"/>
      <c r="AQ68" s="672"/>
      <c r="AR68" s="663" t="s">
        <v>267</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68"/>
      <c r="K69" s="674" t="s">
        <v>517</v>
      </c>
      <c r="L69" s="675"/>
      <c r="M69" s="675"/>
      <c r="N69" s="663" t="s">
        <v>267</v>
      </c>
      <c r="O69" s="663" t="s">
        <v>267</v>
      </c>
      <c r="P69" s="663" t="s">
        <v>267</v>
      </c>
      <c r="Q69" s="663" t="s">
        <v>267</v>
      </c>
      <c r="R69" s="663"/>
      <c r="S69" s="663"/>
      <c r="T69" s="970"/>
      <c r="U69" s="957"/>
      <c r="V69" s="677"/>
      <c r="W69" s="663" t="s">
        <v>267</v>
      </c>
      <c r="X69" s="663" t="s">
        <v>267</v>
      </c>
      <c r="Y69" s="663" t="s">
        <v>267</v>
      </c>
      <c r="Z69" s="663" t="s">
        <v>267</v>
      </c>
      <c r="AA69" s="958"/>
      <c r="AB69" s="663" t="s">
        <v>267</v>
      </c>
      <c r="AC69" s="677"/>
      <c r="AD69" s="663"/>
      <c r="AE69" s="663" t="s">
        <v>267</v>
      </c>
      <c r="AF69" s="663" t="s">
        <v>267</v>
      </c>
      <c r="AG69" s="663" t="s">
        <v>267</v>
      </c>
      <c r="AH69" s="663" t="s">
        <v>267</v>
      </c>
      <c r="AI69" s="663" t="s">
        <v>267</v>
      </c>
      <c r="AJ69" s="672" t="s">
        <v>466</v>
      </c>
      <c r="AK69" s="662" t="s">
        <v>267</v>
      </c>
      <c r="AL69" s="663" t="s">
        <v>267</v>
      </c>
      <c r="AM69" s="662" t="s">
        <v>267</v>
      </c>
      <c r="AN69" s="662" t="s">
        <v>466</v>
      </c>
      <c r="AO69" s="962" t="s">
        <v>464</v>
      </c>
      <c r="AP69" s="969" t="s">
        <v>267</v>
      </c>
      <c r="AQ69" s="671" t="s">
        <v>267</v>
      </c>
      <c r="AR69" s="671" t="s">
        <v>267</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68"/>
      <c r="K70" s="674" t="s">
        <v>518</v>
      </c>
      <c r="L70" s="675"/>
      <c r="M70" s="675"/>
      <c r="N70" s="967"/>
      <c r="O70" s="675"/>
      <c r="P70" s="663" t="s">
        <v>267</v>
      </c>
      <c r="Q70" s="663" t="s">
        <v>267</v>
      </c>
      <c r="R70" s="677"/>
      <c r="S70" s="663" t="s">
        <v>267</v>
      </c>
      <c r="T70" s="970"/>
      <c r="U70" s="967"/>
      <c r="V70" s="671" t="s">
        <v>267</v>
      </c>
      <c r="W70" s="663" t="s">
        <v>267</v>
      </c>
      <c r="X70" s="677"/>
      <c r="Y70" s="663" t="s">
        <v>267</v>
      </c>
      <c r="Z70" s="677"/>
      <c r="AA70" s="970"/>
      <c r="AB70" s="967"/>
      <c r="AC70" s="671" t="s">
        <v>267</v>
      </c>
      <c r="AD70" s="663" t="s">
        <v>267</v>
      </c>
      <c r="AE70" s="677"/>
      <c r="AF70" s="663" t="s">
        <v>267</v>
      </c>
      <c r="AG70" s="677"/>
      <c r="AH70" s="970"/>
      <c r="AI70" s="967"/>
      <c r="AJ70" s="671" t="s">
        <v>267</v>
      </c>
      <c r="AK70" s="663" t="s">
        <v>267</v>
      </c>
      <c r="AL70" s="677"/>
      <c r="AM70" s="663" t="s">
        <v>267</v>
      </c>
      <c r="AN70" s="677"/>
      <c r="AO70" s="970"/>
      <c r="AP70" s="967"/>
      <c r="AQ70" s="663" t="s">
        <v>267</v>
      </c>
      <c r="AR70" s="663" t="s">
        <v>267</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68"/>
      <c r="K71" s="674" t="s">
        <v>582</v>
      </c>
      <c r="L71" s="675"/>
      <c r="M71" s="675"/>
      <c r="N71" s="957"/>
      <c r="O71" s="677"/>
      <c r="P71" s="677"/>
      <c r="Q71" s="677"/>
      <c r="R71" s="677"/>
      <c r="S71" s="677"/>
      <c r="T71" s="960" t="s">
        <v>267</v>
      </c>
      <c r="U71" s="960" t="s">
        <v>267</v>
      </c>
      <c r="V71" s="677"/>
      <c r="W71" s="677"/>
      <c r="X71" s="677"/>
      <c r="Y71" s="677"/>
      <c r="Z71" s="677"/>
      <c r="AA71" s="663" t="s">
        <v>267</v>
      </c>
      <c r="AB71" s="663" t="s">
        <v>267</v>
      </c>
      <c r="AC71" s="677"/>
      <c r="AD71" s="677"/>
      <c r="AE71" s="677"/>
      <c r="AF71" s="677"/>
      <c r="AG71" s="677"/>
      <c r="AH71" s="663" t="s">
        <v>267</v>
      </c>
      <c r="AI71" s="957"/>
      <c r="AJ71" s="677"/>
      <c r="AK71" s="677"/>
      <c r="AL71" s="677"/>
      <c r="AM71" s="677"/>
      <c r="AN71" s="677"/>
      <c r="AO71" s="663" t="s">
        <v>267</v>
      </c>
      <c r="AP71" s="662" t="s">
        <v>464</v>
      </c>
      <c r="AQ71" s="677"/>
      <c r="AR71" s="677"/>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68"/>
      <c r="K72" s="674" t="s">
        <v>176</v>
      </c>
      <c r="L72" s="677"/>
      <c r="M72" s="675"/>
      <c r="N72" s="957"/>
      <c r="O72" s="677"/>
      <c r="P72" s="671" t="s">
        <v>267</v>
      </c>
      <c r="Q72" s="671" t="s">
        <v>267</v>
      </c>
      <c r="R72" s="671" t="s">
        <v>267</v>
      </c>
      <c r="S72" s="671" t="s">
        <v>267</v>
      </c>
      <c r="T72" s="958"/>
      <c r="U72" s="957"/>
      <c r="V72" s="671" t="s">
        <v>267</v>
      </c>
      <c r="W72" s="671" t="s">
        <v>267</v>
      </c>
      <c r="X72" s="671" t="s">
        <v>267</v>
      </c>
      <c r="Y72" s="671" t="s">
        <v>267</v>
      </c>
      <c r="Z72" s="677"/>
      <c r="AA72" s="958"/>
      <c r="AB72" s="957"/>
      <c r="AC72" s="671" t="s">
        <v>267</v>
      </c>
      <c r="AD72" s="671" t="s">
        <v>267</v>
      </c>
      <c r="AE72" s="671" t="s">
        <v>267</v>
      </c>
      <c r="AF72" s="671" t="s">
        <v>267</v>
      </c>
      <c r="AG72" s="677"/>
      <c r="AH72" s="958"/>
      <c r="AI72" s="957"/>
      <c r="AJ72" s="671" t="s">
        <v>267</v>
      </c>
      <c r="AK72" s="662" t="s">
        <v>464</v>
      </c>
      <c r="AL72" s="671" t="s">
        <v>267</v>
      </c>
      <c r="AM72" s="677"/>
      <c r="AN72" s="671" t="s">
        <v>267</v>
      </c>
      <c r="AO72" s="958"/>
      <c r="AP72" s="971" t="s">
        <v>267</v>
      </c>
      <c r="AQ72" s="671"/>
      <c r="AR72" s="662" t="s">
        <v>464</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68"/>
      <c r="K73" s="674" t="s">
        <v>519</v>
      </c>
      <c r="L73" s="675"/>
      <c r="M73" s="675"/>
      <c r="N73" s="957"/>
      <c r="O73" s="554" t="s">
        <v>267</v>
      </c>
      <c r="P73" s="554" t="s">
        <v>267</v>
      </c>
      <c r="Q73" s="677"/>
      <c r="R73" s="554" t="s">
        <v>267</v>
      </c>
      <c r="S73" s="554" t="s">
        <v>267</v>
      </c>
      <c r="T73" s="958"/>
      <c r="U73" s="957"/>
      <c r="V73" s="677"/>
      <c r="W73" s="554" t="s">
        <v>267</v>
      </c>
      <c r="X73" s="554" t="s">
        <v>267</v>
      </c>
      <c r="Y73" s="554" t="s">
        <v>267</v>
      </c>
      <c r="Z73" s="554" t="s">
        <v>267</v>
      </c>
      <c r="AA73" s="958"/>
      <c r="AB73" s="957"/>
      <c r="AC73" s="554" t="s">
        <v>267</v>
      </c>
      <c r="AD73" s="554" t="s">
        <v>267</v>
      </c>
      <c r="AE73" s="554" t="s">
        <v>267</v>
      </c>
      <c r="AF73" s="554" t="s">
        <v>267</v>
      </c>
      <c r="AG73" s="554" t="s">
        <v>464</v>
      </c>
      <c r="AH73" s="958"/>
      <c r="AI73" s="957"/>
      <c r="AJ73" s="554" t="s">
        <v>267</v>
      </c>
      <c r="AK73" s="554" t="s">
        <v>267</v>
      </c>
      <c r="AL73" s="554" t="s">
        <v>267</v>
      </c>
      <c r="AM73" s="554" t="s">
        <v>267</v>
      </c>
      <c r="AN73" s="554" t="s">
        <v>267</v>
      </c>
      <c r="AO73" s="958"/>
      <c r="AP73" s="967"/>
      <c r="AQ73" s="554" t="s">
        <v>267</v>
      </c>
      <c r="AR73" s="554" t="s">
        <v>267</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68"/>
      <c r="K74" s="674" t="s">
        <v>520</v>
      </c>
      <c r="L74" s="675"/>
      <c r="M74" s="675"/>
      <c r="N74" s="671" t="s">
        <v>267</v>
      </c>
      <c r="O74" s="677"/>
      <c r="P74" s="671" t="s">
        <v>267</v>
      </c>
      <c r="Q74" s="677"/>
      <c r="R74" s="671" t="s">
        <v>267</v>
      </c>
      <c r="S74" s="671" t="s">
        <v>267</v>
      </c>
      <c r="T74" s="671" t="s">
        <v>267</v>
      </c>
      <c r="U74" s="671" t="s">
        <v>267</v>
      </c>
      <c r="V74" s="677"/>
      <c r="W74" s="677"/>
      <c r="X74" s="677"/>
      <c r="Y74" s="671" t="s">
        <v>267</v>
      </c>
      <c r="Z74" s="671" t="s">
        <v>267</v>
      </c>
      <c r="AA74" s="671" t="s">
        <v>267</v>
      </c>
      <c r="AB74" s="671" t="s">
        <v>267</v>
      </c>
      <c r="AC74" s="677"/>
      <c r="AD74" s="677"/>
      <c r="AE74" s="677"/>
      <c r="AF74" s="671" t="s">
        <v>267</v>
      </c>
      <c r="AG74" s="671" t="s">
        <v>267</v>
      </c>
      <c r="AH74" s="671" t="s">
        <v>267</v>
      </c>
      <c r="AI74" s="671" t="s">
        <v>267</v>
      </c>
      <c r="AJ74" s="677"/>
      <c r="AK74" s="677"/>
      <c r="AL74" s="677"/>
      <c r="AM74" s="671" t="s">
        <v>267</v>
      </c>
      <c r="AN74" s="671" t="s">
        <v>267</v>
      </c>
      <c r="AO74" s="671" t="s">
        <v>267</v>
      </c>
      <c r="AP74" s="671" t="s">
        <v>267</v>
      </c>
      <c r="AQ74" s="675"/>
      <c r="AR74" s="671" t="s">
        <v>267</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68"/>
      <c r="K75" s="679" t="s">
        <v>186</v>
      </c>
      <c r="L75" s="675"/>
      <c r="M75" s="675"/>
      <c r="N75" s="957"/>
      <c r="O75" s="671" t="s">
        <v>267</v>
      </c>
      <c r="P75" s="671" t="s">
        <v>267</v>
      </c>
      <c r="Q75" s="677"/>
      <c r="R75" s="677"/>
      <c r="S75" s="671" t="s">
        <v>267</v>
      </c>
      <c r="T75" s="671" t="s">
        <v>267</v>
      </c>
      <c r="U75" s="671" t="s">
        <v>267</v>
      </c>
      <c r="V75" s="671" t="s">
        <v>267</v>
      </c>
      <c r="W75" s="671" t="s">
        <v>267</v>
      </c>
      <c r="X75" s="677"/>
      <c r="Y75" s="677"/>
      <c r="Z75" s="671" t="s">
        <v>267</v>
      </c>
      <c r="AA75" s="671" t="s">
        <v>267</v>
      </c>
      <c r="AB75" s="671" t="s">
        <v>267</v>
      </c>
      <c r="AC75" s="671" t="s">
        <v>267</v>
      </c>
      <c r="AD75" s="671" t="s">
        <v>267</v>
      </c>
      <c r="AE75" s="671" t="s">
        <v>267</v>
      </c>
      <c r="AF75" s="677"/>
      <c r="AG75" s="671"/>
      <c r="AH75" s="671" t="s">
        <v>267</v>
      </c>
      <c r="AI75" s="671" t="s">
        <v>267</v>
      </c>
      <c r="AJ75" s="671" t="s">
        <v>267</v>
      </c>
      <c r="AK75" s="671" t="s">
        <v>267</v>
      </c>
      <c r="AL75" s="662" t="s">
        <v>464</v>
      </c>
      <c r="AM75" s="662" t="s">
        <v>267</v>
      </c>
      <c r="AN75" s="671" t="s">
        <v>267</v>
      </c>
      <c r="AO75" s="671" t="s">
        <v>267</v>
      </c>
      <c r="AP75" s="671" t="s">
        <v>267</v>
      </c>
      <c r="AQ75" s="671" t="s">
        <v>267</v>
      </c>
      <c r="AR75" s="671" t="s">
        <v>267</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68"/>
      <c r="K76" s="674" t="s">
        <v>565</v>
      </c>
      <c r="L76" s="675"/>
      <c r="M76" s="675"/>
      <c r="N76" s="967"/>
      <c r="O76" s="677"/>
      <c r="P76" s="677"/>
      <c r="Q76" s="677"/>
      <c r="R76" s="677"/>
      <c r="S76" s="677"/>
      <c r="T76" s="970"/>
      <c r="U76" s="957"/>
      <c r="V76" s="677"/>
      <c r="W76" s="677"/>
      <c r="X76" s="677"/>
      <c r="Y76" s="677"/>
      <c r="Z76" s="677"/>
      <c r="AA76" s="958"/>
      <c r="AB76" s="957"/>
      <c r="AC76" s="677"/>
      <c r="AD76" s="677"/>
      <c r="AE76" s="677"/>
      <c r="AF76" s="677"/>
      <c r="AG76" s="677"/>
      <c r="AH76" s="970"/>
      <c r="AI76" s="967"/>
      <c r="AJ76" s="677"/>
      <c r="AK76" s="677"/>
      <c r="AL76" s="677"/>
      <c r="AM76" s="677"/>
      <c r="AN76" s="677"/>
      <c r="AO76" s="970"/>
      <c r="AP76" s="967"/>
      <c r="AQ76" s="675"/>
      <c r="AR76" s="675"/>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68"/>
      <c r="K77" s="681" t="s">
        <v>521</v>
      </c>
      <c r="L77" s="675"/>
      <c r="M77" s="675"/>
      <c r="N77" s="957"/>
      <c r="O77" s="671" t="s">
        <v>267</v>
      </c>
      <c r="P77" s="677"/>
      <c r="Q77" s="671" t="s">
        <v>267</v>
      </c>
      <c r="R77" s="677"/>
      <c r="S77" s="671" t="s">
        <v>267</v>
      </c>
      <c r="T77" s="958"/>
      <c r="U77" s="957"/>
      <c r="V77" s="671" t="s">
        <v>267</v>
      </c>
      <c r="W77" s="677"/>
      <c r="X77" s="671" t="s">
        <v>267</v>
      </c>
      <c r="Y77" s="671"/>
      <c r="Z77" s="671"/>
      <c r="AA77" s="958"/>
      <c r="AB77" s="957"/>
      <c r="AC77" s="671" t="s">
        <v>267</v>
      </c>
      <c r="AD77" s="677"/>
      <c r="AE77" s="671" t="s">
        <v>267</v>
      </c>
      <c r="AF77" s="597" t="s">
        <v>464</v>
      </c>
      <c r="AG77" s="671"/>
      <c r="AH77" s="958"/>
      <c r="AI77" s="957"/>
      <c r="AJ77" s="662" t="s">
        <v>464</v>
      </c>
      <c r="AK77" s="677"/>
      <c r="AL77" s="662" t="s">
        <v>464</v>
      </c>
      <c r="AM77" s="662" t="s">
        <v>464</v>
      </c>
      <c r="AN77" s="662" t="s">
        <v>267</v>
      </c>
      <c r="AO77" s="958"/>
      <c r="AP77" s="967"/>
      <c r="AQ77" s="671" t="s">
        <v>267</v>
      </c>
      <c r="AR77" s="675"/>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68"/>
      <c r="K78" s="681" t="s">
        <v>522</v>
      </c>
      <c r="L78" s="675"/>
      <c r="M78" s="675"/>
      <c r="N78" s="671" t="s">
        <v>267</v>
      </c>
      <c r="O78" s="671" t="s">
        <v>267</v>
      </c>
      <c r="P78" s="675"/>
      <c r="Q78" s="671" t="s">
        <v>267</v>
      </c>
      <c r="R78" s="675"/>
      <c r="S78" s="675"/>
      <c r="T78" s="671" t="s">
        <v>267</v>
      </c>
      <c r="U78" s="671" t="s">
        <v>267</v>
      </c>
      <c r="V78" s="671" t="s">
        <v>267</v>
      </c>
      <c r="W78" s="677"/>
      <c r="X78" s="671" t="s">
        <v>267</v>
      </c>
      <c r="Y78" s="677"/>
      <c r="Z78" s="677"/>
      <c r="AA78" s="671" t="s">
        <v>267</v>
      </c>
      <c r="AB78" s="671" t="s">
        <v>267</v>
      </c>
      <c r="AC78" s="671" t="s">
        <v>267</v>
      </c>
      <c r="AD78" s="677"/>
      <c r="AE78" s="671" t="s">
        <v>267</v>
      </c>
      <c r="AF78" s="677"/>
      <c r="AG78" s="675"/>
      <c r="AH78" s="671" t="s">
        <v>267</v>
      </c>
      <c r="AI78" s="671" t="s">
        <v>267</v>
      </c>
      <c r="AJ78" s="675"/>
      <c r="AK78" s="671" t="s">
        <v>267</v>
      </c>
      <c r="AL78" s="671" t="s">
        <v>267</v>
      </c>
      <c r="AM78" s="675"/>
      <c r="AN78" s="675"/>
      <c r="AO78" s="671" t="s">
        <v>267</v>
      </c>
      <c r="AP78" s="671" t="s">
        <v>267</v>
      </c>
      <c r="AQ78" s="671" t="s">
        <v>267</v>
      </c>
      <c r="AR78" s="671"/>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68"/>
      <c r="K79" s="681" t="s">
        <v>523</v>
      </c>
      <c r="L79" s="675"/>
      <c r="M79" s="675"/>
      <c r="N79" s="967"/>
      <c r="O79" s="675"/>
      <c r="P79" s="671" t="s">
        <v>267</v>
      </c>
      <c r="Q79" s="671" t="s">
        <v>267</v>
      </c>
      <c r="R79" s="675"/>
      <c r="S79" s="671" t="s">
        <v>267</v>
      </c>
      <c r="T79" s="671" t="s">
        <v>267</v>
      </c>
      <c r="U79" s="671" t="s">
        <v>267</v>
      </c>
      <c r="V79" s="677"/>
      <c r="W79" s="671" t="s">
        <v>267</v>
      </c>
      <c r="X79" s="672" t="s">
        <v>267</v>
      </c>
      <c r="Y79" s="677"/>
      <c r="Z79" s="671" t="s">
        <v>267</v>
      </c>
      <c r="AA79" s="671" t="s">
        <v>267</v>
      </c>
      <c r="AB79" s="671" t="s">
        <v>267</v>
      </c>
      <c r="AC79" s="671"/>
      <c r="AD79" s="671" t="s">
        <v>267</v>
      </c>
      <c r="AE79" s="671" t="s">
        <v>267</v>
      </c>
      <c r="AF79" s="677"/>
      <c r="AG79" s="671" t="s">
        <v>267</v>
      </c>
      <c r="AH79" s="671" t="s">
        <v>267</v>
      </c>
      <c r="AI79" s="671" t="s">
        <v>267</v>
      </c>
      <c r="AJ79" s="671"/>
      <c r="AK79" s="671" t="s">
        <v>267</v>
      </c>
      <c r="AL79" s="671" t="s">
        <v>267</v>
      </c>
      <c r="AM79" s="675"/>
      <c r="AN79" s="671" t="s">
        <v>267</v>
      </c>
      <c r="AO79" s="671" t="s">
        <v>267</v>
      </c>
      <c r="AP79" s="671" t="s">
        <v>267</v>
      </c>
      <c r="AQ79" s="662" t="s">
        <v>267</v>
      </c>
      <c r="AR79" s="671" t="s">
        <v>267</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524</v>
      </c>
      <c r="L80" s="683"/>
      <c r="M80" s="644"/>
      <c r="N80" s="640"/>
      <c r="O80" s="640"/>
      <c r="P80" s="640"/>
      <c r="Q80" s="640"/>
      <c r="R80" s="640"/>
      <c r="S80" s="640"/>
      <c r="T80" s="640"/>
      <c r="U80" s="640"/>
      <c r="V80" s="640"/>
      <c r="W80" s="640"/>
      <c r="X80" s="640"/>
      <c r="Y80" s="640"/>
      <c r="Z80" s="640"/>
      <c r="AA80" s="640"/>
      <c r="AB80" s="640"/>
      <c r="AC80" s="640" t="s">
        <v>267</v>
      </c>
      <c r="AD80" s="640"/>
      <c r="AE80" s="640" t="s">
        <v>267</v>
      </c>
      <c r="AF80" s="640"/>
      <c r="AG80" s="640"/>
      <c r="AH80" s="640"/>
      <c r="AI80" s="640"/>
      <c r="AJ80" s="640" t="s">
        <v>267</v>
      </c>
      <c r="AK80" s="640"/>
      <c r="AL80" s="640" t="s">
        <v>267</v>
      </c>
      <c r="AM80" s="640"/>
      <c r="AN80" s="640" t="s">
        <v>267</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525</v>
      </c>
      <c r="L81" s="683"/>
      <c r="M81" s="644"/>
      <c r="N81" s="554"/>
      <c r="O81" s="554"/>
      <c r="P81" s="554"/>
      <c r="Q81" s="554"/>
      <c r="R81" s="554"/>
      <c r="S81" s="554"/>
      <c r="T81" s="554"/>
      <c r="U81" s="554"/>
      <c r="V81" s="554"/>
      <c r="W81" s="554"/>
      <c r="X81" s="554"/>
      <c r="Y81" s="554"/>
      <c r="Z81" s="671" t="s">
        <v>267</v>
      </c>
      <c r="AA81" s="671" t="s">
        <v>267</v>
      </c>
      <c r="AB81" s="671" t="s">
        <v>267</v>
      </c>
      <c r="AC81" s="671"/>
      <c r="AD81" s="671" t="s">
        <v>267</v>
      </c>
      <c r="AE81" s="671" t="s">
        <v>267</v>
      </c>
      <c r="AF81" s="677"/>
      <c r="AG81" s="671" t="s">
        <v>267</v>
      </c>
      <c r="AH81" s="671" t="s">
        <v>267</v>
      </c>
      <c r="AI81" s="671" t="s">
        <v>267</v>
      </c>
      <c r="AJ81" s="671"/>
      <c r="AK81" s="671" t="s">
        <v>267</v>
      </c>
      <c r="AL81" s="671" t="s">
        <v>267</v>
      </c>
      <c r="AM81" s="675"/>
      <c r="AN81" s="671" t="s">
        <v>267</v>
      </c>
      <c r="AO81" s="671" t="s">
        <v>267</v>
      </c>
      <c r="AP81" s="671" t="s">
        <v>267</v>
      </c>
      <c r="AQ81" s="662" t="s">
        <v>267</v>
      </c>
      <c r="AR81" s="671" t="s">
        <v>267</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526</v>
      </c>
      <c r="L82" s="683"/>
      <c r="M82" s="644"/>
      <c r="N82" s="554"/>
      <c r="O82" s="554"/>
      <c r="P82" s="554"/>
      <c r="Q82" s="554"/>
      <c r="R82" s="554"/>
      <c r="S82" s="554"/>
      <c r="T82" s="554"/>
      <c r="U82" s="554"/>
      <c r="V82" s="554"/>
      <c r="W82" s="554"/>
      <c r="X82" s="554"/>
      <c r="Y82" s="554"/>
      <c r="Z82" s="671"/>
      <c r="AA82" s="671"/>
      <c r="AB82" s="671"/>
      <c r="AC82" s="671"/>
      <c r="AD82" s="671"/>
      <c r="AE82" s="671"/>
      <c r="AF82" s="677"/>
      <c r="AG82" s="662" t="s">
        <v>267</v>
      </c>
      <c r="AH82" s="662" t="s">
        <v>267</v>
      </c>
      <c r="AI82" s="662" t="s">
        <v>267</v>
      </c>
      <c r="AJ82" s="662" t="s">
        <v>267</v>
      </c>
      <c r="AK82" s="671"/>
      <c r="AL82" s="671"/>
      <c r="AM82" s="675"/>
      <c r="AN82" s="671"/>
      <c r="AO82" s="671"/>
      <c r="AP82" s="671"/>
      <c r="AQ82" s="662" t="s">
        <v>267</v>
      </c>
      <c r="AR82" s="671"/>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527</v>
      </c>
      <c r="L83" s="683"/>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2" t="s">
        <v>267</v>
      </c>
      <c r="AL83" s="554"/>
      <c r="AM83" s="662" t="s">
        <v>267</v>
      </c>
      <c r="AN83" s="662"/>
      <c r="AO83" s="662" t="s">
        <v>267</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72" t="s">
        <v>528</v>
      </c>
      <c r="L84" s="683"/>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2" t="s">
        <v>267</v>
      </c>
      <c r="AL84" s="554"/>
      <c r="AM84" s="662" t="s">
        <v>267</v>
      </c>
      <c r="AN84" s="662" t="s">
        <v>267</v>
      </c>
      <c r="AO84" s="662" t="s">
        <v>267</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72" t="s">
        <v>529</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267</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72" t="s">
        <v>736</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267</v>
      </c>
      <c r="AO86" s="554" t="s">
        <v>267</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79"/>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79"/>
      <c r="L88" s="68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79"/>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79"/>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79"/>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t="s">
        <v>737</v>
      </c>
      <c r="H2" s="246"/>
      <c r="I2" s="246"/>
      <c r="J2" s="246"/>
      <c r="K2" s="246"/>
      <c r="L2" s="246"/>
      <c r="M2" s="246"/>
      <c r="N2" s="246"/>
      <c r="O2" s="246"/>
      <c r="P2" s="246"/>
      <c r="Q2" s="3"/>
      <c r="R2" s="691" t="s">
        <v>537</v>
      </c>
      <c r="S2" s="684"/>
      <c r="T2" s="686"/>
      <c r="U2" s="692"/>
      <c r="V2" s="688"/>
      <c r="W2" s="684"/>
      <c r="X2" s="684"/>
      <c r="Y2" s="684"/>
      <c r="Z2" s="684"/>
    </row>
    <row r="3" ht="44.25" customHeight="1">
      <c r="A3" s="684"/>
      <c r="B3" s="693" t="s">
        <v>538</v>
      </c>
      <c r="C3" s="530"/>
      <c r="D3" s="530"/>
      <c r="E3" s="530"/>
      <c r="F3" s="694" t="s">
        <v>539</v>
      </c>
      <c r="G3" s="695" t="s">
        <v>738</v>
      </c>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46082.0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3</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熊本</v>
      </c>
      <c r="W8" s="739"/>
      <c r="X8" s="740">
        <v>46054.0</v>
      </c>
      <c r="Y8" s="684"/>
      <c r="Z8" s="684"/>
    </row>
    <row r="9" ht="31.5" hidden="1" customHeight="1" outlineLevel="1">
      <c r="A9" s="684"/>
      <c r="B9" s="741"/>
      <c r="C9" s="742">
        <f>D5</f>
        <v>46082</v>
      </c>
      <c r="D9" s="743" t="str">
        <f>TEXT(C9,"ddd")</f>
        <v>日</v>
      </c>
      <c r="E9" s="744"/>
      <c r="F9" s="745" t="s">
        <v>557</v>
      </c>
      <c r="G9" s="746" t="s">
        <v>739</v>
      </c>
      <c r="H9" s="747"/>
      <c r="I9" s="748">
        <v>0.6666666666666666</v>
      </c>
      <c r="J9" s="747">
        <v>14.0</v>
      </c>
      <c r="K9" s="747">
        <v>5.0</v>
      </c>
      <c r="L9" s="749" t="s">
        <v>558</v>
      </c>
      <c r="M9" s="749" t="s">
        <v>740</v>
      </c>
      <c r="N9" s="747"/>
      <c r="O9" s="750"/>
      <c r="Q9" s="751"/>
      <c r="R9" s="686"/>
      <c r="S9" s="242" t="str">
        <f t="array" ref="S9">IFERROR(INDEX('💻シート作成'!$D$6:$D1001, MATCH(T9, '💻シート作成'!$E$6:$E1001, 0)), "")</f>
        <v/>
      </c>
      <c r="T9" s="169" t="str">
        <f>IFERROR(__xludf.DUMMYFUNCTION("""COMPUTED_VALUE"""),"🔵クレーム")</f>
        <v>🔵クレーム</v>
      </c>
      <c r="U9" s="692"/>
      <c r="V9" s="738" t="s">
        <v>505</v>
      </c>
      <c r="W9" s="739"/>
      <c r="X9" s="740">
        <v>46082.0</v>
      </c>
      <c r="Y9" s="684"/>
      <c r="Z9" s="684"/>
    </row>
    <row r="10" ht="31.5" hidden="1" customHeight="1" outlineLevel="1">
      <c r="B10" s="752"/>
      <c r="C10" s="753"/>
      <c r="D10" s="753"/>
      <c r="E10" s="753"/>
      <c r="F10" s="753"/>
      <c r="G10" s="754"/>
      <c r="H10" s="753"/>
      <c r="I10" s="753"/>
      <c r="J10" s="753"/>
      <c r="K10" s="753"/>
      <c r="L10" s="755" t="s">
        <v>509</v>
      </c>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508</v>
      </c>
      <c r="W10" s="739"/>
      <c r="X10" s="740">
        <v>46113.0</v>
      </c>
      <c r="Y10" s="684"/>
      <c r="Z10" s="684"/>
    </row>
    <row r="11" ht="31.5" hidden="1" customHeight="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558</v>
      </c>
      <c r="W11" s="739"/>
      <c r="X11" s="740">
        <v>46143.0</v>
      </c>
      <c r="Y11" s="684"/>
      <c r="Z11" s="684"/>
    </row>
    <row r="12" ht="31.5" hidden="1" customHeight="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507</v>
      </c>
      <c r="W12" s="739"/>
      <c r="X12" s="740">
        <v>46174.0</v>
      </c>
      <c r="Y12" s="684"/>
      <c r="Z12" s="684"/>
    </row>
    <row r="13" ht="31.5" hidden="1" customHeight="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127</v>
      </c>
      <c r="W13" s="739"/>
      <c r="X13" s="740">
        <v>46204.0</v>
      </c>
      <c r="Y13" s="684"/>
      <c r="Z13" s="684"/>
    </row>
    <row r="14" ht="31.5" hidden="1" customHeight="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205</v>
      </c>
      <c r="W14" s="739"/>
      <c r="X14" s="740">
        <v>46235.0</v>
      </c>
      <c r="Y14" s="684"/>
      <c r="Z14" s="684"/>
    </row>
    <row r="15" ht="31.5" hidden="1" customHeight="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182</v>
      </c>
      <c r="W15" s="739"/>
      <c r="X15" s="740">
        <v>46266.0</v>
      </c>
      <c r="Y15" s="684"/>
      <c r="Z15" s="684"/>
    </row>
    <row r="16" ht="31.5" hidden="1" customHeight="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191</v>
      </c>
      <c r="W16" s="739"/>
      <c r="X16" s="740">
        <v>46296.0</v>
      </c>
      <c r="Y16" s="684"/>
      <c r="Z16" s="684"/>
    </row>
    <row r="17" ht="31.5" hidden="1" customHeight="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171</v>
      </c>
      <c r="W17" s="739"/>
      <c r="X17" s="740">
        <v>46327.0</v>
      </c>
      <c r="Y17" s="684"/>
      <c r="Z17" s="684"/>
    </row>
    <row r="18" ht="31.5" hidden="1" customHeight="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204</v>
      </c>
      <c r="W18" s="739"/>
      <c r="X18" s="740">
        <v>46357.0</v>
      </c>
      <c r="Y18" s="684"/>
      <c r="Z18" s="684"/>
    </row>
    <row r="19" ht="31.5" hidden="1" customHeight="1" outlineLevel="1">
      <c r="B19" s="761"/>
      <c r="C19" s="720"/>
      <c r="D19" s="720"/>
      <c r="E19" s="720"/>
      <c r="F19" s="762" t="s">
        <v>560</v>
      </c>
      <c r="G19" s="763" t="s">
        <v>741</v>
      </c>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200</v>
      </c>
      <c r="W19" s="739"/>
      <c r="X19" s="740">
        <v>46388.0</v>
      </c>
      <c r="Y19" s="684"/>
      <c r="Z19" s="684"/>
    </row>
    <row r="20" ht="34.5" hidden="1" customHeight="1" outlineLevel="1">
      <c r="A20" s="684"/>
      <c r="B20" s="766"/>
      <c r="C20" s="767">
        <f>IF(C9="","",IF(DAY(C9+1)=1,"",C9+1))</f>
        <v>46083</v>
      </c>
      <c r="D20" s="768" t="str">
        <f>TEXT(C20,"ddd")</f>
        <v>月</v>
      </c>
      <c r="E20" s="769"/>
      <c r="F20" s="770" t="s">
        <v>108</v>
      </c>
      <c r="G20" s="771" t="s">
        <v>742</v>
      </c>
      <c r="H20" s="772"/>
      <c r="I20" s="773">
        <v>0.7083333333333334</v>
      </c>
      <c r="J20" s="772">
        <v>16.0</v>
      </c>
      <c r="K20" s="772">
        <v>5.0</v>
      </c>
      <c r="L20" s="775"/>
      <c r="M20" s="775"/>
      <c r="N20" s="770">
        <v>212.0</v>
      </c>
      <c r="O20" s="776"/>
      <c r="Q20" s="751"/>
      <c r="R20" s="684"/>
      <c r="S20" s="242" t="str">
        <f t="array" ref="S20">IFERROR(INDEX('💻シート作成'!$D$6:$D1001, MATCH(T20, '💻シート作成'!$E$6:$E1001, 0)), "")</f>
        <v>12月</v>
      </c>
      <c r="T20" s="169" t="str">
        <f>IFERROR(__xludf.DUMMYFUNCTION("""COMPUTED_VALUE"""),"④R8_12月報")</f>
        <v>④R8_12月報</v>
      </c>
      <c r="U20" s="777"/>
      <c r="V20" s="738" t="s">
        <v>128</v>
      </c>
      <c r="W20" s="739"/>
      <c r="X20" s="740"/>
      <c r="Y20" s="684"/>
      <c r="Z20" s="684"/>
    </row>
    <row r="21" ht="34.5" hidden="1" customHeight="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509</v>
      </c>
      <c r="W21" s="739"/>
      <c r="X21" s="740"/>
      <c r="Y21" s="684"/>
      <c r="Z21" s="684"/>
    </row>
    <row r="22" ht="34.5" hidden="1" customHeight="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510</v>
      </c>
      <c r="W22" s="739"/>
      <c r="X22" s="740"/>
      <c r="Y22" s="684"/>
      <c r="Z22" s="684"/>
    </row>
    <row r="23" ht="34.5" hidden="1" customHeight="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511</v>
      </c>
      <c r="W23" s="684"/>
      <c r="X23" s="780"/>
      <c r="Y23" s="684"/>
      <c r="Z23" s="684"/>
    </row>
    <row r="24" ht="34.5" hidden="1" customHeight="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565</v>
      </c>
      <c r="W24" s="684"/>
      <c r="X24" s="780"/>
      <c r="Y24" s="684"/>
      <c r="Z24" s="684"/>
    </row>
    <row r="25" ht="34.5" hidden="1" customHeight="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513</v>
      </c>
      <c r="W25" s="684"/>
      <c r="X25" s="780"/>
      <c r="Y25" s="684"/>
      <c r="Z25" s="684"/>
    </row>
    <row r="26" ht="34.5" hidden="1" customHeight="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571</v>
      </c>
      <c r="W26" s="684"/>
      <c r="X26" s="780"/>
      <c r="Y26" s="684"/>
      <c r="Z26" s="684"/>
    </row>
    <row r="27" ht="34.5" hidden="1" customHeight="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512</v>
      </c>
      <c r="W27" s="684"/>
      <c r="X27" s="780"/>
      <c r="Y27" s="684"/>
      <c r="Z27" s="684"/>
    </row>
    <row r="28" ht="34.5" hidden="1" customHeight="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573</v>
      </c>
      <c r="W28" s="684"/>
      <c r="X28" s="780"/>
      <c r="Y28" s="684"/>
      <c r="Z28" s="684"/>
    </row>
    <row r="29" ht="34.5" hidden="1" customHeight="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110</v>
      </c>
      <c r="W29" s="684"/>
      <c r="X29" s="780"/>
      <c r="Y29" s="684"/>
      <c r="Z29" s="684"/>
    </row>
    <row r="30" ht="72.0" hidden="1" customHeight="1" outlineLevel="1">
      <c r="A30" s="684"/>
      <c r="B30" s="761"/>
      <c r="C30" s="720"/>
      <c r="D30" s="720"/>
      <c r="E30" s="720"/>
      <c r="F30" s="781" t="s">
        <v>560</v>
      </c>
      <c r="G30" s="782" t="s">
        <v>743</v>
      </c>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196</v>
      </c>
      <c r="W30" s="684"/>
      <c r="X30" s="780"/>
      <c r="Y30" s="684"/>
      <c r="Z30" s="684"/>
    </row>
    <row r="31" ht="33.0" hidden="1" customHeight="1" outlineLevel="1">
      <c r="A31" s="684"/>
      <c r="B31" s="784"/>
      <c r="C31" s="785">
        <f>IF(C20="","",IF(DAY(C20+1)=1,"",C20+1))</f>
        <v>46084</v>
      </c>
      <c r="D31" s="786" t="str">
        <f>TEXT(C31,"ddd")</f>
        <v>火</v>
      </c>
      <c r="E31" s="787"/>
      <c r="F31" s="788" t="s">
        <v>557</v>
      </c>
      <c r="G31" s="789" t="s">
        <v>744</v>
      </c>
      <c r="H31" s="790"/>
      <c r="I31" s="791">
        <v>0.6666666666666666</v>
      </c>
      <c r="J31" s="790">
        <v>20.0</v>
      </c>
      <c r="K31" s="790">
        <v>5.0</v>
      </c>
      <c r="L31" s="792" t="s">
        <v>513</v>
      </c>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514</v>
      </c>
      <c r="W31" s="684"/>
      <c r="X31" s="780"/>
      <c r="Y31" s="684"/>
      <c r="Z31" s="684"/>
    </row>
    <row r="32" ht="33.0" hidden="1" customHeight="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515</v>
      </c>
      <c r="W32" s="684"/>
      <c r="X32" s="780"/>
      <c r="Y32" s="684"/>
      <c r="Z32" s="684"/>
    </row>
    <row r="33" ht="33.0" hidden="1" customHeight="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578</v>
      </c>
      <c r="W33" s="684"/>
      <c r="X33" s="780"/>
      <c r="Y33" s="684"/>
      <c r="Z33" s="684"/>
    </row>
    <row r="34" ht="33.0" hidden="1" customHeight="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155</v>
      </c>
      <c r="W34" s="684"/>
      <c r="X34" s="780"/>
      <c r="Y34" s="684"/>
      <c r="Z34" s="684"/>
    </row>
    <row r="35" ht="33.0" hidden="1" customHeight="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190</v>
      </c>
      <c r="W35" s="684"/>
      <c r="X35" s="780"/>
      <c r="Y35" s="684"/>
      <c r="Z35" s="684"/>
    </row>
    <row r="36" ht="33.0" hidden="1" customHeight="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516</v>
      </c>
      <c r="W36" s="684"/>
      <c r="X36" s="780"/>
      <c r="Y36" s="684"/>
      <c r="Z36" s="684"/>
    </row>
    <row r="37" ht="33.0" hidden="1" customHeight="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144</v>
      </c>
      <c r="W37" s="684"/>
      <c r="X37" s="780"/>
      <c r="Y37" s="684"/>
      <c r="Z37" s="684"/>
    </row>
    <row r="38" ht="33.0" hidden="1" customHeight="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581</v>
      </c>
      <c r="W38" s="684"/>
      <c r="X38" s="780"/>
      <c r="Y38" s="684"/>
      <c r="Z38" s="684"/>
    </row>
    <row r="39" ht="33.0" hidden="1" customHeight="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517</v>
      </c>
      <c r="W39" s="684"/>
      <c r="X39" s="780"/>
      <c r="Y39" s="684"/>
      <c r="Z39" s="684"/>
    </row>
    <row r="40" ht="33.0" hidden="1" customHeight="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518</v>
      </c>
      <c r="W40" s="684"/>
      <c r="X40" s="780"/>
      <c r="Y40" s="684"/>
      <c r="Z40" s="684"/>
    </row>
    <row r="41" hidden="1" outlineLevel="1">
      <c r="A41" s="684"/>
      <c r="B41" s="761"/>
      <c r="C41" s="720"/>
      <c r="D41" s="720"/>
      <c r="E41" s="720"/>
      <c r="F41" s="762" t="s">
        <v>560</v>
      </c>
      <c r="G41" s="763"/>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582</v>
      </c>
      <c r="W41" s="684"/>
      <c r="X41" s="780"/>
      <c r="Y41" s="684"/>
      <c r="Z41" s="684"/>
    </row>
    <row r="42" hidden="1" outlineLevel="1">
      <c r="A42" s="684"/>
      <c r="B42" s="766"/>
      <c r="C42" s="767">
        <f>IF(C31="","",IF(DAY(C31+1)=1,"",C31+1))</f>
        <v>46085</v>
      </c>
      <c r="D42" s="768" t="str">
        <f>TEXT(C42,"ddd")</f>
        <v>水</v>
      </c>
      <c r="E42" s="769"/>
      <c r="F42" s="797" t="s">
        <v>557</v>
      </c>
      <c r="G42" s="798" t="s">
        <v>745</v>
      </c>
      <c r="H42" s="799"/>
      <c r="I42" s="800">
        <v>0.0</v>
      </c>
      <c r="J42" s="768"/>
      <c r="K42" s="768"/>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176</v>
      </c>
      <c r="W42" s="684"/>
      <c r="X42" s="780"/>
      <c r="Y42" s="684"/>
      <c r="Z42" s="684"/>
    </row>
    <row r="43" hidden="1" outlineLevel="1">
      <c r="A43" s="684"/>
      <c r="B43" s="752"/>
      <c r="C43" s="753"/>
      <c r="D43" s="753"/>
      <c r="E43" s="753"/>
      <c r="F43" s="753"/>
      <c r="G43" s="754"/>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519</v>
      </c>
      <c r="W43" s="684"/>
      <c r="X43" s="780"/>
      <c r="Y43" s="684"/>
      <c r="Z43" s="684"/>
    </row>
    <row r="44" hidden="1" outlineLevel="1">
      <c r="A44" s="684"/>
      <c r="B44" s="752"/>
      <c r="C44" s="753"/>
      <c r="D44" s="753"/>
      <c r="E44" s="753"/>
      <c r="F44" s="753"/>
      <c r="G44" s="754"/>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520</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186</v>
      </c>
      <c r="W45" s="684"/>
      <c r="X45" s="780"/>
      <c r="Y45" s="684"/>
      <c r="Z45" s="684"/>
    </row>
    <row r="46" hidden="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521</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522</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529</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523</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495</v>
      </c>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637</v>
      </c>
      <c r="W51" s="684"/>
      <c r="X51" s="780"/>
      <c r="Y51" s="684"/>
      <c r="Z51" s="684"/>
    </row>
    <row r="52" hidden="1" outlineLevel="1">
      <c r="A52" s="684"/>
      <c r="B52" s="761"/>
      <c r="C52" s="720"/>
      <c r="D52" s="720"/>
      <c r="E52" s="720"/>
      <c r="F52" s="781" t="s">
        <v>560</v>
      </c>
      <c r="G52" s="782"/>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524</v>
      </c>
      <c r="W52" s="684"/>
      <c r="X52" s="780"/>
      <c r="Y52" s="684"/>
      <c r="Z52" s="684"/>
    </row>
    <row r="53" ht="29.25" hidden="1" customHeight="1" outlineLevel="1">
      <c r="A53" s="684"/>
      <c r="B53" s="784"/>
      <c r="C53" s="785">
        <f>IF(C42="","",IF(DAY(C42+1)=1,"",C42+1))</f>
        <v>46086</v>
      </c>
      <c r="D53" s="786" t="str">
        <f>TEXT(C53,"ddd")</f>
        <v>木</v>
      </c>
      <c r="E53" s="787"/>
      <c r="F53" s="788" t="s">
        <v>557</v>
      </c>
      <c r="G53" s="789" t="s">
        <v>746</v>
      </c>
      <c r="H53" s="790"/>
      <c r="I53" s="791">
        <v>0.7083333333333334</v>
      </c>
      <c r="J53" s="790">
        <v>15.0</v>
      </c>
      <c r="K53" s="790">
        <v>4.0</v>
      </c>
      <c r="L53" s="792" t="s">
        <v>511</v>
      </c>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525</v>
      </c>
      <c r="W53" s="684"/>
      <c r="X53" s="780"/>
      <c r="Y53" s="684"/>
      <c r="Z53" s="684"/>
    </row>
    <row r="54" ht="29.25" hidden="1" customHeight="1" outlineLevel="1">
      <c r="A54" s="684"/>
      <c r="B54" s="752"/>
      <c r="C54" s="753"/>
      <c r="D54" s="753"/>
      <c r="E54" s="753"/>
      <c r="F54" s="753"/>
      <c r="G54" s="754"/>
      <c r="H54" s="753"/>
      <c r="I54" s="753"/>
      <c r="J54" s="753"/>
      <c r="K54" s="753"/>
      <c r="L54" s="792" t="s">
        <v>571</v>
      </c>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528</v>
      </c>
      <c r="W54" s="684"/>
      <c r="X54" s="780"/>
      <c r="Y54" s="684"/>
      <c r="Z54" s="684"/>
    </row>
    <row r="55" ht="29.25" hidden="1" customHeight="1" outlineLevel="1">
      <c r="A55" s="684"/>
      <c r="B55" s="752"/>
      <c r="C55" s="753"/>
      <c r="D55" s="753"/>
      <c r="E55" s="753"/>
      <c r="F55" s="753"/>
      <c r="G55" s="754"/>
      <c r="H55" s="753"/>
      <c r="I55" s="753"/>
      <c r="J55" s="753"/>
      <c r="K55" s="753"/>
      <c r="L55" s="792" t="s">
        <v>196</v>
      </c>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657</v>
      </c>
      <c r="W55" s="684"/>
      <c r="X55" s="780"/>
      <c r="Y55" s="684"/>
      <c r="Z55" s="684"/>
    </row>
    <row r="56" ht="29.25" hidden="1" customHeight="1" outlineLevel="1">
      <c r="A56" s="684"/>
      <c r="B56" s="752"/>
      <c r="C56" s="753"/>
      <c r="D56" s="753"/>
      <c r="E56" s="753"/>
      <c r="F56" s="753"/>
      <c r="G56" s="754"/>
      <c r="H56" s="753"/>
      <c r="I56" s="753"/>
      <c r="J56" s="753"/>
      <c r="K56" s="753"/>
      <c r="L56" s="792" t="s">
        <v>515</v>
      </c>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496</v>
      </c>
      <c r="W56" s="684"/>
      <c r="X56" s="780"/>
      <c r="Y56" s="684"/>
      <c r="Z56" s="684"/>
    </row>
    <row r="57" ht="29.25" hidden="1" customHeight="1" outlineLevel="1">
      <c r="A57" s="684"/>
      <c r="B57" s="752"/>
      <c r="C57" s="753"/>
      <c r="D57" s="753"/>
      <c r="E57" s="753"/>
      <c r="F57" s="753"/>
      <c r="G57" s="754"/>
      <c r="H57" s="753"/>
      <c r="I57" s="753"/>
      <c r="J57" s="753"/>
      <c r="K57" s="753"/>
      <c r="L57" s="792" t="s">
        <v>529</v>
      </c>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526</v>
      </c>
      <c r="W57" s="684"/>
      <c r="X57" s="780"/>
      <c r="Y57" s="684"/>
      <c r="Z57" s="684"/>
    </row>
    <row r="58" ht="29.25" hidden="1" customHeight="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802"/>
      <c r="W58" s="684"/>
      <c r="X58" s="780"/>
      <c r="Y58" s="684"/>
      <c r="Z58" s="684"/>
    </row>
    <row r="59" ht="29.25" hidden="1" customHeight="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802"/>
      <c r="W59" s="684"/>
      <c r="X59" s="780"/>
      <c r="Y59" s="684"/>
      <c r="Z59" s="684"/>
    </row>
    <row r="60" ht="29.25" hidden="1" customHeight="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802"/>
      <c r="W60" s="684"/>
      <c r="X60" s="780"/>
      <c r="Y60" s="684"/>
      <c r="Z60" s="684"/>
    </row>
    <row r="61" ht="29.25" hidden="1" customHeight="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802"/>
      <c r="W61" s="684"/>
      <c r="X61" s="780"/>
      <c r="Y61" s="684"/>
      <c r="Z61" s="684"/>
    </row>
    <row r="62" ht="29.25" hidden="1" customHeight="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802"/>
      <c r="W62" s="684"/>
      <c r="X62" s="780"/>
      <c r="Y62" s="684"/>
      <c r="Z62" s="684"/>
    </row>
    <row r="63" hidden="1" outlineLevel="1">
      <c r="A63" s="684"/>
      <c r="B63" s="761"/>
      <c r="C63" s="720"/>
      <c r="D63" s="720"/>
      <c r="E63" s="720"/>
      <c r="F63" s="762" t="s">
        <v>560</v>
      </c>
      <c r="G63" s="763"/>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c r="W64" s="684"/>
      <c r="X64" s="780"/>
      <c r="Y64" s="684"/>
      <c r="Z64" s="684"/>
    </row>
    <row r="65" ht="34.5" hidden="1" customHeight="1" outlineLevel="1">
      <c r="A65" s="684"/>
      <c r="B65" s="766"/>
      <c r="C65" s="767">
        <f>IF(C53="","",IF(DAY(C53+1)=1,"",C53+1))</f>
        <v>46087</v>
      </c>
      <c r="D65" s="768" t="str">
        <f>TEXT(C65,"ddd")</f>
        <v>金</v>
      </c>
      <c r="E65" s="797" t="s">
        <v>747</v>
      </c>
      <c r="F65" s="797" t="s">
        <v>108</v>
      </c>
      <c r="G65" s="798" t="s">
        <v>748</v>
      </c>
      <c r="H65" s="799">
        <v>1.0</v>
      </c>
      <c r="I65" s="800">
        <v>0.6666666666666666</v>
      </c>
      <c r="J65" s="799">
        <v>21.0</v>
      </c>
      <c r="K65" s="799">
        <v>7.0</v>
      </c>
      <c r="L65" s="778" t="s">
        <v>529</v>
      </c>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c r="W65" s="684"/>
      <c r="X65" s="780"/>
      <c r="Y65" s="684"/>
      <c r="Z65" s="684"/>
    </row>
    <row r="66" ht="34.5" hidden="1" customHeight="1" outlineLevel="1">
      <c r="A66" s="684"/>
      <c r="B66" s="752"/>
      <c r="C66" s="753"/>
      <c r="D66" s="753"/>
      <c r="E66" s="753"/>
      <c r="F66" s="753"/>
      <c r="G66" s="754"/>
      <c r="H66" s="753"/>
      <c r="I66" s="753"/>
      <c r="J66" s="753"/>
      <c r="K66" s="753"/>
      <c r="L66" s="778" t="s">
        <v>190</v>
      </c>
      <c r="M66" s="778" t="s">
        <v>749</v>
      </c>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t="34.5" hidden="1" customHeight="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t="34.5" hidden="1" customHeight="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t="34.5" hidden="1" customHeight="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t="34.5" hidden="1" customHeight="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t="34.5" hidden="1" customHeight="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t="34.5" hidden="1" customHeight="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t="34.5" hidden="1" customHeight="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t="34.5" hidden="1" customHeight="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t="41.25" hidden="1" customHeight="1" outlineLevel="1">
      <c r="A76" s="684"/>
      <c r="B76" s="784"/>
      <c r="C76" s="785">
        <f>IF(C65="","",IF(DAY(C65+1)=1,"",C65+1))</f>
        <v>46088</v>
      </c>
      <c r="D76" s="786" t="str">
        <f>TEXT(C76,"ddd")</f>
        <v>土</v>
      </c>
      <c r="E76" s="787"/>
      <c r="F76" s="788" t="s">
        <v>557</v>
      </c>
      <c r="G76" s="789" t="s">
        <v>750</v>
      </c>
      <c r="H76" s="790"/>
      <c r="I76" s="791">
        <v>0.0</v>
      </c>
      <c r="J76" s="786"/>
      <c r="K76" s="786"/>
      <c r="L76" s="792" t="s">
        <v>508</v>
      </c>
      <c r="M76" s="792"/>
      <c r="N76" s="788"/>
      <c r="O76" s="793"/>
      <c r="P76" s="794"/>
      <c r="Q76" s="795"/>
      <c r="R76" s="684"/>
      <c r="S76" s="242" t="str">
        <f t="array" ref="S76">IFERROR(INDEX('💻シート作成'!$D$6:$D1001, MATCH(T76, '💻シート作成'!$E$6:$E1001, 0)), "")</f>
        <v/>
      </c>
      <c r="T76" s="169"/>
      <c r="U76" s="687"/>
      <c r="V76" s="802"/>
      <c r="W76" s="684"/>
      <c r="X76" s="780"/>
      <c r="Y76" s="684"/>
      <c r="Z76" s="684"/>
    </row>
    <row r="77" ht="41.25" hidden="1" customHeight="1" outlineLevel="1">
      <c r="A77" s="684"/>
      <c r="B77" s="752"/>
      <c r="C77" s="753"/>
      <c r="D77" s="753"/>
      <c r="E77" s="753"/>
      <c r="F77" s="753"/>
      <c r="G77" s="754"/>
      <c r="H77" s="753"/>
      <c r="I77" s="753"/>
      <c r="J77" s="753"/>
      <c r="K77" s="753"/>
      <c r="L77" s="792" t="s">
        <v>573</v>
      </c>
      <c r="M77" s="792"/>
      <c r="N77" s="753"/>
      <c r="O77" s="756"/>
      <c r="Q77" s="751"/>
      <c r="R77" s="684"/>
      <c r="S77" s="242" t="str">
        <f t="array" ref="S77">IFERROR(INDEX('💻シート作成'!$D$6:$D1001, MATCH(T77, '💻シート作成'!$E$6:$E1001, 0)), "")</f>
        <v/>
      </c>
      <c r="T77" s="169"/>
      <c r="U77" s="687"/>
      <c r="V77" s="802"/>
      <c r="W77" s="684"/>
      <c r="X77" s="780"/>
      <c r="Y77" s="684"/>
      <c r="Z77" s="684"/>
    </row>
    <row r="78" ht="41.25" hidden="1" customHeight="1" outlineLevel="1">
      <c r="A78" s="684"/>
      <c r="B78" s="752"/>
      <c r="C78" s="753"/>
      <c r="D78" s="753"/>
      <c r="E78" s="753"/>
      <c r="F78" s="753"/>
      <c r="G78" s="754"/>
      <c r="H78" s="753"/>
      <c r="I78" s="753"/>
      <c r="J78" s="753"/>
      <c r="K78" s="753"/>
      <c r="L78" s="792" t="s">
        <v>155</v>
      </c>
      <c r="M78" s="792"/>
      <c r="N78" s="753"/>
      <c r="O78" s="756"/>
      <c r="Q78" s="751"/>
      <c r="R78" s="684"/>
      <c r="S78" s="242" t="str">
        <f t="array" ref="S78">IFERROR(INDEX('💻シート作成'!$D$6:$D1001, MATCH(T78, '💻シート作成'!$E$6:$E1001, 0)), "")</f>
        <v/>
      </c>
      <c r="T78" s="169"/>
      <c r="U78" s="687"/>
      <c r="V78" s="802"/>
      <c r="W78" s="684"/>
      <c r="X78" s="780"/>
      <c r="Y78" s="684"/>
      <c r="Z78" s="684"/>
    </row>
    <row r="79" ht="41.25" hidden="1" customHeight="1" outlineLevel="1">
      <c r="A79" s="684"/>
      <c r="B79" s="752"/>
      <c r="C79" s="753"/>
      <c r="D79" s="753"/>
      <c r="E79" s="753"/>
      <c r="F79" s="753"/>
      <c r="G79" s="754"/>
      <c r="H79" s="753"/>
      <c r="I79" s="753"/>
      <c r="J79" s="753"/>
      <c r="K79" s="753"/>
      <c r="L79" s="792" t="s">
        <v>186</v>
      </c>
      <c r="M79" s="792"/>
      <c r="N79" s="753"/>
      <c r="O79" s="756"/>
      <c r="Q79" s="751"/>
      <c r="R79" s="684"/>
      <c r="S79" s="242" t="str">
        <f t="array" ref="S79">IFERROR(INDEX('💻シート作成'!$D$6:$D1001, MATCH(T79, '💻シート作成'!$E$6:$E1001, 0)), "")</f>
        <v/>
      </c>
      <c r="T79" s="169"/>
      <c r="U79" s="687"/>
      <c r="V79" s="802"/>
      <c r="W79" s="684"/>
      <c r="X79" s="780"/>
      <c r="Y79" s="684"/>
      <c r="Z79" s="684"/>
    </row>
    <row r="80" ht="41.25" hidden="1" customHeight="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t="41.25" hidden="1" customHeight="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t="41.25" hidden="1" customHeight="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t="41.25" hidden="1" customHeight="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t="41.25" hidden="1" customHeight="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t="41.25" hidden="1" customHeight="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t="44.25" hidden="1" customHeight="1" outlineLevel="1">
      <c r="A87" s="684"/>
      <c r="B87" s="766"/>
      <c r="C87" s="767">
        <f>IF(C76="","",IF(DAY(C76+1)=1,"",C76+1))</f>
        <v>46089</v>
      </c>
      <c r="D87" s="768" t="str">
        <f>TEXT(C87,"ddd")</f>
        <v>日</v>
      </c>
      <c r="E87" s="769"/>
      <c r="F87" s="797" t="s">
        <v>557</v>
      </c>
      <c r="G87" s="789" t="s">
        <v>751</v>
      </c>
      <c r="H87" s="799"/>
      <c r="I87" s="800">
        <v>0.6666666666666666</v>
      </c>
      <c r="J87" s="799">
        <v>18.0</v>
      </c>
      <c r="K87" s="799">
        <v>5.0</v>
      </c>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t="44.25" hidden="1" customHeight="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t="44.25" hidden="1" customHeight="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t="44.25" hidden="1" customHeight="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t="44.25" hidden="1" customHeight="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t="44.25" hidden="1" customHeight="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t="44.25" hidden="1" customHeight="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t="44.25" hidden="1" customHeight="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t="44.25" hidden="1" customHeight="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t="44.25" hidden="1" customHeight="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t="34.5" hidden="1" customHeight="1" outlineLevel="1">
      <c r="A98" s="684"/>
      <c r="B98" s="784"/>
      <c r="C98" s="785">
        <f>IF(C87="","",IF(DAY(C87+1)=1,"",C87+1))</f>
        <v>46090</v>
      </c>
      <c r="D98" s="786" t="str">
        <f>TEXT(C98,"ddd")</f>
        <v>月</v>
      </c>
      <c r="E98" s="787"/>
      <c r="F98" s="788" t="s">
        <v>108</v>
      </c>
      <c r="G98" s="789" t="s">
        <v>752</v>
      </c>
      <c r="H98" s="790"/>
      <c r="I98" s="791">
        <v>0.6145833333333334</v>
      </c>
      <c r="J98" s="790">
        <v>18.0</v>
      </c>
      <c r="K98" s="790">
        <v>5.0</v>
      </c>
      <c r="L98" s="792" t="s">
        <v>508</v>
      </c>
      <c r="M98" s="792"/>
      <c r="N98" s="788"/>
      <c r="O98" s="793"/>
      <c r="P98" s="794"/>
      <c r="Q98" s="795"/>
      <c r="R98" s="684"/>
      <c r="S98" s="242" t="str">
        <f t="array" ref="S98">IFERROR(INDEX('💻シート作成'!$D$6:$D1001, MATCH(T98, '💻シート作成'!$E$6:$E1001, 0)), "")</f>
        <v/>
      </c>
      <c r="T98" s="169"/>
      <c r="U98" s="687"/>
      <c r="V98" s="802"/>
      <c r="W98" s="684"/>
      <c r="X98" s="780"/>
      <c r="Y98" s="684"/>
      <c r="Z98" s="684"/>
    </row>
    <row r="99" ht="34.5" hidden="1" customHeight="1" outlineLevel="1">
      <c r="A99" s="684"/>
      <c r="B99" s="752"/>
      <c r="C99" s="753"/>
      <c r="D99" s="753"/>
      <c r="E99" s="753"/>
      <c r="F99" s="753"/>
      <c r="G99" s="754"/>
      <c r="H99" s="753"/>
      <c r="I99" s="753"/>
      <c r="J99" s="753"/>
      <c r="K99" s="753"/>
      <c r="L99" s="792" t="s">
        <v>515</v>
      </c>
      <c r="M99" s="792"/>
      <c r="N99" s="753"/>
      <c r="O99" s="756"/>
      <c r="Q99" s="751"/>
      <c r="R99" s="684"/>
      <c r="S99" s="242" t="str">
        <f t="array" ref="S99">IFERROR(INDEX('💻シート作成'!$D$6:$D1001, MATCH(T99, '💻シート作成'!$E$6:$E1001, 0)), "")</f>
        <v/>
      </c>
      <c r="T99" s="169"/>
      <c r="U99" s="687"/>
      <c r="V99" s="802"/>
      <c r="W99" s="684"/>
      <c r="X99" s="780"/>
      <c r="Y99" s="684"/>
      <c r="Z99" s="684"/>
    </row>
    <row r="100" ht="34.5" hidden="1" customHeight="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t="34.5" hidden="1" customHeight="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t="34.5" hidden="1" customHeight="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t="34.5" hidden="1" customHeight="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t="34.5" hidden="1" customHeight="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t="34.5" hidden="1" customHeight="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t="34.5" hidden="1" customHeight="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t="34.5" hidden="1" customHeight="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t="34.5" hidden="1" customHeight="1" outlineLevel="1">
      <c r="A109" s="684"/>
      <c r="B109" s="766"/>
      <c r="C109" s="767">
        <f>IF(C98="","",IF(DAY(C98+1)=1,"",C98+1))</f>
        <v>46091</v>
      </c>
      <c r="D109" s="768" t="str">
        <f>TEXT(C109,"ddd")</f>
        <v>火</v>
      </c>
      <c r="E109" s="769"/>
      <c r="F109" s="797" t="s">
        <v>108</v>
      </c>
      <c r="G109" s="798" t="s">
        <v>753</v>
      </c>
      <c r="H109" s="799">
        <v>2.0</v>
      </c>
      <c r="I109" s="800">
        <v>0.625</v>
      </c>
      <c r="J109" s="799">
        <v>17.0</v>
      </c>
      <c r="K109" s="799">
        <v>7.0</v>
      </c>
      <c r="L109" s="778" t="s">
        <v>509</v>
      </c>
      <c r="M109" s="778" t="s">
        <v>754</v>
      </c>
      <c r="N109" s="797">
        <v>230.0</v>
      </c>
      <c r="O109" s="801"/>
      <c r="P109" s="794"/>
      <c r="Q109" s="795"/>
      <c r="R109" s="684"/>
      <c r="S109" s="242" t="str">
        <f t="array" ref="S109">IFERROR(INDEX('💻シート作成'!$D$6:$D1001, MATCH(T109, '💻シート作成'!$E$6:$E1001, 0)), "")</f>
        <v/>
      </c>
      <c r="T109" s="169"/>
      <c r="U109" s="687"/>
      <c r="V109" s="802"/>
      <c r="W109" s="684"/>
      <c r="X109" s="780"/>
      <c r="Y109" s="684"/>
      <c r="Z109" s="684"/>
    </row>
    <row r="110" ht="34.5" hidden="1" customHeight="1" outlineLevel="1">
      <c r="A110" s="684"/>
      <c r="B110" s="752"/>
      <c r="C110" s="753"/>
      <c r="D110" s="753"/>
      <c r="E110" s="753"/>
      <c r="F110" s="753"/>
      <c r="G110" s="754"/>
      <c r="H110" s="753"/>
      <c r="I110" s="753"/>
      <c r="J110" s="753"/>
      <c r="K110" s="753"/>
      <c r="L110" s="778" t="s">
        <v>515</v>
      </c>
      <c r="M110" s="778" t="s">
        <v>755</v>
      </c>
      <c r="N110" s="753"/>
      <c r="O110" s="756"/>
      <c r="Q110" s="751"/>
      <c r="R110" s="684"/>
      <c r="S110" s="242" t="str">
        <f t="array" ref="S110">IFERROR(INDEX('💻シート作成'!$D$6:$D1001, MATCH(T110, '💻シート作成'!$E$6:$E1001, 0)), "")</f>
        <v/>
      </c>
      <c r="T110" s="190"/>
      <c r="U110" s="687"/>
      <c r="V110" s="802"/>
      <c r="W110" s="684"/>
      <c r="X110" s="780"/>
      <c r="Y110" s="684"/>
      <c r="Z110" s="684"/>
    </row>
    <row r="111" ht="34.5" hidden="1" customHeight="1" outlineLevel="1">
      <c r="A111" s="684"/>
      <c r="B111" s="752"/>
      <c r="C111" s="753"/>
      <c r="D111" s="753"/>
      <c r="E111" s="753"/>
      <c r="F111" s="753"/>
      <c r="G111" s="754"/>
      <c r="H111" s="753"/>
      <c r="I111" s="753"/>
      <c r="J111" s="753"/>
      <c r="K111" s="753"/>
      <c r="L111" s="778" t="s">
        <v>519</v>
      </c>
      <c r="M111" s="778" t="s">
        <v>756</v>
      </c>
      <c r="N111" s="753"/>
      <c r="O111" s="756"/>
      <c r="Q111" s="751"/>
      <c r="R111" s="684"/>
      <c r="S111" s="242" t="str">
        <f t="array" ref="S111">IFERROR(INDEX('💻シート作成'!$D$6:$D1001, MATCH(T111, '💻シート作成'!$E$6:$E1001, 0)), "")</f>
        <v/>
      </c>
      <c r="T111" s="190"/>
      <c r="U111" s="687"/>
      <c r="V111" s="802"/>
      <c r="W111" s="684"/>
      <c r="X111" s="780"/>
      <c r="Y111" s="684"/>
      <c r="Z111" s="684"/>
    </row>
    <row r="112" ht="34.5" hidden="1" customHeight="1" outlineLevel="1">
      <c r="A112" s="684"/>
      <c r="B112" s="752"/>
      <c r="C112" s="753"/>
      <c r="D112" s="753"/>
      <c r="E112" s="753"/>
      <c r="F112" s="753"/>
      <c r="G112" s="754"/>
      <c r="H112" s="753"/>
      <c r="I112" s="753"/>
      <c r="J112" s="753"/>
      <c r="K112" s="753"/>
      <c r="L112" s="778" t="s">
        <v>110</v>
      </c>
      <c r="M112" s="778" t="s">
        <v>677</v>
      </c>
      <c r="N112" s="753"/>
      <c r="O112" s="756"/>
      <c r="Q112" s="751"/>
      <c r="R112" s="684"/>
      <c r="S112" s="242" t="str">
        <f t="array" ref="S112">IFERROR(INDEX('💻シート作成'!$D$6:$D1001, MATCH(T112, '💻シート作成'!$E$6:$E1001, 0)), "")</f>
        <v/>
      </c>
      <c r="T112" s="190"/>
      <c r="U112" s="687"/>
      <c r="V112" s="802"/>
      <c r="W112" s="684"/>
      <c r="X112" s="780"/>
      <c r="Y112" s="684"/>
      <c r="Z112" s="684"/>
    </row>
    <row r="113" ht="34.5" hidden="1" customHeight="1" outlineLevel="1">
      <c r="A113" s="684"/>
      <c r="B113" s="752"/>
      <c r="C113" s="753"/>
      <c r="D113" s="753"/>
      <c r="E113" s="753"/>
      <c r="F113" s="753"/>
      <c r="G113" s="754"/>
      <c r="H113" s="753"/>
      <c r="I113" s="753"/>
      <c r="J113" s="753"/>
      <c r="K113" s="753"/>
      <c r="L113" s="778" t="s">
        <v>200</v>
      </c>
      <c r="M113" s="778" t="s">
        <v>677</v>
      </c>
      <c r="N113" s="753"/>
      <c r="O113" s="756"/>
      <c r="Q113" s="751"/>
      <c r="R113" s="684"/>
      <c r="S113" s="242" t="str">
        <f t="array" ref="S113">IFERROR(INDEX('💻シート作成'!$D$6:$D1001, MATCH(T113, '💻シート作成'!$E$6:$E1001, 0)), "")</f>
        <v/>
      </c>
      <c r="T113" s="190"/>
      <c r="U113" s="687"/>
      <c r="V113" s="802"/>
      <c r="W113" s="684"/>
      <c r="X113" s="780"/>
      <c r="Y113" s="684"/>
      <c r="Z113" s="684"/>
    </row>
    <row r="114" ht="34.5" hidden="1" customHeight="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t="34.5" hidden="1" customHeight="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t="34.5" hidden="1" customHeight="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t="34.5" hidden="1" customHeight="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t="34.5" hidden="1" customHeight="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t="21.0" hidden="1" customHeight="1" outlineLevel="1">
      <c r="A121" s="684"/>
      <c r="B121" s="784"/>
      <c r="C121" s="785">
        <f>IF(C109="","",IF(DAY(C109+1)=1,"",C109+1))</f>
        <v>46092</v>
      </c>
      <c r="D121" s="786" t="str">
        <f>TEXT(C121,"ddd")</f>
        <v>水</v>
      </c>
      <c r="E121" s="787"/>
      <c r="F121" s="788" t="s">
        <v>557</v>
      </c>
      <c r="G121" s="789" t="s">
        <v>757</v>
      </c>
      <c r="H121" s="790"/>
      <c r="I121" s="791">
        <v>0.6944444444444444</v>
      </c>
      <c r="J121" s="790">
        <v>15.0</v>
      </c>
      <c r="K121" s="790">
        <v>4.0</v>
      </c>
      <c r="L121" s="792" t="s">
        <v>155</v>
      </c>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t="21.0" hidden="1" customHeight="1" outlineLevel="1">
      <c r="A122" s="684"/>
      <c r="B122" s="752"/>
      <c r="C122" s="753"/>
      <c r="D122" s="753"/>
      <c r="E122" s="753"/>
      <c r="F122" s="753"/>
      <c r="G122" s="754"/>
      <c r="H122" s="753"/>
      <c r="I122" s="753"/>
      <c r="J122" s="753"/>
      <c r="K122" s="753"/>
      <c r="L122" s="792" t="s">
        <v>508</v>
      </c>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t="21.0" hidden="1" customHeight="1" outlineLevel="1">
      <c r="A123" s="684"/>
      <c r="B123" s="752"/>
      <c r="C123" s="753"/>
      <c r="D123" s="753"/>
      <c r="E123" s="753"/>
      <c r="F123" s="753"/>
      <c r="G123" s="754"/>
      <c r="H123" s="753"/>
      <c r="I123" s="753"/>
      <c r="J123" s="753"/>
      <c r="K123" s="753"/>
      <c r="L123" s="792" t="s">
        <v>191</v>
      </c>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t="21.0" hidden="1" customHeight="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t="21.0" hidden="1" customHeight="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t="21.0" hidden="1" customHeight="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t="21.0" hidden="1" customHeight="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t="21.0" hidden="1" customHeight="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t="21.0" hidden="1" customHeight="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t="21.0" hidden="1" customHeight="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idden="1" outlineLevel="1">
      <c r="A131" s="684"/>
      <c r="B131" s="761"/>
      <c r="C131" s="720"/>
      <c r="D131" s="720"/>
      <c r="E131" s="720"/>
      <c r="F131" s="762" t="s">
        <v>560</v>
      </c>
      <c r="G131" s="763"/>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t="45.0" hidden="1" customHeight="1" outlineLevel="1">
      <c r="A132" s="684"/>
      <c r="B132" s="766"/>
      <c r="C132" s="767">
        <f>IF(C121="","",IF(DAY(C121+1)=1,"",C121+1))</f>
        <v>46093</v>
      </c>
      <c r="D132" s="768" t="str">
        <f>TEXT(C132,"ddd")</f>
        <v>木</v>
      </c>
      <c r="E132" s="769"/>
      <c r="F132" s="797" t="s">
        <v>557</v>
      </c>
      <c r="G132" s="789" t="s">
        <v>758</v>
      </c>
      <c r="H132" s="799"/>
      <c r="I132" s="800">
        <v>0.6527777777777778</v>
      </c>
      <c r="J132" s="799">
        <v>16.0</v>
      </c>
      <c r="K132" s="799">
        <v>4.0</v>
      </c>
      <c r="L132" s="778" t="s">
        <v>573</v>
      </c>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t="45.0" hidden="1" customHeight="1" outlineLevel="1">
      <c r="A133" s="684"/>
      <c r="B133" s="752"/>
      <c r="C133" s="753"/>
      <c r="D133" s="753"/>
      <c r="E133" s="753"/>
      <c r="F133" s="753"/>
      <c r="G133" s="754"/>
      <c r="H133" s="753"/>
      <c r="I133" s="753"/>
      <c r="J133" s="753"/>
      <c r="K133" s="753"/>
      <c r="L133" s="778" t="s">
        <v>110</v>
      </c>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t="45.0" hidden="1" customHeight="1" outlineLevel="1">
      <c r="A134" s="684"/>
      <c r="B134" s="752"/>
      <c r="C134" s="753"/>
      <c r="D134" s="753"/>
      <c r="E134" s="753"/>
      <c r="F134" s="753"/>
      <c r="G134" s="754"/>
      <c r="H134" s="753"/>
      <c r="I134" s="753"/>
      <c r="J134" s="753"/>
      <c r="K134" s="753"/>
      <c r="L134" s="778" t="s">
        <v>196</v>
      </c>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t="45.0" hidden="1" customHeight="1" outlineLevel="1">
      <c r="A135" s="684"/>
      <c r="B135" s="752"/>
      <c r="C135" s="753"/>
      <c r="D135" s="753"/>
      <c r="E135" s="753"/>
      <c r="F135" s="753"/>
      <c r="G135" s="754"/>
      <c r="H135" s="753"/>
      <c r="I135" s="753"/>
      <c r="J135" s="753"/>
      <c r="K135" s="753"/>
      <c r="L135" s="778" t="s">
        <v>155</v>
      </c>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t="45.0" hidden="1" customHeight="1" outlineLevel="1">
      <c r="A136" s="684"/>
      <c r="B136" s="752"/>
      <c r="C136" s="753"/>
      <c r="D136" s="753"/>
      <c r="E136" s="753"/>
      <c r="F136" s="753"/>
      <c r="G136" s="754"/>
      <c r="H136" s="753"/>
      <c r="I136" s="753"/>
      <c r="J136" s="753"/>
      <c r="K136" s="753"/>
      <c r="L136" s="778" t="s">
        <v>204</v>
      </c>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t="45.0" hidden="1" customHeight="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t="45.0" hidden="1" customHeight="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t="45.0" hidden="1" customHeight="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t="45.0" hidden="1" customHeight="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t="45.0" hidden="1" customHeight="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idden="1" outlineLevel="1">
      <c r="A142" s="684"/>
      <c r="B142" s="761"/>
      <c r="C142" s="720"/>
      <c r="D142" s="720"/>
      <c r="E142" s="720"/>
      <c r="F142" s="781" t="s">
        <v>560</v>
      </c>
      <c r="G142" s="782"/>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t="21.0" hidden="1" customHeight="1" outlineLevel="1">
      <c r="A143" s="684"/>
      <c r="B143" s="784"/>
      <c r="C143" s="785">
        <f>IF(C132="","",IF(DAY(C132+1)=1,"",C132+1))</f>
        <v>46094</v>
      </c>
      <c r="D143" s="786" t="str">
        <f>TEXT(C143,"ddd")</f>
        <v>金</v>
      </c>
      <c r="E143" s="787"/>
      <c r="F143" s="788" t="s">
        <v>557</v>
      </c>
      <c r="G143" s="789" t="s">
        <v>757</v>
      </c>
      <c r="H143" s="790"/>
      <c r="I143" s="791">
        <v>0.7291666666666666</v>
      </c>
      <c r="J143" s="786"/>
      <c r="K143" s="786"/>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t="21.0" hidden="1" customHeight="1" outlineLevel="1">
      <c r="A144" s="684"/>
      <c r="B144" s="752"/>
      <c r="C144" s="753"/>
      <c r="D144" s="753"/>
      <c r="E144" s="753"/>
      <c r="F144" s="753"/>
      <c r="G144" s="754"/>
      <c r="H144" s="753"/>
      <c r="I144" s="753"/>
      <c r="J144" s="753"/>
      <c r="K144" s="753"/>
      <c r="L144" s="792" t="s">
        <v>582</v>
      </c>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t="21.0" hidden="1" customHeight="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t="66.0" hidden="1" customHeight="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t="21.0" hidden="1" customHeight="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t="21.0" hidden="1" customHeight="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t="21.0" hidden="1" customHeight="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t="21.0" hidden="1" customHeight="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t="21.0" hidden="1" customHeight="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t="21.0" hidden="1" customHeight="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idden="1" outlineLevel="1">
      <c r="A153" s="684"/>
      <c r="B153" s="761"/>
      <c r="C153" s="720"/>
      <c r="D153" s="720"/>
      <c r="E153" s="720"/>
      <c r="F153" s="762" t="s">
        <v>560</v>
      </c>
      <c r="G153" s="763"/>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t="22.5" hidden="1" customHeight="1" outlineLevel="1">
      <c r="A154" s="684"/>
      <c r="B154" s="766"/>
      <c r="C154" s="767">
        <f>IF(C143="","",IF(DAY(C143+1)=1,"",C143+1))</f>
        <v>46095</v>
      </c>
      <c r="D154" s="768" t="str">
        <f>TEXT(C154,"ddd")</f>
        <v>土</v>
      </c>
      <c r="E154" s="769"/>
      <c r="F154" s="797" t="s">
        <v>557</v>
      </c>
      <c r="G154" s="798" t="s">
        <v>759</v>
      </c>
      <c r="H154" s="799"/>
      <c r="I154" s="973">
        <v>0.6666666666666666</v>
      </c>
      <c r="J154" s="768"/>
      <c r="K154" s="768"/>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t="22.5" hidden="1" customHeight="1" outlineLevel="1">
      <c r="A155" s="684"/>
      <c r="B155" s="752"/>
      <c r="C155" s="753"/>
      <c r="D155" s="753"/>
      <c r="E155" s="753"/>
      <c r="F155" s="753"/>
      <c r="G155" s="754"/>
      <c r="H155" s="753"/>
      <c r="I155" s="753"/>
      <c r="J155" s="753"/>
      <c r="K155" s="753"/>
      <c r="L155" s="778" t="s">
        <v>582</v>
      </c>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t="22.5" hidden="1" customHeight="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t="22.5" hidden="1" customHeight="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t="22.5" hidden="1" customHeight="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t="22.5" hidden="1" customHeight="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t="103.5" hidden="1" customHeight="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t="22.5" hidden="1" customHeight="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t="22.5" hidden="1" customHeight="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t="22.5" hidden="1" customHeight="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idden="1" outlineLevel="1">
      <c r="A164" s="684"/>
      <c r="B164" s="761"/>
      <c r="C164" s="720"/>
      <c r="D164" s="720"/>
      <c r="E164" s="720"/>
      <c r="F164" s="781" t="s">
        <v>560</v>
      </c>
      <c r="G164" s="782"/>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t="49.5" hidden="1" customHeight="1" outlineLevel="1">
      <c r="A165" s="684"/>
      <c r="B165" s="784"/>
      <c r="C165" s="785">
        <f>IF(C154="","",IF(DAY(C154+1)=1,"",C154+1))</f>
        <v>46096</v>
      </c>
      <c r="D165" s="786" t="str">
        <f>TEXT(C165,"ddd")</f>
        <v>日</v>
      </c>
      <c r="E165" s="787"/>
      <c r="F165" s="788" t="s">
        <v>108</v>
      </c>
      <c r="G165" s="789" t="s">
        <v>760</v>
      </c>
      <c r="H165" s="790"/>
      <c r="I165" s="791">
        <v>0.65625</v>
      </c>
      <c r="J165" s="790">
        <v>17.0</v>
      </c>
      <c r="K165" s="790">
        <v>8.0</v>
      </c>
      <c r="L165" s="792" t="s">
        <v>522</v>
      </c>
      <c r="M165" s="792" t="s">
        <v>761</v>
      </c>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t="49.5" hidden="1" customHeight="1" outlineLevel="1">
      <c r="A166" s="684"/>
      <c r="B166" s="752"/>
      <c r="C166" s="753"/>
      <c r="D166" s="753"/>
      <c r="E166" s="753"/>
      <c r="F166" s="753"/>
      <c r="G166" s="754"/>
      <c r="H166" s="753"/>
      <c r="I166" s="753"/>
      <c r="J166" s="753"/>
      <c r="K166" s="753"/>
      <c r="L166" s="792"/>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t="49.5" hidden="1" customHeight="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t="49.5" hidden="1" customHeight="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t="49.5" hidden="1" customHeight="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t="49.5" hidden="1" customHeight="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t="49.5" hidden="1" customHeight="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t="49.5" hidden="1" customHeight="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t="49.5" hidden="1" customHeight="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t="49.5" hidden="1" customHeight="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idden="1" outlineLevel="1">
      <c r="A175" s="684"/>
      <c r="B175" s="761"/>
      <c r="C175" s="720"/>
      <c r="D175" s="720"/>
      <c r="E175" s="720"/>
      <c r="F175" s="762" t="s">
        <v>560</v>
      </c>
      <c r="G175" s="763"/>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t="38.25" hidden="1" customHeight="1" outlineLevel="1">
      <c r="A177" s="684"/>
      <c r="B177" s="766"/>
      <c r="C177" s="767">
        <f>IF(C165="","",IF(DAY(C165+1)=1,"",C165+1))</f>
        <v>46097</v>
      </c>
      <c r="D177" s="768" t="str">
        <f>TEXT(C177,"ddd")</f>
        <v>月</v>
      </c>
      <c r="E177" s="769"/>
      <c r="F177" s="797" t="s">
        <v>557</v>
      </c>
      <c r="G177" s="789" t="s">
        <v>762</v>
      </c>
      <c r="H177" s="799"/>
      <c r="I177" s="973">
        <v>0.6458333333333334</v>
      </c>
      <c r="J177" s="799">
        <v>16.0</v>
      </c>
      <c r="K177" s="799">
        <v>6.0</v>
      </c>
      <c r="L177" s="778"/>
      <c r="M177" s="778"/>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t="38.25" hidden="1" customHeight="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t="38.25" hidden="1" customHeight="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t="38.25" hidden="1" customHeight="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t="38.25" hidden="1" customHeight="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t="38.25" hidden="1" customHeight="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t="38.25" hidden="1" customHeight="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t="38.25" hidden="1" customHeight="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t="38.25" hidden="1" customHeight="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t="38.25" hidden="1" customHeight="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idden="1" outlineLevel="1">
      <c r="A187" s="684"/>
      <c r="B187" s="761"/>
      <c r="C187" s="720"/>
      <c r="D187" s="720"/>
      <c r="E187" s="720"/>
      <c r="F187" s="781" t="s">
        <v>560</v>
      </c>
      <c r="G187" s="782"/>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t="42.75" hidden="1" customHeight="1" outlineLevel="1">
      <c r="A188" s="684"/>
      <c r="B188" s="784"/>
      <c r="C188" s="785">
        <f>IF(C177="","",IF(DAY(C177+1)=1,"",C177+1))</f>
        <v>46098</v>
      </c>
      <c r="D188" s="786" t="str">
        <f>TEXT(C188,"ddd")</f>
        <v>火</v>
      </c>
      <c r="E188" s="787"/>
      <c r="F188" s="788" t="s">
        <v>557</v>
      </c>
      <c r="G188" s="789" t="s">
        <v>763</v>
      </c>
      <c r="H188" s="790"/>
      <c r="I188" s="791">
        <v>0.6458333333333334</v>
      </c>
      <c r="J188" s="790">
        <v>18.0</v>
      </c>
      <c r="K188" s="790">
        <v>6.0</v>
      </c>
      <c r="L188" s="792" t="s">
        <v>190</v>
      </c>
      <c r="M188" s="792"/>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t="42.75" hidden="1" customHeight="1" outlineLevel="1">
      <c r="A189" s="684"/>
      <c r="B189" s="752"/>
      <c r="C189" s="753"/>
      <c r="D189" s="753"/>
      <c r="E189" s="753"/>
      <c r="F189" s="753"/>
      <c r="G189" s="754"/>
      <c r="H189" s="753"/>
      <c r="I189" s="753"/>
      <c r="J189" s="753"/>
      <c r="K189" s="753"/>
      <c r="L189" s="792" t="s">
        <v>196</v>
      </c>
      <c r="M189" s="792"/>
      <c r="N189" s="753"/>
      <c r="O189" s="756"/>
      <c r="Q189" s="751"/>
      <c r="R189" s="684"/>
      <c r="S189" s="242" t="str">
        <f t="array" ref="S189">IFERROR(INDEX('💻シート作成'!$D$6:$D1001, MATCH(T189, '💻シート作成'!$E$6:$E1001, 0)), "")</f>
        <v/>
      </c>
      <c r="T189" s="190"/>
      <c r="U189" s="687"/>
      <c r="V189" s="802"/>
      <c r="W189" s="684"/>
      <c r="X189" s="780"/>
      <c r="Y189" s="684"/>
      <c r="Z189" s="684"/>
    </row>
    <row r="190" ht="42.75" hidden="1" customHeight="1" outlineLevel="1">
      <c r="A190" s="684"/>
      <c r="B190" s="752"/>
      <c r="C190" s="753"/>
      <c r="D190" s="753"/>
      <c r="E190" s="753"/>
      <c r="F190" s="753"/>
      <c r="G190" s="754"/>
      <c r="H190" s="753"/>
      <c r="I190" s="753"/>
      <c r="J190" s="753"/>
      <c r="K190" s="753"/>
      <c r="L190" s="792" t="s">
        <v>110</v>
      </c>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t="42.75" hidden="1" customHeight="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t="42.75" hidden="1" customHeight="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t="42.75" hidden="1" customHeight="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t="42.75" hidden="1" customHeight="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t="42.75" hidden="1" customHeight="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t="42.75" hidden="1" customHeight="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t="42.75" hidden="1" customHeight="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idden="1" outlineLevel="1">
      <c r="A198" s="684"/>
      <c r="B198" s="761"/>
      <c r="C198" s="720"/>
      <c r="D198" s="720"/>
      <c r="E198" s="720"/>
      <c r="F198" s="762" t="s">
        <v>560</v>
      </c>
      <c r="G198" s="763"/>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46099</v>
      </c>
      <c r="D199" s="768" t="str">
        <f>TEXT(C199,"ddd")</f>
        <v>水</v>
      </c>
      <c r="E199" s="769"/>
      <c r="F199" s="797" t="s">
        <v>557</v>
      </c>
      <c r="G199" s="798" t="s">
        <v>764</v>
      </c>
      <c r="H199" s="799"/>
      <c r="I199" s="800">
        <v>0.6666666666666666</v>
      </c>
      <c r="J199" s="799">
        <v>18.0</v>
      </c>
      <c r="K199" s="799">
        <v>4.0</v>
      </c>
      <c r="L199" s="778" t="s">
        <v>155</v>
      </c>
      <c r="M199" s="778" t="s">
        <v>765</v>
      </c>
      <c r="N199" s="797"/>
      <c r="O199" s="949" t="s">
        <v>766</v>
      </c>
      <c r="P199" s="794"/>
      <c r="Q199" s="795"/>
      <c r="R199" s="684"/>
      <c r="S199" s="242" t="str">
        <f t="array" ref="S199">IFERROR(INDEX('💻シート作成'!$D$6:$D1001, MATCH(T199, '💻シート作成'!$E$6:$E1001, 0)), "")</f>
        <v/>
      </c>
      <c r="T199" s="190"/>
      <c r="U199" s="687"/>
      <c r="V199" s="802"/>
      <c r="W199" s="684"/>
      <c r="X199" s="780"/>
      <c r="Y199" s="684"/>
      <c r="Z199" s="684"/>
    </row>
    <row r="200" ht="45.0" hidden="1" customHeight="1" outlineLevel="1">
      <c r="A200" s="684"/>
      <c r="B200" s="752"/>
      <c r="C200" s="753"/>
      <c r="D200" s="753"/>
      <c r="E200" s="753"/>
      <c r="F200" s="753"/>
      <c r="G200" s="771" t="s">
        <v>767</v>
      </c>
      <c r="H200" s="753"/>
      <c r="I200" s="753"/>
      <c r="J200" s="753"/>
      <c r="K200" s="753"/>
      <c r="L200" s="778" t="s">
        <v>515</v>
      </c>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idden="1" outlineLevel="1">
      <c r="A201" s="684"/>
      <c r="B201" s="752"/>
      <c r="C201" s="753"/>
      <c r="D201" s="753"/>
      <c r="E201" s="753"/>
      <c r="F201" s="753"/>
      <c r="G201" s="771"/>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t="18.0" hidden="1" customHeight="1" outlineLevel="1">
      <c r="A202" s="684"/>
      <c r="B202" s="752"/>
      <c r="C202" s="753"/>
      <c r="D202" s="753"/>
      <c r="E202" s="753"/>
      <c r="F202" s="753"/>
      <c r="G202" s="771" t="s">
        <v>768</v>
      </c>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t="72.0" hidden="1" customHeight="1" outlineLevel="1">
      <c r="A203" s="684"/>
      <c r="B203" s="752"/>
      <c r="C203" s="753"/>
      <c r="D203" s="753"/>
      <c r="E203" s="753"/>
      <c r="F203" s="753"/>
      <c r="G203" s="771" t="s">
        <v>769</v>
      </c>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71"/>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t="18.0" hidden="1" customHeight="1" outlineLevel="1">
      <c r="A205" s="684"/>
      <c r="B205" s="752"/>
      <c r="C205" s="753"/>
      <c r="D205" s="753"/>
      <c r="E205" s="753"/>
      <c r="F205" s="753"/>
      <c r="G205" s="771" t="s">
        <v>770</v>
      </c>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t="45.0" hidden="1" customHeight="1" outlineLevel="1">
      <c r="A206" s="684"/>
      <c r="B206" s="752"/>
      <c r="C206" s="753"/>
      <c r="D206" s="753"/>
      <c r="E206" s="753"/>
      <c r="F206" s="753"/>
      <c r="G206" s="771" t="s">
        <v>771</v>
      </c>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71"/>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950"/>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idden="1" outlineLevel="1">
      <c r="A209" s="684"/>
      <c r="B209" s="761"/>
      <c r="C209" s="720"/>
      <c r="D209" s="720"/>
      <c r="E209" s="720"/>
      <c r="F209" s="781" t="s">
        <v>560</v>
      </c>
      <c r="G209" s="782"/>
      <c r="H209" s="782"/>
      <c r="I209" s="782"/>
      <c r="J209" s="782"/>
      <c r="K209" s="782"/>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t="18.0" hidden="1" customHeight="1" outlineLevel="1">
      <c r="A210" s="684"/>
      <c r="B210" s="784"/>
      <c r="C210" s="785">
        <f>IF(C199="","",IF(DAY(C199+1)=1,"",C199+1))</f>
        <v>46100</v>
      </c>
      <c r="D210" s="786" t="str">
        <f>TEXT(C210,"ddd")</f>
        <v>木</v>
      </c>
      <c r="E210" s="787"/>
      <c r="F210" s="788" t="s">
        <v>557</v>
      </c>
      <c r="G210" s="798" t="s">
        <v>764</v>
      </c>
      <c r="H210" s="790"/>
      <c r="I210" s="791">
        <v>0.625</v>
      </c>
      <c r="J210" s="790">
        <v>19.0</v>
      </c>
      <c r="K210" s="790">
        <v>5.0</v>
      </c>
      <c r="L210" s="792"/>
      <c r="M210" s="792"/>
      <c r="N210" s="788"/>
      <c r="O210" s="948" t="s">
        <v>772</v>
      </c>
      <c r="P210" s="794"/>
      <c r="Q210" s="795"/>
      <c r="R210" s="684"/>
      <c r="S210" s="242" t="str">
        <f t="array" ref="S210">IFERROR(INDEX('💻シート作成'!$D$6:$D1001, MATCH(T210, '💻シート作成'!$E$6:$E1001, 0)), "")</f>
        <v/>
      </c>
      <c r="T210" s="190"/>
      <c r="U210" s="687"/>
      <c r="V210" s="802"/>
      <c r="W210" s="684"/>
      <c r="X210" s="780"/>
      <c r="Y210" s="684"/>
      <c r="Z210" s="684"/>
    </row>
    <row r="211" ht="31.5" hidden="1" customHeight="1" outlineLevel="1">
      <c r="A211" s="684"/>
      <c r="B211" s="752"/>
      <c r="C211" s="753"/>
      <c r="D211" s="753"/>
      <c r="E211" s="753"/>
      <c r="F211" s="753"/>
      <c r="G211" s="951" t="s">
        <v>773</v>
      </c>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idden="1" outlineLevel="1">
      <c r="A212" s="684"/>
      <c r="B212" s="752"/>
      <c r="C212" s="753"/>
      <c r="D212" s="753"/>
      <c r="E212" s="753"/>
      <c r="F212" s="753"/>
      <c r="G212" s="951"/>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t="18.0" hidden="1" customHeight="1" outlineLevel="1">
      <c r="A213" s="684"/>
      <c r="B213" s="752"/>
      <c r="C213" s="753"/>
      <c r="D213" s="753"/>
      <c r="E213" s="753"/>
      <c r="F213" s="753"/>
      <c r="G213" s="771" t="s">
        <v>768</v>
      </c>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t="45.0" hidden="1" customHeight="1" outlineLevel="1">
      <c r="A214" s="684"/>
      <c r="B214" s="752"/>
      <c r="C214" s="753"/>
      <c r="D214" s="753"/>
      <c r="E214" s="753"/>
      <c r="F214" s="753"/>
      <c r="G214" s="951" t="s">
        <v>774</v>
      </c>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idden="1" outlineLevel="1">
      <c r="A215" s="684"/>
      <c r="B215" s="752"/>
      <c r="C215" s="753"/>
      <c r="D215" s="753"/>
      <c r="E215" s="753"/>
      <c r="F215" s="753"/>
      <c r="G215" s="951"/>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t="18.0" hidden="1" customHeight="1" outlineLevel="1">
      <c r="A216" s="684"/>
      <c r="B216" s="752"/>
      <c r="C216" s="753"/>
      <c r="D216" s="753"/>
      <c r="E216" s="753"/>
      <c r="F216" s="753"/>
      <c r="G216" s="771" t="s">
        <v>770</v>
      </c>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t="58.5" hidden="1" customHeight="1" outlineLevel="1">
      <c r="A217" s="684"/>
      <c r="B217" s="752"/>
      <c r="C217" s="753"/>
      <c r="D217" s="753"/>
      <c r="E217" s="753"/>
      <c r="F217" s="753"/>
      <c r="G217" s="951" t="s">
        <v>775</v>
      </c>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idden="1" outlineLevel="1">
      <c r="A218" s="684"/>
      <c r="B218" s="752"/>
      <c r="C218" s="753"/>
      <c r="D218" s="753"/>
      <c r="E218" s="753"/>
      <c r="F218" s="753"/>
      <c r="G218" s="951"/>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idden="1" outlineLevel="1">
      <c r="A219" s="684"/>
      <c r="B219" s="752"/>
      <c r="C219" s="753"/>
      <c r="D219" s="753"/>
      <c r="E219" s="753"/>
      <c r="F219" s="720"/>
      <c r="G219" s="952"/>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idden="1" outlineLevel="1">
      <c r="A220" s="684"/>
      <c r="B220" s="761"/>
      <c r="C220" s="720"/>
      <c r="D220" s="720"/>
      <c r="E220" s="720"/>
      <c r="F220" s="762" t="s">
        <v>560</v>
      </c>
      <c r="G220" s="763"/>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t="126.0" hidden="1" customHeight="1" outlineLevel="1">
      <c r="A221" s="684"/>
      <c r="B221" s="766"/>
      <c r="C221" s="767">
        <f>IF(C210="","",IF(DAY(C210+1)=1,"",C210+1))</f>
        <v>46101</v>
      </c>
      <c r="D221" s="768" t="str">
        <f>TEXT(C221,"ddd")</f>
        <v>金</v>
      </c>
      <c r="E221" s="769"/>
      <c r="F221" s="797" t="s">
        <v>108</v>
      </c>
      <c r="G221" s="798" t="s">
        <v>776</v>
      </c>
      <c r="H221" s="799"/>
      <c r="I221" s="800">
        <v>0.6458333333333334</v>
      </c>
      <c r="J221" s="799">
        <v>17.0</v>
      </c>
      <c r="K221" s="799">
        <v>6.0</v>
      </c>
      <c r="L221" s="778" t="s">
        <v>637</v>
      </c>
      <c r="M221" s="778" t="s">
        <v>656</v>
      </c>
      <c r="N221" s="797">
        <v>235.0</v>
      </c>
      <c r="O221" s="801"/>
      <c r="P221" s="794"/>
      <c r="Q221" s="795"/>
      <c r="R221" s="684"/>
      <c r="S221" s="242" t="str">
        <f t="array" ref="S221">IFERROR(INDEX('💻シート作成'!$D$6:$D1001, MATCH(T221, '💻シート作成'!$E$6:$E1001, 0)), "")</f>
        <v/>
      </c>
      <c r="T221" s="190"/>
      <c r="U221" s="687"/>
      <c r="V221" s="802"/>
      <c r="W221" s="684"/>
      <c r="X221" s="780"/>
      <c r="Y221" s="684"/>
      <c r="Z221" s="684"/>
    </row>
    <row r="222" ht="286.5" hidden="1" customHeight="1" outlineLevel="1">
      <c r="A222" s="684"/>
      <c r="B222" s="752"/>
      <c r="C222" s="753"/>
      <c r="D222" s="753"/>
      <c r="E222" s="753"/>
      <c r="F222" s="753"/>
      <c r="G222" s="771" t="s">
        <v>777</v>
      </c>
      <c r="H222" s="753"/>
      <c r="I222" s="753"/>
      <c r="J222" s="753"/>
      <c r="K222" s="753"/>
      <c r="L222" s="778" t="s">
        <v>519</v>
      </c>
      <c r="M222" s="778" t="s">
        <v>778</v>
      </c>
      <c r="N222" s="753"/>
      <c r="O222" s="756"/>
      <c r="Q222" s="751"/>
      <c r="R222" s="684"/>
      <c r="S222" s="242" t="str">
        <f t="array" ref="S222">IFERROR(INDEX('💻シート作成'!$D$6:$D1001, MATCH(T222, '💻シート作成'!$E$6:$E1001, 0)), "")</f>
        <v/>
      </c>
      <c r="T222" s="190"/>
      <c r="U222" s="687"/>
      <c r="V222" s="802"/>
      <c r="W222" s="684"/>
      <c r="X222" s="780"/>
      <c r="Y222" s="684"/>
      <c r="Z222" s="684"/>
    </row>
    <row r="223" ht="310.5" hidden="1" customHeight="1" outlineLevel="1">
      <c r="A223" s="684"/>
      <c r="B223" s="752"/>
      <c r="C223" s="753"/>
      <c r="D223" s="753"/>
      <c r="E223" s="753"/>
      <c r="F223" s="753"/>
      <c r="G223" s="771" t="s">
        <v>779</v>
      </c>
      <c r="H223" s="753"/>
      <c r="I223" s="753"/>
      <c r="J223" s="753"/>
      <c r="K223" s="753"/>
      <c r="L223" s="778" t="s">
        <v>511</v>
      </c>
      <c r="M223" s="778" t="s">
        <v>780</v>
      </c>
      <c r="N223" s="753"/>
      <c r="O223" s="756"/>
      <c r="Q223" s="751"/>
      <c r="R223" s="684"/>
      <c r="S223" s="242" t="str">
        <f t="array" ref="S223">IFERROR(INDEX('💻シート作成'!$D$6:$D1001, MATCH(T223, '💻シート作成'!$E$6:$E1001, 0)), "")</f>
        <v/>
      </c>
      <c r="T223" s="190"/>
      <c r="U223" s="687"/>
      <c r="V223" s="802"/>
      <c r="W223" s="684"/>
      <c r="X223" s="780"/>
      <c r="Y223" s="684"/>
      <c r="Z223" s="684"/>
    </row>
    <row r="224" ht="18.0" hidden="1" customHeight="1" outlineLevel="1">
      <c r="A224" s="684"/>
      <c r="B224" s="752"/>
      <c r="C224" s="753"/>
      <c r="D224" s="753"/>
      <c r="E224" s="753"/>
      <c r="F224" s="753"/>
      <c r="G224" s="771" t="s">
        <v>781</v>
      </c>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t="31.5" hidden="1" customHeight="1" outlineLevel="1">
      <c r="A225" s="684"/>
      <c r="B225" s="752"/>
      <c r="C225" s="753"/>
      <c r="D225" s="753"/>
      <c r="E225" s="753"/>
      <c r="F225" s="753"/>
      <c r="G225" s="771" t="s">
        <v>782</v>
      </c>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idden="1" outlineLevel="1">
      <c r="A226" s="684"/>
      <c r="B226" s="752"/>
      <c r="C226" s="753"/>
      <c r="D226" s="753"/>
      <c r="E226" s="753"/>
      <c r="F226" s="753"/>
      <c r="G226" s="771"/>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idden="1" outlineLevel="1">
      <c r="A227" s="684"/>
      <c r="B227" s="752"/>
      <c r="C227" s="753"/>
      <c r="D227" s="753"/>
      <c r="E227" s="753"/>
      <c r="F227" s="753"/>
      <c r="G227" s="771"/>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idden="1" outlineLevel="1">
      <c r="A228" s="684"/>
      <c r="B228" s="752"/>
      <c r="C228" s="753"/>
      <c r="D228" s="753"/>
      <c r="E228" s="753"/>
      <c r="F228" s="753"/>
      <c r="G228" s="771"/>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idden="1" outlineLevel="1">
      <c r="A229" s="684"/>
      <c r="B229" s="752"/>
      <c r="C229" s="753"/>
      <c r="D229" s="753"/>
      <c r="E229" s="753"/>
      <c r="F229" s="753"/>
      <c r="G229" s="771"/>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idden="1" outlineLevel="1">
      <c r="A230" s="684"/>
      <c r="B230" s="752"/>
      <c r="C230" s="753"/>
      <c r="D230" s="753"/>
      <c r="E230" s="753"/>
      <c r="F230" s="720"/>
      <c r="G230" s="950"/>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idden="1" outlineLevel="1">
      <c r="A231" s="684"/>
      <c r="B231" s="761"/>
      <c r="C231" s="720"/>
      <c r="D231" s="720"/>
      <c r="E231" s="720"/>
      <c r="F231" s="781" t="s">
        <v>560</v>
      </c>
      <c r="G231" s="782"/>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t="22.5" hidden="1" customHeight="1" outlineLevel="1">
      <c r="A233" s="684"/>
      <c r="B233" s="784"/>
      <c r="C233" s="785">
        <f>IF(C221="","",IF(DAY(C221+1)=1,"",C221+1))</f>
        <v>46102</v>
      </c>
      <c r="D233" s="786" t="str">
        <f>TEXT(C233,"ddd")</f>
        <v>土</v>
      </c>
      <c r="E233" s="787"/>
      <c r="F233" s="788" t="s">
        <v>557</v>
      </c>
      <c r="G233" s="789" t="s">
        <v>783</v>
      </c>
      <c r="H233" s="790"/>
      <c r="I233" s="791">
        <v>0.6388888888888888</v>
      </c>
      <c r="J233" s="790">
        <v>6.0</v>
      </c>
      <c r="K233" s="790">
        <v>5.0</v>
      </c>
      <c r="L233" s="792"/>
      <c r="M233" s="792"/>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t="22.5" hidden="1" customHeight="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t="22.5" hidden="1" customHeight="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t="22.5" hidden="1" customHeight="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t="22.5" hidden="1" customHeight="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t="22.5" hidden="1" customHeight="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t="22.5" hidden="1" customHeight="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t="22.5" hidden="1" customHeight="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t="22.5" hidden="1" customHeight="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t="22.5" hidden="1" customHeight="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idden="1" outlineLevel="1">
      <c r="A243" s="684"/>
      <c r="B243" s="761"/>
      <c r="C243" s="720"/>
      <c r="D243" s="720"/>
      <c r="E243" s="720"/>
      <c r="F243" s="762" t="s">
        <v>560</v>
      </c>
      <c r="G243" s="763"/>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t="38.25" hidden="1" customHeight="1" outlineLevel="1">
      <c r="A244" s="684"/>
      <c r="B244" s="766"/>
      <c r="C244" s="767">
        <f>IF(C233="","",IF(DAY(C233+1)=1,"",C233+1))</f>
        <v>46103</v>
      </c>
      <c r="D244" s="768" t="str">
        <f>TEXT(C244,"ddd")</f>
        <v>日</v>
      </c>
      <c r="E244" s="769"/>
      <c r="F244" s="797" t="s">
        <v>557</v>
      </c>
      <c r="G244" s="798" t="s">
        <v>784</v>
      </c>
      <c r="H244" s="799"/>
      <c r="I244" s="800">
        <v>0.6527777777777778</v>
      </c>
      <c r="J244" s="799">
        <v>18.0</v>
      </c>
      <c r="K244" s="799">
        <v>5.0</v>
      </c>
      <c r="L244" s="778" t="s">
        <v>110</v>
      </c>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t="38.25" hidden="1" customHeight="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t="38.25" hidden="1" customHeight="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t="38.25" hidden="1" customHeight="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t="38.25" hidden="1" customHeight="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t="38.25" hidden="1" customHeight="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t="38.25" hidden="1" customHeight="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t="38.25" hidden="1" customHeight="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t="38.25" hidden="1" customHeight="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t="38.25" hidden="1" customHeight="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idden="1" outlineLevel="1">
      <c r="A254" s="684"/>
      <c r="B254" s="761"/>
      <c r="C254" s="720"/>
      <c r="D254" s="720"/>
      <c r="E254" s="720"/>
      <c r="F254" s="781" t="s">
        <v>560</v>
      </c>
      <c r="G254" s="782"/>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t="29.25" hidden="1" customHeight="1" outlineLevel="1">
      <c r="A255" s="684"/>
      <c r="B255" s="784"/>
      <c r="C255" s="785">
        <f>IF(C244="","",IF(DAY(C244+1)=1,"",C244+1))</f>
        <v>46104</v>
      </c>
      <c r="D255" s="786" t="str">
        <f>TEXT(C255,"ddd")</f>
        <v>月</v>
      </c>
      <c r="E255" s="787"/>
      <c r="F255" s="788" t="s">
        <v>557</v>
      </c>
      <c r="G255" s="798" t="s">
        <v>785</v>
      </c>
      <c r="H255" s="790"/>
      <c r="I255" s="791">
        <v>0.625</v>
      </c>
      <c r="J255" s="790">
        <v>20.0</v>
      </c>
      <c r="K255" s="790">
        <v>5.0</v>
      </c>
      <c r="L255" s="792"/>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t="29.25" hidden="1" customHeight="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t="29.25" hidden="1" customHeight="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t="29.25" hidden="1" customHeight="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t="29.25" hidden="1" customHeight="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t="29.25" hidden="1" customHeight="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t="29.25" hidden="1" customHeight="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t="29.25" hidden="1" customHeight="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t="29.25" hidden="1" customHeight="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t="29.25" hidden="1" customHeight="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t="153.0" hidden="1" customHeight="1" outlineLevel="1">
      <c r="A266" s="684"/>
      <c r="B266" s="766"/>
      <c r="C266" s="767">
        <f>IF(C255="","",IF(DAY(C255+1)=1,"",C255+1))</f>
        <v>46105</v>
      </c>
      <c r="D266" s="768" t="str">
        <f>TEXT(C266,"ddd")</f>
        <v>火</v>
      </c>
      <c r="E266" s="769"/>
      <c r="F266" s="797" t="s">
        <v>108</v>
      </c>
      <c r="G266" s="798" t="s">
        <v>786</v>
      </c>
      <c r="H266" s="799"/>
      <c r="I266" s="800">
        <v>0.6666666666666666</v>
      </c>
      <c r="J266" s="799">
        <v>18.0</v>
      </c>
      <c r="K266" s="799">
        <v>5.0</v>
      </c>
      <c r="L266" s="778" t="s">
        <v>508</v>
      </c>
      <c r="M266" s="778"/>
      <c r="N266" s="797">
        <v>226.0</v>
      </c>
      <c r="O266" s="949" t="s">
        <v>787</v>
      </c>
      <c r="P266" s="794"/>
      <c r="Q266" s="795"/>
      <c r="R266" s="684"/>
      <c r="S266" s="242" t="str">
        <f t="array" ref="S266">IFERROR(INDEX('💻シート作成'!$D$6:$D1001, MATCH(T266, '💻シート作成'!$E$6:$E1001, 0)), "")</f>
        <v/>
      </c>
      <c r="T266" s="190"/>
      <c r="U266" s="687"/>
      <c r="V266" s="802"/>
      <c r="W266" s="684"/>
      <c r="X266" s="780"/>
      <c r="Y266" s="684"/>
      <c r="Z266" s="684"/>
    </row>
    <row r="267" ht="463.5" hidden="1" customHeight="1" outlineLevel="1">
      <c r="A267" s="684"/>
      <c r="B267" s="752"/>
      <c r="C267" s="753"/>
      <c r="D267" s="753"/>
      <c r="E267" s="753"/>
      <c r="F267" s="753"/>
      <c r="G267" s="771" t="s">
        <v>788</v>
      </c>
      <c r="H267" s="753"/>
      <c r="I267" s="753"/>
      <c r="J267" s="753"/>
      <c r="K267" s="753"/>
      <c r="L267" s="778" t="s">
        <v>176</v>
      </c>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t="126.0" hidden="1" customHeight="1" outlineLevel="1">
      <c r="A268" s="684"/>
      <c r="B268" s="752"/>
      <c r="C268" s="753"/>
      <c r="D268" s="753"/>
      <c r="E268" s="753"/>
      <c r="F268" s="753"/>
      <c r="G268" s="771" t="s">
        <v>789</v>
      </c>
      <c r="H268" s="753"/>
      <c r="I268" s="753"/>
      <c r="J268" s="753"/>
      <c r="K268" s="753"/>
      <c r="L268" s="778" t="s">
        <v>519</v>
      </c>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idden="1" outlineLevel="1">
      <c r="A269" s="684"/>
      <c r="B269" s="752"/>
      <c r="C269" s="753"/>
      <c r="D269" s="753"/>
      <c r="E269" s="753"/>
      <c r="F269" s="753"/>
      <c r="G269" s="771"/>
      <c r="H269" s="753"/>
      <c r="I269" s="753"/>
      <c r="J269" s="753"/>
      <c r="K269" s="753"/>
      <c r="L269" s="778" t="s">
        <v>511</v>
      </c>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idden="1" outlineLevel="1">
      <c r="A270" s="684"/>
      <c r="B270" s="752"/>
      <c r="C270" s="753"/>
      <c r="D270" s="753"/>
      <c r="E270" s="753"/>
      <c r="F270" s="753"/>
      <c r="G270" s="771"/>
      <c r="H270" s="753"/>
      <c r="I270" s="753"/>
      <c r="J270" s="753"/>
      <c r="K270" s="753"/>
      <c r="L270" s="778" t="s">
        <v>637</v>
      </c>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idden="1" outlineLevel="1">
      <c r="A271" s="684"/>
      <c r="B271" s="752"/>
      <c r="C271" s="753"/>
      <c r="D271" s="753"/>
      <c r="E271" s="753"/>
      <c r="F271" s="753"/>
      <c r="G271" s="771"/>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idden="1" outlineLevel="1">
      <c r="A272" s="684"/>
      <c r="B272" s="752"/>
      <c r="C272" s="753"/>
      <c r="D272" s="753"/>
      <c r="E272" s="753"/>
      <c r="F272" s="753"/>
      <c r="G272" s="771"/>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idden="1" outlineLevel="1">
      <c r="A273" s="684"/>
      <c r="B273" s="752"/>
      <c r="C273" s="753"/>
      <c r="D273" s="753"/>
      <c r="E273" s="753"/>
      <c r="F273" s="753"/>
      <c r="G273" s="771"/>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idden="1" outlineLevel="1">
      <c r="A274" s="684"/>
      <c r="B274" s="752"/>
      <c r="C274" s="753"/>
      <c r="D274" s="753"/>
      <c r="E274" s="753"/>
      <c r="F274" s="753"/>
      <c r="G274" s="771"/>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idden="1" outlineLevel="1">
      <c r="A275" s="684"/>
      <c r="B275" s="752"/>
      <c r="C275" s="753"/>
      <c r="D275" s="753"/>
      <c r="E275" s="753"/>
      <c r="F275" s="720"/>
      <c r="G275" s="950"/>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idden="1"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t="22.5" hidden="1" customHeight="1" outlineLevel="1">
      <c r="A277" s="684"/>
      <c r="B277" s="784"/>
      <c r="C277" s="785">
        <f>IF(C266="","",IF(DAY(C266+1)=1,"",C266+1))</f>
        <v>46106</v>
      </c>
      <c r="D277" s="786" t="str">
        <f>TEXT(C277,"ddd")</f>
        <v>水</v>
      </c>
      <c r="E277" s="787"/>
      <c r="F277" s="788" t="s">
        <v>557</v>
      </c>
      <c r="G277" s="789" t="s">
        <v>790</v>
      </c>
      <c r="H277" s="790"/>
      <c r="I277" s="800">
        <v>0.6736111111111112</v>
      </c>
      <c r="J277" s="786"/>
      <c r="K277" s="786"/>
      <c r="L277" s="792" t="s">
        <v>508</v>
      </c>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t="67.5" hidden="1" customHeight="1" outlineLevel="1">
      <c r="A278" s="684"/>
      <c r="B278" s="752"/>
      <c r="C278" s="753"/>
      <c r="D278" s="753"/>
      <c r="E278" s="753"/>
      <c r="F278" s="753"/>
      <c r="G278" s="754"/>
      <c r="H278" s="753"/>
      <c r="I278" s="753"/>
      <c r="J278" s="753"/>
      <c r="K278" s="753"/>
      <c r="L278" s="792" t="s">
        <v>191</v>
      </c>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t="22.5" hidden="1" customHeight="1" outlineLevel="1">
      <c r="A279" s="684"/>
      <c r="B279" s="752"/>
      <c r="C279" s="753"/>
      <c r="D279" s="753"/>
      <c r="E279" s="753"/>
      <c r="F279" s="753"/>
      <c r="G279" s="754"/>
      <c r="H279" s="753"/>
      <c r="I279" s="753"/>
      <c r="J279" s="753"/>
      <c r="K279" s="753"/>
      <c r="L279" s="792" t="s">
        <v>521</v>
      </c>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t="22.5" hidden="1" customHeight="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t="22.5" hidden="1" customHeight="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t="22.5" hidden="1" customHeight="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t="22.5" hidden="1" customHeight="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t="22.5" hidden="1" customHeight="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t="22.5" hidden="1" customHeight="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t="22.5" hidden="1" customHeight="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idden="1"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 r="A288" s="684"/>
      <c r="B288" s="803" t="s">
        <v>588</v>
      </c>
      <c r="C288" s="804"/>
      <c r="D288" s="804"/>
      <c r="E288" s="804"/>
      <c r="F288" s="805"/>
      <c r="G288" s="953"/>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outlineLevel="1">
      <c r="A289" s="684"/>
      <c r="B289" s="766"/>
      <c r="C289" s="767">
        <f>IF(C277="","",IF(DAY(C277+1)=1,"",C277+1))</f>
        <v>46107</v>
      </c>
      <c r="D289" s="768" t="str">
        <f>TEXT(C289,"ddd")</f>
        <v>木</v>
      </c>
      <c r="E289" s="769"/>
      <c r="F289" s="797" t="s">
        <v>557</v>
      </c>
      <c r="G289" s="183" t="s">
        <v>791</v>
      </c>
      <c r="H289" s="799">
        <v>1.0</v>
      </c>
      <c r="I289" s="800">
        <v>0.625</v>
      </c>
      <c r="J289" s="799">
        <v>19.0</v>
      </c>
      <c r="K289" s="799">
        <v>6.0</v>
      </c>
      <c r="L289" s="778" t="s">
        <v>508</v>
      </c>
      <c r="M289" s="778"/>
      <c r="N289" s="797">
        <v>230.0</v>
      </c>
      <c r="O289" s="949" t="s">
        <v>792</v>
      </c>
      <c r="P289" s="794"/>
      <c r="Q289" s="795"/>
      <c r="R289" s="684"/>
      <c r="S289" s="684"/>
      <c r="T289" s="684"/>
      <c r="U289" s="687"/>
      <c r="V289" s="688"/>
      <c r="W289" s="684"/>
      <c r="X289" s="684"/>
      <c r="Y289" s="684"/>
      <c r="Z289" s="684"/>
    </row>
    <row r="290" ht="72.0" customHeight="1" outlineLevel="1">
      <c r="A290" s="684"/>
      <c r="B290" s="752"/>
      <c r="C290" s="753"/>
      <c r="D290" s="753"/>
      <c r="E290" s="753"/>
      <c r="F290" s="753"/>
      <c r="G290" s="974" t="s">
        <v>793</v>
      </c>
      <c r="H290" s="753"/>
      <c r="I290" s="753"/>
      <c r="J290" s="753"/>
      <c r="K290" s="753"/>
      <c r="L290" s="778" t="s">
        <v>512</v>
      </c>
      <c r="M290" s="778"/>
      <c r="N290" s="753"/>
      <c r="O290" s="756"/>
      <c r="Q290" s="751"/>
      <c r="R290" s="684"/>
      <c r="S290" s="684"/>
      <c r="T290" s="684"/>
      <c r="U290" s="687"/>
      <c r="V290" s="688"/>
      <c r="W290" s="684"/>
      <c r="X290" s="684"/>
      <c r="Y290" s="684"/>
      <c r="Z290" s="684"/>
    </row>
    <row r="291" outlineLevel="1">
      <c r="A291" s="684"/>
      <c r="B291" s="752"/>
      <c r="C291" s="753"/>
      <c r="D291" s="753"/>
      <c r="E291" s="753"/>
      <c r="F291" s="753"/>
      <c r="H291" s="753"/>
      <c r="I291" s="753"/>
      <c r="J291" s="753"/>
      <c r="K291" s="753"/>
      <c r="L291" s="778" t="s">
        <v>110</v>
      </c>
      <c r="M291" s="778"/>
      <c r="N291" s="753"/>
      <c r="O291" s="756"/>
      <c r="Q291" s="751"/>
      <c r="R291" s="684"/>
      <c r="S291" s="684"/>
      <c r="T291" s="684"/>
      <c r="U291" s="687"/>
      <c r="V291" s="688"/>
      <c r="W291" s="684"/>
      <c r="X291" s="684"/>
      <c r="Y291" s="684"/>
      <c r="Z291" s="684"/>
    </row>
    <row r="292" ht="139.5" customHeight="1" outlineLevel="1">
      <c r="A292" s="684"/>
      <c r="B292" s="752"/>
      <c r="C292" s="753"/>
      <c r="D292" s="753"/>
      <c r="E292" s="753"/>
      <c r="F292" s="753"/>
      <c r="G292" s="975" t="s">
        <v>794</v>
      </c>
      <c r="H292" s="753"/>
      <c r="I292" s="753"/>
      <c r="J292" s="753"/>
      <c r="K292" s="753"/>
      <c r="L292" s="778" t="s">
        <v>521</v>
      </c>
      <c r="M292" s="778"/>
      <c r="N292" s="753"/>
      <c r="O292" s="756"/>
      <c r="Q292" s="751"/>
      <c r="R292" s="684"/>
      <c r="S292" s="684"/>
      <c r="T292" s="684"/>
      <c r="U292" s="687"/>
      <c r="V292" s="688"/>
      <c r="W292" s="684"/>
      <c r="X292" s="684"/>
      <c r="Y292" s="684"/>
      <c r="Z292" s="684"/>
    </row>
    <row r="293" outlineLevel="1">
      <c r="A293" s="684"/>
      <c r="B293" s="752"/>
      <c r="C293" s="753"/>
      <c r="D293" s="753"/>
      <c r="E293" s="753"/>
      <c r="F293" s="753"/>
      <c r="G293" s="974"/>
      <c r="H293" s="753"/>
      <c r="I293" s="753"/>
      <c r="J293" s="753"/>
      <c r="K293" s="753"/>
      <c r="L293" s="779"/>
      <c r="M293" s="778"/>
      <c r="N293" s="753"/>
      <c r="O293" s="756"/>
      <c r="Q293" s="751"/>
      <c r="R293" s="684"/>
      <c r="S293" s="684"/>
      <c r="T293" s="684"/>
      <c r="U293" s="687"/>
      <c r="V293" s="688"/>
      <c r="W293" s="684"/>
      <c r="X293" s="684"/>
      <c r="Y293" s="684"/>
      <c r="Z293" s="684"/>
    </row>
    <row r="294" outlineLevel="1">
      <c r="A294" s="684"/>
      <c r="B294" s="752"/>
      <c r="C294" s="753"/>
      <c r="D294" s="753"/>
      <c r="E294" s="753"/>
      <c r="F294" s="753"/>
      <c r="H294" s="753"/>
      <c r="I294" s="753"/>
      <c r="J294" s="753"/>
      <c r="K294" s="753"/>
      <c r="L294" s="779"/>
      <c r="M294" s="778"/>
      <c r="N294" s="753"/>
      <c r="O294" s="756"/>
      <c r="Q294" s="751"/>
      <c r="R294" s="684"/>
      <c r="S294" s="684"/>
      <c r="T294" s="684"/>
      <c r="U294" s="687"/>
      <c r="V294" s="688"/>
      <c r="W294" s="684"/>
      <c r="X294" s="684"/>
      <c r="Y294" s="684"/>
      <c r="Z294" s="684"/>
    </row>
    <row r="295" ht="85.5" customHeight="1" outlineLevel="1">
      <c r="A295" s="684"/>
      <c r="B295" s="752"/>
      <c r="C295" s="753"/>
      <c r="D295" s="753"/>
      <c r="E295" s="753"/>
      <c r="F295" s="753"/>
      <c r="G295" s="976" t="s">
        <v>795</v>
      </c>
      <c r="H295" s="753"/>
      <c r="I295" s="753"/>
      <c r="J295" s="753"/>
      <c r="K295" s="753"/>
      <c r="L295" s="779"/>
      <c r="M295" s="778"/>
      <c r="N295" s="753"/>
      <c r="O295" s="756"/>
      <c r="Q295" s="751"/>
      <c r="R295" s="684"/>
      <c r="S295" s="684"/>
      <c r="T295" s="684"/>
      <c r="U295" s="687"/>
      <c r="V295" s="688"/>
      <c r="W295" s="684"/>
      <c r="X295" s="684"/>
      <c r="Y295" s="684"/>
      <c r="Z295" s="684"/>
    </row>
    <row r="296" outlineLevel="1">
      <c r="A296" s="684"/>
      <c r="B296" s="752"/>
      <c r="C296" s="753"/>
      <c r="D296" s="753"/>
      <c r="E296" s="753"/>
      <c r="F296" s="753"/>
      <c r="G296" s="771"/>
      <c r="H296" s="753"/>
      <c r="I296" s="753"/>
      <c r="J296" s="753"/>
      <c r="K296" s="753"/>
      <c r="L296" s="779"/>
      <c r="M296" s="778"/>
      <c r="N296" s="753"/>
      <c r="O296" s="756"/>
      <c r="Q296" s="751"/>
      <c r="R296" s="684"/>
      <c r="S296" s="684"/>
      <c r="T296" s="684"/>
      <c r="U296" s="687"/>
      <c r="V296" s="688"/>
      <c r="W296" s="684"/>
      <c r="X296" s="684"/>
      <c r="Y296" s="684"/>
      <c r="Z296" s="684"/>
    </row>
    <row r="297" outlineLevel="1">
      <c r="A297" s="684"/>
      <c r="B297" s="752"/>
      <c r="C297" s="753"/>
      <c r="D297" s="753"/>
      <c r="E297" s="753"/>
      <c r="F297" s="753"/>
      <c r="G297" s="771"/>
      <c r="H297" s="753"/>
      <c r="I297" s="753"/>
      <c r="J297" s="753"/>
      <c r="K297" s="753"/>
      <c r="L297" s="779"/>
      <c r="M297" s="778"/>
      <c r="N297" s="753"/>
      <c r="O297" s="756"/>
      <c r="Q297" s="751"/>
      <c r="R297" s="684"/>
      <c r="S297" s="684"/>
      <c r="T297" s="684"/>
      <c r="U297" s="687"/>
      <c r="V297" s="688"/>
      <c r="W297" s="684"/>
      <c r="X297" s="684"/>
      <c r="Y297" s="684"/>
      <c r="Z297" s="684"/>
    </row>
    <row r="298" outlineLevel="1">
      <c r="A298" s="684"/>
      <c r="B298" s="752"/>
      <c r="C298" s="753"/>
      <c r="D298" s="753"/>
      <c r="E298" s="753"/>
      <c r="F298" s="720"/>
      <c r="G298" s="950"/>
      <c r="H298" s="720"/>
      <c r="I298" s="720"/>
      <c r="J298" s="720"/>
      <c r="K298" s="720"/>
      <c r="L298" s="779"/>
      <c r="M298" s="778"/>
      <c r="N298" s="720"/>
      <c r="O298" s="723"/>
      <c r="P298" s="724"/>
      <c r="Q298" s="760"/>
      <c r="R298" s="684"/>
      <c r="S298" s="684"/>
      <c r="T298" s="684"/>
      <c r="U298" s="687"/>
      <c r="V298" s="688"/>
      <c r="W298" s="684"/>
      <c r="X298" s="684"/>
      <c r="Y298" s="684"/>
      <c r="Z298" s="684"/>
    </row>
    <row r="299"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outlineLevel="1">
      <c r="A300" s="684"/>
      <c r="B300" s="784"/>
      <c r="C300" s="785">
        <f>IF(C289="","",IF(DAY(C289+1)=1,"",C289+1))</f>
        <v>46108</v>
      </c>
      <c r="D300" s="786" t="str">
        <f>TEXT(C300,"ddd")</f>
        <v>金</v>
      </c>
      <c r="E300" s="787"/>
      <c r="F300" s="788" t="s">
        <v>108</v>
      </c>
      <c r="G300" s="789"/>
      <c r="H300" s="790"/>
      <c r="I300" s="791">
        <v>0.6041666666666666</v>
      </c>
      <c r="J300" s="790">
        <v>22.0</v>
      </c>
      <c r="K300" s="790">
        <v>7.0</v>
      </c>
      <c r="L300" s="792" t="s">
        <v>186</v>
      </c>
      <c r="M300" s="792"/>
      <c r="N300" s="788">
        <v>230.0</v>
      </c>
      <c r="O300" s="948" t="s">
        <v>796</v>
      </c>
      <c r="P300" s="794"/>
      <c r="Q300" s="795"/>
      <c r="R300" s="684"/>
      <c r="S300" s="684"/>
      <c r="T300" s="684"/>
      <c r="U300" s="687"/>
      <c r="V300" s="688"/>
      <c r="W300" s="684"/>
      <c r="X300" s="684"/>
      <c r="Y300" s="684"/>
      <c r="Z300" s="684"/>
    </row>
    <row r="301" ht="85.5" customHeight="1" outlineLevel="1">
      <c r="A301" s="684"/>
      <c r="B301" s="752"/>
      <c r="C301" s="753"/>
      <c r="D301" s="753"/>
      <c r="E301" s="753"/>
      <c r="F301" s="753"/>
      <c r="G301" s="951" t="s">
        <v>797</v>
      </c>
      <c r="H301" s="753"/>
      <c r="I301" s="753"/>
      <c r="J301" s="753"/>
      <c r="K301" s="753"/>
      <c r="L301" s="792"/>
      <c r="M301" s="792"/>
      <c r="N301" s="753"/>
      <c r="O301" s="756"/>
      <c r="Q301" s="751"/>
      <c r="R301" s="684"/>
      <c r="S301" s="684"/>
      <c r="T301" s="684"/>
      <c r="U301" s="687"/>
      <c r="V301" s="688"/>
      <c r="W301" s="684"/>
      <c r="X301" s="684"/>
      <c r="Y301" s="684"/>
      <c r="Z301" s="684"/>
    </row>
    <row r="302" outlineLevel="1">
      <c r="A302" s="684"/>
      <c r="B302" s="752"/>
      <c r="C302" s="753"/>
      <c r="D302" s="753"/>
      <c r="E302" s="753"/>
      <c r="F302" s="753"/>
      <c r="G302" s="951"/>
      <c r="H302" s="753"/>
      <c r="I302" s="753"/>
      <c r="J302" s="753"/>
      <c r="K302" s="753"/>
      <c r="L302" s="792"/>
      <c r="M302" s="792"/>
      <c r="N302" s="753"/>
      <c r="O302" s="756"/>
      <c r="Q302" s="751"/>
      <c r="R302" s="684"/>
      <c r="S302" s="684"/>
      <c r="T302" s="684"/>
      <c r="U302" s="687"/>
      <c r="V302" s="688"/>
      <c r="W302" s="684"/>
      <c r="X302" s="684"/>
      <c r="Y302" s="684"/>
      <c r="Z302" s="684"/>
    </row>
    <row r="303" ht="328.5" customHeight="1" outlineLevel="1">
      <c r="A303" s="684"/>
      <c r="B303" s="752"/>
      <c r="C303" s="753"/>
      <c r="D303" s="753"/>
      <c r="E303" s="753"/>
      <c r="F303" s="753"/>
      <c r="G303" s="951" t="s">
        <v>798</v>
      </c>
      <c r="H303" s="753"/>
      <c r="I303" s="753"/>
      <c r="J303" s="753"/>
      <c r="K303" s="753"/>
      <c r="L303" s="796"/>
      <c r="M303" s="792"/>
      <c r="N303" s="753"/>
      <c r="O303" s="756"/>
      <c r="Q303" s="751"/>
      <c r="R303" s="684"/>
      <c r="S303" s="684"/>
      <c r="T303" s="684"/>
      <c r="U303" s="687"/>
      <c r="V303" s="688"/>
      <c r="W303" s="684"/>
      <c r="X303" s="684"/>
      <c r="Y303" s="684"/>
      <c r="Z303" s="684"/>
    </row>
    <row r="304" outlineLevel="1">
      <c r="A304" s="684"/>
      <c r="B304" s="752"/>
      <c r="C304" s="753"/>
      <c r="D304" s="753"/>
      <c r="E304" s="753"/>
      <c r="F304" s="753"/>
      <c r="G304" s="951"/>
      <c r="H304" s="753"/>
      <c r="I304" s="753"/>
      <c r="J304" s="753"/>
      <c r="K304" s="753"/>
      <c r="L304" s="796"/>
      <c r="M304" s="792"/>
      <c r="N304" s="753"/>
      <c r="O304" s="756"/>
      <c r="Q304" s="751"/>
      <c r="R304" s="684"/>
      <c r="S304" s="684"/>
      <c r="T304" s="684"/>
      <c r="U304" s="687"/>
      <c r="V304" s="688"/>
      <c r="W304" s="684"/>
      <c r="X304" s="684"/>
      <c r="Y304" s="684"/>
      <c r="Z304" s="684"/>
    </row>
    <row r="305" ht="220.5" customHeight="1" outlineLevel="1">
      <c r="A305" s="684"/>
      <c r="B305" s="752"/>
      <c r="C305" s="753"/>
      <c r="D305" s="753"/>
      <c r="E305" s="753"/>
      <c r="F305" s="753"/>
      <c r="G305" s="951" t="s">
        <v>799</v>
      </c>
      <c r="H305" s="753"/>
      <c r="I305" s="753"/>
      <c r="J305" s="753"/>
      <c r="K305" s="753"/>
      <c r="L305" s="796"/>
      <c r="M305" s="792"/>
      <c r="N305" s="753"/>
      <c r="O305" s="756"/>
      <c r="Q305" s="751"/>
      <c r="R305" s="684"/>
      <c r="S305" s="684"/>
      <c r="T305" s="684"/>
      <c r="U305" s="687"/>
      <c r="V305" s="688"/>
      <c r="W305" s="684"/>
      <c r="X305" s="684"/>
      <c r="Y305" s="684"/>
      <c r="Z305" s="684"/>
    </row>
    <row r="306" ht="45.0" customHeight="1" outlineLevel="1">
      <c r="A306" s="684"/>
      <c r="B306" s="752"/>
      <c r="C306" s="753"/>
      <c r="D306" s="753"/>
      <c r="E306" s="753"/>
      <c r="F306" s="753"/>
      <c r="G306" s="951" t="s">
        <v>800</v>
      </c>
      <c r="H306" s="753"/>
      <c r="I306" s="753"/>
      <c r="J306" s="753"/>
      <c r="K306" s="753"/>
      <c r="L306" s="796"/>
      <c r="M306" s="792"/>
      <c r="N306" s="753"/>
      <c r="O306" s="756"/>
      <c r="Q306" s="751"/>
      <c r="R306" s="684"/>
      <c r="S306" s="684"/>
      <c r="T306" s="684"/>
      <c r="U306" s="687"/>
      <c r="V306" s="688"/>
      <c r="W306" s="684"/>
      <c r="X306" s="684"/>
      <c r="Y306" s="684"/>
      <c r="Z306" s="684"/>
    </row>
    <row r="307" outlineLevel="1">
      <c r="A307" s="684"/>
      <c r="B307" s="752"/>
      <c r="C307" s="753"/>
      <c r="D307" s="753"/>
      <c r="E307" s="753"/>
      <c r="F307" s="753"/>
      <c r="G307" s="951"/>
      <c r="H307" s="753"/>
      <c r="I307" s="753"/>
      <c r="J307" s="753"/>
      <c r="K307" s="753"/>
      <c r="L307" s="796"/>
      <c r="M307" s="792"/>
      <c r="N307" s="753"/>
      <c r="O307" s="756"/>
      <c r="Q307" s="751"/>
      <c r="R307" s="684"/>
      <c r="S307" s="684"/>
      <c r="T307" s="684"/>
      <c r="U307" s="687"/>
      <c r="V307" s="688"/>
      <c r="W307" s="684"/>
      <c r="X307" s="684"/>
      <c r="Y307" s="684"/>
      <c r="Z307" s="684"/>
    </row>
    <row r="308" outlineLevel="1">
      <c r="A308" s="684"/>
      <c r="B308" s="752"/>
      <c r="C308" s="753"/>
      <c r="D308" s="753"/>
      <c r="E308" s="753"/>
      <c r="F308" s="753"/>
      <c r="G308" s="951"/>
      <c r="H308" s="753"/>
      <c r="I308" s="753"/>
      <c r="J308" s="753"/>
      <c r="K308" s="753"/>
      <c r="L308" s="796"/>
      <c r="M308" s="792"/>
      <c r="N308" s="753"/>
      <c r="O308" s="756"/>
      <c r="Q308" s="751"/>
      <c r="R308" s="684"/>
      <c r="S308" s="684"/>
      <c r="T308" s="684"/>
      <c r="U308" s="687"/>
      <c r="V308" s="688"/>
      <c r="W308" s="684"/>
      <c r="X308" s="684"/>
      <c r="Y308" s="684"/>
      <c r="Z308" s="684"/>
    </row>
    <row r="309" outlineLevel="1">
      <c r="A309" s="684"/>
      <c r="B309" s="752"/>
      <c r="C309" s="753"/>
      <c r="D309" s="753"/>
      <c r="E309" s="753"/>
      <c r="F309" s="720"/>
      <c r="G309" s="952"/>
      <c r="H309" s="720"/>
      <c r="I309" s="720"/>
      <c r="J309" s="720"/>
      <c r="K309" s="720"/>
      <c r="L309" s="796"/>
      <c r="M309" s="792"/>
      <c r="N309" s="720"/>
      <c r="O309" s="723"/>
      <c r="P309" s="724"/>
      <c r="Q309" s="760"/>
      <c r="R309" s="684"/>
      <c r="S309" s="684"/>
      <c r="T309" s="684"/>
      <c r="U309" s="687"/>
      <c r="V309" s="688"/>
      <c r="W309" s="684"/>
      <c r="X309" s="684"/>
      <c r="Y309" s="684"/>
      <c r="Z309" s="684"/>
    </row>
    <row r="310"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t="33.0" customHeight="1" outlineLevel="1">
      <c r="A311" s="684"/>
      <c r="B311" s="766"/>
      <c r="C311" s="767">
        <f>IF(C300="","",IF(DAY(C300+1)=1,"",C300+1))</f>
        <v>46109</v>
      </c>
      <c r="D311" s="768" t="str">
        <f>TEXT(C311,"ddd")</f>
        <v>土</v>
      </c>
      <c r="E311" s="769"/>
      <c r="F311" s="797" t="s">
        <v>557</v>
      </c>
      <c r="G311" s="798" t="s">
        <v>801</v>
      </c>
      <c r="H311" s="799"/>
      <c r="I311" s="800">
        <v>0.6666666666666666</v>
      </c>
      <c r="J311" s="799">
        <v>17.0</v>
      </c>
      <c r="K311" s="799">
        <v>5.0</v>
      </c>
      <c r="L311" s="778"/>
      <c r="M311" s="778"/>
      <c r="N311" s="797"/>
      <c r="O311" s="949" t="s">
        <v>802</v>
      </c>
      <c r="P311" s="794"/>
      <c r="Q311" s="795"/>
      <c r="R311" s="684"/>
      <c r="S311" s="684"/>
      <c r="T311" s="684"/>
      <c r="U311" s="687"/>
      <c r="V311" s="688"/>
      <c r="W311" s="684"/>
      <c r="X311" s="684"/>
      <c r="Y311" s="684"/>
      <c r="Z311" s="684"/>
    </row>
    <row r="312" ht="33.0" customHeight="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t="33.0" customHeight="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t="33.0" customHeight="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t="33.0" customHeight="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t="33.0" customHeight="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t="33.0" customHeight="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t="33.0" customHeight="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t="33.0" customHeight="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t="33.0" customHeight="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t="17.25" customHeight="1" outlineLevel="1">
      <c r="A322" s="684"/>
      <c r="B322" s="784"/>
      <c r="C322" s="785">
        <f>IF(C311="","",IF(DAY(C311+1)=1,"",C311+1))</f>
        <v>46110</v>
      </c>
      <c r="D322" s="786" t="str">
        <f>TEXT(C322,"ddd")</f>
        <v>日</v>
      </c>
      <c r="E322" s="787"/>
      <c r="F322" s="788" t="s">
        <v>557</v>
      </c>
      <c r="G322" s="789" t="s">
        <v>803</v>
      </c>
      <c r="H322" s="790"/>
      <c r="I322" s="791">
        <v>0.6666666666666666</v>
      </c>
      <c r="J322" s="790">
        <v>15.0</v>
      </c>
      <c r="K322" s="790">
        <v>6.0</v>
      </c>
      <c r="L322" s="792" t="s">
        <v>582</v>
      </c>
      <c r="M322" s="792"/>
      <c r="N322" s="788"/>
      <c r="O322" s="793"/>
      <c r="P322" s="794"/>
      <c r="Q322" s="795"/>
      <c r="R322" s="684"/>
      <c r="S322" s="684"/>
      <c r="T322" s="684"/>
      <c r="U322" s="687"/>
      <c r="V322" s="688"/>
      <c r="W322" s="684"/>
      <c r="X322" s="684"/>
      <c r="Y322" s="684"/>
      <c r="Z322" s="684"/>
    </row>
    <row r="323" ht="17.25" customHeight="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t="17.25" customHeight="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t="17.25" customHeight="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t="93.0" customHeight="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t="17.25" customHeight="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t="17.25" customHeight="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t="17.25" customHeight="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t="17.25" customHeight="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t="32.25" customHeight="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t="17.25" customHeight="1" outlineLevel="1">
      <c r="A333" s="684"/>
      <c r="B333" s="766"/>
      <c r="C333" s="767">
        <f>IF(C322="","",IF(DAY(C322+1)=1,"",C322+1))</f>
        <v>46111</v>
      </c>
      <c r="D333" s="768" t="str">
        <f>TEXT(C333,"ddd")</f>
        <v>月</v>
      </c>
      <c r="E333" s="769"/>
      <c r="F333" s="797" t="s">
        <v>557</v>
      </c>
      <c r="G333" s="798" t="s">
        <v>804</v>
      </c>
      <c r="H333" s="799"/>
      <c r="I333" s="973"/>
      <c r="J333" s="799"/>
      <c r="K333" s="799"/>
      <c r="L333" s="778" t="s">
        <v>519</v>
      </c>
      <c r="M333" s="778"/>
      <c r="N333" s="797"/>
      <c r="O333" s="949" t="s">
        <v>805</v>
      </c>
      <c r="P333" s="794"/>
      <c r="Q333" s="795"/>
      <c r="R333" s="684"/>
      <c r="S333" s="684"/>
      <c r="T333" s="684"/>
      <c r="U333" s="687"/>
      <c r="V333" s="688"/>
      <c r="W333" s="684"/>
      <c r="X333" s="684"/>
      <c r="Y333" s="684"/>
      <c r="Z333" s="684"/>
    </row>
    <row r="334" ht="17.25" customHeight="1" outlineLevel="1">
      <c r="A334" s="684"/>
      <c r="B334" s="752"/>
      <c r="C334" s="753"/>
      <c r="D334" s="753"/>
      <c r="E334" s="753"/>
      <c r="F334" s="753"/>
      <c r="G334" s="754"/>
      <c r="H334" s="753"/>
      <c r="I334" s="753"/>
      <c r="J334" s="753"/>
      <c r="K334" s="753"/>
      <c r="L334" s="778" t="s">
        <v>186</v>
      </c>
      <c r="M334" s="778"/>
      <c r="N334" s="753"/>
      <c r="O334" s="756"/>
      <c r="Q334" s="751"/>
      <c r="R334" s="684"/>
      <c r="S334" s="684"/>
      <c r="T334" s="684"/>
      <c r="U334" s="687"/>
      <c r="V334" s="688"/>
      <c r="W334" s="684"/>
      <c r="X334" s="684"/>
      <c r="Y334" s="684"/>
      <c r="Z334" s="684"/>
    </row>
    <row r="335" ht="17.25" customHeight="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t="17.25" customHeight="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t="67.5" customHeight="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t="17.25" customHeight="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t="17.25" customHeight="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t="17.25" customHeight="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t="17.25" customHeight="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t="17.25" customHeight="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t="139.5" customHeight="1" outlineLevel="1">
      <c r="A344" s="684"/>
      <c r="B344" s="784"/>
      <c r="C344" s="785">
        <f>IF(C333="","",IF(DAY(C333+1)=1,"",C333+1))</f>
        <v>46112</v>
      </c>
      <c r="D344" s="786" t="str">
        <f>TEXT(C344,"ddd")</f>
        <v>火</v>
      </c>
      <c r="E344" s="787"/>
      <c r="F344" s="788" t="s">
        <v>557</v>
      </c>
      <c r="G344" s="789" t="s">
        <v>806</v>
      </c>
      <c r="H344" s="790"/>
      <c r="I344" s="977">
        <v>0.6666666666666666</v>
      </c>
      <c r="J344" s="790">
        <v>17.0</v>
      </c>
      <c r="K344" s="790">
        <v>5.0</v>
      </c>
      <c r="L344" s="792" t="s">
        <v>519</v>
      </c>
      <c r="M344" s="792"/>
      <c r="N344" s="788"/>
      <c r="O344" s="948" t="s">
        <v>807</v>
      </c>
      <c r="P344" s="794"/>
      <c r="Q344" s="795"/>
      <c r="R344" s="684"/>
      <c r="S344" s="684"/>
      <c r="T344" s="684"/>
      <c r="U344" s="687"/>
      <c r="V344" s="688"/>
      <c r="W344" s="684"/>
      <c r="X344" s="684"/>
      <c r="Y344" s="684"/>
      <c r="Z344" s="684"/>
    </row>
    <row r="345" outlineLevel="1">
      <c r="A345" s="684"/>
      <c r="B345" s="752"/>
      <c r="C345" s="753"/>
      <c r="D345" s="753"/>
      <c r="E345" s="753"/>
      <c r="F345" s="753"/>
      <c r="G345" s="951"/>
      <c r="H345" s="753"/>
      <c r="I345" s="753"/>
      <c r="J345" s="753"/>
      <c r="K345" s="753"/>
      <c r="L345" s="792" t="s">
        <v>176</v>
      </c>
      <c r="M345" s="792"/>
      <c r="N345" s="753"/>
      <c r="O345" s="756"/>
      <c r="Q345" s="751"/>
      <c r="R345" s="684"/>
      <c r="S345" s="684"/>
      <c r="T345" s="684"/>
      <c r="U345" s="687"/>
      <c r="V345" s="688"/>
      <c r="W345" s="684"/>
      <c r="X345" s="684"/>
      <c r="Y345" s="684"/>
      <c r="Z345" s="684"/>
    </row>
    <row r="346" outlineLevel="1">
      <c r="A346" s="684"/>
      <c r="B346" s="752"/>
      <c r="C346" s="753"/>
      <c r="D346" s="753"/>
      <c r="E346" s="753"/>
      <c r="F346" s="753"/>
      <c r="G346" s="951"/>
      <c r="H346" s="753"/>
      <c r="I346" s="753"/>
      <c r="J346" s="753"/>
      <c r="K346" s="753"/>
      <c r="L346" s="792" t="s">
        <v>515</v>
      </c>
      <c r="M346" s="792"/>
      <c r="N346" s="753"/>
      <c r="O346" s="756"/>
      <c r="Q346" s="751"/>
      <c r="R346" s="684"/>
      <c r="S346" s="684"/>
      <c r="T346" s="684"/>
      <c r="U346" s="687"/>
      <c r="V346" s="688"/>
      <c r="W346" s="684"/>
      <c r="X346" s="684"/>
      <c r="Y346" s="684"/>
      <c r="Z346" s="684"/>
    </row>
    <row r="347" outlineLevel="1">
      <c r="A347" s="684"/>
      <c r="B347" s="752"/>
      <c r="C347" s="753"/>
      <c r="D347" s="753"/>
      <c r="E347" s="753"/>
      <c r="F347" s="753"/>
      <c r="G347" s="951"/>
      <c r="H347" s="753"/>
      <c r="I347" s="753"/>
      <c r="J347" s="753"/>
      <c r="K347" s="753"/>
      <c r="L347" s="796"/>
      <c r="M347" s="792"/>
      <c r="N347" s="753"/>
      <c r="O347" s="756"/>
      <c r="Q347" s="751"/>
      <c r="R347" s="684"/>
      <c r="S347" s="684"/>
      <c r="T347" s="684"/>
      <c r="U347" s="687"/>
      <c r="V347" s="688"/>
      <c r="W347" s="684"/>
      <c r="X347" s="684"/>
      <c r="Y347" s="684"/>
      <c r="Z347" s="684"/>
    </row>
    <row r="348" outlineLevel="1">
      <c r="A348" s="684"/>
      <c r="B348" s="752"/>
      <c r="C348" s="753"/>
      <c r="D348" s="753"/>
      <c r="E348" s="753"/>
      <c r="F348" s="753"/>
      <c r="G348" s="951"/>
      <c r="H348" s="753"/>
      <c r="I348" s="753"/>
      <c r="J348" s="753"/>
      <c r="K348" s="753"/>
      <c r="L348" s="796"/>
      <c r="M348" s="792"/>
      <c r="N348" s="753"/>
      <c r="O348" s="756"/>
      <c r="Q348" s="751"/>
      <c r="R348" s="684"/>
      <c r="S348" s="684"/>
      <c r="T348" s="684"/>
      <c r="U348" s="687"/>
      <c r="V348" s="688"/>
      <c r="W348" s="684"/>
      <c r="X348" s="684"/>
      <c r="Y348" s="684"/>
      <c r="Z348" s="684"/>
    </row>
    <row r="349" outlineLevel="1">
      <c r="A349" s="684"/>
      <c r="B349" s="752"/>
      <c r="C349" s="753"/>
      <c r="D349" s="753"/>
      <c r="E349" s="753"/>
      <c r="F349" s="753"/>
      <c r="G349" s="951"/>
      <c r="H349" s="753"/>
      <c r="I349" s="753"/>
      <c r="J349" s="753"/>
      <c r="K349" s="753"/>
      <c r="L349" s="796"/>
      <c r="M349" s="792"/>
      <c r="N349" s="753"/>
      <c r="O349" s="756"/>
      <c r="Q349" s="751"/>
      <c r="R349" s="684"/>
      <c r="S349" s="684"/>
      <c r="T349" s="684"/>
      <c r="U349" s="687"/>
      <c r="V349" s="688"/>
      <c r="W349" s="684"/>
      <c r="X349" s="684"/>
      <c r="Y349" s="684"/>
      <c r="Z349" s="684"/>
    </row>
    <row r="350" outlineLevel="1">
      <c r="A350" s="684"/>
      <c r="B350" s="752"/>
      <c r="C350" s="753"/>
      <c r="D350" s="753"/>
      <c r="E350" s="753"/>
      <c r="F350" s="753"/>
      <c r="G350" s="951"/>
      <c r="H350" s="753"/>
      <c r="I350" s="753"/>
      <c r="J350" s="753"/>
      <c r="K350" s="753"/>
      <c r="L350" s="796"/>
      <c r="M350" s="792"/>
      <c r="N350" s="753"/>
      <c r="O350" s="756"/>
      <c r="Q350" s="751"/>
      <c r="R350" s="684"/>
      <c r="S350" s="684"/>
      <c r="T350" s="684"/>
      <c r="U350" s="687"/>
      <c r="V350" s="688"/>
      <c r="W350" s="684"/>
      <c r="X350" s="684"/>
      <c r="Y350" s="684"/>
      <c r="Z350" s="684"/>
    </row>
    <row r="351" outlineLevel="1">
      <c r="A351" s="684"/>
      <c r="B351" s="752"/>
      <c r="C351" s="753"/>
      <c r="D351" s="753"/>
      <c r="E351" s="753"/>
      <c r="F351" s="753"/>
      <c r="G351" s="951"/>
      <c r="H351" s="753"/>
      <c r="I351" s="753"/>
      <c r="J351" s="753"/>
      <c r="K351" s="753"/>
      <c r="L351" s="796"/>
      <c r="M351" s="792"/>
      <c r="N351" s="753"/>
      <c r="O351" s="756"/>
      <c r="Q351" s="751"/>
      <c r="R351" s="684"/>
      <c r="S351" s="684"/>
      <c r="T351" s="684"/>
      <c r="U351" s="687"/>
      <c r="V351" s="688"/>
      <c r="W351" s="684"/>
      <c r="X351" s="684"/>
      <c r="Y351" s="684"/>
      <c r="Z351" s="684"/>
    </row>
    <row r="352" outlineLevel="1">
      <c r="A352" s="684"/>
      <c r="B352" s="752"/>
      <c r="C352" s="753"/>
      <c r="D352" s="753"/>
      <c r="E352" s="753"/>
      <c r="F352" s="753"/>
      <c r="G352" s="951"/>
      <c r="H352" s="753"/>
      <c r="I352" s="753"/>
      <c r="J352" s="753"/>
      <c r="K352" s="753"/>
      <c r="L352" s="796"/>
      <c r="M352" s="792"/>
      <c r="N352" s="753"/>
      <c r="O352" s="756"/>
      <c r="Q352" s="751"/>
      <c r="R352" s="684"/>
      <c r="S352" s="684"/>
      <c r="T352" s="684"/>
      <c r="U352" s="687"/>
      <c r="V352" s="688"/>
      <c r="W352" s="684"/>
      <c r="X352" s="684"/>
      <c r="Y352" s="684"/>
      <c r="Z352" s="684"/>
    </row>
    <row r="353" outlineLevel="1">
      <c r="A353" s="684"/>
      <c r="B353" s="752"/>
      <c r="C353" s="753"/>
      <c r="D353" s="753"/>
      <c r="E353" s="753"/>
      <c r="F353" s="720"/>
      <c r="G353" s="952"/>
      <c r="H353" s="720"/>
      <c r="I353" s="720"/>
      <c r="J353" s="720"/>
      <c r="K353" s="720"/>
      <c r="L353" s="796"/>
      <c r="M353" s="792"/>
      <c r="N353" s="720"/>
      <c r="O353" s="723"/>
      <c r="P353" s="724"/>
      <c r="Q353" s="760"/>
      <c r="R353" s="684"/>
      <c r="S353" s="684"/>
      <c r="T353" s="684"/>
      <c r="U353" s="687"/>
      <c r="V353" s="688"/>
      <c r="W353" s="684"/>
      <c r="X353" s="684"/>
      <c r="Y353" s="684"/>
      <c r="Z353" s="684"/>
    </row>
    <row r="354"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53</v>
      </c>
      <c r="C5" s="832" t="s">
        <v>83</v>
      </c>
      <c r="D5" s="833" t="s">
        <v>108</v>
      </c>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"),"①R8_3集計")</f>
        <v>①R8_3集計</v>
      </c>
      <c r="F8" s="525"/>
      <c r="G8" s="237"/>
      <c r="H8" s="237"/>
      <c r="I8" s="214"/>
      <c r="J8" s="837"/>
      <c r="K8" s="821"/>
      <c r="L8" s="850" t="s">
        <v>808</v>
      </c>
      <c r="M8" s="261"/>
      <c r="N8" s="261"/>
      <c r="O8" s="261"/>
      <c r="P8" s="261"/>
      <c r="Q8" s="261"/>
      <c r="R8" s="261"/>
      <c r="S8" s="263"/>
      <c r="U8" s="850" t="s">
        <v>809</v>
      </c>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0.2336681661</v>
      </c>
      <c r="D10" s="856">
        <f t="array" ref="D10">INDIRECT($E$8 &amp; "!E8")</f>
        <v>0.6292126317</v>
      </c>
      <c r="E10" s="856">
        <f t="array" ref="E10">INDIRECT($E$8 &amp; "!G8")</f>
        <v>0.7661956812</v>
      </c>
      <c r="F10" s="857">
        <f t="array" ref="F10">INDIRECT($E$8 &amp; "!H8")</f>
        <v>6795930</v>
      </c>
      <c r="G10" s="857">
        <f t="array" ref="G10">INDIRECT($E$8 &amp; "!K8")</f>
        <v>0</v>
      </c>
      <c r="H10" s="857">
        <f t="array" ref="H10">INDIRECT($E$8 &amp; "!M8")</f>
        <v>1587992.5</v>
      </c>
      <c r="I10" s="856">
        <f t="array" ref="I10">INDIRECT($E$8 &amp; "!AT7")</f>
        <v>0.0006664889363</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0.2409031309</v>
      </c>
      <c r="D11" s="860"/>
      <c r="E11" s="861"/>
      <c r="F11" s="862">
        <f t="array" ref="F11">INDIRECT($E$8 &amp; "!H7")</f>
        <v>5955991.5</v>
      </c>
      <c r="G11" s="860"/>
      <c r="H11" s="863">
        <f t="array" ref="H11">INDIRECT($E$8 &amp; "!M7")</f>
        <v>1434817</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0.0007096224808</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2</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5</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v>4.0</v>
      </c>
      <c r="C21" s="884"/>
      <c r="D21" s="884">
        <v>6.0</v>
      </c>
      <c r="E21" s="884">
        <v>33.0</v>
      </c>
      <c r="F21" s="884">
        <v>0.0</v>
      </c>
      <c r="G21" s="885"/>
      <c r="H21" s="885"/>
      <c r="I21" s="886">
        <f>sum(B21:G21)</f>
        <v>43</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t="s">
        <v>810</v>
      </c>
      <c r="M22" s="261"/>
      <c r="N22" s="261"/>
      <c r="O22" s="261"/>
      <c r="P22" s="261"/>
      <c r="Q22" s="261"/>
      <c r="R22" s="261"/>
      <c r="S22" s="263"/>
      <c r="U22" s="850" t="s">
        <v>811</v>
      </c>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t="s">
        <v>812</v>
      </c>
      <c r="C26" s="894" t="s">
        <v>89</v>
      </c>
      <c r="D26" s="3"/>
      <c r="E26" s="894" t="s">
        <v>813</v>
      </c>
      <c r="F26" s="246"/>
      <c r="G26" s="246"/>
      <c r="H26" s="895" t="s">
        <v>814</v>
      </c>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t="s">
        <v>812</v>
      </c>
      <c r="C27" s="894" t="s">
        <v>88</v>
      </c>
      <c r="D27" s="3"/>
      <c r="E27" s="894" t="s">
        <v>813</v>
      </c>
      <c r="F27" s="246"/>
      <c r="G27" s="246"/>
      <c r="H27" s="895" t="s">
        <v>815</v>
      </c>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t="s">
        <v>816</v>
      </c>
      <c r="M36" s="261"/>
      <c r="N36" s="261"/>
      <c r="O36" s="261"/>
      <c r="P36" s="261"/>
      <c r="Q36" s="261"/>
      <c r="R36" s="261"/>
      <c r="S36" s="263"/>
      <c r="U36" s="850" t="s">
        <v>817</v>
      </c>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7</v>
      </c>
      <c r="E37" s="901" t="s">
        <v>617</v>
      </c>
      <c r="F37" s="902"/>
      <c r="G37" s="900">
        <f>D37 - COUNTIF(E39:E48,"採用")</f>
        <v>1</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t="s">
        <v>818</v>
      </c>
      <c r="D39" s="905"/>
      <c r="E39" s="909" t="s">
        <v>819</v>
      </c>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t="s">
        <v>532</v>
      </c>
      <c r="D40" s="905"/>
      <c r="E40" s="909" t="s">
        <v>819</v>
      </c>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t="s">
        <v>495</v>
      </c>
      <c r="D41" s="905"/>
      <c r="E41" s="909" t="s">
        <v>819</v>
      </c>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t="s">
        <v>524</v>
      </c>
      <c r="D42" s="905"/>
      <c r="E42" s="909" t="s">
        <v>819</v>
      </c>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t="s">
        <v>820</v>
      </c>
      <c r="D43" s="905"/>
      <c r="E43" s="909" t="s">
        <v>821</v>
      </c>
      <c r="F43" s="905"/>
      <c r="G43" s="978" t="s">
        <v>822</v>
      </c>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08" t="s">
        <v>530</v>
      </c>
      <c r="D44" s="905"/>
      <c r="E44" s="909" t="s">
        <v>819</v>
      </c>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08" t="s">
        <v>637</v>
      </c>
      <c r="D45" s="905"/>
      <c r="E45" s="909" t="s">
        <v>819</v>
      </c>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11</v>
      </c>
      <c r="E50" s="882"/>
      <c r="F50" s="882"/>
      <c r="G50" s="882"/>
      <c r="H50" s="882"/>
      <c r="I50" s="822"/>
      <c r="J50" s="822"/>
      <c r="K50" s="821"/>
      <c r="L50" s="850" t="s">
        <v>823</v>
      </c>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t="s">
        <v>522</v>
      </c>
      <c r="D52" s="905"/>
      <c r="E52" s="921"/>
      <c r="F52" s="921"/>
      <c r="G52" s="922"/>
      <c r="H52" s="923" t="s">
        <v>89</v>
      </c>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t="s">
        <v>529</v>
      </c>
      <c r="D53" s="905"/>
      <c r="E53" s="921"/>
      <c r="F53" s="921"/>
      <c r="G53" s="922"/>
      <c r="H53" s="923" t="s">
        <v>89</v>
      </c>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t="s">
        <v>523</v>
      </c>
      <c r="D54" s="905"/>
      <c r="E54" s="921"/>
      <c r="F54" s="921"/>
      <c r="G54" s="922"/>
      <c r="H54" s="923" t="s">
        <v>89</v>
      </c>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t="s">
        <v>495</v>
      </c>
      <c r="D55" s="905"/>
      <c r="E55" s="921"/>
      <c r="F55" s="921"/>
      <c r="G55" s="921"/>
      <c r="H55" s="923" t="s">
        <v>88</v>
      </c>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t="s">
        <v>637</v>
      </c>
      <c r="D56" s="905"/>
      <c r="E56" s="921"/>
      <c r="F56" s="921"/>
      <c r="G56" s="921"/>
      <c r="H56" s="923" t="s">
        <v>88</v>
      </c>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t="s">
        <v>524</v>
      </c>
      <c r="D57" s="905"/>
      <c r="E57" s="921"/>
      <c r="F57" s="921"/>
      <c r="G57" s="921"/>
      <c r="H57" s="923" t="s">
        <v>89</v>
      </c>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t="s">
        <v>525</v>
      </c>
      <c r="D58" s="905"/>
      <c r="E58" s="921"/>
      <c r="F58" s="921"/>
      <c r="G58" s="921"/>
      <c r="H58" s="923" t="s">
        <v>89</v>
      </c>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t="s">
        <v>526</v>
      </c>
      <c r="D59" s="905"/>
      <c r="E59" s="921"/>
      <c r="F59" s="921"/>
      <c r="G59" s="921"/>
      <c r="H59" s="923" t="s">
        <v>89</v>
      </c>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t="s">
        <v>528</v>
      </c>
      <c r="D60" s="905"/>
      <c r="E60" s="921"/>
      <c r="F60" s="921"/>
      <c r="G60" s="921"/>
      <c r="H60" s="923" t="s">
        <v>89</v>
      </c>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t="s">
        <v>527</v>
      </c>
      <c r="D61" s="905"/>
      <c r="E61" s="921"/>
      <c r="F61" s="921"/>
      <c r="G61" s="921"/>
      <c r="H61" s="923" t="s">
        <v>89</v>
      </c>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t="s">
        <v>496</v>
      </c>
      <c r="D62" s="905"/>
      <c r="E62" s="921"/>
      <c r="F62" s="921"/>
      <c r="G62" s="921"/>
      <c r="H62" s="923" t="s">
        <v>88</v>
      </c>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11</v>
      </c>
      <c r="E64" s="882"/>
      <c r="F64" s="882"/>
      <c r="G64" s="882"/>
      <c r="H64" s="882"/>
      <c r="I64" s="882"/>
      <c r="J64" s="822"/>
      <c r="K64" s="821"/>
      <c r="L64" s="850" t="s">
        <v>824</v>
      </c>
      <c r="M64" s="261"/>
      <c r="N64" s="261"/>
      <c r="O64" s="261"/>
      <c r="P64" s="261"/>
      <c r="Q64" s="261"/>
      <c r="R64" s="261"/>
      <c r="S64" s="263"/>
      <c r="U64" s="850" t="s">
        <v>825</v>
      </c>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t="s">
        <v>558</v>
      </c>
      <c r="D66" s="905"/>
      <c r="E66" s="926"/>
      <c r="F66" s="978" t="s">
        <v>826</v>
      </c>
      <c r="G66" s="905"/>
      <c r="H66" s="927" t="s">
        <v>89</v>
      </c>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08" t="s">
        <v>508</v>
      </c>
      <c r="D67" s="905"/>
      <c r="E67" s="926"/>
      <c r="F67" s="978" t="s">
        <v>826</v>
      </c>
      <c r="G67" s="905"/>
      <c r="H67" s="927" t="s">
        <v>89</v>
      </c>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08" t="s">
        <v>565</v>
      </c>
      <c r="D68" s="905"/>
      <c r="E68" s="926"/>
      <c r="F68" s="978" t="s">
        <v>826</v>
      </c>
      <c r="G68" s="905"/>
      <c r="H68" s="927" t="s">
        <v>89</v>
      </c>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08" t="s">
        <v>571</v>
      </c>
      <c r="D69" s="905"/>
      <c r="E69" s="926"/>
      <c r="F69" s="978" t="s">
        <v>826</v>
      </c>
      <c r="G69" s="905"/>
      <c r="H69" s="927" t="s">
        <v>89</v>
      </c>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08" t="s">
        <v>573</v>
      </c>
      <c r="D70" s="905"/>
      <c r="E70" s="926"/>
      <c r="F70" s="978" t="s">
        <v>826</v>
      </c>
      <c r="G70" s="905"/>
      <c r="H70" s="927" t="s">
        <v>89</v>
      </c>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08" t="s">
        <v>514</v>
      </c>
      <c r="D71" s="905"/>
      <c r="E71" s="926"/>
      <c r="F71" s="978" t="s">
        <v>826</v>
      </c>
      <c r="G71" s="905"/>
      <c r="H71" s="927" t="s">
        <v>89</v>
      </c>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08" t="s">
        <v>578</v>
      </c>
      <c r="D72" s="905"/>
      <c r="E72" s="926"/>
      <c r="F72" s="978" t="s">
        <v>826</v>
      </c>
      <c r="G72" s="905"/>
      <c r="H72" s="927" t="s">
        <v>89</v>
      </c>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08" t="s">
        <v>581</v>
      </c>
      <c r="D73" s="905"/>
      <c r="E73" s="926"/>
      <c r="F73" s="978" t="s">
        <v>826</v>
      </c>
      <c r="G73" s="905"/>
      <c r="H73" s="927" t="s">
        <v>89</v>
      </c>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08" t="s">
        <v>582</v>
      </c>
      <c r="D74" s="905"/>
      <c r="E74" s="926"/>
      <c r="F74" s="978" t="s">
        <v>826</v>
      </c>
      <c r="G74" s="905"/>
      <c r="H74" s="927" t="s">
        <v>89</v>
      </c>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08" t="s">
        <v>521</v>
      </c>
      <c r="D75" s="905"/>
      <c r="E75" s="926"/>
      <c r="F75" s="978" t="s">
        <v>826</v>
      </c>
      <c r="G75" s="905"/>
      <c r="H75" s="927" t="s">
        <v>89</v>
      </c>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08" t="s">
        <v>827</v>
      </c>
      <c r="D76" s="905"/>
      <c r="E76" s="926"/>
      <c r="F76" s="978" t="s">
        <v>826</v>
      </c>
      <c r="G76" s="905"/>
      <c r="H76" s="927" t="s">
        <v>88</v>
      </c>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1</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343</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79">
        <v>4.0</v>
      </c>
      <c r="P13" s="980"/>
      <c r="Q13" s="980"/>
      <c r="R13" s="980"/>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6"/>
      <c r="Q15" s="406"/>
      <c r="R15" s="400">
        <v>3.0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20"/>
      <c r="Q16" s="420"/>
      <c r="R16" s="464">
        <v>10.0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6"/>
      <c r="Q17" s="406"/>
      <c r="R17" s="400">
        <v>5.0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20"/>
      <c r="Q18" s="420"/>
      <c r="R18" s="464">
        <v>2.0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IFERROR(__xludf.DUMMYFUNCTION("IMPORTRANGE(""https://docs.google.com/spreadsheets/d/1QbHfX9wvC_RRupa4CCe_ZxA6O4e2Ap9vqX5hrZPeQRg/edit?gid=284905409#gid=284905409"",""date2_1!B21"")/G5*COUNTIFS($E$13:$E$43,""&gt;0"")+sum(AZ14:BA19)"),505000.0)</f>
        <v>505000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414</v>
      </c>
      <c r="AZ30" s="443">
        <f>AS46</f>
        <v>5366350</v>
      </c>
      <c r="BA30" s="454" t="s">
        <v>164</v>
      </c>
      <c r="BB30" s="441">
        <f>SUM(AZ30:AZ36)</f>
        <v>5764630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19"/>
      <c r="L32" s="418">
        <v>10.0</v>
      </c>
      <c r="M32" s="418">
        <v>16.0</v>
      </c>
      <c r="N32" s="418"/>
      <c r="O32" s="464">
        <v>4.0</v>
      </c>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19"/>
      <c r="L34" s="418">
        <v>14.0</v>
      </c>
      <c r="M34" s="418">
        <v>11.0</v>
      </c>
      <c r="N34" s="418">
        <v>1.0</v>
      </c>
      <c r="O34" s="464">
        <v>6.0</v>
      </c>
      <c r="P34" s="420"/>
      <c r="Q34" s="420"/>
      <c r="R34" s="464">
        <v>2.0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19"/>
      <c r="L36" s="418">
        <v>6.0</v>
      </c>
      <c r="M36" s="418">
        <v>16.0</v>
      </c>
      <c r="N36" s="418">
        <v>1.0</v>
      </c>
      <c r="O36" s="464">
        <v>1.0</v>
      </c>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19"/>
      <c r="L37" s="418">
        <v>17.0</v>
      </c>
      <c r="M37" s="418">
        <v>14.0</v>
      </c>
      <c r="N37" s="419"/>
      <c r="O37" s="400">
        <v>8.0</v>
      </c>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81"/>
      <c r="AZ40" s="443"/>
      <c r="BA40" s="982"/>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83"/>
      <c r="H41" s="400"/>
      <c r="I41" s="418"/>
      <c r="J41" s="418"/>
      <c r="K41" s="419"/>
      <c r="L41" s="419"/>
      <c r="M41" s="419"/>
      <c r="N41" s="419"/>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19"/>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83"/>
      <c r="H43" s="406"/>
      <c r="I43" s="419"/>
      <c r="J43" s="419"/>
      <c r="K43" s="419"/>
      <c r="L43" s="419"/>
      <c r="M43" s="419"/>
      <c r="N43" s="419"/>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828</v>
      </c>
      <c r="O2" s="533"/>
      <c r="P2" s="534"/>
      <c r="Q2" s="535"/>
      <c r="R2" s="535"/>
      <c r="S2" s="536"/>
      <c r="T2" s="535"/>
      <c r="U2" s="535"/>
      <c r="V2" s="535"/>
      <c r="W2" s="535"/>
      <c r="X2" s="535"/>
      <c r="Y2" s="537"/>
      <c r="Z2" s="296"/>
      <c r="AA2" s="296"/>
      <c r="AB2" s="296"/>
      <c r="AC2" s="296"/>
      <c r="AD2" s="296"/>
      <c r="AE2" s="296"/>
      <c r="AF2" s="538"/>
      <c r="AG2" s="539"/>
      <c r="AH2" s="540"/>
      <c r="AI2" s="541" t="s">
        <v>829</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46139</v>
      </c>
      <c r="C7" s="613"/>
      <c r="D7" s="528"/>
      <c r="E7" s="614">
        <f>today()+1</f>
        <v>46140</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月</v>
      </c>
      <c r="D8" s="214"/>
      <c r="E8" s="629" t="s">
        <v>348</v>
      </c>
      <c r="F8" s="630" t="str">
        <f>TEXT(E7,"ddd")</f>
        <v>火</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c r="Q11" s="554" t="s">
        <v>493</v>
      </c>
      <c r="R11" s="554" t="s">
        <v>447</v>
      </c>
      <c r="S11" s="554" t="s">
        <v>447</v>
      </c>
      <c r="T11" s="554" t="s">
        <v>447</v>
      </c>
      <c r="U11" s="554"/>
      <c r="V11" s="554"/>
      <c r="W11" s="554" t="s">
        <v>447</v>
      </c>
      <c r="X11" s="554" t="s">
        <v>447</v>
      </c>
      <c r="Y11" s="554" t="s">
        <v>493</v>
      </c>
      <c r="Z11" s="554" t="s">
        <v>493</v>
      </c>
      <c r="AA11" s="554"/>
      <c r="AB11" s="554" t="s">
        <v>447</v>
      </c>
      <c r="AC11" s="554" t="s">
        <v>447</v>
      </c>
      <c r="AD11" s="554"/>
      <c r="AE11" s="554" t="s">
        <v>447</v>
      </c>
      <c r="AF11" s="554" t="s">
        <v>447</v>
      </c>
      <c r="AG11" s="554"/>
      <c r="AH11" s="554" t="s">
        <v>447</v>
      </c>
      <c r="AI11" s="554" t="s">
        <v>447</v>
      </c>
      <c r="AJ11" s="554" t="s">
        <v>447</v>
      </c>
      <c r="AK11" s="554"/>
      <c r="AL11" s="554" t="s">
        <v>493</v>
      </c>
      <c r="AM11" s="554" t="s">
        <v>447</v>
      </c>
      <c r="AN11" s="554" t="s">
        <v>447</v>
      </c>
      <c r="AO11" s="554" t="s">
        <v>447</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447</v>
      </c>
      <c r="O12" s="554"/>
      <c r="P12" s="554" t="s">
        <v>447</v>
      </c>
      <c r="Q12" s="554" t="s">
        <v>447</v>
      </c>
      <c r="R12" s="554" t="s">
        <v>447</v>
      </c>
      <c r="S12" s="554"/>
      <c r="T12" s="554" t="s">
        <v>447</v>
      </c>
      <c r="U12" s="554" t="s">
        <v>447</v>
      </c>
      <c r="V12" s="554" t="s">
        <v>447</v>
      </c>
      <c r="W12" s="554"/>
      <c r="X12" s="554" t="s">
        <v>447</v>
      </c>
      <c r="Y12" s="554" t="s">
        <v>447</v>
      </c>
      <c r="Z12" s="554" t="s">
        <v>447</v>
      </c>
      <c r="AA12" s="554"/>
      <c r="AB12" s="554" t="s">
        <v>447</v>
      </c>
      <c r="AC12" s="554" t="s">
        <v>447</v>
      </c>
      <c r="AD12" s="554" t="s">
        <v>447</v>
      </c>
      <c r="AE12" s="554"/>
      <c r="AF12" s="554" t="s">
        <v>447</v>
      </c>
      <c r="AG12" s="554" t="s">
        <v>447</v>
      </c>
      <c r="AH12" s="554"/>
      <c r="AI12" s="554"/>
      <c r="AJ12" s="554" t="s">
        <v>447</v>
      </c>
      <c r="AK12" s="554" t="s">
        <v>447</v>
      </c>
      <c r="AL12" s="554" t="s">
        <v>447</v>
      </c>
      <c r="AM12" s="554" t="s">
        <v>830</v>
      </c>
      <c r="AN12" s="554" t="s">
        <v>447</v>
      </c>
      <c r="AO12" s="554" t="s">
        <v>447</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447</v>
      </c>
      <c r="O13" s="554" t="s">
        <v>447</v>
      </c>
      <c r="P13" s="554" t="s">
        <v>447</v>
      </c>
      <c r="Q13" s="554"/>
      <c r="R13" s="554" t="s">
        <v>447</v>
      </c>
      <c r="S13" s="554" t="s">
        <v>447</v>
      </c>
      <c r="T13" s="554"/>
      <c r="U13" s="554" t="s">
        <v>447</v>
      </c>
      <c r="V13" s="554" t="s">
        <v>447</v>
      </c>
      <c r="W13" s="554" t="s">
        <v>447</v>
      </c>
      <c r="X13" s="554"/>
      <c r="Y13" s="554" t="s">
        <v>447</v>
      </c>
      <c r="Z13" s="554" t="s">
        <v>447</v>
      </c>
      <c r="AA13" s="554" t="s">
        <v>447</v>
      </c>
      <c r="AB13" s="554"/>
      <c r="AC13" s="554" t="s">
        <v>447</v>
      </c>
      <c r="AD13" s="554" t="s">
        <v>447</v>
      </c>
      <c r="AE13" s="554" t="s">
        <v>447</v>
      </c>
      <c r="AF13" s="554"/>
      <c r="AG13" s="554" t="s">
        <v>447</v>
      </c>
      <c r="AH13" s="554" t="s">
        <v>447</v>
      </c>
      <c r="AI13" s="554" t="s">
        <v>447</v>
      </c>
      <c r="AJ13" s="554"/>
      <c r="AK13" s="554" t="s">
        <v>447</v>
      </c>
      <c r="AL13" s="554" t="s">
        <v>447</v>
      </c>
      <c r="AM13" s="554" t="s">
        <v>830</v>
      </c>
      <c r="AN13" s="554" t="s">
        <v>830</v>
      </c>
      <c r="AO13" s="554" t="s">
        <v>447</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831</v>
      </c>
      <c r="L14" s="638"/>
      <c r="M14" s="644"/>
      <c r="N14" s="554"/>
      <c r="O14" s="554" t="s">
        <v>447</v>
      </c>
      <c r="P14" s="554" t="s">
        <v>466</v>
      </c>
      <c r="Q14" s="554" t="s">
        <v>447</v>
      </c>
      <c r="R14" s="554" t="s">
        <v>447</v>
      </c>
      <c r="S14" s="554" t="s">
        <v>447</v>
      </c>
      <c r="T14" s="554" t="s">
        <v>447</v>
      </c>
      <c r="U14" s="554"/>
      <c r="V14" s="554" t="s">
        <v>447</v>
      </c>
      <c r="W14" s="554" t="s">
        <v>447</v>
      </c>
      <c r="X14" s="554" t="s">
        <v>447</v>
      </c>
      <c r="Y14" s="554"/>
      <c r="Z14" s="554" t="s">
        <v>447</v>
      </c>
      <c r="AA14" s="554" t="s">
        <v>447</v>
      </c>
      <c r="AB14" s="554" t="s">
        <v>447</v>
      </c>
      <c r="AC14" s="554"/>
      <c r="AD14" s="554" t="s">
        <v>447</v>
      </c>
      <c r="AE14" s="554" t="s">
        <v>447</v>
      </c>
      <c r="AF14" s="554" t="s">
        <v>447</v>
      </c>
      <c r="AG14" s="554"/>
      <c r="AH14" s="554" t="s">
        <v>447</v>
      </c>
      <c r="AI14" s="554" t="s">
        <v>447</v>
      </c>
      <c r="AJ14" s="554" t="s">
        <v>447</v>
      </c>
      <c r="AK14" s="554" t="s">
        <v>447</v>
      </c>
      <c r="AL14" s="554"/>
      <c r="AM14" s="554" t="s">
        <v>447</v>
      </c>
      <c r="AN14" s="554" t="s">
        <v>447</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267</v>
      </c>
      <c r="O15" s="554" t="s">
        <v>267</v>
      </c>
      <c r="P15" s="554" t="s">
        <v>267</v>
      </c>
      <c r="Q15" s="554" t="s">
        <v>267</v>
      </c>
      <c r="R15" s="554" t="s">
        <v>267</v>
      </c>
      <c r="S15" s="554" t="s">
        <v>734</v>
      </c>
      <c r="T15" s="554" t="s">
        <v>734</v>
      </c>
      <c r="U15" s="554" t="s">
        <v>267</v>
      </c>
      <c r="V15" s="554" t="s">
        <v>267</v>
      </c>
      <c r="W15" s="554" t="s">
        <v>267</v>
      </c>
      <c r="X15" s="554" t="s">
        <v>267</v>
      </c>
      <c r="Y15" s="554" t="s">
        <v>267</v>
      </c>
      <c r="Z15" s="554" t="s">
        <v>267</v>
      </c>
      <c r="AA15" s="554" t="s">
        <v>734</v>
      </c>
      <c r="AB15" s="554" t="s">
        <v>734</v>
      </c>
      <c r="AC15" s="554" t="s">
        <v>267</v>
      </c>
      <c r="AD15" s="554" t="s">
        <v>267</v>
      </c>
      <c r="AE15" s="554" t="s">
        <v>267</v>
      </c>
      <c r="AF15" s="554"/>
      <c r="AG15" s="554" t="s">
        <v>267</v>
      </c>
      <c r="AH15" s="554"/>
      <c r="AI15" s="554" t="s">
        <v>267</v>
      </c>
      <c r="AJ15" s="554"/>
      <c r="AK15" s="554" t="s">
        <v>267</v>
      </c>
      <c r="AL15" s="554" t="s">
        <v>267</v>
      </c>
      <c r="AM15" s="554" t="s">
        <v>267</v>
      </c>
      <c r="AN15" s="554" t="s">
        <v>466</v>
      </c>
      <c r="AO15" s="554" t="s">
        <v>267</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447</v>
      </c>
      <c r="O17" s="554" t="s">
        <v>447</v>
      </c>
      <c r="P17" s="554"/>
      <c r="Q17" s="554"/>
      <c r="R17" s="554"/>
      <c r="S17" s="554" t="s">
        <v>447</v>
      </c>
      <c r="T17" s="554" t="s">
        <v>447</v>
      </c>
      <c r="U17" s="554" t="s">
        <v>447</v>
      </c>
      <c r="V17" s="554"/>
      <c r="W17" s="554" t="s">
        <v>447</v>
      </c>
      <c r="X17" s="554" t="s">
        <v>447</v>
      </c>
      <c r="Y17" s="554" t="s">
        <v>447</v>
      </c>
      <c r="Z17" s="554" t="s">
        <v>447</v>
      </c>
      <c r="AA17" s="554"/>
      <c r="AB17" s="554"/>
      <c r="AC17" s="554"/>
      <c r="AD17" s="554"/>
      <c r="AE17" s="554"/>
      <c r="AF17" s="554" t="s">
        <v>447</v>
      </c>
      <c r="AG17" s="554" t="s">
        <v>447</v>
      </c>
      <c r="AH17" s="554" t="s">
        <v>447</v>
      </c>
      <c r="AI17" s="554" t="s">
        <v>447</v>
      </c>
      <c r="AJ17" s="554" t="s">
        <v>447</v>
      </c>
      <c r="AK17" s="554"/>
      <c r="AL17" s="554"/>
      <c r="AM17" s="554" t="s">
        <v>447</v>
      </c>
      <c r="AN17" s="554" t="s">
        <v>447</v>
      </c>
      <c r="AO17" s="554" t="s">
        <v>447</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t="s">
        <v>447</v>
      </c>
      <c r="P18" s="554" t="s">
        <v>447</v>
      </c>
      <c r="Q18" s="554" t="s">
        <v>447</v>
      </c>
      <c r="R18" s="554" t="s">
        <v>447</v>
      </c>
      <c r="S18" s="554" t="s">
        <v>447</v>
      </c>
      <c r="T18" s="554"/>
      <c r="U18" s="554"/>
      <c r="V18" s="554" t="s">
        <v>447</v>
      </c>
      <c r="W18" s="554" t="s">
        <v>447</v>
      </c>
      <c r="X18" s="554" t="s">
        <v>447</v>
      </c>
      <c r="Y18" s="554" t="s">
        <v>447</v>
      </c>
      <c r="Z18" s="554"/>
      <c r="AA18" s="554"/>
      <c r="AB18" s="554" t="s">
        <v>447</v>
      </c>
      <c r="AC18" s="554" t="s">
        <v>447</v>
      </c>
      <c r="AD18" s="554" t="s">
        <v>447</v>
      </c>
      <c r="AE18" s="554" t="s">
        <v>447</v>
      </c>
      <c r="AF18" s="554" t="s">
        <v>447</v>
      </c>
      <c r="AG18" s="554" t="s">
        <v>447</v>
      </c>
      <c r="AH18" s="554"/>
      <c r="AI18" s="554"/>
      <c r="AJ18" s="554" t="s">
        <v>447</v>
      </c>
      <c r="AK18" s="554" t="s">
        <v>447</v>
      </c>
      <c r="AL18" s="554" t="s">
        <v>447</v>
      </c>
      <c r="AM18" s="554" t="s">
        <v>447</v>
      </c>
      <c r="AN18" s="554" t="s">
        <v>447</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t="s">
        <v>447</v>
      </c>
      <c r="U19" s="554" t="s">
        <v>447</v>
      </c>
      <c r="V19" s="554"/>
      <c r="W19" s="554"/>
      <c r="X19" s="554" t="s">
        <v>447</v>
      </c>
      <c r="Y19" s="554"/>
      <c r="Z19" s="554"/>
      <c r="AA19" s="554" t="s">
        <v>447</v>
      </c>
      <c r="AB19" s="554" t="s">
        <v>447</v>
      </c>
      <c r="AC19" s="554"/>
      <c r="AD19" s="554"/>
      <c r="AE19" s="554"/>
      <c r="AF19" s="554"/>
      <c r="AG19" s="554"/>
      <c r="AH19" s="554" t="s">
        <v>447</v>
      </c>
      <c r="AI19" s="554" t="s">
        <v>447</v>
      </c>
      <c r="AJ19" s="554" t="s">
        <v>447</v>
      </c>
      <c r="AK19" s="554"/>
      <c r="AL19" s="554"/>
      <c r="AM19" s="554"/>
      <c r="AN19" s="554"/>
      <c r="AO19" s="554" t="s">
        <v>447</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447</v>
      </c>
      <c r="R20" s="554" t="s">
        <v>447</v>
      </c>
      <c r="S20" s="554" t="s">
        <v>447</v>
      </c>
      <c r="T20" s="554"/>
      <c r="U20" s="640"/>
      <c r="V20" s="640"/>
      <c r="W20" s="554" t="s">
        <v>447</v>
      </c>
      <c r="X20" s="554"/>
      <c r="Y20" s="640"/>
      <c r="Z20" s="554" t="s">
        <v>447</v>
      </c>
      <c r="AA20" s="554" t="s">
        <v>447</v>
      </c>
      <c r="AB20" s="640"/>
      <c r="AC20" s="640"/>
      <c r="AD20" s="554"/>
      <c r="AE20" s="554"/>
      <c r="AF20" s="554" t="s">
        <v>447</v>
      </c>
      <c r="AG20" s="554" t="s">
        <v>447</v>
      </c>
      <c r="AH20" s="554" t="s">
        <v>447</v>
      </c>
      <c r="AI20" s="640"/>
      <c r="AJ20" s="640"/>
      <c r="AK20" s="554"/>
      <c r="AL20" s="554" t="s">
        <v>447</v>
      </c>
      <c r="AM20" s="554" t="s">
        <v>447</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c r="AD21" s="554" t="s">
        <v>447</v>
      </c>
      <c r="AE21" s="554" t="s">
        <v>447</v>
      </c>
      <c r="AF21" s="554" t="s">
        <v>447</v>
      </c>
      <c r="AG21" s="554" t="s">
        <v>447</v>
      </c>
      <c r="AH21" s="554" t="s">
        <v>447</v>
      </c>
      <c r="AI21" s="554"/>
      <c r="AJ21" s="554"/>
      <c r="AK21" s="554" t="s">
        <v>447</v>
      </c>
      <c r="AL21" s="554" t="s">
        <v>447</v>
      </c>
      <c r="AM21" s="554" t="s">
        <v>447</v>
      </c>
      <c r="AN21" s="554" t="s">
        <v>447</v>
      </c>
      <c r="AO21" s="554" t="s">
        <v>447</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832</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5"/>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c r="Y46" s="554" t="s">
        <v>267</v>
      </c>
      <c r="Z46" s="554" t="s">
        <v>267</v>
      </c>
      <c r="AA46" s="554"/>
      <c r="AB46" s="554"/>
      <c r="AC46" s="554" t="s">
        <v>267</v>
      </c>
      <c r="AD46" s="554"/>
      <c r="AE46" s="554" t="s">
        <v>267</v>
      </c>
      <c r="AF46" s="554"/>
      <c r="AG46" s="554" t="s">
        <v>267</v>
      </c>
      <c r="AH46" s="554"/>
      <c r="AI46" s="554"/>
      <c r="AJ46" s="554"/>
      <c r="AK46" s="554" t="s">
        <v>267</v>
      </c>
      <c r="AL46" s="554" t="s">
        <v>267</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c r="O47" s="554"/>
      <c r="P47" s="554" t="s">
        <v>267</v>
      </c>
      <c r="Q47" s="554"/>
      <c r="R47" s="554" t="s">
        <v>267</v>
      </c>
      <c r="S47" s="554"/>
      <c r="T47" s="554"/>
      <c r="U47" s="554"/>
      <c r="V47" s="554" t="s">
        <v>267</v>
      </c>
      <c r="W47" s="554"/>
      <c r="X47" s="554"/>
      <c r="Y47" s="554" t="s">
        <v>267</v>
      </c>
      <c r="Z47" s="554" t="s">
        <v>267</v>
      </c>
      <c r="AA47" s="554"/>
      <c r="AB47" s="554"/>
      <c r="AC47" s="554" t="s">
        <v>267</v>
      </c>
      <c r="AD47" s="554"/>
      <c r="AE47" s="554"/>
      <c r="AF47" s="554" t="s">
        <v>267</v>
      </c>
      <c r="AG47" s="554" t="s">
        <v>267</v>
      </c>
      <c r="AH47" s="554"/>
      <c r="AI47" s="554"/>
      <c r="AJ47" s="554"/>
      <c r="AK47" s="554" t="s">
        <v>267</v>
      </c>
      <c r="AL47" s="554" t="s">
        <v>267</v>
      </c>
      <c r="AM47" s="554" t="s">
        <v>468</v>
      </c>
      <c r="AN47" s="554" t="s">
        <v>468</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558</v>
      </c>
      <c r="L48" s="638"/>
      <c r="M48" s="644"/>
      <c r="N48" s="554" t="s">
        <v>267</v>
      </c>
      <c r="O48" s="554" t="s">
        <v>267</v>
      </c>
      <c r="P48" s="554"/>
      <c r="Q48" s="554" t="s">
        <v>267</v>
      </c>
      <c r="R48" s="554"/>
      <c r="S48" s="554" t="s">
        <v>267</v>
      </c>
      <c r="T48" s="554" t="s">
        <v>267</v>
      </c>
      <c r="U48" s="554" t="s">
        <v>267</v>
      </c>
      <c r="V48" s="554" t="s">
        <v>267</v>
      </c>
      <c r="W48" s="554"/>
      <c r="X48" s="554" t="s">
        <v>267</v>
      </c>
      <c r="Y48" s="554"/>
      <c r="Z48" s="554" t="s">
        <v>267</v>
      </c>
      <c r="AA48" s="554" t="s">
        <v>267</v>
      </c>
      <c r="AB48" s="554" t="s">
        <v>267</v>
      </c>
      <c r="AC48" s="554" t="s">
        <v>267</v>
      </c>
      <c r="AD48" s="554"/>
      <c r="AE48" s="554" t="s">
        <v>267</v>
      </c>
      <c r="AF48" s="554"/>
      <c r="AG48" s="554" t="s">
        <v>267</v>
      </c>
      <c r="AH48" s="554" t="s">
        <v>267</v>
      </c>
      <c r="AI48" s="554"/>
      <c r="AJ48" s="554" t="s">
        <v>267</v>
      </c>
      <c r="AK48" s="554"/>
      <c r="AL48" s="554" t="s">
        <v>267</v>
      </c>
      <c r="AM48" s="554"/>
      <c r="AN48" s="554" t="s">
        <v>267</v>
      </c>
      <c r="AO48" s="554" t="s">
        <v>267</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508</v>
      </c>
      <c r="L49" s="638"/>
      <c r="M49" s="644"/>
      <c r="N49" s="554" t="s">
        <v>267</v>
      </c>
      <c r="O49" s="554" t="s">
        <v>267</v>
      </c>
      <c r="P49" s="554" t="s">
        <v>267</v>
      </c>
      <c r="Q49" s="554" t="s">
        <v>267</v>
      </c>
      <c r="R49" s="554" t="s">
        <v>267</v>
      </c>
      <c r="S49" s="554"/>
      <c r="T49" s="554" t="s">
        <v>267</v>
      </c>
      <c r="U49" s="554" t="s">
        <v>267</v>
      </c>
      <c r="V49" s="554" t="s">
        <v>267</v>
      </c>
      <c r="W49" s="554" t="s">
        <v>267</v>
      </c>
      <c r="X49" s="554" t="s">
        <v>267</v>
      </c>
      <c r="Y49" s="554" t="s">
        <v>267</v>
      </c>
      <c r="Z49" s="554"/>
      <c r="AA49" s="554" t="s">
        <v>267</v>
      </c>
      <c r="AB49" s="554" t="s">
        <v>267</v>
      </c>
      <c r="AC49" s="554" t="s">
        <v>267</v>
      </c>
      <c r="AD49" s="554" t="s">
        <v>267</v>
      </c>
      <c r="AE49" s="554" t="s">
        <v>267</v>
      </c>
      <c r="AF49" s="554" t="s">
        <v>267</v>
      </c>
      <c r="AG49" s="554"/>
      <c r="AH49" s="554" t="s">
        <v>267</v>
      </c>
      <c r="AI49" s="554" t="s">
        <v>267</v>
      </c>
      <c r="AJ49" s="554"/>
      <c r="AK49" s="554"/>
      <c r="AL49" s="554" t="s">
        <v>267</v>
      </c>
      <c r="AM49" s="554" t="s">
        <v>267</v>
      </c>
      <c r="AN49" s="554"/>
      <c r="AO49" s="554" t="s">
        <v>267</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267</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267</v>
      </c>
      <c r="O51" s="554" t="s">
        <v>267</v>
      </c>
      <c r="P51" s="554" t="s">
        <v>267</v>
      </c>
      <c r="Q51" s="554"/>
      <c r="R51" s="554" t="s">
        <v>267</v>
      </c>
      <c r="S51" s="554" t="s">
        <v>267</v>
      </c>
      <c r="T51" s="554" t="s">
        <v>267</v>
      </c>
      <c r="U51" s="554" t="s">
        <v>267</v>
      </c>
      <c r="V51" s="554" t="s">
        <v>267</v>
      </c>
      <c r="W51" s="554" t="s">
        <v>267</v>
      </c>
      <c r="X51" s="554"/>
      <c r="Y51" s="554" t="s">
        <v>267</v>
      </c>
      <c r="Z51" s="554" t="s">
        <v>267</v>
      </c>
      <c r="AA51" s="554" t="s">
        <v>267</v>
      </c>
      <c r="AB51" s="554" t="s">
        <v>267</v>
      </c>
      <c r="AC51" s="554" t="s">
        <v>267</v>
      </c>
      <c r="AD51" s="554" t="s">
        <v>267</v>
      </c>
      <c r="AE51" s="554"/>
      <c r="AF51" s="554" t="s">
        <v>267</v>
      </c>
      <c r="AG51" s="554" t="s">
        <v>267</v>
      </c>
      <c r="AH51" s="554" t="s">
        <v>267</v>
      </c>
      <c r="AI51" s="554" t="s">
        <v>267</v>
      </c>
      <c r="AJ51" s="554" t="s">
        <v>267</v>
      </c>
      <c r="AK51" s="554" t="s">
        <v>267</v>
      </c>
      <c r="AL51" s="554"/>
      <c r="AM51" s="554" t="s">
        <v>267</v>
      </c>
      <c r="AN51" s="554" t="s">
        <v>267</v>
      </c>
      <c r="AO51" s="554" t="s">
        <v>267</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267</v>
      </c>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79" t="s">
        <v>171</v>
      </c>
      <c r="L53" s="638"/>
      <c r="M53" s="639"/>
      <c r="N53" s="554" t="s">
        <v>267</v>
      </c>
      <c r="O53" s="554" t="s">
        <v>267</v>
      </c>
      <c r="P53" s="554"/>
      <c r="Q53" s="554" t="s">
        <v>267</v>
      </c>
      <c r="R53" s="554" t="s">
        <v>267</v>
      </c>
      <c r="S53" s="554" t="s">
        <v>267</v>
      </c>
      <c r="T53" s="554" t="s">
        <v>267</v>
      </c>
      <c r="U53" s="554" t="s">
        <v>267</v>
      </c>
      <c r="V53" s="554" t="s">
        <v>267</v>
      </c>
      <c r="W53" s="554"/>
      <c r="X53" s="554" t="s">
        <v>267</v>
      </c>
      <c r="Y53" s="554" t="s">
        <v>267</v>
      </c>
      <c r="Z53" s="554" t="s">
        <v>267</v>
      </c>
      <c r="AA53" s="554" t="s">
        <v>267</v>
      </c>
      <c r="AB53" s="554" t="s">
        <v>267</v>
      </c>
      <c r="AC53" s="554" t="s">
        <v>267</v>
      </c>
      <c r="AD53" s="554"/>
      <c r="AE53" s="554" t="s">
        <v>267</v>
      </c>
      <c r="AF53" s="554" t="s">
        <v>267</v>
      </c>
      <c r="AG53" s="554" t="s">
        <v>267</v>
      </c>
      <c r="AH53" s="554" t="s">
        <v>267</v>
      </c>
      <c r="AI53" s="554" t="s">
        <v>267</v>
      </c>
      <c r="AJ53" s="554" t="s">
        <v>267</v>
      </c>
      <c r="AK53" s="554"/>
      <c r="AL53" s="554" t="s">
        <v>267</v>
      </c>
      <c r="AM53" s="554" t="s">
        <v>267</v>
      </c>
      <c r="AN53" s="554" t="s">
        <v>267</v>
      </c>
      <c r="AO53" s="554" t="s">
        <v>267</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79" t="s">
        <v>562</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79" t="s">
        <v>563</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79" t="s">
        <v>509</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267</v>
      </c>
      <c r="AK56" s="554"/>
      <c r="AL56" s="554"/>
      <c r="AM56" s="554"/>
      <c r="AN56" s="554" t="s">
        <v>267</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79" t="s">
        <v>200</v>
      </c>
      <c r="L57" s="638"/>
      <c r="M57" s="644"/>
      <c r="N57" s="554" t="s">
        <v>267</v>
      </c>
      <c r="O57" s="554" t="s">
        <v>267</v>
      </c>
      <c r="P57" s="554" t="s">
        <v>267</v>
      </c>
      <c r="Q57" s="554" t="s">
        <v>267</v>
      </c>
      <c r="R57" s="554" t="s">
        <v>267</v>
      </c>
      <c r="S57" s="554" t="s">
        <v>267</v>
      </c>
      <c r="T57" s="640"/>
      <c r="U57" s="554" t="s">
        <v>267</v>
      </c>
      <c r="V57" s="554"/>
      <c r="W57" s="554" t="s">
        <v>267</v>
      </c>
      <c r="X57" s="554" t="s">
        <v>267</v>
      </c>
      <c r="Y57" s="554" t="s">
        <v>267</v>
      </c>
      <c r="Z57" s="554" t="s">
        <v>267</v>
      </c>
      <c r="AA57" s="554" t="s">
        <v>267</v>
      </c>
      <c r="AB57" s="554" t="s">
        <v>267</v>
      </c>
      <c r="AC57" s="554"/>
      <c r="AD57" s="554" t="s">
        <v>267</v>
      </c>
      <c r="AE57" s="554" t="s">
        <v>267</v>
      </c>
      <c r="AF57" s="554" t="s">
        <v>267</v>
      </c>
      <c r="AG57" s="554" t="s">
        <v>267</v>
      </c>
      <c r="AH57" s="554" t="s">
        <v>267</v>
      </c>
      <c r="AI57" s="554"/>
      <c r="AJ57" s="554"/>
      <c r="AK57" s="554" t="s">
        <v>267</v>
      </c>
      <c r="AL57" s="554" t="s">
        <v>267</v>
      </c>
      <c r="AM57" s="554" t="s">
        <v>267</v>
      </c>
      <c r="AN57" s="554" t="s">
        <v>267</v>
      </c>
      <c r="AO57" s="554" t="s">
        <v>267</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79" t="s">
        <v>510</v>
      </c>
      <c r="L58" s="638"/>
      <c r="M58" s="644"/>
      <c r="N58" s="554" t="s">
        <v>267</v>
      </c>
      <c r="O58" s="554"/>
      <c r="P58" s="554"/>
      <c r="Q58" s="554" t="s">
        <v>267</v>
      </c>
      <c r="R58" s="554"/>
      <c r="S58" s="554"/>
      <c r="T58" s="554"/>
      <c r="U58" s="554"/>
      <c r="V58" s="554"/>
      <c r="W58" s="554"/>
      <c r="X58" s="554" t="s">
        <v>267</v>
      </c>
      <c r="Y58" s="554"/>
      <c r="Z58" s="554"/>
      <c r="AA58" s="554"/>
      <c r="AB58" s="554" t="s">
        <v>267</v>
      </c>
      <c r="AC58" s="554"/>
      <c r="AD58" s="554"/>
      <c r="AE58" s="554"/>
      <c r="AF58" s="554" t="s">
        <v>267</v>
      </c>
      <c r="AG58" s="554"/>
      <c r="AH58" s="554"/>
      <c r="AI58" s="554" t="s">
        <v>267</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79" t="s">
        <v>511</v>
      </c>
      <c r="L59" s="638"/>
      <c r="M59" s="644"/>
      <c r="N59" s="554"/>
      <c r="O59" s="640"/>
      <c r="P59" s="554" t="s">
        <v>267</v>
      </c>
      <c r="Q59" s="554"/>
      <c r="R59" s="554" t="s">
        <v>267</v>
      </c>
      <c r="S59" s="554" t="s">
        <v>267</v>
      </c>
      <c r="T59" s="554" t="s">
        <v>267</v>
      </c>
      <c r="U59" s="640"/>
      <c r="V59" s="640"/>
      <c r="W59" s="554" t="s">
        <v>267</v>
      </c>
      <c r="X59" s="554"/>
      <c r="Y59" s="554" t="s">
        <v>267</v>
      </c>
      <c r="Z59" s="554" t="s">
        <v>267</v>
      </c>
      <c r="AA59" s="554" t="s">
        <v>267</v>
      </c>
      <c r="AB59" s="554"/>
      <c r="AC59" s="554"/>
      <c r="AD59" s="554" t="s">
        <v>267</v>
      </c>
      <c r="AE59" s="554"/>
      <c r="AF59" s="554" t="s">
        <v>267</v>
      </c>
      <c r="AG59" s="554"/>
      <c r="AH59" s="554" t="s">
        <v>267</v>
      </c>
      <c r="AI59" s="554"/>
      <c r="AJ59" s="554" t="s">
        <v>267</v>
      </c>
      <c r="AK59" s="554" t="s">
        <v>267</v>
      </c>
      <c r="AL59" s="554"/>
      <c r="AM59" s="554" t="s">
        <v>267</v>
      </c>
      <c r="AN59" s="554" t="s">
        <v>267</v>
      </c>
      <c r="AO59" s="554" t="s">
        <v>267</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79" t="s">
        <v>564</v>
      </c>
      <c r="L60" s="638"/>
      <c r="M60" s="644"/>
      <c r="N60" s="554"/>
      <c r="O60" s="554" t="s">
        <v>267</v>
      </c>
      <c r="P60" s="554" t="s">
        <v>267</v>
      </c>
      <c r="Q60" s="554" t="s">
        <v>267</v>
      </c>
      <c r="R60" s="554" t="s">
        <v>267</v>
      </c>
      <c r="S60" s="554" t="s">
        <v>267</v>
      </c>
      <c r="T60" s="554" t="s">
        <v>267</v>
      </c>
      <c r="U60" s="554"/>
      <c r="V60" s="554" t="s">
        <v>267</v>
      </c>
      <c r="W60" s="554" t="s">
        <v>267</v>
      </c>
      <c r="X60" s="554" t="s">
        <v>267</v>
      </c>
      <c r="Y60" s="554" t="s">
        <v>267</v>
      </c>
      <c r="Z60" s="554" t="s">
        <v>267</v>
      </c>
      <c r="AA60" s="554" t="s">
        <v>267</v>
      </c>
      <c r="AB60" s="554"/>
      <c r="AC60" s="554" t="s">
        <v>267</v>
      </c>
      <c r="AD60" s="554" t="s">
        <v>267</v>
      </c>
      <c r="AE60" s="554" t="s">
        <v>267</v>
      </c>
      <c r="AF60" s="554"/>
      <c r="AG60" s="554" t="s">
        <v>267</v>
      </c>
      <c r="AH60" s="554" t="s">
        <v>267</v>
      </c>
      <c r="AI60" s="554"/>
      <c r="AJ60" s="554" t="s">
        <v>267</v>
      </c>
      <c r="AK60" s="554" t="s">
        <v>267</v>
      </c>
      <c r="AL60" s="554" t="s">
        <v>267</v>
      </c>
      <c r="AM60" s="554" t="s">
        <v>267</v>
      </c>
      <c r="AN60" s="554" t="s">
        <v>267</v>
      </c>
      <c r="AO60" s="554" t="s">
        <v>267</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79" t="s">
        <v>565</v>
      </c>
      <c r="L61" s="638"/>
      <c r="M61" s="644"/>
      <c r="N61" s="554"/>
      <c r="O61" s="554"/>
      <c r="P61" s="554"/>
      <c r="Q61" s="554"/>
      <c r="R61" s="554"/>
      <c r="S61" s="554"/>
      <c r="T61" s="554"/>
      <c r="U61" s="554"/>
      <c r="V61" s="554"/>
      <c r="W61" s="554"/>
      <c r="X61" s="554"/>
      <c r="Y61" s="554"/>
      <c r="Z61" s="554"/>
      <c r="AA61" s="554"/>
      <c r="AB61" s="554"/>
      <c r="AC61" s="554" t="s">
        <v>267</v>
      </c>
      <c r="AD61" s="554" t="s">
        <v>267</v>
      </c>
      <c r="AE61" s="554" t="s">
        <v>267</v>
      </c>
      <c r="AF61" s="554" t="s">
        <v>267</v>
      </c>
      <c r="AG61" s="554"/>
      <c r="AH61" s="554" t="s">
        <v>267</v>
      </c>
      <c r="AI61" s="554" t="s">
        <v>267</v>
      </c>
      <c r="AJ61" s="554" t="s">
        <v>267</v>
      </c>
      <c r="AK61" s="554" t="s">
        <v>267</v>
      </c>
      <c r="AL61" s="554" t="s">
        <v>267</v>
      </c>
      <c r="AM61" s="554" t="s">
        <v>267</v>
      </c>
      <c r="AN61" s="554"/>
      <c r="AO61" s="554" t="s">
        <v>267</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79" t="s">
        <v>567</v>
      </c>
      <c r="L62" s="638"/>
      <c r="M62" s="644"/>
      <c r="N62" s="554" t="s">
        <v>267</v>
      </c>
      <c r="O62" s="554" t="s">
        <v>267</v>
      </c>
      <c r="P62" s="554" t="s">
        <v>267</v>
      </c>
      <c r="Q62" s="554" t="s">
        <v>267</v>
      </c>
      <c r="R62" s="554" t="s">
        <v>267</v>
      </c>
      <c r="S62" s="554" t="s">
        <v>267</v>
      </c>
      <c r="T62" s="554"/>
      <c r="U62" s="554" t="s">
        <v>267</v>
      </c>
      <c r="V62" s="554" t="s">
        <v>267</v>
      </c>
      <c r="W62" s="554" t="s">
        <v>267</v>
      </c>
      <c r="X62" s="554" t="s">
        <v>267</v>
      </c>
      <c r="Y62" s="554" t="s">
        <v>267</v>
      </c>
      <c r="Z62" s="554" t="s">
        <v>267</v>
      </c>
      <c r="AA62" s="554"/>
      <c r="AB62" s="554" t="s">
        <v>267</v>
      </c>
      <c r="AC62" s="554" t="s">
        <v>267</v>
      </c>
      <c r="AD62" s="554" t="s">
        <v>267</v>
      </c>
      <c r="AE62" s="554" t="s">
        <v>267</v>
      </c>
      <c r="AF62" s="554"/>
      <c r="AG62" s="554" t="s">
        <v>267</v>
      </c>
      <c r="AH62" s="554"/>
      <c r="AI62" s="554" t="s">
        <v>267</v>
      </c>
      <c r="AJ62" s="554" t="s">
        <v>267</v>
      </c>
      <c r="AK62" s="554" t="s">
        <v>267</v>
      </c>
      <c r="AL62" s="554" t="s">
        <v>267</v>
      </c>
      <c r="AM62" s="554" t="s">
        <v>267</v>
      </c>
      <c r="AN62" s="554" t="s">
        <v>267</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79" t="s">
        <v>568</v>
      </c>
      <c r="L63" s="638"/>
      <c r="M63" s="644"/>
      <c r="N63" s="554" t="s">
        <v>267</v>
      </c>
      <c r="O63" s="554" t="s">
        <v>267</v>
      </c>
      <c r="P63" s="554" t="s">
        <v>267</v>
      </c>
      <c r="Q63" s="554" t="s">
        <v>267</v>
      </c>
      <c r="R63" s="554" t="s">
        <v>267</v>
      </c>
      <c r="S63" s="554" t="s">
        <v>267</v>
      </c>
      <c r="T63" s="554"/>
      <c r="U63" s="554" t="s">
        <v>267</v>
      </c>
      <c r="V63" s="554" t="s">
        <v>267</v>
      </c>
      <c r="W63" s="554" t="s">
        <v>267</v>
      </c>
      <c r="X63" s="554" t="s">
        <v>267</v>
      </c>
      <c r="Y63" s="554" t="s">
        <v>267</v>
      </c>
      <c r="Z63" s="554" t="s">
        <v>267</v>
      </c>
      <c r="AA63" s="554"/>
      <c r="AB63" s="554" t="s">
        <v>267</v>
      </c>
      <c r="AC63" s="554" t="s">
        <v>267</v>
      </c>
      <c r="AD63" s="554" t="s">
        <v>267</v>
      </c>
      <c r="AE63" s="554" t="s">
        <v>267</v>
      </c>
      <c r="AF63" s="554"/>
      <c r="AG63" s="554" t="s">
        <v>267</v>
      </c>
      <c r="AH63" s="554"/>
      <c r="AI63" s="554" t="s">
        <v>267</v>
      </c>
      <c r="AJ63" s="554" t="s">
        <v>267</v>
      </c>
      <c r="AK63" s="554" t="s">
        <v>267</v>
      </c>
      <c r="AL63" s="554" t="s">
        <v>267</v>
      </c>
      <c r="AM63" s="554" t="s">
        <v>267</v>
      </c>
      <c r="AN63" s="554" t="s">
        <v>267</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79" t="s">
        <v>101</v>
      </c>
      <c r="L64" s="638"/>
      <c r="M64" s="644"/>
      <c r="N64" s="554" t="s">
        <v>267</v>
      </c>
      <c r="O64" s="554" t="s">
        <v>267</v>
      </c>
      <c r="P64" s="554" t="s">
        <v>267</v>
      </c>
      <c r="Q64" s="554" t="s">
        <v>267</v>
      </c>
      <c r="R64" s="554" t="s">
        <v>267</v>
      </c>
      <c r="S64" s="554" t="s">
        <v>267</v>
      </c>
      <c r="T64" s="554"/>
      <c r="U64" s="554" t="s">
        <v>267</v>
      </c>
      <c r="V64" s="554" t="s">
        <v>267</v>
      </c>
      <c r="W64" s="554" t="s">
        <v>267</v>
      </c>
      <c r="X64" s="554" t="s">
        <v>267</v>
      </c>
      <c r="Y64" s="554" t="s">
        <v>267</v>
      </c>
      <c r="Z64" s="554" t="s">
        <v>267</v>
      </c>
      <c r="AA64" s="554"/>
      <c r="AB64" s="554" t="s">
        <v>267</v>
      </c>
      <c r="AC64" s="554" t="s">
        <v>267</v>
      </c>
      <c r="AD64" s="554" t="s">
        <v>267</v>
      </c>
      <c r="AE64" s="554" t="s">
        <v>267</v>
      </c>
      <c r="AF64" s="554"/>
      <c r="AG64" s="554" t="s">
        <v>267</v>
      </c>
      <c r="AH64" s="554"/>
      <c r="AI64" s="554" t="s">
        <v>267</v>
      </c>
      <c r="AJ64" s="554" t="s">
        <v>267</v>
      </c>
      <c r="AK64" s="554" t="s">
        <v>267</v>
      </c>
      <c r="AL64" s="554" t="s">
        <v>267</v>
      </c>
      <c r="AM64" s="554" t="s">
        <v>267</v>
      </c>
      <c r="AN64" s="554" t="s">
        <v>267</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79" t="s">
        <v>512</v>
      </c>
      <c r="L65" s="638"/>
      <c r="M65" s="644"/>
      <c r="N65" s="640"/>
      <c r="O65" s="640"/>
      <c r="P65" s="554" t="s">
        <v>267</v>
      </c>
      <c r="Q65" s="554" t="s">
        <v>267</v>
      </c>
      <c r="R65" s="554" t="s">
        <v>267</v>
      </c>
      <c r="S65" s="554" t="s">
        <v>267</v>
      </c>
      <c r="T65" s="554"/>
      <c r="U65" s="554" t="s">
        <v>267</v>
      </c>
      <c r="V65" s="554"/>
      <c r="W65" s="554"/>
      <c r="X65" s="554"/>
      <c r="Y65" s="554" t="s">
        <v>267</v>
      </c>
      <c r="Z65" s="554" t="s">
        <v>267</v>
      </c>
      <c r="AA65" s="554" t="s">
        <v>267</v>
      </c>
      <c r="AB65" s="554" t="s">
        <v>267</v>
      </c>
      <c r="AC65" s="554"/>
      <c r="AD65" s="554"/>
      <c r="AE65" s="554"/>
      <c r="AF65" s="554" t="s">
        <v>267</v>
      </c>
      <c r="AG65" s="554" t="s">
        <v>267</v>
      </c>
      <c r="AH65" s="554" t="s">
        <v>267</v>
      </c>
      <c r="AI65" s="554" t="s">
        <v>267</v>
      </c>
      <c r="AJ65" s="640"/>
      <c r="AK65" s="554"/>
      <c r="AL65" s="554"/>
      <c r="AM65" s="554" t="s">
        <v>267</v>
      </c>
      <c r="AN65" s="554" t="s">
        <v>267</v>
      </c>
      <c r="AO65" s="554" t="s">
        <v>267</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79" t="s">
        <v>513</v>
      </c>
      <c r="L66" s="683"/>
      <c r="M66" s="644"/>
      <c r="N66" s="640"/>
      <c r="O66" s="640"/>
      <c r="P66" s="554" t="s">
        <v>267</v>
      </c>
      <c r="Q66" s="554" t="s">
        <v>267</v>
      </c>
      <c r="R66" s="554" t="s">
        <v>267</v>
      </c>
      <c r="S66" s="554" t="s">
        <v>267</v>
      </c>
      <c r="T66" s="640"/>
      <c r="U66" s="554" t="s">
        <v>267</v>
      </c>
      <c r="V66" s="554"/>
      <c r="W66" s="554"/>
      <c r="X66" s="554"/>
      <c r="Y66" s="554" t="s">
        <v>267</v>
      </c>
      <c r="Z66" s="554" t="s">
        <v>267</v>
      </c>
      <c r="AA66" s="554" t="s">
        <v>267</v>
      </c>
      <c r="AB66" s="554" t="s">
        <v>267</v>
      </c>
      <c r="AC66" s="554"/>
      <c r="AD66" s="554"/>
      <c r="AE66" s="554"/>
      <c r="AF66" s="554" t="s">
        <v>267</v>
      </c>
      <c r="AG66" s="554" t="s">
        <v>267</v>
      </c>
      <c r="AH66" s="554" t="s">
        <v>267</v>
      </c>
      <c r="AI66" s="554" t="s">
        <v>267</v>
      </c>
      <c r="AJ66" s="640"/>
      <c r="AK66" s="640"/>
      <c r="AL66" s="554"/>
      <c r="AM66" s="554" t="s">
        <v>267</v>
      </c>
      <c r="AN66" s="554" t="s">
        <v>267</v>
      </c>
      <c r="AO66" s="554" t="s">
        <v>267</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573</v>
      </c>
      <c r="L67" s="683"/>
      <c r="M67" s="644"/>
      <c r="N67" s="640"/>
      <c r="O67" s="554" t="s">
        <v>267</v>
      </c>
      <c r="P67" s="554" t="s">
        <v>267</v>
      </c>
      <c r="Q67" s="554" t="s">
        <v>267</v>
      </c>
      <c r="R67" s="554" t="s">
        <v>267</v>
      </c>
      <c r="S67" s="640"/>
      <c r="T67" s="640"/>
      <c r="U67" s="640"/>
      <c r="V67" s="554" t="s">
        <v>267</v>
      </c>
      <c r="W67" s="554" t="s">
        <v>267</v>
      </c>
      <c r="X67" s="554" t="s">
        <v>267</v>
      </c>
      <c r="Y67" s="554" t="s">
        <v>267</v>
      </c>
      <c r="Z67" s="640"/>
      <c r="AA67" s="640"/>
      <c r="AB67" s="640"/>
      <c r="AC67" s="554" t="s">
        <v>267</v>
      </c>
      <c r="AD67" s="554" t="s">
        <v>267</v>
      </c>
      <c r="AE67" s="554"/>
      <c r="AF67" s="554" t="s">
        <v>267</v>
      </c>
      <c r="AG67" s="554" t="s">
        <v>267</v>
      </c>
      <c r="AH67" s="640"/>
      <c r="AI67" s="554" t="s">
        <v>267</v>
      </c>
      <c r="AJ67" s="554" t="s">
        <v>267</v>
      </c>
      <c r="AK67" s="554" t="s">
        <v>267</v>
      </c>
      <c r="AL67" s="554" t="s">
        <v>267</v>
      </c>
      <c r="AM67" s="554" t="s">
        <v>267</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79" t="s">
        <v>110</v>
      </c>
      <c r="L68" s="683"/>
      <c r="M68" s="644"/>
      <c r="N68" s="554"/>
      <c r="O68" s="554"/>
      <c r="P68" s="554" t="s">
        <v>267</v>
      </c>
      <c r="Q68" s="554" t="s">
        <v>267</v>
      </c>
      <c r="R68" s="554" t="s">
        <v>267</v>
      </c>
      <c r="S68" s="554" t="s">
        <v>267</v>
      </c>
      <c r="T68" s="554" t="s">
        <v>267</v>
      </c>
      <c r="U68" s="554" t="s">
        <v>267</v>
      </c>
      <c r="V68" s="554"/>
      <c r="W68" s="554" t="s">
        <v>267</v>
      </c>
      <c r="X68" s="554" t="s">
        <v>267</v>
      </c>
      <c r="Y68" s="554" t="s">
        <v>267</v>
      </c>
      <c r="Z68" s="554" t="s">
        <v>267</v>
      </c>
      <c r="AA68" s="554" t="s">
        <v>267</v>
      </c>
      <c r="AB68" s="554" t="s">
        <v>267</v>
      </c>
      <c r="AC68" s="554"/>
      <c r="AD68" s="554" t="s">
        <v>267</v>
      </c>
      <c r="AE68" s="554" t="s">
        <v>267</v>
      </c>
      <c r="AF68" s="554" t="s">
        <v>267</v>
      </c>
      <c r="AG68" s="554" t="s">
        <v>267</v>
      </c>
      <c r="AH68" s="554" t="s">
        <v>267</v>
      </c>
      <c r="AI68" s="554" t="s">
        <v>267</v>
      </c>
      <c r="AJ68" s="554" t="s">
        <v>267</v>
      </c>
      <c r="AK68" s="554" t="s">
        <v>267</v>
      </c>
      <c r="AL68" s="554" t="s">
        <v>267</v>
      </c>
      <c r="AM68" s="554" t="s">
        <v>466</v>
      </c>
      <c r="AN68" s="554" t="s">
        <v>267</v>
      </c>
      <c r="AO68" s="554" t="s">
        <v>267</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79" t="s">
        <v>578</v>
      </c>
      <c r="L69" s="638"/>
      <c r="M69" s="644"/>
      <c r="N69" s="959" t="s">
        <v>267</v>
      </c>
      <c r="O69" s="663" t="s">
        <v>267</v>
      </c>
      <c r="P69" s="663" t="s">
        <v>267</v>
      </c>
      <c r="Q69" s="663" t="s">
        <v>267</v>
      </c>
      <c r="R69" s="663" t="s">
        <v>267</v>
      </c>
      <c r="S69" s="677"/>
      <c r="T69" s="961" t="s">
        <v>267</v>
      </c>
      <c r="U69" s="959" t="s">
        <v>267</v>
      </c>
      <c r="V69" s="663" t="s">
        <v>267</v>
      </c>
      <c r="W69" s="663" t="s">
        <v>267</v>
      </c>
      <c r="X69" s="677"/>
      <c r="Y69" s="663" t="s">
        <v>267</v>
      </c>
      <c r="Z69" s="677"/>
      <c r="AA69" s="961" t="s">
        <v>267</v>
      </c>
      <c r="AB69" s="959" t="s">
        <v>267</v>
      </c>
      <c r="AC69" s="663" t="s">
        <v>267</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79" t="s">
        <v>196</v>
      </c>
      <c r="L70" s="638"/>
      <c r="M70" s="644"/>
      <c r="N70" s="554" t="s">
        <v>267</v>
      </c>
      <c r="O70" s="554" t="s">
        <v>267</v>
      </c>
      <c r="P70" s="554" t="s">
        <v>267</v>
      </c>
      <c r="Q70" s="554" t="s">
        <v>267</v>
      </c>
      <c r="R70" s="554" t="s">
        <v>267</v>
      </c>
      <c r="S70" s="554"/>
      <c r="T70" s="554" t="s">
        <v>267</v>
      </c>
      <c r="U70" s="554"/>
      <c r="V70" s="554"/>
      <c r="W70" s="554" t="s">
        <v>267</v>
      </c>
      <c r="X70" s="554" t="s">
        <v>267</v>
      </c>
      <c r="Y70" s="554" t="s">
        <v>267</v>
      </c>
      <c r="Z70" s="554" t="s">
        <v>267</v>
      </c>
      <c r="AA70" s="554" t="s">
        <v>267</v>
      </c>
      <c r="AB70" s="554" t="s">
        <v>267</v>
      </c>
      <c r="AC70" s="554"/>
      <c r="AD70" s="554" t="s">
        <v>267</v>
      </c>
      <c r="AE70" s="554" t="s">
        <v>267</v>
      </c>
      <c r="AF70" s="554" t="s">
        <v>267</v>
      </c>
      <c r="AG70" s="554" t="s">
        <v>267</v>
      </c>
      <c r="AH70" s="554" t="s">
        <v>267</v>
      </c>
      <c r="AI70" s="554" t="s">
        <v>267</v>
      </c>
      <c r="AJ70" s="554"/>
      <c r="AK70" s="554" t="s">
        <v>267</v>
      </c>
      <c r="AL70" s="554" t="s">
        <v>267</v>
      </c>
      <c r="AM70" s="554" t="s">
        <v>267</v>
      </c>
      <c r="AN70" s="554" t="s">
        <v>267</v>
      </c>
      <c r="AO70" s="554" t="s">
        <v>267</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79" t="s">
        <v>514</v>
      </c>
      <c r="L71" s="683"/>
      <c r="M71" s="644"/>
      <c r="N71" s="554"/>
      <c r="O71" s="554" t="s">
        <v>267</v>
      </c>
      <c r="P71" s="554"/>
      <c r="Q71" s="554"/>
      <c r="R71" s="554" t="s">
        <v>267</v>
      </c>
      <c r="S71" s="554" t="s">
        <v>267</v>
      </c>
      <c r="T71" s="554"/>
      <c r="U71" s="554"/>
      <c r="V71" s="554" t="s">
        <v>267</v>
      </c>
      <c r="W71" s="554"/>
      <c r="X71" s="554"/>
      <c r="Y71" s="554" t="s">
        <v>267</v>
      </c>
      <c r="Z71" s="554"/>
      <c r="AA71" s="554"/>
      <c r="AB71" s="554"/>
      <c r="AC71" s="554" t="s">
        <v>267</v>
      </c>
      <c r="AD71" s="554" t="s">
        <v>267</v>
      </c>
      <c r="AE71" s="554"/>
      <c r="AF71" s="554" t="s">
        <v>267</v>
      </c>
      <c r="AG71" s="554" t="s">
        <v>267</v>
      </c>
      <c r="AH71" s="554"/>
      <c r="AI71" s="554"/>
      <c r="AJ71" s="554" t="s">
        <v>267</v>
      </c>
      <c r="AK71" s="554" t="s">
        <v>267</v>
      </c>
      <c r="AL71" s="554"/>
      <c r="AM71" s="554"/>
      <c r="AN71" s="554" t="s">
        <v>267</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79" t="s">
        <v>205</v>
      </c>
      <c r="L72" s="683"/>
      <c r="M72" s="644"/>
      <c r="N72" s="554"/>
      <c r="O72" s="554"/>
      <c r="P72" s="554" t="s">
        <v>267</v>
      </c>
      <c r="Q72" s="554" t="s">
        <v>267</v>
      </c>
      <c r="R72" s="554"/>
      <c r="S72" s="554" t="s">
        <v>267</v>
      </c>
      <c r="T72" s="554" t="s">
        <v>267</v>
      </c>
      <c r="U72" s="554"/>
      <c r="V72" s="554" t="s">
        <v>267</v>
      </c>
      <c r="W72" s="554" t="s">
        <v>267</v>
      </c>
      <c r="X72" s="554"/>
      <c r="Y72" s="554" t="s">
        <v>267</v>
      </c>
      <c r="Z72" s="554" t="s">
        <v>267</v>
      </c>
      <c r="AA72" s="554" t="s">
        <v>267</v>
      </c>
      <c r="AB72" s="554"/>
      <c r="AC72" s="554" t="s">
        <v>267</v>
      </c>
      <c r="AD72" s="554" t="s">
        <v>267</v>
      </c>
      <c r="AE72" s="554"/>
      <c r="AF72" s="554" t="s">
        <v>267</v>
      </c>
      <c r="AG72" s="554" t="s">
        <v>267</v>
      </c>
      <c r="AH72" s="554" t="s">
        <v>267</v>
      </c>
      <c r="AI72" s="554"/>
      <c r="AJ72" s="554" t="s">
        <v>267</v>
      </c>
      <c r="AK72" s="554" t="s">
        <v>267</v>
      </c>
      <c r="AL72" s="554"/>
      <c r="AM72" s="554" t="s">
        <v>267</v>
      </c>
      <c r="AN72" s="554" t="s">
        <v>267</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79" t="s">
        <v>515</v>
      </c>
      <c r="L73" s="683"/>
      <c r="M73" s="644"/>
      <c r="N73" s="554"/>
      <c r="O73" s="554"/>
      <c r="P73" s="554"/>
      <c r="Q73" s="554"/>
      <c r="R73" s="554"/>
      <c r="S73" s="554"/>
      <c r="T73" s="554"/>
      <c r="U73" s="554"/>
      <c r="V73" s="554"/>
      <c r="W73" s="554"/>
      <c r="X73" s="554"/>
      <c r="Y73" s="554"/>
      <c r="Z73" s="554"/>
      <c r="AA73" s="554"/>
      <c r="AB73" s="554"/>
      <c r="AC73" s="554"/>
      <c r="AD73" s="554"/>
      <c r="AE73" s="554" t="s">
        <v>267</v>
      </c>
      <c r="AF73" s="554"/>
      <c r="AG73" s="554" t="s">
        <v>267</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79" t="s">
        <v>580</v>
      </c>
      <c r="L74" s="683"/>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79" t="s">
        <v>516</v>
      </c>
      <c r="L75" s="683"/>
      <c r="M75" s="644"/>
      <c r="N75" s="640"/>
      <c r="O75" s="554" t="s">
        <v>267</v>
      </c>
      <c r="P75" s="554" t="s">
        <v>267</v>
      </c>
      <c r="Q75" s="554" t="s">
        <v>267</v>
      </c>
      <c r="R75" s="554" t="s">
        <v>267</v>
      </c>
      <c r="S75" s="554" t="s">
        <v>267</v>
      </c>
      <c r="T75" s="640"/>
      <c r="U75" s="554"/>
      <c r="V75" s="554" t="s">
        <v>267</v>
      </c>
      <c r="W75" s="554" t="s">
        <v>267</v>
      </c>
      <c r="X75" s="554" t="s">
        <v>267</v>
      </c>
      <c r="Y75" s="554" t="s">
        <v>267</v>
      </c>
      <c r="Z75" s="554" t="s">
        <v>267</v>
      </c>
      <c r="AA75" s="554"/>
      <c r="AB75" s="554"/>
      <c r="AC75" s="554" t="s">
        <v>267</v>
      </c>
      <c r="AD75" s="554" t="s">
        <v>267</v>
      </c>
      <c r="AE75" s="554" t="s">
        <v>267</v>
      </c>
      <c r="AF75" s="554" t="s">
        <v>267</v>
      </c>
      <c r="AG75" s="554" t="s">
        <v>267</v>
      </c>
      <c r="AH75" s="640"/>
      <c r="AI75" s="640"/>
      <c r="AJ75" s="554" t="s">
        <v>267</v>
      </c>
      <c r="AK75" s="554" t="s">
        <v>267</v>
      </c>
      <c r="AL75" s="554" t="s">
        <v>267</v>
      </c>
      <c r="AM75" s="554" t="s">
        <v>267</v>
      </c>
      <c r="AN75" s="554" t="s">
        <v>267</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79" t="s">
        <v>579</v>
      </c>
      <c r="L76" s="683"/>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79" t="s">
        <v>571</v>
      </c>
      <c r="L77" s="683"/>
      <c r="M77" s="644"/>
      <c r="N77" s="554" t="s">
        <v>267</v>
      </c>
      <c r="O77" s="554" t="s">
        <v>267</v>
      </c>
      <c r="P77" s="554" t="s">
        <v>267</v>
      </c>
      <c r="Q77" s="554" t="s">
        <v>267</v>
      </c>
      <c r="R77" s="554" t="s">
        <v>267</v>
      </c>
      <c r="S77" s="554"/>
      <c r="T77" s="554" t="s">
        <v>267</v>
      </c>
      <c r="U77" s="554" t="s">
        <v>267</v>
      </c>
      <c r="V77" s="554"/>
      <c r="W77" s="554" t="s">
        <v>267</v>
      </c>
      <c r="X77" s="554" t="s">
        <v>267</v>
      </c>
      <c r="Y77" s="554" t="s">
        <v>267</v>
      </c>
      <c r="Z77" s="554" t="s">
        <v>267</v>
      </c>
      <c r="AA77" s="554" t="s">
        <v>267</v>
      </c>
      <c r="AB77" s="554" t="s">
        <v>267</v>
      </c>
      <c r="AC77" s="554" t="s">
        <v>267</v>
      </c>
      <c r="AD77" s="554"/>
      <c r="AE77" s="554" t="s">
        <v>267</v>
      </c>
      <c r="AF77" s="554"/>
      <c r="AG77" s="554"/>
      <c r="AH77" s="554" t="s">
        <v>267</v>
      </c>
      <c r="AI77" s="554" t="s">
        <v>267</v>
      </c>
      <c r="AJ77" s="554" t="s">
        <v>267</v>
      </c>
      <c r="AK77" s="554" t="s">
        <v>267</v>
      </c>
      <c r="AL77" s="554" t="s">
        <v>267</v>
      </c>
      <c r="AM77" s="554" t="s">
        <v>466</v>
      </c>
      <c r="AN77" s="554"/>
      <c r="AO77" s="554" t="s">
        <v>267</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79" t="s">
        <v>517</v>
      </c>
      <c r="L78" s="638"/>
      <c r="M78" s="644"/>
      <c r="N78" s="554"/>
      <c r="O78" s="554"/>
      <c r="P78" s="554" t="s">
        <v>267</v>
      </c>
      <c r="Q78" s="554" t="s">
        <v>267</v>
      </c>
      <c r="R78" s="554" t="s">
        <v>267</v>
      </c>
      <c r="S78" s="554" t="s">
        <v>267</v>
      </c>
      <c r="T78" s="554"/>
      <c r="U78" s="554"/>
      <c r="V78" s="554"/>
      <c r="W78" s="554" t="s">
        <v>267</v>
      </c>
      <c r="X78" s="554" t="s">
        <v>267</v>
      </c>
      <c r="Y78" s="554" t="s">
        <v>267</v>
      </c>
      <c r="Z78" s="554" t="s">
        <v>267</v>
      </c>
      <c r="AA78" s="554"/>
      <c r="AB78" s="554"/>
      <c r="AC78" s="554"/>
      <c r="AD78" s="554" t="s">
        <v>267</v>
      </c>
      <c r="AE78" s="554"/>
      <c r="AF78" s="554" t="s">
        <v>267</v>
      </c>
      <c r="AG78" s="554" t="s">
        <v>267</v>
      </c>
      <c r="AH78" s="554"/>
      <c r="AI78" s="554"/>
      <c r="AJ78" s="554"/>
      <c r="AK78" s="554" t="s">
        <v>267</v>
      </c>
      <c r="AL78" s="554" t="s">
        <v>267</v>
      </c>
      <c r="AM78" s="554" t="s">
        <v>267</v>
      </c>
      <c r="AN78" s="554" t="s">
        <v>267</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79" t="s">
        <v>518</v>
      </c>
      <c r="L79" s="683"/>
      <c r="M79" s="644"/>
      <c r="N79" s="554"/>
      <c r="O79" s="554"/>
      <c r="P79" s="554" t="s">
        <v>267</v>
      </c>
      <c r="Q79" s="554"/>
      <c r="R79" s="554"/>
      <c r="S79" s="554" t="s">
        <v>267</v>
      </c>
      <c r="T79" s="554" t="s">
        <v>267</v>
      </c>
      <c r="U79" s="554" t="s">
        <v>267</v>
      </c>
      <c r="V79" s="554" t="s">
        <v>267</v>
      </c>
      <c r="W79" s="554"/>
      <c r="X79" s="554"/>
      <c r="Y79" s="554"/>
      <c r="Z79" s="554" t="s">
        <v>267</v>
      </c>
      <c r="AA79" s="554" t="s">
        <v>267</v>
      </c>
      <c r="AB79" s="554" t="s">
        <v>267</v>
      </c>
      <c r="AC79" s="554"/>
      <c r="AD79" s="554"/>
      <c r="AE79" s="554" t="s">
        <v>267</v>
      </c>
      <c r="AF79" s="554" t="s">
        <v>267</v>
      </c>
      <c r="AG79" s="554"/>
      <c r="AH79" s="554" t="s">
        <v>267</v>
      </c>
      <c r="AI79" s="554" t="s">
        <v>267</v>
      </c>
      <c r="AJ79" s="554"/>
      <c r="AK79" s="554" t="s">
        <v>267</v>
      </c>
      <c r="AL79" s="554" t="s">
        <v>267</v>
      </c>
      <c r="AM79" s="554"/>
      <c r="AN79" s="554" t="s">
        <v>267</v>
      </c>
      <c r="AO79" s="554" t="s">
        <v>267</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79" t="s">
        <v>582</v>
      </c>
      <c r="L80" s="683"/>
      <c r="M80" s="644"/>
      <c r="N80" s="554"/>
      <c r="O80" s="554"/>
      <c r="P80" s="554"/>
      <c r="Q80" s="554"/>
      <c r="R80" s="554"/>
      <c r="S80" s="554"/>
      <c r="T80" s="554" t="s">
        <v>267</v>
      </c>
      <c r="U80" s="554" t="s">
        <v>267</v>
      </c>
      <c r="V80" s="554"/>
      <c r="W80" s="554"/>
      <c r="X80" s="554"/>
      <c r="Y80" s="554"/>
      <c r="Z80" s="554"/>
      <c r="AA80" s="554" t="s">
        <v>267</v>
      </c>
      <c r="AB80" s="554" t="s">
        <v>267</v>
      </c>
      <c r="AC80" s="554"/>
      <c r="AD80" s="554"/>
      <c r="AE80" s="554"/>
      <c r="AF80" s="554"/>
      <c r="AG80" s="554"/>
      <c r="AH80" s="554" t="s">
        <v>267</v>
      </c>
      <c r="AI80" s="554" t="s">
        <v>267</v>
      </c>
      <c r="AJ80" s="554" t="s">
        <v>267</v>
      </c>
      <c r="AK80" s="554"/>
      <c r="AL80" s="554"/>
      <c r="AM80" s="554"/>
      <c r="AN80" s="554"/>
      <c r="AO80" s="554" t="s">
        <v>267</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79" t="s">
        <v>176</v>
      </c>
      <c r="L81" s="683"/>
      <c r="M81" s="644"/>
      <c r="N81" s="554" t="s">
        <v>267</v>
      </c>
      <c r="O81" s="554"/>
      <c r="P81" s="554" t="s">
        <v>267</v>
      </c>
      <c r="Q81" s="554" t="s">
        <v>267</v>
      </c>
      <c r="R81" s="554"/>
      <c r="S81" s="554" t="s">
        <v>267</v>
      </c>
      <c r="T81" s="554" t="s">
        <v>267</v>
      </c>
      <c r="U81" s="554"/>
      <c r="V81" s="554" t="s">
        <v>267</v>
      </c>
      <c r="W81" s="554" t="s">
        <v>267</v>
      </c>
      <c r="X81" s="554"/>
      <c r="Y81" s="554" t="s">
        <v>267</v>
      </c>
      <c r="Z81" s="554" t="s">
        <v>267</v>
      </c>
      <c r="AA81" s="554"/>
      <c r="AB81" s="554"/>
      <c r="AC81" s="554" t="s">
        <v>267</v>
      </c>
      <c r="AD81" s="554" t="s">
        <v>267</v>
      </c>
      <c r="AE81" s="554"/>
      <c r="AF81" s="554" t="s">
        <v>267</v>
      </c>
      <c r="AG81" s="554" t="s">
        <v>267</v>
      </c>
      <c r="AH81" s="554"/>
      <c r="AI81" s="554"/>
      <c r="AJ81" s="554" t="s">
        <v>267</v>
      </c>
      <c r="AK81" s="554" t="s">
        <v>267</v>
      </c>
      <c r="AL81" s="554" t="s">
        <v>267</v>
      </c>
      <c r="AM81" s="554"/>
      <c r="AN81" s="554" t="s">
        <v>267</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79" t="s">
        <v>519</v>
      </c>
      <c r="L82" s="683"/>
      <c r="M82" s="644"/>
      <c r="N82" s="640"/>
      <c r="O82" s="554" t="s">
        <v>267</v>
      </c>
      <c r="P82" s="554" t="s">
        <v>267</v>
      </c>
      <c r="Q82" s="554" t="s">
        <v>267</v>
      </c>
      <c r="R82" s="554" t="s">
        <v>267</v>
      </c>
      <c r="S82" s="554" t="s">
        <v>267</v>
      </c>
      <c r="T82" s="640"/>
      <c r="U82" s="554"/>
      <c r="V82" s="554" t="s">
        <v>267</v>
      </c>
      <c r="W82" s="554" t="s">
        <v>267</v>
      </c>
      <c r="X82" s="554"/>
      <c r="Y82" s="554" t="s">
        <v>267</v>
      </c>
      <c r="Z82" s="554" t="s">
        <v>267</v>
      </c>
      <c r="AA82" s="554"/>
      <c r="AB82" s="554"/>
      <c r="AC82" s="554" t="s">
        <v>267</v>
      </c>
      <c r="AD82" s="554"/>
      <c r="AE82" s="554" t="s">
        <v>267</v>
      </c>
      <c r="AF82" s="554" t="s">
        <v>267</v>
      </c>
      <c r="AG82" s="554"/>
      <c r="AH82" s="640"/>
      <c r="AI82" s="640"/>
      <c r="AJ82" s="640"/>
      <c r="AK82" s="554" t="s">
        <v>267</v>
      </c>
      <c r="AL82" s="554" t="s">
        <v>267</v>
      </c>
      <c r="AM82" s="554" t="s">
        <v>267</v>
      </c>
      <c r="AN82" s="554" t="s">
        <v>267</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72" t="s">
        <v>520</v>
      </c>
      <c r="L83" s="683"/>
      <c r="M83" s="644"/>
      <c r="N83" s="554" t="s">
        <v>267</v>
      </c>
      <c r="O83" s="554" t="s">
        <v>267</v>
      </c>
      <c r="P83" s="554" t="s">
        <v>267</v>
      </c>
      <c r="Q83" s="640"/>
      <c r="R83" s="554" t="s">
        <v>267</v>
      </c>
      <c r="S83" s="554" t="s">
        <v>267</v>
      </c>
      <c r="T83" s="554" t="s">
        <v>267</v>
      </c>
      <c r="U83" s="554" t="s">
        <v>267</v>
      </c>
      <c r="V83" s="554" t="s">
        <v>267</v>
      </c>
      <c r="W83" s="554" t="s">
        <v>267</v>
      </c>
      <c r="X83" s="554"/>
      <c r="Y83" s="554" t="s">
        <v>267</v>
      </c>
      <c r="Z83" s="554" t="s">
        <v>267</v>
      </c>
      <c r="AA83" s="554" t="s">
        <v>267</v>
      </c>
      <c r="AB83" s="554" t="s">
        <v>267</v>
      </c>
      <c r="AC83" s="554" t="s">
        <v>267</v>
      </c>
      <c r="AD83" s="554" t="s">
        <v>267</v>
      </c>
      <c r="AE83" s="554"/>
      <c r="AF83" s="554" t="s">
        <v>267</v>
      </c>
      <c r="AG83" s="554" t="s">
        <v>267</v>
      </c>
      <c r="AH83" s="554" t="s">
        <v>267</v>
      </c>
      <c r="AI83" s="554" t="s">
        <v>267</v>
      </c>
      <c r="AJ83" s="554" t="s">
        <v>267</v>
      </c>
      <c r="AK83" s="554" t="s">
        <v>267</v>
      </c>
      <c r="AL83" s="640"/>
      <c r="AM83" s="554" t="s">
        <v>267</v>
      </c>
      <c r="AN83" s="554" t="s">
        <v>267</v>
      </c>
      <c r="AO83" s="554" t="s">
        <v>267</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72" t="s">
        <v>584</v>
      </c>
      <c r="L84" s="683"/>
      <c r="M84" s="644"/>
      <c r="N84" s="554"/>
      <c r="O84" s="554"/>
      <c r="P84" s="554"/>
      <c r="Q84" s="640"/>
      <c r="R84" s="554"/>
      <c r="S84" s="554"/>
      <c r="T84" s="554"/>
      <c r="U84" s="554"/>
      <c r="V84" s="554"/>
      <c r="W84" s="554" t="s">
        <v>267</v>
      </c>
      <c r="X84" s="554" t="s">
        <v>267</v>
      </c>
      <c r="Y84" s="554" t="s">
        <v>267</v>
      </c>
      <c r="Z84" s="554" t="s">
        <v>267</v>
      </c>
      <c r="AA84" s="554" t="s">
        <v>267</v>
      </c>
      <c r="AB84" s="554"/>
      <c r="AC84" s="554"/>
      <c r="AD84" s="554" t="s">
        <v>267</v>
      </c>
      <c r="AE84" s="554" t="s">
        <v>267</v>
      </c>
      <c r="AF84" s="554" t="s">
        <v>267</v>
      </c>
      <c r="AG84" s="554" t="s">
        <v>267</v>
      </c>
      <c r="AH84" s="554" t="s">
        <v>267</v>
      </c>
      <c r="AI84" s="554"/>
      <c r="AJ84" s="554"/>
      <c r="AK84" s="554" t="s">
        <v>267</v>
      </c>
      <c r="AL84" s="554" t="s">
        <v>267</v>
      </c>
      <c r="AM84" s="554" t="s">
        <v>267</v>
      </c>
      <c r="AN84" s="554" t="s">
        <v>267</v>
      </c>
      <c r="AO84" s="554" t="s">
        <v>267</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683"/>
      <c r="M85" s="644"/>
      <c r="N85" s="640"/>
      <c r="O85" s="640"/>
      <c r="P85" s="640"/>
      <c r="Q85" s="640"/>
      <c r="R85" s="640"/>
      <c r="S85" s="640"/>
      <c r="T85" s="640"/>
      <c r="U85" s="554"/>
      <c r="V85" s="554"/>
      <c r="W85" s="554"/>
      <c r="X85" s="554"/>
      <c r="Y85" s="554"/>
      <c r="Z85" s="554"/>
      <c r="AA85" s="554"/>
      <c r="AB85" s="554"/>
      <c r="AC85" s="554"/>
      <c r="AD85" s="554"/>
      <c r="AE85" s="554"/>
      <c r="AF85" s="554"/>
      <c r="AG85" s="640"/>
      <c r="AH85" s="554" t="s">
        <v>267</v>
      </c>
      <c r="AI85" s="554" t="s">
        <v>267</v>
      </c>
      <c r="AJ85" s="554" t="s">
        <v>267</v>
      </c>
      <c r="AK85" s="554" t="s">
        <v>267</v>
      </c>
      <c r="AL85" s="554" t="s">
        <v>267</v>
      </c>
      <c r="AM85" s="554" t="s">
        <v>267</v>
      </c>
      <c r="AN85" s="640"/>
      <c r="AO85" s="554" t="s">
        <v>267</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683"/>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683"/>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68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t="s">
        <v>737</v>
      </c>
      <c r="H2" s="246"/>
      <c r="I2" s="246"/>
      <c r="J2" s="246"/>
      <c r="K2" s="246"/>
      <c r="L2" s="246"/>
      <c r="M2" s="246"/>
      <c r="N2" s="246"/>
      <c r="O2" s="246"/>
      <c r="P2" s="246"/>
      <c r="Q2" s="3"/>
      <c r="R2" s="691" t="s">
        <v>537</v>
      </c>
      <c r="S2" s="684"/>
      <c r="T2" s="686"/>
      <c r="U2" s="692"/>
      <c r="V2" s="688"/>
      <c r="W2" s="684"/>
      <c r="X2" s="684"/>
      <c r="Y2" s="684"/>
      <c r="Z2" s="684"/>
    </row>
    <row r="3" ht="33.0" customHeight="1">
      <c r="A3" s="684"/>
      <c r="B3" s="693" t="s">
        <v>538</v>
      </c>
      <c r="C3" s="530"/>
      <c r="D3" s="530"/>
      <c r="E3" s="530"/>
      <c r="F3" s="694" t="s">
        <v>539</v>
      </c>
      <c r="G3" s="695" t="s">
        <v>833</v>
      </c>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46054.0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2</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ノーマン</v>
      </c>
      <c r="W8" s="739"/>
      <c r="X8" s="740">
        <v>46054.0</v>
      </c>
      <c r="Y8" s="684"/>
      <c r="Z8" s="684"/>
    </row>
    <row r="9" ht="19.5" hidden="1" customHeight="1" outlineLevel="1">
      <c r="A9" s="684"/>
      <c r="B9" s="741"/>
      <c r="C9" s="742">
        <f>D5</f>
        <v>46054</v>
      </c>
      <c r="D9" s="743" t="str">
        <f>TEXT(C9,"ddd")</f>
        <v>日</v>
      </c>
      <c r="E9" s="744"/>
      <c r="F9" s="745" t="s">
        <v>557</v>
      </c>
      <c r="G9" s="746" t="s">
        <v>834</v>
      </c>
      <c r="H9" s="747"/>
      <c r="I9" s="748">
        <v>0.7083333333333334</v>
      </c>
      <c r="J9" s="747">
        <v>13.0</v>
      </c>
      <c r="K9" s="747">
        <v>4.0</v>
      </c>
      <c r="L9" s="749" t="s">
        <v>578</v>
      </c>
      <c r="M9" s="749" t="s">
        <v>740</v>
      </c>
      <c r="N9" s="747"/>
      <c r="O9" s="750"/>
      <c r="Q9" s="751"/>
      <c r="R9" s="686"/>
      <c r="S9" s="242" t="str">
        <f t="array" ref="S9">IFERROR(INDEX('💻シート作成'!$D$6:$D1001, MATCH(T9, '💻シート作成'!$E$6:$E1001, 0)), "")</f>
        <v/>
      </c>
      <c r="T9" s="169" t="str">
        <f>IFERROR(__xludf.DUMMYFUNCTION("""COMPUTED_VALUE"""),"🔵クレーム")</f>
        <v>🔵クレーム</v>
      </c>
      <c r="U9" s="692"/>
      <c r="V9" s="738" t="s">
        <v>506</v>
      </c>
      <c r="W9" s="739"/>
      <c r="X9" s="740">
        <v>46082.0</v>
      </c>
      <c r="Y9" s="684"/>
      <c r="Z9" s="684"/>
    </row>
    <row r="10" ht="19.5" hidden="1" customHeight="1" outlineLevel="1">
      <c r="B10" s="752"/>
      <c r="C10" s="753"/>
      <c r="D10" s="753"/>
      <c r="E10" s="753"/>
      <c r="F10" s="753"/>
      <c r="G10" s="754"/>
      <c r="H10" s="753"/>
      <c r="I10" s="753"/>
      <c r="J10" s="753"/>
      <c r="K10" s="753"/>
      <c r="L10" s="755" t="s">
        <v>567</v>
      </c>
      <c r="M10" s="755" t="s">
        <v>740</v>
      </c>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505</v>
      </c>
      <c r="W10" s="739"/>
      <c r="X10" s="740">
        <v>46113.0</v>
      </c>
      <c r="Y10" s="684"/>
      <c r="Z10" s="684"/>
    </row>
    <row r="11" ht="19.5" hidden="1" customHeight="1" outlineLevel="1">
      <c r="B11" s="752"/>
      <c r="C11" s="753"/>
      <c r="D11" s="753"/>
      <c r="E11" s="753"/>
      <c r="F11" s="753"/>
      <c r="G11" s="754"/>
      <c r="H11" s="753"/>
      <c r="I11" s="753"/>
      <c r="J11" s="753"/>
      <c r="K11" s="753"/>
      <c r="L11" s="755" t="s">
        <v>196</v>
      </c>
      <c r="M11" s="755" t="s">
        <v>740</v>
      </c>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508</v>
      </c>
      <c r="W11" s="739"/>
      <c r="X11" s="740">
        <v>46143.0</v>
      </c>
      <c r="Y11" s="684"/>
      <c r="Z11" s="684"/>
    </row>
    <row r="12" ht="19.5" hidden="1" customHeight="1" outlineLevel="1">
      <c r="B12" s="752"/>
      <c r="C12" s="753"/>
      <c r="D12" s="753"/>
      <c r="E12" s="753"/>
      <c r="F12" s="753"/>
      <c r="G12" s="754"/>
      <c r="H12" s="753"/>
      <c r="I12" s="753"/>
      <c r="J12" s="753"/>
      <c r="K12" s="753"/>
      <c r="L12" s="755" t="s">
        <v>558</v>
      </c>
      <c r="M12" s="755" t="s">
        <v>740</v>
      </c>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558</v>
      </c>
      <c r="W12" s="739"/>
      <c r="X12" s="740">
        <v>46174.0</v>
      </c>
      <c r="Y12" s="684"/>
      <c r="Z12" s="684"/>
    </row>
    <row r="13" ht="19.5" hidden="1" customHeight="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507</v>
      </c>
      <c r="W13" s="739"/>
      <c r="X13" s="740">
        <v>46204.0</v>
      </c>
      <c r="Y13" s="684"/>
      <c r="Z13" s="684"/>
    </row>
    <row r="14" ht="19.5" hidden="1" customHeight="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127</v>
      </c>
      <c r="W14" s="739"/>
      <c r="X14" s="740">
        <v>46235.0</v>
      </c>
      <c r="Y14" s="684"/>
      <c r="Z14" s="684"/>
    </row>
    <row r="15" ht="19.5" hidden="1" customHeight="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205</v>
      </c>
      <c r="W15" s="739"/>
      <c r="X15" s="740">
        <v>46266.0</v>
      </c>
      <c r="Y15" s="684"/>
      <c r="Z15" s="684"/>
    </row>
    <row r="16" ht="19.5" hidden="1" customHeight="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182</v>
      </c>
      <c r="W16" s="739"/>
      <c r="X16" s="740">
        <v>46296.0</v>
      </c>
      <c r="Y16" s="684"/>
      <c r="Z16" s="684"/>
    </row>
    <row r="17" ht="19.5" hidden="1" customHeight="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559</v>
      </c>
      <c r="W17" s="739"/>
      <c r="X17" s="740">
        <v>46327.0</v>
      </c>
      <c r="Y17" s="684"/>
      <c r="Z17" s="684"/>
    </row>
    <row r="18" ht="19.5" hidden="1" customHeight="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191</v>
      </c>
      <c r="W18" s="739"/>
      <c r="X18" s="740">
        <v>46357.0</v>
      </c>
      <c r="Y18" s="684"/>
      <c r="Z18" s="684"/>
    </row>
    <row r="19" ht="45.0" hidden="1" customHeight="1" outlineLevel="1">
      <c r="B19" s="761"/>
      <c r="C19" s="720"/>
      <c r="D19" s="720"/>
      <c r="E19" s="720"/>
      <c r="F19" s="762" t="s">
        <v>560</v>
      </c>
      <c r="G19" s="763" t="s">
        <v>835</v>
      </c>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561</v>
      </c>
      <c r="W19" s="739"/>
      <c r="X19" s="740">
        <v>46388.0</v>
      </c>
      <c r="Y19" s="684"/>
      <c r="Z19" s="684"/>
    </row>
    <row r="20" hidden="1" outlineLevel="1">
      <c r="A20" s="684"/>
      <c r="B20" s="766"/>
      <c r="C20" s="767">
        <f>IF(C9="","",IF(DAY(C9+1)=1,"",C9+1))</f>
        <v>46055</v>
      </c>
      <c r="D20" s="768" t="str">
        <f>TEXT(C20,"ddd")</f>
        <v>月</v>
      </c>
      <c r="E20" s="769"/>
      <c r="F20" s="770" t="s">
        <v>557</v>
      </c>
      <c r="G20" s="984" t="s">
        <v>836</v>
      </c>
      <c r="H20" s="772">
        <v>1.0</v>
      </c>
      <c r="I20" s="773">
        <v>0.7291666666666666</v>
      </c>
      <c r="J20" s="772">
        <v>13.0</v>
      </c>
      <c r="K20" s="772">
        <v>4.0</v>
      </c>
      <c r="L20" s="775"/>
      <c r="M20" s="775"/>
      <c r="N20" s="770"/>
      <c r="O20" s="776"/>
      <c r="Q20" s="751"/>
      <c r="R20" s="684"/>
      <c r="S20" s="242" t="str">
        <f t="array" ref="S20">IFERROR(INDEX('💻シート作成'!$D$6:$D1001, MATCH(T20, '💻シート作成'!$E$6:$E1001, 0)), "")</f>
        <v>12月</v>
      </c>
      <c r="T20" s="169" t="str">
        <f>IFERROR(__xludf.DUMMYFUNCTION("""COMPUTED_VALUE"""),"④R8_12月報")</f>
        <v>④R8_12月報</v>
      </c>
      <c r="U20" s="777"/>
      <c r="V20" s="738" t="s">
        <v>171</v>
      </c>
      <c r="W20" s="739"/>
      <c r="X20" s="740"/>
      <c r="Y20" s="684"/>
      <c r="Z20" s="684"/>
    </row>
    <row r="21" hidden="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562</v>
      </c>
      <c r="W21" s="739"/>
      <c r="X21" s="740"/>
      <c r="Y21" s="684"/>
      <c r="Z21" s="684"/>
    </row>
    <row r="22" hidden="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563</v>
      </c>
      <c r="W22" s="739"/>
      <c r="X22" s="740"/>
      <c r="Y22" s="684"/>
      <c r="Z22" s="684"/>
    </row>
    <row r="23" hidden="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204</v>
      </c>
      <c r="W23" s="684"/>
      <c r="X23" s="780"/>
      <c r="Y23" s="684"/>
      <c r="Z23" s="684"/>
    </row>
    <row r="24" hidden="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200</v>
      </c>
      <c r="W24" s="684"/>
      <c r="X24" s="780"/>
      <c r="Y24" s="684"/>
      <c r="Z24" s="684"/>
    </row>
    <row r="25" hidden="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128</v>
      </c>
      <c r="W25" s="684"/>
      <c r="X25" s="780"/>
      <c r="Y25" s="684"/>
      <c r="Z25" s="684"/>
    </row>
    <row r="26" hidden="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509</v>
      </c>
      <c r="W26" s="684"/>
      <c r="X26" s="780"/>
      <c r="Y26" s="684"/>
      <c r="Z26" s="684"/>
    </row>
    <row r="27" hidden="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510</v>
      </c>
      <c r="W27" s="684"/>
      <c r="X27" s="780"/>
      <c r="Y27" s="684"/>
      <c r="Z27" s="684"/>
    </row>
    <row r="28" hidden="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511</v>
      </c>
      <c r="W28" s="684"/>
      <c r="X28" s="780"/>
      <c r="Y28" s="684"/>
      <c r="Z28" s="684"/>
    </row>
    <row r="29" hidden="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564</v>
      </c>
      <c r="W29" s="684"/>
      <c r="X29" s="780"/>
      <c r="Y29" s="684"/>
      <c r="Z29" s="684"/>
    </row>
    <row r="30" ht="45.0" hidden="1" customHeight="1" outlineLevel="1">
      <c r="A30" s="684"/>
      <c r="B30" s="761"/>
      <c r="C30" s="720"/>
      <c r="D30" s="720"/>
      <c r="E30" s="720"/>
      <c r="F30" s="781" t="s">
        <v>560</v>
      </c>
      <c r="G30" s="782" t="s">
        <v>837</v>
      </c>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565</v>
      </c>
      <c r="W30" s="684"/>
      <c r="X30" s="780"/>
      <c r="Y30" s="684"/>
      <c r="Z30" s="684"/>
    </row>
    <row r="31" ht="18.0" hidden="1" customHeight="1" outlineLevel="1">
      <c r="A31" s="684"/>
      <c r="B31" s="784"/>
      <c r="C31" s="785">
        <f>IF(C20="","",IF(DAY(C20+1)=1,"",C20+1))</f>
        <v>46056</v>
      </c>
      <c r="D31" s="786" t="str">
        <f>TEXT(C31,"ddd")</f>
        <v>火</v>
      </c>
      <c r="E31" s="787"/>
      <c r="F31" s="788" t="s">
        <v>557</v>
      </c>
      <c r="G31" s="789" t="s">
        <v>838</v>
      </c>
      <c r="H31" s="790"/>
      <c r="I31" s="791">
        <v>0.6319444444444444</v>
      </c>
      <c r="J31" s="790">
        <v>23.0</v>
      </c>
      <c r="K31" s="790">
        <v>4.0</v>
      </c>
      <c r="L31" s="792"/>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566</v>
      </c>
      <c r="W31" s="684"/>
      <c r="X31" s="780"/>
      <c r="Y31" s="684"/>
      <c r="Z31" s="684"/>
    </row>
    <row r="32" ht="18.0" hidden="1" customHeight="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567</v>
      </c>
      <c r="W32" s="684"/>
      <c r="X32" s="780"/>
      <c r="Y32" s="684"/>
      <c r="Z32" s="684"/>
    </row>
    <row r="33" ht="18.0" hidden="1" customHeight="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101</v>
      </c>
      <c r="W33" s="684"/>
      <c r="X33" s="780"/>
      <c r="Y33" s="684"/>
      <c r="Z33" s="684"/>
    </row>
    <row r="34" ht="18.0" hidden="1" customHeight="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568</v>
      </c>
      <c r="W34" s="684"/>
      <c r="X34" s="780"/>
      <c r="Y34" s="684"/>
      <c r="Z34" s="684"/>
    </row>
    <row r="35" ht="18.0" hidden="1" customHeight="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569</v>
      </c>
      <c r="W35" s="684"/>
      <c r="X35" s="780"/>
      <c r="Y35" s="684"/>
      <c r="Z35" s="684"/>
    </row>
    <row r="36" ht="18.0" hidden="1" customHeight="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513</v>
      </c>
      <c r="W36" s="684"/>
      <c r="X36" s="780"/>
      <c r="Y36" s="684"/>
      <c r="Z36" s="684"/>
    </row>
    <row r="37" ht="18.0" hidden="1" customHeight="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570</v>
      </c>
      <c r="W37" s="684"/>
      <c r="X37" s="780"/>
      <c r="Y37" s="684"/>
      <c r="Z37" s="684"/>
    </row>
    <row r="38" ht="18.0" hidden="1" customHeight="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571</v>
      </c>
      <c r="W38" s="684"/>
      <c r="X38" s="780"/>
      <c r="Y38" s="684"/>
      <c r="Z38" s="684"/>
    </row>
    <row r="39" ht="18.0" hidden="1" customHeight="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512</v>
      </c>
      <c r="W39" s="684"/>
      <c r="X39" s="780"/>
      <c r="Y39" s="684"/>
      <c r="Z39" s="684"/>
    </row>
    <row r="40" ht="18.0" hidden="1" customHeight="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572</v>
      </c>
      <c r="W40" s="684"/>
      <c r="X40" s="780"/>
      <c r="Y40" s="684"/>
      <c r="Z40" s="684"/>
    </row>
    <row r="41" ht="31.5" hidden="1" customHeight="1" outlineLevel="1">
      <c r="A41" s="684"/>
      <c r="B41" s="761"/>
      <c r="C41" s="720"/>
      <c r="D41" s="720"/>
      <c r="E41" s="720"/>
      <c r="F41" s="762" t="s">
        <v>560</v>
      </c>
      <c r="G41" s="763" t="s">
        <v>839</v>
      </c>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573</v>
      </c>
      <c r="W41" s="684"/>
      <c r="X41" s="780"/>
      <c r="Y41" s="684"/>
      <c r="Z41" s="684"/>
    </row>
    <row r="42" ht="220.5" hidden="1" customHeight="1" outlineLevel="1">
      <c r="A42" s="684"/>
      <c r="B42" s="766"/>
      <c r="C42" s="767">
        <f>IF(C31="","",IF(DAY(C31+1)=1,"",C31+1))</f>
        <v>46057</v>
      </c>
      <c r="D42" s="768" t="str">
        <f>TEXT(C42,"ddd")</f>
        <v>水</v>
      </c>
      <c r="E42" s="769"/>
      <c r="F42" s="797" t="s">
        <v>557</v>
      </c>
      <c r="G42" s="985" t="s">
        <v>840</v>
      </c>
      <c r="H42" s="799"/>
      <c r="I42" s="800">
        <v>0.6458333333333334</v>
      </c>
      <c r="J42" s="799">
        <v>19.0</v>
      </c>
      <c r="K42" s="799">
        <v>4.0</v>
      </c>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574</v>
      </c>
      <c r="W42" s="684"/>
      <c r="X42" s="780"/>
      <c r="Y42" s="684"/>
      <c r="Z42" s="684"/>
    </row>
    <row r="43" hidden="1" outlineLevel="1">
      <c r="A43" s="684"/>
      <c r="B43" s="752"/>
      <c r="C43" s="753"/>
      <c r="D43" s="753"/>
      <c r="E43" s="753"/>
      <c r="F43" s="753"/>
      <c r="G43" s="771"/>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575</v>
      </c>
      <c r="W43" s="684"/>
      <c r="X43" s="780"/>
      <c r="Y43" s="684"/>
      <c r="Z43" s="684"/>
    </row>
    <row r="44" hidden="1" outlineLevel="1">
      <c r="A44" s="684"/>
      <c r="B44" s="752"/>
      <c r="C44" s="753"/>
      <c r="D44" s="753"/>
      <c r="E44" s="753"/>
      <c r="F44" s="753"/>
      <c r="G44" s="771"/>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576</v>
      </c>
      <c r="W44" s="684"/>
      <c r="X44" s="780"/>
      <c r="Y44" s="684"/>
      <c r="Z44" s="684"/>
    </row>
    <row r="45" hidden="1" outlineLevel="1">
      <c r="A45" s="684"/>
      <c r="B45" s="752"/>
      <c r="C45" s="753"/>
      <c r="D45" s="753"/>
      <c r="E45" s="753"/>
      <c r="F45" s="753"/>
      <c r="G45" s="771"/>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577</v>
      </c>
      <c r="W45" s="684"/>
      <c r="X45" s="780"/>
      <c r="Y45" s="684"/>
      <c r="Z45" s="684"/>
    </row>
    <row r="46" hidden="1" outlineLevel="1">
      <c r="A46" s="684"/>
      <c r="B46" s="752"/>
      <c r="C46" s="753"/>
      <c r="D46" s="753"/>
      <c r="E46" s="753"/>
      <c r="F46" s="753"/>
      <c r="G46" s="771"/>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110</v>
      </c>
      <c r="W46" s="684"/>
      <c r="X46" s="780"/>
      <c r="Y46" s="684"/>
      <c r="Z46" s="684"/>
    </row>
    <row r="47" hidden="1" outlineLevel="1">
      <c r="A47" s="684"/>
      <c r="B47" s="752"/>
      <c r="C47" s="753"/>
      <c r="D47" s="753"/>
      <c r="E47" s="753"/>
      <c r="F47" s="753"/>
      <c r="G47" s="771"/>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196</v>
      </c>
      <c r="W47" s="684"/>
      <c r="X47" s="780"/>
      <c r="Y47" s="684"/>
      <c r="Z47" s="684"/>
    </row>
    <row r="48" hidden="1" outlineLevel="1">
      <c r="A48" s="684"/>
      <c r="B48" s="752"/>
      <c r="C48" s="753"/>
      <c r="D48" s="753"/>
      <c r="E48" s="753"/>
      <c r="F48" s="753"/>
      <c r="G48" s="771"/>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514</v>
      </c>
      <c r="W48" s="684"/>
      <c r="X48" s="780"/>
      <c r="Y48" s="684"/>
      <c r="Z48" s="684"/>
    </row>
    <row r="49" hidden="1" outlineLevel="1">
      <c r="A49" s="684"/>
      <c r="B49" s="752"/>
      <c r="C49" s="753"/>
      <c r="D49" s="753"/>
      <c r="E49" s="753"/>
      <c r="F49" s="753"/>
      <c r="G49" s="771"/>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515</v>
      </c>
      <c r="W49" s="684"/>
      <c r="X49" s="780"/>
      <c r="Y49" s="684"/>
      <c r="Z49" s="684"/>
    </row>
    <row r="50" hidden="1" outlineLevel="1">
      <c r="A50" s="684"/>
      <c r="B50" s="752"/>
      <c r="C50" s="753"/>
      <c r="D50" s="753"/>
      <c r="E50" s="753"/>
      <c r="F50" s="753"/>
      <c r="G50" s="771"/>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578</v>
      </c>
      <c r="W50" s="684"/>
      <c r="X50" s="780"/>
      <c r="Y50" s="684"/>
      <c r="Z50" s="684"/>
    </row>
    <row r="51" hidden="1" outlineLevel="1">
      <c r="A51" s="684"/>
      <c r="B51" s="752"/>
      <c r="C51" s="753"/>
      <c r="D51" s="753"/>
      <c r="E51" s="753"/>
      <c r="F51" s="720"/>
      <c r="G51" s="950"/>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155</v>
      </c>
      <c r="W51" s="684"/>
      <c r="X51" s="780"/>
      <c r="Y51" s="684"/>
      <c r="Z51" s="684"/>
    </row>
    <row r="52" ht="45.0" hidden="1" customHeight="1" outlineLevel="1">
      <c r="A52" s="684"/>
      <c r="B52" s="761"/>
      <c r="C52" s="720"/>
      <c r="D52" s="720"/>
      <c r="E52" s="720"/>
      <c r="F52" s="781" t="s">
        <v>560</v>
      </c>
      <c r="G52" s="782" t="s">
        <v>841</v>
      </c>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190</v>
      </c>
      <c r="W52" s="684"/>
      <c r="X52" s="780"/>
      <c r="Y52" s="684"/>
      <c r="Z52" s="684"/>
    </row>
    <row r="53" ht="21.0" hidden="1" customHeight="1" outlineLevel="1">
      <c r="A53" s="684"/>
      <c r="B53" s="784"/>
      <c r="C53" s="785">
        <f>IF(C42="","",IF(DAY(C42+1)=1,"",C42+1))</f>
        <v>46058</v>
      </c>
      <c r="D53" s="786" t="str">
        <f>TEXT(C53,"ddd")</f>
        <v>木</v>
      </c>
      <c r="E53" s="787"/>
      <c r="F53" s="788" t="s">
        <v>557</v>
      </c>
      <c r="G53" s="789" t="s">
        <v>842</v>
      </c>
      <c r="H53" s="790"/>
      <c r="I53" s="791">
        <v>0.6666666666666666</v>
      </c>
      <c r="J53" s="790">
        <v>22.0</v>
      </c>
      <c r="K53" s="790">
        <v>6.0</v>
      </c>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579</v>
      </c>
      <c r="W53" s="684"/>
      <c r="X53" s="780"/>
      <c r="Y53" s="684"/>
      <c r="Z53" s="684"/>
    </row>
    <row r="54" ht="21.0" hidden="1" customHeight="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516</v>
      </c>
      <c r="W54" s="684"/>
      <c r="X54" s="780"/>
      <c r="Y54" s="684"/>
      <c r="Z54" s="684"/>
    </row>
    <row r="55" ht="21.0" hidden="1" customHeight="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144</v>
      </c>
      <c r="W55" s="684"/>
      <c r="X55" s="780"/>
      <c r="Y55" s="684"/>
      <c r="Z55" s="684"/>
    </row>
    <row r="56" ht="21.0" hidden="1" customHeight="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580</v>
      </c>
      <c r="W56" s="684"/>
      <c r="X56" s="780"/>
      <c r="Y56" s="684"/>
      <c r="Z56" s="684"/>
    </row>
    <row r="57" ht="21.0" hidden="1" customHeight="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581</v>
      </c>
      <c r="W57" s="684"/>
      <c r="X57" s="780"/>
      <c r="Y57" s="684"/>
      <c r="Z57" s="684"/>
    </row>
    <row r="58" ht="21.0" hidden="1" customHeight="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738" t="s">
        <v>517</v>
      </c>
      <c r="W58" s="684"/>
      <c r="X58" s="780"/>
      <c r="Y58" s="684"/>
      <c r="Z58" s="684"/>
    </row>
    <row r="59" ht="21.0" hidden="1" customHeight="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738" t="s">
        <v>518</v>
      </c>
      <c r="W59" s="684"/>
      <c r="X59" s="780"/>
      <c r="Y59" s="684"/>
      <c r="Z59" s="684"/>
    </row>
    <row r="60" ht="21.0" hidden="1" customHeight="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738" t="s">
        <v>582</v>
      </c>
      <c r="W60" s="684"/>
      <c r="X60" s="780"/>
      <c r="Y60" s="684"/>
      <c r="Z60" s="684"/>
    </row>
    <row r="61" ht="21.0" hidden="1" customHeight="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738" t="s">
        <v>176</v>
      </c>
      <c r="W61" s="684"/>
      <c r="X61" s="780"/>
      <c r="Y61" s="684"/>
      <c r="Z61" s="684"/>
    </row>
    <row r="62" ht="21.0" hidden="1" customHeight="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738" t="s">
        <v>519</v>
      </c>
      <c r="W62" s="684"/>
      <c r="X62" s="780"/>
      <c r="Y62" s="684"/>
      <c r="Z62" s="684"/>
    </row>
    <row r="63" ht="58.5" hidden="1" customHeight="1" outlineLevel="1">
      <c r="A63" s="684"/>
      <c r="B63" s="761"/>
      <c r="C63" s="720"/>
      <c r="D63" s="720"/>
      <c r="E63" s="720"/>
      <c r="F63" s="762" t="s">
        <v>560</v>
      </c>
      <c r="G63" s="763" t="s">
        <v>843</v>
      </c>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t="s">
        <v>520</v>
      </c>
      <c r="W63" s="684"/>
      <c r="X63" s="780"/>
      <c r="Y63" s="684"/>
      <c r="Z63" s="684"/>
    </row>
    <row r="64" collapsed="1">
      <c r="A64" s="684"/>
      <c r="B64" s="803" t="s">
        <v>583</v>
      </c>
      <c r="C64" s="804"/>
      <c r="D64" s="804"/>
      <c r="E64" s="986"/>
      <c r="F64" s="987"/>
      <c r="G64" s="953"/>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t="s">
        <v>584</v>
      </c>
      <c r="W64" s="684"/>
      <c r="X64" s="780"/>
      <c r="Y64" s="684"/>
      <c r="Z64" s="684"/>
    </row>
    <row r="65" ht="18.0" hidden="1" customHeight="1" outlineLevel="1">
      <c r="A65" s="684"/>
      <c r="B65" s="766"/>
      <c r="C65" s="767">
        <f>IF(C53="","",IF(DAY(C53+1)=1,"",C53+1))</f>
        <v>46059</v>
      </c>
      <c r="D65" s="768" t="str">
        <f>TEXT(C65,"ddd")</f>
        <v>金</v>
      </c>
      <c r="E65" s="789"/>
      <c r="F65" s="797" t="s">
        <v>557</v>
      </c>
      <c r="G65" s="798" t="s">
        <v>844</v>
      </c>
      <c r="H65" s="799">
        <v>1.0</v>
      </c>
      <c r="I65" s="973">
        <v>0.7083333333333334</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t="s">
        <v>186</v>
      </c>
      <c r="W65" s="684"/>
      <c r="X65" s="780"/>
      <c r="Y65" s="684"/>
      <c r="Z65" s="684"/>
    </row>
    <row r="66" ht="18.0" hidden="1" customHeight="1" outlineLevel="1">
      <c r="A66" s="684"/>
      <c r="B66" s="752"/>
      <c r="C66" s="753"/>
      <c r="D66" s="753"/>
      <c r="E66" s="754"/>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t="18.0" hidden="1" customHeight="1" outlineLevel="1">
      <c r="A67" s="684"/>
      <c r="B67" s="752"/>
      <c r="C67" s="753"/>
      <c r="D67" s="753"/>
      <c r="E67" s="754"/>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t="18.0" hidden="1" customHeight="1" outlineLevel="1">
      <c r="A68" s="684"/>
      <c r="B68" s="752"/>
      <c r="C68" s="753"/>
      <c r="D68" s="753"/>
      <c r="E68" s="754"/>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t="18.0" hidden="1" customHeight="1" outlineLevel="1">
      <c r="A69" s="684"/>
      <c r="B69" s="752"/>
      <c r="C69" s="753"/>
      <c r="D69" s="753"/>
      <c r="E69" s="754"/>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t="18.0" hidden="1" customHeight="1" outlineLevel="1">
      <c r="A70" s="684"/>
      <c r="B70" s="752"/>
      <c r="C70" s="753"/>
      <c r="D70" s="753"/>
      <c r="E70" s="754"/>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t="18.0" hidden="1" customHeight="1" outlineLevel="1">
      <c r="A71" s="684"/>
      <c r="B71" s="752"/>
      <c r="C71" s="753"/>
      <c r="D71" s="753"/>
      <c r="E71" s="754"/>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t="18.0" hidden="1" customHeight="1" outlineLevel="1">
      <c r="A72" s="684"/>
      <c r="B72" s="752"/>
      <c r="C72" s="753"/>
      <c r="D72" s="753"/>
      <c r="E72" s="754"/>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t="18.0" hidden="1" customHeight="1" outlineLevel="1">
      <c r="A73" s="684"/>
      <c r="B73" s="752"/>
      <c r="C73" s="753"/>
      <c r="D73" s="753"/>
      <c r="E73" s="754"/>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t="69.0" hidden="1" customHeight="1" outlineLevel="1">
      <c r="A74" s="684"/>
      <c r="B74" s="752"/>
      <c r="C74" s="753"/>
      <c r="D74" s="753"/>
      <c r="E74" s="721"/>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t="45.0" hidden="1" customHeight="1" outlineLevel="1">
      <c r="A75" s="684"/>
      <c r="B75" s="761"/>
      <c r="C75" s="720"/>
      <c r="D75" s="720"/>
      <c r="E75" s="988"/>
      <c r="F75" s="781" t="s">
        <v>560</v>
      </c>
      <c r="G75" s="763" t="s">
        <v>845</v>
      </c>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t="21.0" hidden="1" customHeight="1" outlineLevel="1">
      <c r="A76" s="684"/>
      <c r="B76" s="784"/>
      <c r="C76" s="785">
        <f>IF(C65="","",IF(DAY(C65+1)=1,"",C65+1))</f>
        <v>46060</v>
      </c>
      <c r="D76" s="786" t="str">
        <f>TEXT(C76,"ddd")</f>
        <v>土</v>
      </c>
      <c r="E76" s="787"/>
      <c r="F76" s="797" t="s">
        <v>557</v>
      </c>
      <c r="G76" s="798" t="s">
        <v>846</v>
      </c>
      <c r="H76" s="790"/>
      <c r="I76" s="791">
        <v>0.6666666666666666</v>
      </c>
      <c r="J76" s="790">
        <v>16.0</v>
      </c>
      <c r="K76" s="790">
        <v>5.0</v>
      </c>
      <c r="L76" s="792"/>
      <c r="M76" s="792"/>
      <c r="N76" s="788"/>
      <c r="O76" s="793"/>
      <c r="P76" s="794"/>
      <c r="Q76" s="795"/>
      <c r="R76" s="684"/>
      <c r="S76" s="242" t="str">
        <f t="array" ref="S76">IFERROR(INDEX('💻シート作成'!$D$6:$D1001, MATCH(T76, '💻シート作成'!$E$6:$E1001, 0)), "")</f>
        <v/>
      </c>
      <c r="T76" s="169"/>
      <c r="U76" s="687"/>
      <c r="V76" s="802"/>
      <c r="W76" s="684"/>
      <c r="X76" s="780"/>
      <c r="Y76" s="684"/>
      <c r="Z76" s="684"/>
    </row>
    <row r="77" ht="21.0" hidden="1" customHeight="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t="21.0" hidden="1" customHeight="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t="21.0" hidden="1" customHeight="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t="21.0" hidden="1" customHeight="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t="21.0" hidden="1" customHeight="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t="21.0" hidden="1" customHeight="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t="21.0" hidden="1" customHeight="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t="21.0" hidden="1" customHeight="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t="21.0" hidden="1" customHeight="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t="58.5" hidden="1" customHeight="1" outlineLevel="1">
      <c r="A86" s="684"/>
      <c r="B86" s="761"/>
      <c r="C86" s="720"/>
      <c r="D86" s="720"/>
      <c r="E86" s="720"/>
      <c r="F86" s="762" t="s">
        <v>560</v>
      </c>
      <c r="G86" s="763" t="s">
        <v>847</v>
      </c>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t="22.5" hidden="1" customHeight="1" outlineLevel="1">
      <c r="A87" s="684"/>
      <c r="B87" s="766"/>
      <c r="C87" s="767">
        <f>IF(C76="","",IF(DAY(C76+1)=1,"",C76+1))</f>
        <v>46061</v>
      </c>
      <c r="D87" s="768" t="str">
        <f>TEXT(C87,"ddd")</f>
        <v>日</v>
      </c>
      <c r="E87" s="769"/>
      <c r="F87" s="797" t="s">
        <v>557</v>
      </c>
      <c r="G87" s="798" t="s">
        <v>848</v>
      </c>
      <c r="H87" s="799"/>
      <c r="I87" s="800">
        <v>0.7083333333333334</v>
      </c>
      <c r="J87" s="799">
        <v>16.0</v>
      </c>
      <c r="K87" s="799">
        <v>4.0</v>
      </c>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t="22.5" hidden="1" customHeight="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t="22.5" hidden="1" customHeight="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t="22.5" hidden="1" customHeight="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t="22.5" hidden="1" customHeight="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t="22.5" hidden="1" customHeight="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t="22.5" hidden="1" customHeight="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t="22.5" hidden="1" customHeight="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t="22.5" hidden="1" customHeight="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t="22.5" hidden="1" customHeight="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t="58.5" hidden="1" customHeight="1" outlineLevel="1">
      <c r="A97" s="684"/>
      <c r="B97" s="761"/>
      <c r="C97" s="720"/>
      <c r="D97" s="720"/>
      <c r="E97" s="720"/>
      <c r="F97" s="781" t="s">
        <v>560</v>
      </c>
      <c r="G97" s="782" t="s">
        <v>849</v>
      </c>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t="27.75" hidden="1" customHeight="1" outlineLevel="1">
      <c r="A98" s="684"/>
      <c r="B98" s="784"/>
      <c r="C98" s="785">
        <f>IF(C87="","",IF(DAY(C87+1)=1,"",C87+1))</f>
        <v>46062</v>
      </c>
      <c r="D98" s="786" t="str">
        <f>TEXT(C98,"ddd")</f>
        <v>月</v>
      </c>
      <c r="E98" s="787"/>
      <c r="F98" s="788" t="s">
        <v>557</v>
      </c>
      <c r="G98" s="798" t="s">
        <v>850</v>
      </c>
      <c r="H98" s="790"/>
      <c r="I98" s="791">
        <v>0.7083333333333334</v>
      </c>
      <c r="J98" s="790">
        <v>19.0</v>
      </c>
      <c r="K98" s="790">
        <v>4.0</v>
      </c>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t="27.75" hidden="1" customHeight="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t="27.75" hidden="1" customHeight="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t="27.75" hidden="1" customHeight="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t="27.75" hidden="1" customHeight="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t="27.75" hidden="1" customHeight="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t="27.75" hidden="1" customHeight="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t="27.75" hidden="1" customHeight="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t="27.75" hidden="1" customHeight="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t="27.75" hidden="1" customHeight="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t="31.5" hidden="1" customHeight="1" outlineLevel="1">
      <c r="A108" s="684"/>
      <c r="B108" s="761"/>
      <c r="C108" s="720"/>
      <c r="D108" s="720"/>
      <c r="E108" s="720"/>
      <c r="F108" s="762" t="s">
        <v>560</v>
      </c>
      <c r="G108" s="763" t="s">
        <v>851</v>
      </c>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idden="1" outlineLevel="1">
      <c r="A109" s="684"/>
      <c r="B109" s="766"/>
      <c r="C109" s="767">
        <f>IF(C98="","",IF(DAY(C98+1)=1,"",C98+1))</f>
        <v>46063</v>
      </c>
      <c r="D109" s="768" t="str">
        <f>TEXT(C109,"ddd")</f>
        <v>火</v>
      </c>
      <c r="E109" s="769"/>
      <c r="F109" s="797" t="s">
        <v>557</v>
      </c>
      <c r="G109" s="798" t="s">
        <v>852</v>
      </c>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idden="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idden="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idden="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idden="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idden="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idden="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idden="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idden="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idden="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t="45.0" hidden="1" customHeight="1" outlineLevel="1">
      <c r="A119" s="684"/>
      <c r="B119" s="761"/>
      <c r="C119" s="720"/>
      <c r="D119" s="720"/>
      <c r="E119" s="720"/>
      <c r="F119" s="781" t="s">
        <v>560</v>
      </c>
      <c r="G119" s="782" t="s">
        <v>853</v>
      </c>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t="29.25" hidden="1" customHeight="1" outlineLevel="1">
      <c r="A121" s="684"/>
      <c r="B121" s="784"/>
      <c r="C121" s="785">
        <f>IF(C109="","",IF(DAY(C109+1)=1,"",C109+1))</f>
        <v>46064</v>
      </c>
      <c r="D121" s="786" t="str">
        <f>TEXT(C121,"ddd")</f>
        <v>水</v>
      </c>
      <c r="E121" s="787"/>
      <c r="F121" s="788" t="s">
        <v>557</v>
      </c>
      <c r="G121" s="798" t="s">
        <v>854</v>
      </c>
      <c r="H121" s="790"/>
      <c r="I121" s="791">
        <v>0.625</v>
      </c>
      <c r="J121" s="790">
        <v>21.0</v>
      </c>
      <c r="K121" s="790">
        <v>6.0</v>
      </c>
      <c r="L121" s="792"/>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t="29.25" hidden="1" customHeight="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t="29.25" hidden="1" customHeight="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t="29.25" hidden="1" customHeight="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t="29.25" hidden="1" customHeight="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t="29.25" hidden="1" customHeight="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t="29.25" hidden="1" customHeight="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t="29.25" hidden="1" customHeight="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t="29.25" hidden="1" customHeight="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t="29.25" hidden="1" customHeight="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t="58.5" hidden="1" customHeight="1" outlineLevel="1">
      <c r="A131" s="684"/>
      <c r="B131" s="761"/>
      <c r="C131" s="720"/>
      <c r="D131" s="720"/>
      <c r="E131" s="720"/>
      <c r="F131" s="762" t="s">
        <v>560</v>
      </c>
      <c r="G131" s="763" t="s">
        <v>855</v>
      </c>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t="29.25" hidden="1" customHeight="1" outlineLevel="1">
      <c r="A132" s="684"/>
      <c r="B132" s="766"/>
      <c r="C132" s="767">
        <f>IF(C121="","",IF(DAY(C121+1)=1,"",C121+1))</f>
        <v>46065</v>
      </c>
      <c r="D132" s="768" t="str">
        <f>TEXT(C132,"ddd")</f>
        <v>木</v>
      </c>
      <c r="E132" s="769"/>
      <c r="F132" s="797" t="s">
        <v>557</v>
      </c>
      <c r="G132" s="798" t="s">
        <v>856</v>
      </c>
      <c r="H132" s="799"/>
      <c r="I132" s="800">
        <v>0.625</v>
      </c>
      <c r="J132" s="799">
        <v>21.0</v>
      </c>
      <c r="K132" s="799">
        <v>5.0</v>
      </c>
      <c r="L132" s="778" t="s">
        <v>569</v>
      </c>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t="29.25" hidden="1" customHeight="1" outlineLevel="1">
      <c r="A133" s="684"/>
      <c r="B133" s="752"/>
      <c r="C133" s="753"/>
      <c r="D133" s="753"/>
      <c r="E133" s="753"/>
      <c r="F133" s="753"/>
      <c r="G133" s="754"/>
      <c r="H133" s="753"/>
      <c r="I133" s="753"/>
      <c r="J133" s="753"/>
      <c r="K133" s="753"/>
      <c r="L133" s="778"/>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t="29.25" hidden="1" customHeight="1" outlineLevel="1">
      <c r="A134" s="684"/>
      <c r="B134" s="752"/>
      <c r="C134" s="753"/>
      <c r="D134" s="753"/>
      <c r="E134" s="753"/>
      <c r="F134" s="753"/>
      <c r="G134" s="754"/>
      <c r="H134" s="753"/>
      <c r="I134" s="753"/>
      <c r="J134" s="753"/>
      <c r="K134" s="753"/>
      <c r="L134" s="778"/>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t="29.25" hidden="1" customHeight="1" outlineLevel="1">
      <c r="A135" s="684"/>
      <c r="B135" s="752"/>
      <c r="C135" s="753"/>
      <c r="D135" s="753"/>
      <c r="E135" s="753"/>
      <c r="F135" s="753"/>
      <c r="G135" s="754"/>
      <c r="H135" s="753"/>
      <c r="I135" s="753"/>
      <c r="J135" s="753"/>
      <c r="K135" s="753"/>
      <c r="L135" s="779"/>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t="29.25" hidden="1" customHeight="1" outlineLevel="1">
      <c r="A136" s="684"/>
      <c r="B136" s="752"/>
      <c r="C136" s="753"/>
      <c r="D136" s="753"/>
      <c r="E136" s="753"/>
      <c r="F136" s="753"/>
      <c r="G136" s="754"/>
      <c r="H136" s="753"/>
      <c r="I136" s="753"/>
      <c r="J136" s="753"/>
      <c r="K136" s="753"/>
      <c r="L136" s="779"/>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t="29.25" hidden="1" customHeight="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t="29.25" hidden="1" customHeight="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t="29.25" hidden="1" customHeight="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t="29.25" hidden="1" customHeight="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t="29.25" hidden="1" customHeight="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t="31.5" hidden="1" customHeight="1" outlineLevel="1">
      <c r="A142" s="684"/>
      <c r="B142" s="761"/>
      <c r="C142" s="720"/>
      <c r="D142" s="720"/>
      <c r="E142" s="720"/>
      <c r="F142" s="781" t="s">
        <v>560</v>
      </c>
      <c r="G142" s="782" t="s">
        <v>857</v>
      </c>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t="26.25" hidden="1" customHeight="1" outlineLevel="1">
      <c r="A143" s="684"/>
      <c r="B143" s="784"/>
      <c r="C143" s="785">
        <f>IF(C132="","",IF(DAY(C132+1)=1,"",C132+1))</f>
        <v>46066</v>
      </c>
      <c r="D143" s="786" t="str">
        <f>TEXT(C143,"ddd")</f>
        <v>金</v>
      </c>
      <c r="E143" s="787"/>
      <c r="F143" s="788" t="s">
        <v>557</v>
      </c>
      <c r="G143" s="798" t="s">
        <v>858</v>
      </c>
      <c r="H143" s="790"/>
      <c r="I143" s="791">
        <v>0.6458333333333334</v>
      </c>
      <c r="J143" s="790">
        <v>24.0</v>
      </c>
      <c r="K143" s="790">
        <v>5.0</v>
      </c>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t="26.25" hidden="1" customHeight="1" outlineLevel="1">
      <c r="A144" s="684"/>
      <c r="B144" s="752"/>
      <c r="C144" s="753"/>
      <c r="D144" s="753"/>
      <c r="E144" s="753"/>
      <c r="F144" s="753"/>
      <c r="G144" s="754"/>
      <c r="H144" s="753"/>
      <c r="I144" s="753"/>
      <c r="J144" s="753"/>
      <c r="K144" s="753"/>
      <c r="L144" s="792"/>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t="26.25" hidden="1" customHeight="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t="26.25" hidden="1" customHeight="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t="26.25" hidden="1" customHeight="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t="26.25" hidden="1" customHeight="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t="26.25" hidden="1" customHeight="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t="26.25" hidden="1" customHeight="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t="26.25" hidden="1" customHeight="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t="26.25" hidden="1" customHeight="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t="31.5" hidden="1" customHeight="1" outlineLevel="1">
      <c r="A153" s="684"/>
      <c r="B153" s="761"/>
      <c r="C153" s="720"/>
      <c r="D153" s="720"/>
      <c r="E153" s="720"/>
      <c r="F153" s="762" t="s">
        <v>560</v>
      </c>
      <c r="G153" s="763" t="s">
        <v>859</v>
      </c>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t="34.5" hidden="1" customHeight="1" outlineLevel="1">
      <c r="A154" s="684"/>
      <c r="B154" s="766"/>
      <c r="C154" s="767">
        <f>IF(C143="","",IF(DAY(C143+1)=1,"",C143+1))</f>
        <v>46067</v>
      </c>
      <c r="D154" s="768" t="str">
        <f>TEXT(C154,"ddd")</f>
        <v>土</v>
      </c>
      <c r="E154" s="769"/>
      <c r="F154" s="797" t="s">
        <v>860</v>
      </c>
      <c r="G154" s="798" t="s">
        <v>861</v>
      </c>
      <c r="H154" s="799"/>
      <c r="I154" s="800">
        <v>0.6875</v>
      </c>
      <c r="J154" s="799">
        <v>16.0</v>
      </c>
      <c r="K154" s="799">
        <v>4.0</v>
      </c>
      <c r="L154" s="778" t="s">
        <v>508</v>
      </c>
      <c r="M154" s="778" t="s">
        <v>862</v>
      </c>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t="34.5" hidden="1" customHeight="1" outlineLevel="1">
      <c r="A155" s="684"/>
      <c r="B155" s="752"/>
      <c r="C155" s="753"/>
      <c r="D155" s="753"/>
      <c r="E155" s="753"/>
      <c r="F155" s="753"/>
      <c r="G155" s="754"/>
      <c r="H155" s="753"/>
      <c r="I155" s="753"/>
      <c r="J155" s="753"/>
      <c r="K155" s="753"/>
      <c r="L155" s="778" t="s">
        <v>558</v>
      </c>
      <c r="M155" s="778" t="s">
        <v>754</v>
      </c>
      <c r="N155" s="753"/>
      <c r="O155" s="756"/>
      <c r="Q155" s="751"/>
      <c r="R155" s="684"/>
      <c r="S155" s="242" t="str">
        <f t="array" ref="S155">IFERROR(INDEX('💻シート作成'!$D$6:$D1001, MATCH(T155, '💻シート作成'!$E$6:$E1001, 0)), "")</f>
        <v/>
      </c>
      <c r="T155" s="190"/>
      <c r="U155" s="687"/>
      <c r="V155" s="802"/>
      <c r="W155" s="684"/>
      <c r="X155" s="780"/>
      <c r="Y155" s="684"/>
      <c r="Z155" s="684"/>
    </row>
    <row r="156" ht="34.5" hidden="1" customHeight="1" outlineLevel="1">
      <c r="A156" s="684"/>
      <c r="B156" s="752"/>
      <c r="C156" s="753"/>
      <c r="D156" s="753"/>
      <c r="E156" s="753"/>
      <c r="F156" s="753"/>
      <c r="G156" s="754"/>
      <c r="H156" s="753"/>
      <c r="I156" s="753"/>
      <c r="J156" s="753"/>
      <c r="K156" s="753"/>
      <c r="L156" s="778" t="s">
        <v>190</v>
      </c>
      <c r="M156" s="778" t="s">
        <v>863</v>
      </c>
      <c r="N156" s="753"/>
      <c r="O156" s="756"/>
      <c r="Q156" s="751"/>
      <c r="R156" s="684"/>
      <c r="S156" s="242" t="str">
        <f t="array" ref="S156">IFERROR(INDEX('💻シート作成'!$D$6:$D1001, MATCH(T156, '💻シート作成'!$E$6:$E1001, 0)), "")</f>
        <v/>
      </c>
      <c r="T156" s="190"/>
      <c r="U156" s="687"/>
      <c r="V156" s="802"/>
      <c r="W156" s="684"/>
      <c r="X156" s="780"/>
      <c r="Y156" s="684"/>
      <c r="Z156" s="684"/>
    </row>
    <row r="157" ht="34.5" hidden="1" customHeight="1" outlineLevel="1">
      <c r="A157" s="684"/>
      <c r="B157" s="752"/>
      <c r="C157" s="753"/>
      <c r="D157" s="753"/>
      <c r="E157" s="753"/>
      <c r="F157" s="753"/>
      <c r="G157" s="754"/>
      <c r="H157" s="753"/>
      <c r="I157" s="753"/>
      <c r="J157" s="753"/>
      <c r="K157" s="753"/>
      <c r="L157" s="778" t="s">
        <v>571</v>
      </c>
      <c r="M157" s="778" t="s">
        <v>864</v>
      </c>
      <c r="N157" s="753"/>
      <c r="O157" s="756"/>
      <c r="Q157" s="751"/>
      <c r="R157" s="684"/>
      <c r="S157" s="242" t="str">
        <f t="array" ref="S157">IFERROR(INDEX('💻シート作成'!$D$6:$D1001, MATCH(T157, '💻シート作成'!$E$6:$E1001, 0)), "")</f>
        <v/>
      </c>
      <c r="T157" s="190"/>
      <c r="U157" s="687"/>
      <c r="V157" s="802"/>
      <c r="W157" s="684"/>
      <c r="X157" s="780"/>
      <c r="Y157" s="684"/>
      <c r="Z157" s="684"/>
    </row>
    <row r="158" ht="34.5" hidden="1" customHeight="1" outlineLevel="1">
      <c r="A158" s="684"/>
      <c r="B158" s="752"/>
      <c r="C158" s="753"/>
      <c r="D158" s="753"/>
      <c r="E158" s="753"/>
      <c r="F158" s="753"/>
      <c r="G158" s="754"/>
      <c r="H158" s="753"/>
      <c r="I158" s="753"/>
      <c r="J158" s="753"/>
      <c r="K158" s="753"/>
      <c r="L158" s="778" t="s">
        <v>511</v>
      </c>
      <c r="M158" s="778" t="s">
        <v>865</v>
      </c>
      <c r="N158" s="753"/>
      <c r="O158" s="756"/>
      <c r="Q158" s="751"/>
      <c r="R158" s="684"/>
      <c r="S158" s="242" t="str">
        <f t="array" ref="S158">IFERROR(INDEX('💻シート作成'!$D$6:$D1001, MATCH(T158, '💻シート作成'!$E$6:$E1001, 0)), "")</f>
        <v/>
      </c>
      <c r="T158" s="190"/>
      <c r="U158" s="687"/>
      <c r="V158" s="802"/>
      <c r="W158" s="684"/>
      <c r="X158" s="780"/>
      <c r="Y158" s="684"/>
      <c r="Z158" s="684"/>
    </row>
    <row r="159" ht="34.5" hidden="1" customHeight="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t="34.5" hidden="1" customHeight="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t="34.5" hidden="1" customHeight="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t="34.5" hidden="1" customHeight="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t="34.5" hidden="1" customHeight="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t="72.0" hidden="1" customHeight="1" outlineLevel="1">
      <c r="A164" s="684"/>
      <c r="B164" s="761"/>
      <c r="C164" s="720"/>
      <c r="D164" s="720"/>
      <c r="E164" s="720"/>
      <c r="F164" s="781" t="s">
        <v>560</v>
      </c>
      <c r="G164" s="782" t="s">
        <v>866</v>
      </c>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t="31.5" hidden="1" customHeight="1" outlineLevel="1">
      <c r="A165" s="684"/>
      <c r="B165" s="784"/>
      <c r="C165" s="785">
        <f>IF(C154="","",IF(DAY(C154+1)=1,"",C154+1))</f>
        <v>46068</v>
      </c>
      <c r="D165" s="786" t="str">
        <f>TEXT(C165,"ddd")</f>
        <v>日</v>
      </c>
      <c r="E165" s="787"/>
      <c r="F165" s="788" t="s">
        <v>557</v>
      </c>
      <c r="G165" s="789" t="s">
        <v>867</v>
      </c>
      <c r="H165" s="790"/>
      <c r="I165" s="791">
        <v>0.7083333333333334</v>
      </c>
      <c r="J165" s="790">
        <v>13.0</v>
      </c>
      <c r="K165" s="790">
        <v>5.0</v>
      </c>
      <c r="L165" s="792" t="s">
        <v>508</v>
      </c>
      <c r="M165" s="792" t="s">
        <v>754</v>
      </c>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t="31.5" hidden="1" customHeight="1" outlineLevel="1">
      <c r="A166" s="684"/>
      <c r="B166" s="752"/>
      <c r="C166" s="753"/>
      <c r="D166" s="753"/>
      <c r="E166" s="753"/>
      <c r="F166" s="753"/>
      <c r="G166" s="754"/>
      <c r="H166" s="753"/>
      <c r="I166" s="753"/>
      <c r="J166" s="753"/>
      <c r="K166" s="753"/>
      <c r="L166" s="792" t="s">
        <v>558</v>
      </c>
      <c r="M166" s="792" t="s">
        <v>754</v>
      </c>
      <c r="N166" s="753"/>
      <c r="O166" s="756"/>
      <c r="Q166" s="751"/>
      <c r="R166" s="684"/>
      <c r="S166" s="242" t="str">
        <f t="array" ref="S166">IFERROR(INDEX('💻シート作成'!$D$6:$D1001, MATCH(T166, '💻シート作成'!$E$6:$E1001, 0)), "")</f>
        <v/>
      </c>
      <c r="T166" s="190"/>
      <c r="U166" s="687"/>
      <c r="V166" s="802"/>
      <c r="W166" s="684"/>
      <c r="X166" s="780"/>
      <c r="Y166" s="684"/>
      <c r="Z166" s="684"/>
    </row>
    <row r="167" ht="31.5" hidden="1" customHeight="1" outlineLevel="1">
      <c r="A167" s="684"/>
      <c r="B167" s="752"/>
      <c r="C167" s="753"/>
      <c r="D167" s="753"/>
      <c r="E167" s="753"/>
      <c r="F167" s="753"/>
      <c r="G167" s="754"/>
      <c r="H167" s="753"/>
      <c r="I167" s="753"/>
      <c r="J167" s="753"/>
      <c r="K167" s="753"/>
      <c r="L167" s="792" t="s">
        <v>567</v>
      </c>
      <c r="M167" s="792" t="s">
        <v>754</v>
      </c>
      <c r="N167" s="753"/>
      <c r="O167" s="756"/>
      <c r="Q167" s="751"/>
      <c r="R167" s="684"/>
      <c r="S167" s="242" t="str">
        <f t="array" ref="S167">IFERROR(INDEX('💻シート作成'!$D$6:$D1001, MATCH(T167, '💻シート作成'!$E$6:$E1001, 0)), "")</f>
        <v/>
      </c>
      <c r="T167" s="190"/>
      <c r="U167" s="687"/>
      <c r="V167" s="802"/>
      <c r="W167" s="684"/>
      <c r="X167" s="780"/>
      <c r="Y167" s="684"/>
      <c r="Z167" s="684"/>
    </row>
    <row r="168" ht="31.5" hidden="1" customHeight="1" outlineLevel="1">
      <c r="A168" s="684"/>
      <c r="B168" s="752"/>
      <c r="C168" s="753"/>
      <c r="D168" s="753"/>
      <c r="E168" s="753"/>
      <c r="F168" s="753"/>
      <c r="G168" s="754"/>
      <c r="H168" s="753"/>
      <c r="I168" s="753"/>
      <c r="J168" s="753"/>
      <c r="K168" s="753"/>
      <c r="L168" s="792" t="s">
        <v>578</v>
      </c>
      <c r="M168" s="792" t="s">
        <v>754</v>
      </c>
      <c r="N168" s="753"/>
      <c r="O168" s="756"/>
      <c r="Q168" s="751"/>
      <c r="R168" s="684"/>
      <c r="S168" s="242" t="str">
        <f t="array" ref="S168">IFERROR(INDEX('💻シート作成'!$D$6:$D1001, MATCH(T168, '💻シート作成'!$E$6:$E1001, 0)), "")</f>
        <v/>
      </c>
      <c r="T168" s="190"/>
      <c r="U168" s="687"/>
      <c r="V168" s="802"/>
      <c r="W168" s="684"/>
      <c r="X168" s="780"/>
      <c r="Y168" s="684"/>
      <c r="Z168" s="684"/>
    </row>
    <row r="169" ht="31.5" hidden="1" customHeight="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t="31.5" hidden="1" customHeight="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t="31.5" hidden="1" customHeight="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t="31.5" hidden="1" customHeight="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t="31.5" hidden="1" customHeight="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t="31.5" hidden="1" customHeight="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t="31.5" hidden="1" customHeight="1" outlineLevel="1">
      <c r="A175" s="684"/>
      <c r="B175" s="761"/>
      <c r="C175" s="720"/>
      <c r="D175" s="720"/>
      <c r="E175" s="720"/>
      <c r="F175" s="762" t="s">
        <v>560</v>
      </c>
      <c r="G175" s="763" t="s">
        <v>868</v>
      </c>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t="26.25" customHeight="1" outlineLevel="1">
      <c r="A177" s="684"/>
      <c r="B177" s="766"/>
      <c r="C177" s="767">
        <f>IF(C165="","",IF(DAY(C165+1)=1,"",C165+1))</f>
        <v>46069</v>
      </c>
      <c r="D177" s="768" t="str">
        <f>TEXT(C177,"ddd")</f>
        <v>月</v>
      </c>
      <c r="E177" s="769"/>
      <c r="F177" s="797" t="s">
        <v>557</v>
      </c>
      <c r="G177" s="798" t="s">
        <v>869</v>
      </c>
      <c r="H177" s="799"/>
      <c r="I177" s="800">
        <v>0.6527777777777778</v>
      </c>
      <c r="J177" s="799">
        <v>20.0</v>
      </c>
      <c r="K177" s="799">
        <v>4.0</v>
      </c>
      <c r="L177" s="778" t="s">
        <v>578</v>
      </c>
      <c r="M177" s="778" t="s">
        <v>754</v>
      </c>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t="26.25" customHeight="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t="26.25" customHeight="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t="26.25" customHeight="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t="26.25" customHeight="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t="26.25" customHeight="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t="26.25" customHeight="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t="26.25" customHeight="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t="26.25" customHeight="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t="26.25" customHeight="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t="31.5" customHeight="1" outlineLevel="1">
      <c r="A187" s="684"/>
      <c r="B187" s="761"/>
      <c r="C187" s="720"/>
      <c r="D187" s="720"/>
      <c r="E187" s="720"/>
      <c r="F187" s="781" t="s">
        <v>560</v>
      </c>
      <c r="G187" s="782" t="s">
        <v>870</v>
      </c>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t="24.75" customHeight="1" outlineLevel="1">
      <c r="A188" s="684"/>
      <c r="B188" s="784"/>
      <c r="C188" s="785">
        <f>IF(C177="","",IF(DAY(C177+1)=1,"",C177+1))</f>
        <v>46070</v>
      </c>
      <c r="D188" s="786" t="str">
        <f>TEXT(C188,"ddd")</f>
        <v>火</v>
      </c>
      <c r="E188" s="787"/>
      <c r="F188" s="788" t="s">
        <v>557</v>
      </c>
      <c r="G188" s="798" t="s">
        <v>871</v>
      </c>
      <c r="H188" s="790"/>
      <c r="I188" s="791">
        <v>0.6875</v>
      </c>
      <c r="J188" s="790">
        <v>20.0</v>
      </c>
      <c r="K188" s="790">
        <v>5.0</v>
      </c>
      <c r="L188" s="792" t="s">
        <v>511</v>
      </c>
      <c r="M188" s="792" t="s">
        <v>872</v>
      </c>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t="24.75" customHeight="1" outlineLevel="1">
      <c r="A189" s="684"/>
      <c r="B189" s="752"/>
      <c r="C189" s="753"/>
      <c r="D189" s="753"/>
      <c r="E189" s="753"/>
      <c r="F189" s="753"/>
      <c r="G189" s="754"/>
      <c r="H189" s="753"/>
      <c r="I189" s="753"/>
      <c r="J189" s="753"/>
      <c r="K189" s="753"/>
      <c r="L189" s="792" t="s">
        <v>571</v>
      </c>
      <c r="M189" s="792" t="s">
        <v>656</v>
      </c>
      <c r="N189" s="753"/>
      <c r="O189" s="756"/>
      <c r="Q189" s="751"/>
      <c r="R189" s="684"/>
      <c r="S189" s="242" t="str">
        <f t="array" ref="S189">IFERROR(INDEX('💻シート作成'!$D$6:$D1001, MATCH(T189, '💻シート作成'!$E$6:$E1001, 0)), "")</f>
        <v/>
      </c>
      <c r="T189" s="190"/>
      <c r="U189" s="687"/>
      <c r="V189" s="802"/>
      <c r="W189" s="684"/>
      <c r="X189" s="780"/>
      <c r="Y189" s="684"/>
      <c r="Z189" s="684"/>
    </row>
    <row r="190" ht="24.75" customHeight="1" outlineLevel="1">
      <c r="A190" s="684"/>
      <c r="B190" s="752"/>
      <c r="C190" s="753"/>
      <c r="D190" s="753"/>
      <c r="E190" s="753"/>
      <c r="F190" s="753"/>
      <c r="G190" s="754"/>
      <c r="H190" s="753"/>
      <c r="I190" s="753"/>
      <c r="J190" s="753"/>
      <c r="K190" s="753"/>
      <c r="L190" s="792" t="s">
        <v>196</v>
      </c>
      <c r="M190" s="792" t="s">
        <v>656</v>
      </c>
      <c r="N190" s="753"/>
      <c r="O190" s="756"/>
      <c r="Q190" s="751"/>
      <c r="R190" s="684"/>
      <c r="S190" s="242" t="str">
        <f t="array" ref="S190">IFERROR(INDEX('💻シート作成'!$D$6:$D1001, MATCH(T190, '💻シート作成'!$E$6:$E1001, 0)), "")</f>
        <v/>
      </c>
      <c r="T190" s="190"/>
      <c r="U190" s="687"/>
      <c r="V190" s="802"/>
      <c r="W190" s="684"/>
      <c r="X190" s="780"/>
      <c r="Y190" s="684"/>
      <c r="Z190" s="684"/>
    </row>
    <row r="191" ht="24.75" customHeight="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t="24.75" customHeight="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t="24.75" customHeight="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t="24.75" customHeight="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t="24.75" customHeight="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t="24.75" customHeight="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t="24.75" customHeight="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t="45.0" customHeight="1" outlineLevel="1">
      <c r="A198" s="684"/>
      <c r="B198" s="761"/>
      <c r="C198" s="720"/>
      <c r="D198" s="720"/>
      <c r="E198" s="720"/>
      <c r="F198" s="762" t="s">
        <v>560</v>
      </c>
      <c r="G198" s="763" t="s">
        <v>873</v>
      </c>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t="32.25" customHeight="1" outlineLevel="1">
      <c r="A199" s="684"/>
      <c r="B199" s="766"/>
      <c r="C199" s="767">
        <f>IF(C188="","",IF(DAY(C188+1)=1,"",C188+1))</f>
        <v>46071</v>
      </c>
      <c r="D199" s="768" t="str">
        <f>TEXT(C199,"ddd")</f>
        <v>水</v>
      </c>
      <c r="E199" s="769"/>
      <c r="F199" s="797" t="s">
        <v>108</v>
      </c>
      <c r="G199" s="798" t="s">
        <v>874</v>
      </c>
      <c r="H199" s="799"/>
      <c r="I199" s="800">
        <v>0.0</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t="32.25" customHeight="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t="32.25" customHeight="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t="32.25" customHeight="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t="32.25" customHeight="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t="32.25" customHeight="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t="32.25" customHeight="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t="32.25" customHeight="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t="32.25" customHeight="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t="32.25" customHeight="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t="31.5" customHeight="1" outlineLevel="1">
      <c r="A209" s="684"/>
      <c r="B209" s="761"/>
      <c r="C209" s="720"/>
      <c r="D209" s="720"/>
      <c r="E209" s="720"/>
      <c r="F209" s="781" t="s">
        <v>560</v>
      </c>
      <c r="G209" s="782" t="s">
        <v>875</v>
      </c>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t="90.0" customHeight="1" outlineLevel="1">
      <c r="A210" s="684"/>
      <c r="B210" s="784"/>
      <c r="C210" s="785">
        <f>IF(C199="","",IF(DAY(C199+1)=1,"",C199+1))</f>
        <v>46072</v>
      </c>
      <c r="D210" s="786" t="str">
        <f>TEXT(C210,"ddd")</f>
        <v>木</v>
      </c>
      <c r="E210" s="787"/>
      <c r="F210" s="788" t="s">
        <v>108</v>
      </c>
      <c r="G210" s="789" t="s">
        <v>876</v>
      </c>
      <c r="H210" s="790"/>
      <c r="I210" s="791">
        <v>0.6354166666666666</v>
      </c>
      <c r="J210" s="790">
        <v>20.0</v>
      </c>
      <c r="K210" s="790">
        <v>7.0</v>
      </c>
      <c r="L210" s="792" t="s">
        <v>182</v>
      </c>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t="110.25" customHeight="1" outlineLevel="1">
      <c r="A211" s="684"/>
      <c r="B211" s="752"/>
      <c r="C211" s="753"/>
      <c r="D211" s="753"/>
      <c r="E211" s="753"/>
      <c r="F211" s="753"/>
      <c r="G211" s="754"/>
      <c r="H211" s="753"/>
      <c r="I211" s="753"/>
      <c r="J211" s="753"/>
      <c r="K211" s="753"/>
      <c r="L211" s="792" t="s">
        <v>512</v>
      </c>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t="109.5" customHeight="1" outlineLevel="1">
      <c r="A212" s="684"/>
      <c r="B212" s="752"/>
      <c r="C212" s="753"/>
      <c r="D212" s="753"/>
      <c r="E212" s="753"/>
      <c r="F212" s="753"/>
      <c r="G212" s="754"/>
      <c r="H212" s="753"/>
      <c r="I212" s="753"/>
      <c r="J212" s="753"/>
      <c r="K212" s="753"/>
      <c r="L212" s="792" t="s">
        <v>514</v>
      </c>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t="65.25" customHeight="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t="65.25" customHeight="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t="65.25" customHeight="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t="65.25" customHeight="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t="65.25" customHeight="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t="65.25" customHeight="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t="65.25" customHeight="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t="31.5" customHeight="1" outlineLevel="1">
      <c r="A220" s="684"/>
      <c r="B220" s="761"/>
      <c r="C220" s="720"/>
      <c r="D220" s="720"/>
      <c r="E220" s="720"/>
      <c r="F220" s="762" t="s">
        <v>560</v>
      </c>
      <c r="G220" s="763" t="s">
        <v>877</v>
      </c>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t="31.5" customHeight="1" outlineLevel="1">
      <c r="A221" s="684"/>
      <c r="B221" s="766"/>
      <c r="C221" s="767">
        <f>IF(C210="","",IF(DAY(C210+1)=1,"",C210+1))</f>
        <v>46073</v>
      </c>
      <c r="D221" s="768" t="str">
        <f>TEXT(C221,"ddd")</f>
        <v>金</v>
      </c>
      <c r="E221" s="769"/>
      <c r="F221" s="797" t="s">
        <v>557</v>
      </c>
      <c r="G221" s="798" t="s">
        <v>878</v>
      </c>
      <c r="H221" s="799"/>
      <c r="I221" s="800">
        <v>0.0</v>
      </c>
      <c r="J221" s="768"/>
      <c r="K221" s="768"/>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t="31.5" customHeight="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t="31.5" customHeight="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t="31.5" customHeight="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t="31.5" customHeight="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t="31.5" customHeight="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t="31.5" customHeight="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t="31.5" customHeight="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t="31.5" customHeight="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t="31.5" customHeight="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t="31.5" customHeight="1" outlineLevel="1">
      <c r="A231" s="684"/>
      <c r="B231" s="761"/>
      <c r="C231" s="720"/>
      <c r="D231" s="720"/>
      <c r="E231" s="720"/>
      <c r="F231" s="781" t="s">
        <v>560</v>
      </c>
      <c r="G231" s="782" t="s">
        <v>879</v>
      </c>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t="91.5" hidden="1" customHeight="1" outlineLevel="1">
      <c r="A233" s="684"/>
      <c r="B233" s="784"/>
      <c r="C233" s="785">
        <f>IF(C221="","",IF(DAY(C221+1)=1,"",C221+1))</f>
        <v>46074</v>
      </c>
      <c r="D233" s="786" t="str">
        <f>TEXT(C233,"ddd")</f>
        <v>土</v>
      </c>
      <c r="E233" s="787"/>
      <c r="F233" s="788" t="s">
        <v>108</v>
      </c>
      <c r="G233" s="789" t="s">
        <v>880</v>
      </c>
      <c r="H233" s="790">
        <v>1.0</v>
      </c>
      <c r="I233" s="791">
        <v>0.6145833333333334</v>
      </c>
      <c r="J233" s="790">
        <v>17.0</v>
      </c>
      <c r="K233" s="790">
        <v>7.0</v>
      </c>
      <c r="L233" s="792" t="s">
        <v>176</v>
      </c>
      <c r="M233" s="792" t="s">
        <v>881</v>
      </c>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t="85.5" hidden="1" customHeight="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t="90.75" hidden="1" customHeight="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t="51.75" hidden="1" customHeight="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t="51.75" hidden="1" customHeight="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t="51.75" hidden="1" customHeight="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t="51.75" hidden="1" customHeight="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t="51.75" hidden="1" customHeight="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t="51.75" hidden="1" customHeight="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t="51.75" hidden="1" customHeight="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t="45.0" hidden="1" customHeight="1" outlineLevel="1">
      <c r="A243" s="684"/>
      <c r="B243" s="761"/>
      <c r="C243" s="720"/>
      <c r="D243" s="720"/>
      <c r="E243" s="720"/>
      <c r="F243" s="762" t="s">
        <v>560</v>
      </c>
      <c r="G243" s="763" t="s">
        <v>882</v>
      </c>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t="67.5" hidden="1" customHeight="1" outlineLevel="1">
      <c r="A244" s="684"/>
      <c r="B244" s="766"/>
      <c r="C244" s="767">
        <f>IF(C233="","",IF(DAY(C233+1)=1,"",C233+1))</f>
        <v>46075</v>
      </c>
      <c r="D244" s="768" t="str">
        <f>TEXT(C244,"ddd")</f>
        <v>日</v>
      </c>
      <c r="E244" s="769"/>
      <c r="F244" s="797" t="s">
        <v>108</v>
      </c>
      <c r="G244" s="798" t="s">
        <v>883</v>
      </c>
      <c r="H244" s="799"/>
      <c r="I244" s="800">
        <v>0.6458333333333334</v>
      </c>
      <c r="J244" s="768"/>
      <c r="K244" s="768"/>
      <c r="L244" s="778" t="s">
        <v>565</v>
      </c>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t="72.75" hidden="1" customHeight="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t="39.75" hidden="1" customHeight="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t="39.75" hidden="1" customHeight="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t="39.75" hidden="1" customHeight="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t="39.75" hidden="1" customHeight="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t="39.75" hidden="1" customHeight="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t="39.75" hidden="1" customHeight="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t="39.75" hidden="1" customHeight="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t="39.75" hidden="1" customHeight="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t="31.5" hidden="1" customHeight="1" outlineLevel="1">
      <c r="A254" s="684"/>
      <c r="B254" s="761"/>
      <c r="C254" s="720"/>
      <c r="D254" s="720"/>
      <c r="E254" s="720"/>
      <c r="F254" s="781" t="s">
        <v>560</v>
      </c>
      <c r="G254" s="782" t="s">
        <v>884</v>
      </c>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t="42.75" hidden="1" customHeight="1" outlineLevel="1">
      <c r="A255" s="684"/>
      <c r="B255" s="784"/>
      <c r="C255" s="785">
        <f>IF(C244="","",IF(DAY(C244+1)=1,"",C244+1))</f>
        <v>46076</v>
      </c>
      <c r="D255" s="786" t="str">
        <f>TEXT(C255,"ddd")</f>
        <v>月</v>
      </c>
      <c r="E255" s="787"/>
      <c r="F255" s="788" t="s">
        <v>557</v>
      </c>
      <c r="G255" s="789" t="s">
        <v>885</v>
      </c>
      <c r="H255" s="790"/>
      <c r="I255" s="791">
        <v>0.6527777777777778</v>
      </c>
      <c r="J255" s="790">
        <v>14.0</v>
      </c>
      <c r="K255" s="790">
        <v>6.0</v>
      </c>
      <c r="L255" s="792" t="s">
        <v>508</v>
      </c>
      <c r="M255" s="792"/>
      <c r="N255" s="788"/>
      <c r="O255" s="948" t="s">
        <v>886</v>
      </c>
      <c r="P255" s="794"/>
      <c r="Q255" s="795"/>
      <c r="R255" s="684"/>
      <c r="S255" s="242" t="str">
        <f t="array" ref="S255">IFERROR(INDEX('💻シート作成'!$D$6:$D1001, MATCH(T255, '💻シート作成'!$E$6:$E1001, 0)), "")</f>
        <v/>
      </c>
      <c r="T255" s="190"/>
      <c r="U255" s="687"/>
      <c r="V255" s="802"/>
      <c r="W255" s="684"/>
      <c r="X255" s="780"/>
      <c r="Y255" s="684"/>
      <c r="Z255" s="684"/>
    </row>
    <row r="256" ht="42.75" hidden="1" customHeight="1" outlineLevel="1">
      <c r="A256" s="684"/>
      <c r="B256" s="752"/>
      <c r="C256" s="753"/>
      <c r="D256" s="753"/>
      <c r="E256" s="753"/>
      <c r="F256" s="753"/>
      <c r="G256" s="754"/>
      <c r="H256" s="753"/>
      <c r="I256" s="753"/>
      <c r="J256" s="753"/>
      <c r="K256" s="753"/>
      <c r="L256" s="792" t="s">
        <v>565</v>
      </c>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t="42.75" hidden="1" customHeight="1" outlineLevel="1">
      <c r="A257" s="684"/>
      <c r="B257" s="752"/>
      <c r="C257" s="753"/>
      <c r="D257" s="753"/>
      <c r="E257" s="753"/>
      <c r="F257" s="753"/>
      <c r="G257" s="754"/>
      <c r="H257" s="753"/>
      <c r="I257" s="753"/>
      <c r="J257" s="753"/>
      <c r="K257" s="753"/>
      <c r="L257" s="792" t="s">
        <v>568</v>
      </c>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t="42.75" hidden="1" customHeight="1" outlineLevel="1">
      <c r="A258" s="684"/>
      <c r="B258" s="752"/>
      <c r="C258" s="753"/>
      <c r="D258" s="753"/>
      <c r="E258" s="753"/>
      <c r="F258" s="753"/>
      <c r="G258" s="754"/>
      <c r="H258" s="753"/>
      <c r="I258" s="753"/>
      <c r="J258" s="753"/>
      <c r="K258" s="753"/>
      <c r="L258" s="792" t="s">
        <v>573</v>
      </c>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t="42.75" hidden="1" customHeight="1" outlineLevel="1">
      <c r="A259" s="684"/>
      <c r="B259" s="752"/>
      <c r="C259" s="753"/>
      <c r="D259" s="753"/>
      <c r="E259" s="753"/>
      <c r="F259" s="753"/>
      <c r="G259" s="754"/>
      <c r="H259" s="753"/>
      <c r="I259" s="753"/>
      <c r="J259" s="753"/>
      <c r="K259" s="753"/>
      <c r="L259" s="792" t="s">
        <v>571</v>
      </c>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t="42.75" hidden="1" customHeight="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t="42.75" hidden="1" customHeight="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t="42.75" hidden="1" customHeight="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t="42.75" hidden="1" customHeight="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t="42.75" hidden="1" customHeight="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t="34.5" hidden="1" customHeight="1" outlineLevel="1">
      <c r="A266" s="684"/>
      <c r="B266" s="766"/>
      <c r="C266" s="767">
        <f>IF(C255="","",IF(DAY(C255+1)=1,"",C255+1))</f>
        <v>46077</v>
      </c>
      <c r="D266" s="768" t="str">
        <f>TEXT(C266,"ddd")</f>
        <v>火</v>
      </c>
      <c r="E266" s="769"/>
      <c r="F266" s="797" t="s">
        <v>557</v>
      </c>
      <c r="G266" s="789" t="s">
        <v>887</v>
      </c>
      <c r="H266" s="799"/>
      <c r="I266" s="800">
        <v>0.0</v>
      </c>
      <c r="J266" s="768"/>
      <c r="K266" s="768"/>
      <c r="L266" s="778"/>
      <c r="M266" s="778"/>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t="34.5" hidden="1" customHeight="1" outlineLevel="1">
      <c r="A267" s="684"/>
      <c r="B267" s="752"/>
      <c r="C267" s="753"/>
      <c r="D267" s="753"/>
      <c r="E267" s="753"/>
      <c r="F267" s="753"/>
      <c r="G267" s="754"/>
      <c r="H267" s="753"/>
      <c r="I267" s="753"/>
      <c r="J267" s="753"/>
      <c r="K267" s="753"/>
      <c r="L267" s="778"/>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t="34.5" hidden="1" customHeight="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t="34.5" hidden="1" customHeight="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t="34.5" hidden="1" customHeight="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t="34.5" hidden="1" customHeight="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t="34.5" hidden="1" customHeight="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t="34.5" hidden="1" customHeight="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t="34.5" hidden="1" customHeight="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t="34.5" hidden="1" customHeight="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t="45.0" hidden="1" customHeight="1" outlineLevel="1">
      <c r="A276" s="684"/>
      <c r="B276" s="761"/>
      <c r="C276" s="720"/>
      <c r="D276" s="720"/>
      <c r="E276" s="720"/>
      <c r="F276" s="781" t="s">
        <v>560</v>
      </c>
      <c r="G276" s="782" t="s">
        <v>888</v>
      </c>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t="34.5" hidden="1" customHeight="1" outlineLevel="1">
      <c r="A277" s="684"/>
      <c r="B277" s="784"/>
      <c r="C277" s="785">
        <f>IF(C266="","",IF(DAY(C266+1)=1,"",C266+1))</f>
        <v>46078</v>
      </c>
      <c r="D277" s="786" t="str">
        <f>TEXT(C277,"ddd")</f>
        <v>水</v>
      </c>
      <c r="E277" s="787"/>
      <c r="F277" s="788" t="s">
        <v>557</v>
      </c>
      <c r="G277" s="789" t="s">
        <v>889</v>
      </c>
      <c r="H277" s="790"/>
      <c r="I277" s="791">
        <v>0.0</v>
      </c>
      <c r="J277" s="786"/>
      <c r="K277" s="786"/>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t="34.5" hidden="1" customHeight="1" outlineLevel="1">
      <c r="A278" s="684"/>
      <c r="B278" s="752"/>
      <c r="C278" s="753"/>
      <c r="D278" s="753"/>
      <c r="E278" s="753"/>
      <c r="F278" s="753"/>
      <c r="G278" s="754"/>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t="34.5" hidden="1" customHeight="1" outlineLevel="1">
      <c r="A279" s="684"/>
      <c r="B279" s="752"/>
      <c r="C279" s="753"/>
      <c r="D279" s="753"/>
      <c r="E279" s="753"/>
      <c r="F279" s="753"/>
      <c r="G279" s="754"/>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t="34.5" hidden="1" customHeight="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t="34.5" hidden="1" customHeight="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t="34.5" hidden="1" customHeight="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t="34.5" hidden="1" customHeight="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t="34.5" hidden="1" customHeight="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t="34.5" hidden="1" customHeight="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t="34.5" hidden="1" customHeight="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t="31.5" hidden="1" customHeight="1" outlineLevel="1">
      <c r="A287" s="684"/>
      <c r="B287" s="761"/>
      <c r="C287" s="720"/>
      <c r="D287" s="720"/>
      <c r="E287" s="720"/>
      <c r="F287" s="762" t="s">
        <v>560</v>
      </c>
      <c r="G287" s="763" t="s">
        <v>890</v>
      </c>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t="90.75" customHeight="1" outlineLevel="1">
      <c r="A289" s="684"/>
      <c r="B289" s="766"/>
      <c r="C289" s="767">
        <f>IF(C277="","",IF(DAY(C277+1)=1,"",C277+1))</f>
        <v>46079</v>
      </c>
      <c r="D289" s="768" t="str">
        <f>TEXT(C289,"ddd")</f>
        <v>木</v>
      </c>
      <c r="E289" s="769"/>
      <c r="F289" s="797" t="s">
        <v>108</v>
      </c>
      <c r="G289" s="798" t="s">
        <v>891</v>
      </c>
      <c r="H289" s="799"/>
      <c r="I289" s="800">
        <v>0.7083333333333334</v>
      </c>
      <c r="J289" s="799">
        <v>18.0</v>
      </c>
      <c r="K289" s="799">
        <v>5.0</v>
      </c>
      <c r="L289" s="778" t="s">
        <v>511</v>
      </c>
      <c r="M289" s="778" t="s">
        <v>892</v>
      </c>
      <c r="N289" s="797"/>
      <c r="O289" s="801"/>
      <c r="P289" s="794"/>
      <c r="Q289" s="795"/>
      <c r="R289" s="684"/>
      <c r="S289" s="684"/>
      <c r="T289" s="684"/>
      <c r="U289" s="687"/>
      <c r="V289" s="688"/>
      <c r="W289" s="684"/>
      <c r="X289" s="684"/>
      <c r="Y289" s="684"/>
      <c r="Z289" s="684"/>
    </row>
    <row r="290" ht="41.25" customHeight="1" outlineLevel="1">
      <c r="A290" s="684"/>
      <c r="B290" s="752"/>
      <c r="C290" s="753"/>
      <c r="D290" s="753"/>
      <c r="E290" s="753"/>
      <c r="F290" s="753"/>
      <c r="G290" s="754"/>
      <c r="H290" s="753"/>
      <c r="I290" s="753"/>
      <c r="J290" s="753"/>
      <c r="K290" s="753"/>
      <c r="L290" s="778" t="s">
        <v>144</v>
      </c>
      <c r="M290" s="778" t="s">
        <v>892</v>
      </c>
      <c r="N290" s="753"/>
      <c r="O290" s="756"/>
      <c r="Q290" s="751"/>
      <c r="R290" s="684"/>
      <c r="S290" s="684"/>
      <c r="T290" s="684"/>
      <c r="U290" s="687"/>
      <c r="V290" s="688"/>
      <c r="W290" s="684"/>
      <c r="X290" s="684"/>
      <c r="Y290" s="684"/>
      <c r="Z290" s="684"/>
    </row>
    <row r="291" ht="41.25" customHeight="1" outlineLevel="1">
      <c r="A291" s="684"/>
      <c r="B291" s="752"/>
      <c r="C291" s="753"/>
      <c r="D291" s="753"/>
      <c r="E291" s="753"/>
      <c r="F291" s="753"/>
      <c r="G291" s="754"/>
      <c r="H291" s="753"/>
      <c r="I291" s="753"/>
      <c r="J291" s="753"/>
      <c r="K291" s="753"/>
      <c r="L291" s="778" t="s">
        <v>515</v>
      </c>
      <c r="M291" s="778" t="s">
        <v>893</v>
      </c>
      <c r="N291" s="753"/>
      <c r="O291" s="756"/>
      <c r="Q291" s="751"/>
      <c r="R291" s="684"/>
      <c r="S291" s="684"/>
      <c r="T291" s="684"/>
      <c r="U291" s="687"/>
      <c r="V291" s="688"/>
      <c r="W291" s="684"/>
      <c r="X291" s="684"/>
      <c r="Y291" s="684"/>
      <c r="Z291" s="684"/>
    </row>
    <row r="292" ht="41.25" customHeight="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t="41.25" customHeight="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t="41.25" customHeight="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t="41.25" customHeight="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t="41.25" customHeight="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t="41.25" customHeight="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t="41.25" customHeight="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t="31.5" customHeight="1" outlineLevel="1">
      <c r="A299" s="684"/>
      <c r="B299" s="761"/>
      <c r="C299" s="720"/>
      <c r="D299" s="720"/>
      <c r="E299" s="720"/>
      <c r="F299" s="781" t="s">
        <v>560</v>
      </c>
      <c r="G299" s="782" t="s">
        <v>894</v>
      </c>
      <c r="H299" s="764"/>
      <c r="I299" s="764"/>
      <c r="J299" s="764"/>
      <c r="K299" s="764"/>
      <c r="L299" s="782"/>
      <c r="M299" s="782"/>
      <c r="N299" s="782"/>
      <c r="O299" s="782"/>
      <c r="P299" s="782"/>
      <c r="Q299" s="783"/>
      <c r="R299" s="684"/>
      <c r="S299" s="684"/>
      <c r="T299" s="684"/>
      <c r="U299" s="687"/>
      <c r="V299" s="688"/>
      <c r="W299" s="684"/>
      <c r="X299" s="684"/>
      <c r="Y299" s="684"/>
      <c r="Z299" s="684"/>
    </row>
    <row r="300" ht="71.25" customHeight="1" outlineLevel="1">
      <c r="A300" s="684"/>
      <c r="B300" s="784"/>
      <c r="C300" s="785">
        <f>IF(C289="","",IF(DAY(C289+1)=1,"",C289+1))</f>
        <v>46080</v>
      </c>
      <c r="D300" s="786" t="str">
        <f>TEXT(C300,"ddd")</f>
        <v>金</v>
      </c>
      <c r="E300" s="787"/>
      <c r="F300" s="788" t="s">
        <v>108</v>
      </c>
      <c r="G300" s="789" t="s">
        <v>895</v>
      </c>
      <c r="H300" s="790"/>
      <c r="I300" s="791">
        <v>0.65625</v>
      </c>
      <c r="J300" s="790">
        <v>14.0</v>
      </c>
      <c r="K300" s="790">
        <v>5.0</v>
      </c>
      <c r="L300" s="792" t="s">
        <v>509</v>
      </c>
      <c r="M300" s="792" t="s">
        <v>896</v>
      </c>
      <c r="N300" s="788">
        <v>172.0</v>
      </c>
      <c r="O300" s="793"/>
      <c r="P300" s="794"/>
      <c r="Q300" s="795"/>
      <c r="R300" s="684"/>
      <c r="S300" s="684"/>
      <c r="T300" s="684"/>
      <c r="U300" s="687"/>
      <c r="V300" s="688"/>
      <c r="W300" s="684"/>
      <c r="X300" s="684"/>
      <c r="Y300" s="684"/>
      <c r="Z300" s="684"/>
    </row>
    <row r="301" ht="78.0" customHeight="1" outlineLevel="1">
      <c r="A301" s="684"/>
      <c r="B301" s="752"/>
      <c r="C301" s="753"/>
      <c r="D301" s="753"/>
      <c r="E301" s="753"/>
      <c r="F301" s="753"/>
      <c r="G301" s="754"/>
      <c r="H301" s="753"/>
      <c r="I301" s="753"/>
      <c r="J301" s="753"/>
      <c r="K301" s="753"/>
      <c r="L301" s="792" t="s">
        <v>101</v>
      </c>
      <c r="M301" s="792" t="s">
        <v>897</v>
      </c>
      <c r="N301" s="753"/>
      <c r="O301" s="756"/>
      <c r="Q301" s="751"/>
      <c r="R301" s="684"/>
      <c r="S301" s="684"/>
      <c r="T301" s="684"/>
      <c r="U301" s="687"/>
      <c r="V301" s="688"/>
      <c r="W301" s="684"/>
      <c r="X301" s="684"/>
      <c r="Y301" s="684"/>
      <c r="Z301" s="684"/>
    </row>
    <row r="302" ht="85.5" customHeight="1" outlineLevel="1">
      <c r="A302" s="684"/>
      <c r="B302" s="752"/>
      <c r="C302" s="753"/>
      <c r="D302" s="753"/>
      <c r="E302" s="753"/>
      <c r="F302" s="753"/>
      <c r="G302" s="754"/>
      <c r="H302" s="753"/>
      <c r="I302" s="753"/>
      <c r="J302" s="753"/>
      <c r="K302" s="753"/>
      <c r="L302" s="792" t="s">
        <v>110</v>
      </c>
      <c r="M302" s="792" t="s">
        <v>898</v>
      </c>
      <c r="N302" s="753"/>
      <c r="O302" s="756"/>
      <c r="Q302" s="751"/>
      <c r="R302" s="684"/>
      <c r="S302" s="684"/>
      <c r="T302" s="684"/>
      <c r="U302" s="687"/>
      <c r="V302" s="688"/>
      <c r="W302" s="684"/>
      <c r="X302" s="684"/>
      <c r="Y302" s="684"/>
      <c r="Z302" s="684"/>
    </row>
    <row r="303" ht="69.0" customHeight="1" outlineLevel="1">
      <c r="A303" s="684"/>
      <c r="B303" s="752"/>
      <c r="C303" s="753"/>
      <c r="D303" s="753"/>
      <c r="E303" s="753"/>
      <c r="F303" s="753"/>
      <c r="G303" s="754"/>
      <c r="H303" s="753"/>
      <c r="I303" s="753"/>
      <c r="J303" s="753"/>
      <c r="K303" s="753"/>
      <c r="L303" s="792" t="s">
        <v>196</v>
      </c>
      <c r="M303" s="792" t="s">
        <v>656</v>
      </c>
      <c r="N303" s="753"/>
      <c r="O303" s="756"/>
      <c r="Q303" s="751"/>
      <c r="R303" s="684"/>
      <c r="S303" s="684"/>
      <c r="T303" s="684"/>
      <c r="U303" s="687"/>
      <c r="V303" s="688"/>
      <c r="W303" s="684"/>
      <c r="X303" s="684"/>
      <c r="Y303" s="684"/>
      <c r="Z303" s="684"/>
    </row>
    <row r="304" ht="36.0" customHeight="1" outlineLevel="1">
      <c r="A304" s="684"/>
      <c r="B304" s="752"/>
      <c r="C304" s="753"/>
      <c r="D304" s="753"/>
      <c r="E304" s="753"/>
      <c r="F304" s="753"/>
      <c r="G304" s="754"/>
      <c r="H304" s="753"/>
      <c r="I304" s="753"/>
      <c r="J304" s="753"/>
      <c r="K304" s="753"/>
      <c r="L304" s="792" t="s">
        <v>517</v>
      </c>
      <c r="M304" s="792" t="s">
        <v>899</v>
      </c>
      <c r="N304" s="753"/>
      <c r="O304" s="756"/>
      <c r="Q304" s="751"/>
      <c r="R304" s="684"/>
      <c r="S304" s="684"/>
      <c r="T304" s="684"/>
      <c r="U304" s="687"/>
      <c r="V304" s="688"/>
      <c r="W304" s="684"/>
      <c r="X304" s="684"/>
      <c r="Y304" s="684"/>
      <c r="Z304" s="684"/>
    </row>
    <row r="305" ht="36.0" customHeight="1" outlineLevel="1">
      <c r="A305" s="684"/>
      <c r="B305" s="752"/>
      <c r="C305" s="753"/>
      <c r="D305" s="753"/>
      <c r="E305" s="753"/>
      <c r="F305" s="753"/>
      <c r="G305" s="754"/>
      <c r="H305" s="753"/>
      <c r="I305" s="753"/>
      <c r="J305" s="753"/>
      <c r="K305" s="753"/>
      <c r="L305" s="792" t="s">
        <v>176</v>
      </c>
      <c r="M305" s="792" t="s">
        <v>656</v>
      </c>
      <c r="N305" s="753"/>
      <c r="O305" s="756"/>
      <c r="Q305" s="751"/>
      <c r="R305" s="684"/>
      <c r="S305" s="684"/>
      <c r="T305" s="684"/>
      <c r="U305" s="687"/>
      <c r="V305" s="688"/>
      <c r="W305" s="684"/>
      <c r="X305" s="684"/>
      <c r="Y305" s="684"/>
      <c r="Z305" s="684"/>
    </row>
    <row r="306" ht="36.0" customHeight="1" outlineLevel="1">
      <c r="A306" s="684"/>
      <c r="B306" s="752"/>
      <c r="C306" s="753"/>
      <c r="D306" s="753"/>
      <c r="E306" s="753"/>
      <c r="F306" s="753"/>
      <c r="G306" s="754"/>
      <c r="H306" s="753"/>
      <c r="I306" s="753"/>
      <c r="J306" s="753"/>
      <c r="K306" s="753"/>
      <c r="L306" s="792" t="s">
        <v>511</v>
      </c>
      <c r="M306" s="792" t="s">
        <v>656</v>
      </c>
      <c r="N306" s="753"/>
      <c r="O306" s="756"/>
      <c r="Q306" s="751"/>
      <c r="R306" s="684"/>
      <c r="S306" s="684"/>
      <c r="T306" s="684"/>
      <c r="U306" s="687"/>
      <c r="V306" s="688"/>
      <c r="W306" s="684"/>
      <c r="X306" s="684"/>
      <c r="Y306" s="684"/>
      <c r="Z306" s="684"/>
    </row>
    <row r="307" ht="36.0" customHeight="1" outlineLevel="1">
      <c r="A307" s="684"/>
      <c r="B307" s="752"/>
      <c r="C307" s="753"/>
      <c r="D307" s="753"/>
      <c r="E307" s="753"/>
      <c r="F307" s="753"/>
      <c r="G307" s="754"/>
      <c r="H307" s="753"/>
      <c r="I307" s="753"/>
      <c r="J307" s="753"/>
      <c r="K307" s="753"/>
      <c r="L307" s="792" t="s">
        <v>564</v>
      </c>
      <c r="M307" s="792" t="s">
        <v>897</v>
      </c>
      <c r="N307" s="753"/>
      <c r="O307" s="756"/>
      <c r="Q307" s="751"/>
      <c r="R307" s="684"/>
      <c r="S307" s="684"/>
      <c r="T307" s="684"/>
      <c r="U307" s="687"/>
      <c r="V307" s="688"/>
      <c r="W307" s="684"/>
      <c r="X307" s="684"/>
      <c r="Y307" s="684"/>
      <c r="Z307" s="684"/>
    </row>
    <row r="308" ht="36.0" customHeight="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t="36.0" customHeight="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t="26.25" customHeight="1" outlineLevel="1">
      <c r="A311" s="684"/>
      <c r="B311" s="766"/>
      <c r="C311" s="767">
        <f>IF(C300="","",IF(DAY(C300+1)=1,"",C300+1))</f>
        <v>46081</v>
      </c>
      <c r="D311" s="768" t="str">
        <f>TEXT(C311,"ddd")</f>
        <v>土</v>
      </c>
      <c r="E311" s="769"/>
      <c r="F311" s="797" t="s">
        <v>557</v>
      </c>
      <c r="G311" s="789" t="s">
        <v>900</v>
      </c>
      <c r="H311" s="799">
        <v>1.0</v>
      </c>
      <c r="I311" s="800">
        <v>0.625</v>
      </c>
      <c r="J311" s="799">
        <v>14.0</v>
      </c>
      <c r="K311" s="799">
        <v>5.0</v>
      </c>
      <c r="L311" s="778" t="s">
        <v>558</v>
      </c>
      <c r="M311" s="778"/>
      <c r="N311" s="797"/>
      <c r="O311" s="801"/>
      <c r="P311" s="794"/>
      <c r="Q311" s="795"/>
      <c r="R311" s="684"/>
      <c r="S311" s="684"/>
      <c r="T311" s="684"/>
      <c r="U311" s="687"/>
      <c r="V311" s="688"/>
      <c r="W311" s="684"/>
      <c r="X311" s="684"/>
      <c r="Y311" s="684"/>
      <c r="Z311" s="684"/>
    </row>
    <row r="312" ht="26.25" customHeight="1" outlineLevel="1">
      <c r="A312" s="684"/>
      <c r="B312" s="752"/>
      <c r="C312" s="753"/>
      <c r="D312" s="753"/>
      <c r="E312" s="753"/>
      <c r="F312" s="753"/>
      <c r="G312" s="754"/>
      <c r="H312" s="753"/>
      <c r="I312" s="753"/>
      <c r="J312" s="753"/>
      <c r="K312" s="753"/>
      <c r="L312" s="778" t="s">
        <v>171</v>
      </c>
      <c r="M312" s="778"/>
      <c r="N312" s="753"/>
      <c r="O312" s="756"/>
      <c r="Q312" s="751"/>
      <c r="R312" s="684"/>
      <c r="S312" s="684"/>
      <c r="T312" s="684"/>
      <c r="U312" s="687"/>
      <c r="V312" s="688"/>
      <c r="W312" s="684"/>
      <c r="X312" s="684"/>
      <c r="Y312" s="684"/>
      <c r="Z312" s="684"/>
    </row>
    <row r="313" ht="26.25" customHeight="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t="26.25" customHeight="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t="26.25" customHeight="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t="26.25" customHeight="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t="26.25" customHeight="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t="26.25" customHeight="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t="26.25" customHeight="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t="26.25" customHeight="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outlineLevel="1">
      <c r="A322" s="684"/>
      <c r="B322" s="784"/>
      <c r="C322" s="785" t="str">
        <f>IF(C311="","",IF(DAY(C311+1)=1,"",C311+1))</f>
        <v/>
      </c>
      <c r="D322" s="786" t="str">
        <f>TEXT(C322,"ddd")</f>
        <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outlineLevel="1">
      <c r="A333" s="684"/>
      <c r="B333" s="766"/>
      <c r="C333" s="767" t="str">
        <f>IF(C322="","",IF(DAY(C322+1)=1,"",C322+1))</f>
        <v/>
      </c>
      <c r="D333" s="768" t="str">
        <f>TEXT(C333,"ddd")</f>
        <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51</v>
      </c>
      <c r="C5" s="832" t="s">
        <v>83</v>
      </c>
      <c r="D5" s="833" t="s">
        <v>108</v>
      </c>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"),"①R8_2集計")</f>
        <v>①R8_2集計</v>
      </c>
      <c r="F8" s="525"/>
      <c r="G8" s="237"/>
      <c r="H8" s="237"/>
      <c r="I8" s="214"/>
      <c r="J8" s="837"/>
      <c r="K8" s="821"/>
      <c r="L8" s="850" t="s">
        <v>901</v>
      </c>
      <c r="M8" s="261"/>
      <c r="N8" s="261"/>
      <c r="O8" s="261"/>
      <c r="P8" s="261"/>
      <c r="Q8" s="261"/>
      <c r="R8" s="261"/>
      <c r="S8" s="263"/>
      <c r="U8" s="850" t="s">
        <v>902</v>
      </c>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0.2517354395</v>
      </c>
      <c r="D10" s="856">
        <f t="array" ref="D10">INDIRECT($E$8 &amp; "!E8")</f>
        <v>0.6474844584</v>
      </c>
      <c r="E10" s="856">
        <f t="array" ref="E10">INDIRECT($E$8 &amp; "!G8")</f>
        <v>0.7809917355</v>
      </c>
      <c r="F10" s="857">
        <f t="array" ref="F10">INDIRECT($E$8 &amp; "!H8")</f>
        <v>5764630</v>
      </c>
      <c r="G10" s="857">
        <f t="array" ref="G10">INDIRECT($E$8 &amp; "!K8")</f>
        <v>4803</v>
      </c>
      <c r="H10" s="857">
        <f t="array" ref="H10">INDIRECT($E$8 &amp; "!M8")</f>
        <v>1451161.667</v>
      </c>
      <c r="I10" s="856">
        <f t="array" ref="I10">INDIRECT($E$8 &amp; "!AT7")</f>
        <v>0.001328217237</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0.2475473377</v>
      </c>
      <c r="D11" s="860"/>
      <c r="E11" s="861"/>
      <c r="F11" s="862">
        <f t="array" ref="F11">INDIRECT($E$8 &amp; "!H7")</f>
        <v>5590768.125</v>
      </c>
      <c r="G11" s="860"/>
      <c r="H11" s="863">
        <f t="array" ref="H11">INDIRECT($E$8 &amp; "!M7")</f>
        <v>1383979.765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0.001433577572</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9</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v>4.0</v>
      </c>
      <c r="C21" s="884"/>
      <c r="D21" s="884">
        <v>4.0</v>
      </c>
      <c r="E21" s="884">
        <v>40.0</v>
      </c>
      <c r="F21" s="885"/>
      <c r="G21" s="885"/>
      <c r="H21" s="885"/>
      <c r="I21" s="886">
        <f>sum(B21:G21)</f>
        <v>48</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t="s">
        <v>903</v>
      </c>
      <c r="M22" s="261"/>
      <c r="N22" s="261"/>
      <c r="O22" s="261"/>
      <c r="P22" s="261"/>
      <c r="Q22" s="261"/>
      <c r="R22" s="261"/>
      <c r="S22" s="263"/>
      <c r="U22" s="850" t="s">
        <v>904</v>
      </c>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t="s">
        <v>164</v>
      </c>
      <c r="F26" s="246"/>
      <c r="G26" s="246"/>
      <c r="H26" s="895" t="s">
        <v>814</v>
      </c>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t="s">
        <v>164</v>
      </c>
      <c r="F27" s="246"/>
      <c r="G27" s="246"/>
      <c r="H27" s="895" t="s">
        <v>814</v>
      </c>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t="s">
        <v>164</v>
      </c>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t="s">
        <v>905</v>
      </c>
      <c r="M50" s="261"/>
      <c r="N50" s="261"/>
      <c r="O50" s="261"/>
      <c r="P50" s="261"/>
      <c r="Q50" s="261"/>
      <c r="R50" s="261"/>
      <c r="S50" s="263"/>
      <c r="U50" s="850" t="s">
        <v>906</v>
      </c>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4</v>
      </c>
      <c r="E64" s="882"/>
      <c r="F64" s="882"/>
      <c r="G64" s="882"/>
      <c r="H64" s="882"/>
      <c r="I64" s="882"/>
      <c r="J64" s="822"/>
      <c r="K64" s="821"/>
      <c r="L64" s="850" t="s">
        <v>907</v>
      </c>
      <c r="M64" s="261"/>
      <c r="N64" s="261"/>
      <c r="O64" s="261"/>
      <c r="P64" s="261"/>
      <c r="Q64" s="261"/>
      <c r="R64" s="261"/>
      <c r="S64" s="263"/>
      <c r="U64" s="850" t="s">
        <v>908</v>
      </c>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t="s">
        <v>101</v>
      </c>
      <c r="D66" s="905"/>
      <c r="E66" s="989">
        <v>46081.0</v>
      </c>
      <c r="F66" s="978" t="s">
        <v>909</v>
      </c>
      <c r="G66" s="905"/>
      <c r="H66" s="927" t="s">
        <v>89</v>
      </c>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08" t="s">
        <v>568</v>
      </c>
      <c r="D67" s="905"/>
      <c r="E67" s="989">
        <v>46081.0</v>
      </c>
      <c r="F67" s="978" t="s">
        <v>909</v>
      </c>
      <c r="G67" s="905"/>
      <c r="H67" s="927" t="s">
        <v>89</v>
      </c>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08" t="s">
        <v>564</v>
      </c>
      <c r="D68" s="905"/>
      <c r="E68" s="989">
        <v>46081.0</v>
      </c>
      <c r="F68" s="978" t="s">
        <v>909</v>
      </c>
      <c r="G68" s="905"/>
      <c r="H68" s="927" t="s">
        <v>89</v>
      </c>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08" t="s">
        <v>567</v>
      </c>
      <c r="D69" s="905"/>
      <c r="E69" s="989">
        <v>46069.0</v>
      </c>
      <c r="F69" s="978" t="s">
        <v>909</v>
      </c>
      <c r="G69" s="905"/>
      <c r="H69" s="927" t="s">
        <v>89</v>
      </c>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t="s">
        <v>910</v>
      </c>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990"/>
      <c r="C2" s="990"/>
      <c r="D2" s="991" t="s">
        <v>911</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992" t="s">
        <v>912</v>
      </c>
      <c r="K4" s="214"/>
      <c r="L4" s="214"/>
      <c r="M4" s="214"/>
      <c r="N4" s="214"/>
      <c r="O4" s="214"/>
      <c r="P4" s="214"/>
      <c r="Q4" s="214"/>
      <c r="R4" s="214"/>
      <c r="S4" s="214"/>
      <c r="T4" s="214"/>
      <c r="U4" s="214"/>
      <c r="V4" s="214"/>
      <c r="W4" s="214"/>
      <c r="X4" s="214"/>
      <c r="Y4" s="214"/>
      <c r="Z4" s="214"/>
      <c r="AA4" s="214"/>
      <c r="AB4" s="214"/>
      <c r="AC4" s="214"/>
    </row>
    <row r="5">
      <c r="A5" s="214"/>
      <c r="B5" s="993" t="s">
        <v>913</v>
      </c>
      <c r="C5" s="993" t="s">
        <v>914</v>
      </c>
      <c r="D5" s="993" t="s">
        <v>95</v>
      </c>
      <c r="E5" s="993" t="s">
        <v>595</v>
      </c>
      <c r="F5" s="993" t="s">
        <v>915</v>
      </c>
      <c r="G5" s="994" t="s">
        <v>916</v>
      </c>
      <c r="H5" s="993" t="s">
        <v>917</v>
      </c>
      <c r="I5" s="993" t="s">
        <v>918</v>
      </c>
      <c r="J5" s="993" t="s">
        <v>919</v>
      </c>
      <c r="K5" s="214"/>
      <c r="L5" s="214"/>
      <c r="M5" s="214"/>
      <c r="N5" s="214"/>
      <c r="O5" s="214"/>
      <c r="P5" s="214"/>
      <c r="Q5" s="214"/>
      <c r="R5" s="214"/>
      <c r="S5" s="214"/>
      <c r="T5" s="214"/>
      <c r="U5" s="214"/>
      <c r="V5" s="214"/>
      <c r="W5" s="214"/>
      <c r="X5" s="214"/>
      <c r="Y5" s="214"/>
      <c r="Z5" s="214"/>
      <c r="AA5" s="214"/>
      <c r="AB5" s="214"/>
      <c r="AC5" s="214"/>
    </row>
    <row r="6">
      <c r="A6" s="214"/>
      <c r="B6" s="169"/>
      <c r="C6" s="995">
        <v>1.0</v>
      </c>
      <c r="D6" s="242"/>
      <c r="E6" s="996" t="s">
        <v>920</v>
      </c>
      <c r="F6" s="997"/>
      <c r="G6" s="998" t="s">
        <v>921</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995">
        <v>2.0</v>
      </c>
      <c r="D7" s="242"/>
      <c r="E7" s="996" t="s">
        <v>922</v>
      </c>
      <c r="F7" s="999"/>
      <c r="G7" s="998" t="s">
        <v>923</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00"/>
      <c r="E8" s="183" t="s">
        <v>924</v>
      </c>
      <c r="F8" s="1001"/>
      <c r="G8" s="183" t="s">
        <v>923</v>
      </c>
      <c r="J8" s="190"/>
      <c r="K8" s="214"/>
      <c r="L8" s="214"/>
      <c r="M8" s="214"/>
      <c r="N8" s="214"/>
      <c r="O8" s="214"/>
      <c r="P8" s="214"/>
      <c r="Q8" s="214"/>
      <c r="R8" s="214"/>
      <c r="S8" s="214"/>
      <c r="T8" s="214"/>
      <c r="U8" s="214"/>
      <c r="V8" s="214"/>
      <c r="W8" s="214"/>
      <c r="X8" s="214"/>
      <c r="Y8" s="214"/>
      <c r="Z8" s="214"/>
      <c r="AA8" s="214"/>
      <c r="AB8" s="214"/>
      <c r="AC8" s="214"/>
    </row>
    <row r="9">
      <c r="A9" s="214"/>
      <c r="B9" s="169"/>
      <c r="C9" s="1002">
        <v>3.0</v>
      </c>
      <c r="D9" s="1003"/>
      <c r="E9" s="1004" t="s">
        <v>925</v>
      </c>
      <c r="F9" s="1005"/>
      <c r="G9" s="1006" t="s">
        <v>926</v>
      </c>
      <c r="H9" s="1007"/>
      <c r="I9" s="1007"/>
      <c r="J9" s="190"/>
      <c r="K9" s="214"/>
      <c r="L9" s="214"/>
      <c r="M9" s="214"/>
      <c r="N9" s="214"/>
      <c r="O9" s="214"/>
      <c r="P9" s="214"/>
      <c r="Q9" s="214"/>
      <c r="R9" s="214"/>
      <c r="S9" s="214"/>
      <c r="T9" s="214"/>
      <c r="U9" s="214"/>
      <c r="V9" s="214"/>
      <c r="W9" s="214"/>
      <c r="X9" s="214"/>
      <c r="Y9" s="214"/>
      <c r="Z9" s="214"/>
      <c r="AA9" s="214"/>
      <c r="AB9" s="214"/>
      <c r="AC9" s="214"/>
    </row>
    <row r="10">
      <c r="A10" s="214"/>
      <c r="B10" s="169"/>
      <c r="C10" s="1002">
        <v>4.0</v>
      </c>
      <c r="D10" s="1003"/>
      <c r="E10" s="1004" t="s">
        <v>927</v>
      </c>
      <c r="F10" s="1008"/>
      <c r="G10" s="1006" t="s">
        <v>928</v>
      </c>
      <c r="H10" s="1007"/>
      <c r="I10" s="1007"/>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02">
        <v>5.0</v>
      </c>
      <c r="D11" s="1003"/>
      <c r="E11" s="1004"/>
      <c r="F11" s="1007"/>
      <c r="G11" s="1009"/>
      <c r="H11" s="1007"/>
      <c r="I11" s="1007"/>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02">
        <v>6.0</v>
      </c>
      <c r="D12" s="1003"/>
      <c r="E12" s="1004"/>
      <c r="F12" s="1007"/>
      <c r="G12" s="1009"/>
      <c r="H12" s="1007"/>
      <c r="I12" s="1007"/>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02">
        <v>7.0</v>
      </c>
      <c r="D13" s="1003"/>
      <c r="E13" s="1004"/>
      <c r="F13" s="1007"/>
      <c r="G13" s="1009"/>
      <c r="H13" s="1007"/>
      <c r="I13" s="1007"/>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02">
        <v>8.0</v>
      </c>
      <c r="D14" s="1003"/>
      <c r="E14" s="1004"/>
      <c r="F14" s="1007"/>
      <c r="G14" s="1009"/>
      <c r="H14" s="1007"/>
      <c r="I14" s="1007"/>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02">
        <v>9.0</v>
      </c>
      <c r="D15" s="1003"/>
      <c r="E15" s="1004"/>
      <c r="F15" s="1007"/>
      <c r="G15" s="1009"/>
      <c r="H15" s="1007"/>
      <c r="I15" s="1007"/>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02">
        <v>10.0</v>
      </c>
      <c r="D16" s="1002"/>
      <c r="E16" s="1004"/>
      <c r="F16" s="1007"/>
      <c r="G16" s="1006"/>
      <c r="H16" s="1010"/>
      <c r="I16" s="1010"/>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02">
        <v>11.0</v>
      </c>
      <c r="D17" s="1002" t="s">
        <v>72</v>
      </c>
      <c r="E17" s="1004" t="s">
        <v>73</v>
      </c>
      <c r="F17" s="1011"/>
      <c r="G17" s="1006" t="s">
        <v>929</v>
      </c>
      <c r="H17" s="1010" t="s">
        <v>71</v>
      </c>
      <c r="I17" s="1010"/>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02">
        <v>12.0</v>
      </c>
      <c r="D18" s="1002" t="s">
        <v>72</v>
      </c>
      <c r="E18" s="1004" t="s">
        <v>930</v>
      </c>
      <c r="F18" s="1011"/>
      <c r="G18" s="1006" t="s">
        <v>929</v>
      </c>
      <c r="H18" s="1010" t="s">
        <v>931</v>
      </c>
      <c r="I18" s="1010"/>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02">
        <v>13.0</v>
      </c>
      <c r="D19" s="1002" t="s">
        <v>72</v>
      </c>
      <c r="E19" s="1004" t="s">
        <v>932</v>
      </c>
      <c r="F19" s="1011"/>
      <c r="G19" s="1006" t="s">
        <v>929</v>
      </c>
      <c r="H19" s="1010" t="s">
        <v>933</v>
      </c>
      <c r="I19" s="1010"/>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02">
        <v>14.0</v>
      </c>
      <c r="D20" s="1002" t="s">
        <v>72</v>
      </c>
      <c r="E20" s="1004" t="s">
        <v>934</v>
      </c>
      <c r="F20" s="1011"/>
      <c r="G20" s="1006" t="s">
        <v>929</v>
      </c>
      <c r="H20" s="1010" t="s">
        <v>935</v>
      </c>
      <c r="I20" s="1007"/>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02">
        <v>15.0</v>
      </c>
      <c r="D21" s="1002"/>
      <c r="E21" s="1004"/>
      <c r="F21" s="1007"/>
      <c r="G21" s="1009"/>
      <c r="H21" s="1007"/>
      <c r="I21" s="1007"/>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02">
        <v>16.0</v>
      </c>
      <c r="D22" s="1002"/>
      <c r="E22" s="1004"/>
      <c r="F22" s="1007"/>
      <c r="G22" s="1009"/>
      <c r="H22" s="1007"/>
      <c r="I22" s="1007"/>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02">
        <v>17.0</v>
      </c>
      <c r="D23" s="1002"/>
      <c r="E23" s="1004"/>
      <c r="F23" s="1007"/>
      <c r="G23" s="1006"/>
      <c r="H23" s="1010"/>
      <c r="I23" s="1010"/>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02">
        <v>18.0</v>
      </c>
      <c r="D24" s="1002" t="s">
        <v>70</v>
      </c>
      <c r="E24" s="1004" t="s">
        <v>71</v>
      </c>
      <c r="F24" s="1012"/>
      <c r="G24" s="1006" t="s">
        <v>936</v>
      </c>
      <c r="H24" s="1010" t="s">
        <v>69</v>
      </c>
      <c r="I24" s="1010"/>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02">
        <v>19.0</v>
      </c>
      <c r="D25" s="1002" t="s">
        <v>70</v>
      </c>
      <c r="E25" s="1004" t="s">
        <v>931</v>
      </c>
      <c r="F25" s="1012"/>
      <c r="G25" s="1006" t="s">
        <v>936</v>
      </c>
      <c r="H25" s="1010" t="s">
        <v>937</v>
      </c>
      <c r="I25" s="1010"/>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02">
        <v>20.0</v>
      </c>
      <c r="D26" s="1002" t="s">
        <v>70</v>
      </c>
      <c r="E26" s="1004" t="s">
        <v>938</v>
      </c>
      <c r="F26" s="1012"/>
      <c r="G26" s="1006" t="s">
        <v>936</v>
      </c>
      <c r="H26" s="1010" t="s">
        <v>933</v>
      </c>
      <c r="I26" s="1010"/>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02">
        <v>21.0</v>
      </c>
      <c r="D27" s="1002" t="s">
        <v>70</v>
      </c>
      <c r="E27" s="1004" t="s">
        <v>939</v>
      </c>
      <c r="F27" s="1012"/>
      <c r="G27" s="1006" t="s">
        <v>936</v>
      </c>
      <c r="H27" s="1010" t="s">
        <v>935</v>
      </c>
      <c r="I27" s="1007"/>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02">
        <v>22.0</v>
      </c>
      <c r="D28" s="1002"/>
      <c r="E28" s="1004"/>
      <c r="F28" s="1007"/>
      <c r="G28" s="1009"/>
      <c r="H28" s="1007"/>
      <c r="I28" s="1007"/>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02">
        <v>23.0</v>
      </c>
      <c r="D29" s="1002"/>
      <c r="E29" s="1004"/>
      <c r="F29" s="1007"/>
      <c r="G29" s="1009"/>
      <c r="H29" s="1007"/>
      <c r="I29" s="1007"/>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02">
        <v>24.0</v>
      </c>
      <c r="D30" s="1002"/>
      <c r="E30" s="1004"/>
      <c r="F30" s="1007"/>
      <c r="G30" s="1006"/>
      <c r="H30" s="1010"/>
      <c r="I30" s="1010"/>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02">
        <v>25.0</v>
      </c>
      <c r="D31" s="1002" t="s">
        <v>68</v>
      </c>
      <c r="E31" s="1004" t="s">
        <v>69</v>
      </c>
      <c r="F31" s="1011"/>
      <c r="G31" s="1006" t="s">
        <v>929</v>
      </c>
      <c r="H31" s="1010" t="s">
        <v>67</v>
      </c>
      <c r="I31" s="1010"/>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02">
        <v>26.0</v>
      </c>
      <c r="D32" s="1002" t="s">
        <v>68</v>
      </c>
      <c r="E32" s="1004" t="s">
        <v>937</v>
      </c>
      <c r="F32" s="1011"/>
      <c r="G32" s="1006" t="s">
        <v>929</v>
      </c>
      <c r="H32" s="1010" t="s">
        <v>940</v>
      </c>
      <c r="I32" s="1010"/>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02">
        <v>27.0</v>
      </c>
      <c r="D33" s="1002" t="s">
        <v>68</v>
      </c>
      <c r="E33" s="1004" t="s">
        <v>941</v>
      </c>
      <c r="F33" s="1011"/>
      <c r="G33" s="1006" t="s">
        <v>929</v>
      </c>
      <c r="H33" s="1010" t="s">
        <v>933</v>
      </c>
      <c r="I33" s="1010"/>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02">
        <v>28.0</v>
      </c>
      <c r="D34" s="1002" t="s">
        <v>68</v>
      </c>
      <c r="E34" s="1004" t="s">
        <v>942</v>
      </c>
      <c r="F34" s="1011"/>
      <c r="G34" s="1006" t="s">
        <v>929</v>
      </c>
      <c r="H34" s="1010" t="s">
        <v>935</v>
      </c>
      <c r="I34" s="1007"/>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02">
        <v>29.0</v>
      </c>
      <c r="D35" s="1002"/>
      <c r="E35" s="1004"/>
      <c r="F35" s="1007"/>
      <c r="G35" s="1009"/>
      <c r="H35" s="1007"/>
      <c r="I35" s="1007"/>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02">
        <v>30.0</v>
      </c>
      <c r="D36" s="1002"/>
      <c r="E36" s="1004"/>
      <c r="F36" s="1007"/>
      <c r="G36" s="1009"/>
      <c r="H36" s="1007"/>
      <c r="I36" s="1007"/>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02">
        <v>31.0</v>
      </c>
      <c r="D37" s="1002"/>
      <c r="E37" s="1004"/>
      <c r="F37" s="1007"/>
      <c r="G37" s="1006"/>
      <c r="H37" s="1010"/>
      <c r="I37" s="1010"/>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995">
        <v>33.0</v>
      </c>
      <c r="D38" s="995" t="s">
        <v>66</v>
      </c>
      <c r="E38" s="1013" t="s">
        <v>940</v>
      </c>
      <c r="F38" s="1014"/>
      <c r="G38" s="998" t="s">
        <v>936</v>
      </c>
      <c r="H38" s="169" t="s">
        <v>943</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995">
        <v>34.0</v>
      </c>
      <c r="D39" s="995" t="s">
        <v>66</v>
      </c>
      <c r="E39" s="1013" t="s">
        <v>944</v>
      </c>
      <c r="F39" s="1014"/>
      <c r="G39" s="998" t="s">
        <v>936</v>
      </c>
      <c r="H39" s="169" t="s">
        <v>933</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995">
        <v>35.0</v>
      </c>
      <c r="D40" s="995" t="s">
        <v>66</v>
      </c>
      <c r="E40" s="1013" t="s">
        <v>945</v>
      </c>
      <c r="F40" s="1014"/>
      <c r="G40" s="998" t="s">
        <v>936</v>
      </c>
      <c r="H40" s="169" t="s">
        <v>935</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995">
        <v>36.0</v>
      </c>
      <c r="D41" s="995"/>
      <c r="E41" s="1013"/>
      <c r="F41" s="190"/>
      <c r="G41" s="1015"/>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995">
        <v>37.0</v>
      </c>
      <c r="D42" s="995"/>
      <c r="E42" s="1013"/>
      <c r="F42" s="190"/>
      <c r="G42" s="1015"/>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995">
        <v>38.0</v>
      </c>
      <c r="D43" s="995"/>
      <c r="E43" s="1013"/>
      <c r="F43" s="190"/>
      <c r="G43" s="1015"/>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995">
        <v>39.0</v>
      </c>
      <c r="D44" s="995" t="s">
        <v>64</v>
      </c>
      <c r="E44" s="1013" t="s">
        <v>65</v>
      </c>
      <c r="F44" s="1016"/>
      <c r="G44" s="998" t="s">
        <v>929</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995">
        <v>40.0</v>
      </c>
      <c r="D45" s="995" t="s">
        <v>64</v>
      </c>
      <c r="E45" s="1013" t="s">
        <v>943</v>
      </c>
      <c r="F45" s="1016"/>
      <c r="G45" s="998" t="s">
        <v>929</v>
      </c>
      <c r="H45" s="169" t="s">
        <v>946</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995">
        <v>41.0</v>
      </c>
      <c r="D46" s="995" t="s">
        <v>64</v>
      </c>
      <c r="E46" s="1013" t="s">
        <v>947</v>
      </c>
      <c r="F46" s="1016"/>
      <c r="G46" s="998" t="s">
        <v>929</v>
      </c>
      <c r="H46" s="169" t="s">
        <v>933</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995">
        <v>42.0</v>
      </c>
      <c r="D47" s="995" t="s">
        <v>64</v>
      </c>
      <c r="E47" s="1013" t="s">
        <v>948</v>
      </c>
      <c r="F47" s="1016"/>
      <c r="G47" s="998" t="s">
        <v>929</v>
      </c>
      <c r="H47" s="169" t="s">
        <v>935</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995">
        <v>43.0</v>
      </c>
      <c r="D48" s="995"/>
      <c r="E48" s="1013"/>
      <c r="F48" s="190"/>
      <c r="G48" s="1015"/>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995">
        <v>44.0</v>
      </c>
      <c r="D49" s="995"/>
      <c r="E49" s="1013"/>
      <c r="F49" s="190"/>
      <c r="G49" s="1015"/>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995">
        <v>45.0</v>
      </c>
      <c r="D50" s="995"/>
      <c r="E50" s="1013"/>
      <c r="F50" s="190"/>
      <c r="G50" s="1015"/>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995">
        <v>46.0</v>
      </c>
      <c r="D51" s="995" t="s">
        <v>62</v>
      </c>
      <c r="E51" s="1013" t="s">
        <v>63</v>
      </c>
      <c r="F51" s="1014"/>
      <c r="G51" s="998" t="s">
        <v>936</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995">
        <v>47.0</v>
      </c>
      <c r="D52" s="995" t="s">
        <v>62</v>
      </c>
      <c r="E52" s="1013" t="s">
        <v>946</v>
      </c>
      <c r="F52" s="1014"/>
      <c r="G52" s="998" t="s">
        <v>936</v>
      </c>
      <c r="H52" s="169" t="s">
        <v>949</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995">
        <v>48.0</v>
      </c>
      <c r="D53" s="995" t="s">
        <v>62</v>
      </c>
      <c r="E53" s="1013" t="s">
        <v>950</v>
      </c>
      <c r="F53" s="1014"/>
      <c r="G53" s="998" t="s">
        <v>936</v>
      </c>
      <c r="H53" s="169" t="s">
        <v>933</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995">
        <v>49.0</v>
      </c>
      <c r="D54" s="995" t="s">
        <v>62</v>
      </c>
      <c r="E54" s="1013" t="s">
        <v>951</v>
      </c>
      <c r="F54" s="1014"/>
      <c r="G54" s="998" t="s">
        <v>936</v>
      </c>
      <c r="H54" s="169" t="s">
        <v>935</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995">
        <v>50.0</v>
      </c>
      <c r="D55" s="995"/>
      <c r="E55" s="1013"/>
      <c r="F55" s="190"/>
      <c r="G55" s="1015"/>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995">
        <v>51.0</v>
      </c>
      <c r="D56" s="995"/>
      <c r="E56" s="1013"/>
      <c r="F56" s="190"/>
      <c r="G56" s="1015"/>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995">
        <v>52.0</v>
      </c>
      <c r="D57" s="995"/>
      <c r="E57" s="1013"/>
      <c r="F57" s="190"/>
      <c r="G57" s="1015"/>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995">
        <v>53.0</v>
      </c>
      <c r="D58" s="995" t="s">
        <v>60</v>
      </c>
      <c r="E58" s="1013" t="s">
        <v>61</v>
      </c>
      <c r="F58" s="1016"/>
      <c r="G58" s="998" t="s">
        <v>929</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995">
        <v>54.0</v>
      </c>
      <c r="D59" s="995" t="s">
        <v>60</v>
      </c>
      <c r="E59" s="1013" t="s">
        <v>949</v>
      </c>
      <c r="F59" s="1016"/>
      <c r="G59" s="998" t="s">
        <v>929</v>
      </c>
      <c r="H59" s="169" t="s">
        <v>952</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995">
        <v>55.0</v>
      </c>
      <c r="D60" s="995" t="s">
        <v>60</v>
      </c>
      <c r="E60" s="1013" t="s">
        <v>953</v>
      </c>
      <c r="F60" s="1016"/>
      <c r="G60" s="998" t="s">
        <v>929</v>
      </c>
      <c r="H60" s="169" t="s">
        <v>933</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995">
        <v>56.0</v>
      </c>
      <c r="D61" s="995" t="s">
        <v>60</v>
      </c>
      <c r="E61" s="1013" t="s">
        <v>954</v>
      </c>
      <c r="F61" s="1016"/>
      <c r="G61" s="998" t="s">
        <v>929</v>
      </c>
      <c r="H61" s="169" t="s">
        <v>935</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995">
        <v>57.0</v>
      </c>
      <c r="D62" s="995"/>
      <c r="E62" s="1013"/>
      <c r="F62" s="190"/>
      <c r="G62" s="1015"/>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995">
        <v>58.0</v>
      </c>
      <c r="D63" s="995"/>
      <c r="E63" s="1013"/>
      <c r="F63" s="190"/>
      <c r="G63" s="1015"/>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995">
        <v>59.0</v>
      </c>
      <c r="D64" s="995"/>
      <c r="E64" s="1013"/>
      <c r="F64" s="190"/>
      <c r="G64" s="1015"/>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995">
        <v>60.0</v>
      </c>
      <c r="D65" s="995" t="s">
        <v>58</v>
      </c>
      <c r="E65" s="1013" t="s">
        <v>59</v>
      </c>
      <c r="F65" s="1014"/>
      <c r="G65" s="998" t="s">
        <v>936</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995">
        <v>61.0</v>
      </c>
      <c r="D66" s="995" t="s">
        <v>58</v>
      </c>
      <c r="E66" s="1013" t="s">
        <v>952</v>
      </c>
      <c r="F66" s="1014"/>
      <c r="G66" s="998" t="s">
        <v>936</v>
      </c>
      <c r="H66" s="169" t="s">
        <v>955</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995">
        <v>62.0</v>
      </c>
      <c r="D67" s="995" t="s">
        <v>58</v>
      </c>
      <c r="E67" s="1013" t="s">
        <v>956</v>
      </c>
      <c r="F67" s="1014"/>
      <c r="G67" s="998" t="s">
        <v>936</v>
      </c>
      <c r="H67" s="169" t="s">
        <v>933</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995">
        <v>63.0</v>
      </c>
      <c r="D68" s="995" t="s">
        <v>58</v>
      </c>
      <c r="E68" s="1013" t="s">
        <v>957</v>
      </c>
      <c r="F68" s="1014"/>
      <c r="G68" s="998" t="s">
        <v>936</v>
      </c>
      <c r="H68" s="169" t="s">
        <v>935</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995">
        <v>64.0</v>
      </c>
      <c r="D69" s="995"/>
      <c r="E69" s="1013"/>
      <c r="F69" s="190"/>
      <c r="G69" s="1015"/>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995">
        <v>65.0</v>
      </c>
      <c r="D70" s="995"/>
      <c r="E70" s="1013"/>
      <c r="F70" s="190"/>
      <c r="G70" s="1015"/>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995">
        <v>66.0</v>
      </c>
      <c r="D71" s="995"/>
      <c r="E71" s="1013"/>
      <c r="F71" s="190"/>
      <c r="G71" s="1015"/>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995">
        <v>67.0</v>
      </c>
      <c r="D72" s="995" t="s">
        <v>56</v>
      </c>
      <c r="E72" s="1013" t="s">
        <v>57</v>
      </c>
      <c r="F72" s="1016"/>
      <c r="G72" s="998" t="s">
        <v>929</v>
      </c>
      <c r="H72" s="169" t="s">
        <v>55</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995">
        <v>68.0</v>
      </c>
      <c r="D73" s="995" t="s">
        <v>56</v>
      </c>
      <c r="E73" s="1013" t="s">
        <v>955</v>
      </c>
      <c r="F73" s="1016"/>
      <c r="G73" s="998" t="s">
        <v>929</v>
      </c>
      <c r="H73" s="169" t="s">
        <v>958</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995">
        <v>69.0</v>
      </c>
      <c r="D74" s="995" t="s">
        <v>56</v>
      </c>
      <c r="E74" s="1013" t="s">
        <v>959</v>
      </c>
      <c r="F74" s="1016"/>
      <c r="G74" s="998" t="s">
        <v>929</v>
      </c>
      <c r="H74" s="169" t="s">
        <v>933</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995">
        <v>70.0</v>
      </c>
      <c r="D75" s="995" t="s">
        <v>56</v>
      </c>
      <c r="E75" s="1013" t="s">
        <v>960</v>
      </c>
      <c r="F75" s="1016"/>
      <c r="G75" s="998" t="s">
        <v>929</v>
      </c>
      <c r="H75" s="169" t="s">
        <v>935</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995">
        <v>71.0</v>
      </c>
      <c r="D76" s="995"/>
      <c r="E76" s="1013"/>
      <c r="F76" s="190"/>
      <c r="G76" s="1015"/>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995">
        <v>72.0</v>
      </c>
      <c r="D77" s="995"/>
      <c r="E77" s="1013"/>
      <c r="F77" s="190"/>
      <c r="G77" s="1015"/>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995">
        <v>73.0</v>
      </c>
      <c r="D78" s="995"/>
      <c r="E78" s="1013"/>
      <c r="F78" s="190"/>
      <c r="G78" s="1015"/>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995">
        <v>74.0</v>
      </c>
      <c r="D79" s="995" t="s">
        <v>33</v>
      </c>
      <c r="E79" s="996" t="s">
        <v>55</v>
      </c>
      <c r="F79" s="1014"/>
      <c r="G79" s="998" t="s">
        <v>936</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995">
        <v>75.0</v>
      </c>
      <c r="D80" s="995" t="s">
        <v>33</v>
      </c>
      <c r="E80" s="996" t="s">
        <v>958</v>
      </c>
      <c r="F80" s="1014"/>
      <c r="G80" s="998" t="s">
        <v>936</v>
      </c>
      <c r="H80" s="169" t="s">
        <v>961</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995">
        <v>76.0</v>
      </c>
      <c r="D81" s="995" t="s">
        <v>33</v>
      </c>
      <c r="E81" s="996" t="s">
        <v>962</v>
      </c>
      <c r="F81" s="1014"/>
      <c r="G81" s="998" t="s">
        <v>936</v>
      </c>
      <c r="H81" s="169" t="s">
        <v>933</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995">
        <v>77.0</v>
      </c>
      <c r="D82" s="995" t="s">
        <v>33</v>
      </c>
      <c r="E82" s="996" t="s">
        <v>963</v>
      </c>
      <c r="F82" s="1014"/>
      <c r="G82" s="998" t="s">
        <v>936</v>
      </c>
      <c r="H82" s="169" t="s">
        <v>935</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995">
        <v>78.0</v>
      </c>
      <c r="D83" s="995"/>
      <c r="E83" s="1013"/>
      <c r="F83" s="190"/>
      <c r="G83" s="1015"/>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995">
        <v>79.0</v>
      </c>
      <c r="D84" s="995"/>
      <c r="E84" s="1013"/>
      <c r="F84" s="190"/>
      <c r="G84" s="1015"/>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995">
        <v>80.0</v>
      </c>
      <c r="D85" s="995"/>
      <c r="E85" s="1013"/>
      <c r="F85" s="190"/>
      <c r="G85" s="1015"/>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995">
        <v>81.0</v>
      </c>
      <c r="D86" s="995" t="s">
        <v>53</v>
      </c>
      <c r="E86" s="996" t="s">
        <v>54</v>
      </c>
      <c r="F86" s="1016"/>
      <c r="G86" s="998" t="s">
        <v>929</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995">
        <v>82.0</v>
      </c>
      <c r="D87" s="995" t="s">
        <v>53</v>
      </c>
      <c r="E87" s="996" t="s">
        <v>961</v>
      </c>
      <c r="F87" s="1016"/>
      <c r="G87" s="998" t="s">
        <v>929</v>
      </c>
      <c r="H87" s="169" t="s">
        <v>964</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995">
        <v>83.0</v>
      </c>
      <c r="D88" s="995" t="s">
        <v>53</v>
      </c>
      <c r="E88" s="996" t="s">
        <v>965</v>
      </c>
      <c r="F88" s="1016"/>
      <c r="G88" s="998" t="s">
        <v>929</v>
      </c>
      <c r="H88" s="169" t="s">
        <v>933</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995">
        <v>84.0</v>
      </c>
      <c r="D89" s="995" t="s">
        <v>53</v>
      </c>
      <c r="E89" s="996" t="s">
        <v>966</v>
      </c>
      <c r="F89" s="1016"/>
      <c r="G89" s="998" t="s">
        <v>929</v>
      </c>
      <c r="H89" s="169" t="s">
        <v>935</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995">
        <v>85.0</v>
      </c>
      <c r="D90" s="995"/>
      <c r="E90" s="1013"/>
      <c r="F90" s="190"/>
      <c r="G90" s="1015"/>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995">
        <v>86.0</v>
      </c>
      <c r="D91" s="995"/>
      <c r="E91" s="1013"/>
      <c r="F91" s="190"/>
      <c r="G91" s="1015"/>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995">
        <v>87.0</v>
      </c>
      <c r="D92" s="995"/>
      <c r="E92" s="1013"/>
      <c r="F92" s="190"/>
      <c r="G92" s="1015"/>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995">
        <v>88.0</v>
      </c>
      <c r="D93" s="995" t="s">
        <v>51</v>
      </c>
      <c r="E93" s="996" t="s">
        <v>52</v>
      </c>
      <c r="F93" s="1014"/>
      <c r="G93" s="998" t="s">
        <v>936</v>
      </c>
      <c r="H93" s="169" t="s">
        <v>967</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995">
        <v>89.0</v>
      </c>
      <c r="D94" s="995" t="s">
        <v>51</v>
      </c>
      <c r="E94" s="996" t="s">
        <v>964</v>
      </c>
      <c r="F94" s="1014"/>
      <c r="G94" s="998" t="s">
        <v>936</v>
      </c>
      <c r="H94" s="169" t="s">
        <v>968</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995">
        <v>90.0</v>
      </c>
      <c r="D95" s="995" t="s">
        <v>51</v>
      </c>
      <c r="E95" s="996" t="s">
        <v>969</v>
      </c>
      <c r="F95" s="1014"/>
      <c r="G95" s="998" t="s">
        <v>936</v>
      </c>
      <c r="H95" s="169" t="s">
        <v>933</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995">
        <v>91.0</v>
      </c>
      <c r="D96" s="995" t="s">
        <v>51</v>
      </c>
      <c r="E96" s="996" t="s">
        <v>970</v>
      </c>
      <c r="F96" s="1014"/>
      <c r="G96" s="998" t="s">
        <v>936</v>
      </c>
      <c r="H96" s="169" t="s">
        <v>935</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995">
        <v>92.0</v>
      </c>
      <c r="D97" s="995"/>
      <c r="E97" s="1013"/>
      <c r="F97" s="190"/>
      <c r="G97" s="1015"/>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995">
        <v>93.0</v>
      </c>
      <c r="D98" s="995"/>
      <c r="E98" s="1013"/>
      <c r="F98" s="190"/>
      <c r="G98" s="1015"/>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995">
        <v>94.0</v>
      </c>
      <c r="D99" s="995"/>
      <c r="E99" s="1013"/>
      <c r="F99" s="190"/>
      <c r="G99" s="1015"/>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995">
        <v>95.0</v>
      </c>
      <c r="D100" s="995"/>
      <c r="E100" s="1013"/>
      <c r="F100" s="1017"/>
      <c r="G100" s="998"/>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995">
        <v>96.0</v>
      </c>
      <c r="D101" s="995"/>
      <c r="E101" s="1013"/>
      <c r="F101" s="1017"/>
      <c r="G101" s="998"/>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995">
        <v>97.0</v>
      </c>
      <c r="D102" s="995"/>
      <c r="E102" s="996" t="s">
        <v>971</v>
      </c>
      <c r="F102" s="1018"/>
      <c r="G102" s="998" t="s">
        <v>972</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995">
        <v>98.0</v>
      </c>
      <c r="D103" s="995"/>
      <c r="E103" s="996" t="s">
        <v>973</v>
      </c>
      <c r="F103" s="1019"/>
      <c r="G103" s="998" t="s">
        <v>974</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995">
        <v>99.0</v>
      </c>
      <c r="D104" s="995"/>
      <c r="E104" s="996" t="s">
        <v>975</v>
      </c>
      <c r="F104" s="1020"/>
      <c r="G104" s="998" t="s">
        <v>976</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995">
        <v>100.0</v>
      </c>
      <c r="D105" s="995"/>
      <c r="E105" s="996" t="s">
        <v>977</v>
      </c>
      <c r="F105" s="1021"/>
      <c r="G105" s="998" t="s">
        <v>978</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995">
        <v>101.0</v>
      </c>
      <c r="D106" s="995"/>
      <c r="E106" s="996" t="s">
        <v>967</v>
      </c>
      <c r="F106" s="1022"/>
      <c r="G106" s="998" t="s">
        <v>979</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995">
        <v>102.0</v>
      </c>
      <c r="D107" s="995"/>
      <c r="E107" s="996" t="s">
        <v>968</v>
      </c>
      <c r="F107" s="1022"/>
      <c r="G107" s="998" t="s">
        <v>979</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995">
        <v>103.0</v>
      </c>
      <c r="D108" s="995"/>
      <c r="E108" s="996" t="s">
        <v>933</v>
      </c>
      <c r="F108" s="1022"/>
      <c r="G108" s="998" t="s">
        <v>979</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995">
        <v>104.0</v>
      </c>
      <c r="D109" s="995"/>
      <c r="E109" s="996" t="s">
        <v>935</v>
      </c>
      <c r="F109" s="1022"/>
      <c r="G109" s="998" t="s">
        <v>979</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995">
        <v>105.0</v>
      </c>
      <c r="D110" s="995"/>
      <c r="E110" s="1023"/>
      <c r="F110" s="190"/>
      <c r="G110" s="1015"/>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995">
        <v>106.0</v>
      </c>
      <c r="D111" s="242"/>
      <c r="E111" s="1024"/>
      <c r="F111" s="1017"/>
      <c r="G111" s="998"/>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995">
        <v>107.0</v>
      </c>
      <c r="D112" s="242"/>
      <c r="E112" s="1023"/>
      <c r="F112" s="190"/>
      <c r="G112" s="1015"/>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995">
        <v>108.0</v>
      </c>
      <c r="D113" s="242"/>
      <c r="E113" s="1023"/>
      <c r="F113" s="190"/>
      <c r="G113" s="1015"/>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995">
        <v>109.0</v>
      </c>
      <c r="D114" s="242"/>
      <c r="E114" s="1023"/>
      <c r="F114" s="190"/>
      <c r="G114" s="1015"/>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995">
        <v>110.0</v>
      </c>
      <c r="D115" s="242"/>
      <c r="E115" s="1023"/>
      <c r="F115" s="190"/>
      <c r="G115" s="1015"/>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995">
        <v>111.0</v>
      </c>
      <c r="D116" s="242"/>
      <c r="E116" s="1023"/>
      <c r="F116" s="190"/>
      <c r="G116" s="1015"/>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995">
        <v>112.0</v>
      </c>
      <c r="D117" s="242"/>
      <c r="E117" s="1023"/>
      <c r="F117" s="190"/>
      <c r="G117" s="1015"/>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995">
        <v>113.0</v>
      </c>
      <c r="D118" s="242"/>
      <c r="E118" s="1023"/>
      <c r="F118" s="190"/>
      <c r="G118" s="1015"/>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995">
        <v>114.0</v>
      </c>
      <c r="D119" s="242"/>
      <c r="E119" s="1023"/>
      <c r="F119" s="190"/>
      <c r="G119" s="1015"/>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995">
        <v>115.0</v>
      </c>
      <c r="D120" s="242"/>
      <c r="E120" s="1023"/>
      <c r="F120" s="190"/>
      <c r="G120" s="1015"/>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995">
        <v>116.0</v>
      </c>
      <c r="D121" s="242"/>
      <c r="E121" s="1023"/>
      <c r="F121" s="190"/>
      <c r="G121" s="1015"/>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995">
        <v>117.0</v>
      </c>
      <c r="D122" s="242"/>
      <c r="E122" s="1023"/>
      <c r="F122" s="190"/>
      <c r="G122" s="1015"/>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995">
        <v>118.0</v>
      </c>
      <c r="D123" s="242"/>
      <c r="E123" s="1023"/>
      <c r="F123" s="190"/>
      <c r="G123" s="1015"/>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995">
        <v>119.0</v>
      </c>
      <c r="D124" s="242"/>
      <c r="E124" s="1023"/>
      <c r="F124" s="190"/>
      <c r="G124" s="1015"/>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995">
        <v>120.0</v>
      </c>
      <c r="D125" s="242"/>
      <c r="E125" s="1023"/>
      <c r="F125" s="190"/>
      <c r="G125" s="1015"/>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995">
        <v>121.0</v>
      </c>
      <c r="D126" s="242"/>
      <c r="E126" s="1023"/>
      <c r="F126" s="190"/>
      <c r="G126" s="1015"/>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995">
        <v>122.0</v>
      </c>
      <c r="D127" s="242"/>
      <c r="E127" s="1023"/>
      <c r="F127" s="190"/>
      <c r="G127" s="1015"/>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995">
        <v>123.0</v>
      </c>
      <c r="D128" s="242"/>
      <c r="E128" s="1023"/>
      <c r="F128" s="190"/>
      <c r="G128" s="1015"/>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995">
        <v>124.0</v>
      </c>
      <c r="D129" s="242"/>
      <c r="E129" s="1023"/>
      <c r="F129" s="190"/>
      <c r="G129" s="1015"/>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995">
        <v>125.0</v>
      </c>
      <c r="D130" s="242"/>
      <c r="E130" s="1023"/>
      <c r="F130" s="190"/>
      <c r="G130" s="1015"/>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995">
        <v>126.0</v>
      </c>
      <c r="D131" s="242"/>
      <c r="E131" s="1023"/>
      <c r="F131" s="190"/>
      <c r="G131" s="1015"/>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995">
        <v>127.0</v>
      </c>
      <c r="D132" s="242"/>
      <c r="E132" s="1023"/>
      <c r="F132" s="190"/>
      <c r="G132" s="1015"/>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995">
        <v>128.0</v>
      </c>
      <c r="D133" s="242"/>
      <c r="E133" s="1023"/>
      <c r="F133" s="190"/>
      <c r="G133" s="1015"/>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995">
        <v>129.0</v>
      </c>
      <c r="D134" s="242"/>
      <c r="E134" s="1023"/>
      <c r="F134" s="190"/>
      <c r="G134" s="1015"/>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995">
        <v>130.0</v>
      </c>
      <c r="D135" s="242"/>
      <c r="E135" s="1023"/>
      <c r="F135" s="190"/>
      <c r="G135" s="1015"/>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995">
        <v>131.0</v>
      </c>
      <c r="D136" s="242"/>
      <c r="E136" s="1023"/>
      <c r="F136" s="190"/>
      <c r="G136" s="1015"/>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995">
        <v>132.0</v>
      </c>
      <c r="D137" s="242"/>
      <c r="E137" s="1023"/>
      <c r="F137" s="190"/>
      <c r="G137" s="1015"/>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995">
        <v>133.0</v>
      </c>
      <c r="D138" s="242"/>
      <c r="E138" s="1023"/>
      <c r="F138" s="190"/>
      <c r="G138" s="1015"/>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995">
        <v>134.0</v>
      </c>
      <c r="D139" s="242"/>
      <c r="E139" s="1023"/>
      <c r="F139" s="190"/>
      <c r="G139" s="1015"/>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995">
        <v>135.0</v>
      </c>
      <c r="D140" s="242"/>
      <c r="E140" s="1023"/>
      <c r="F140" s="190"/>
      <c r="G140" s="1015"/>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995">
        <v>136.0</v>
      </c>
      <c r="D141" s="242"/>
      <c r="E141" s="1023"/>
      <c r="F141" s="190"/>
      <c r="G141" s="1015"/>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995">
        <v>137.0</v>
      </c>
      <c r="D142" s="242"/>
      <c r="E142" s="1023"/>
      <c r="F142" s="190"/>
      <c r="G142" s="1015"/>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995">
        <v>138.0</v>
      </c>
      <c r="D143" s="242"/>
      <c r="E143" s="1023"/>
      <c r="F143" s="190"/>
      <c r="G143" s="1015"/>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995">
        <v>139.0</v>
      </c>
      <c r="D144" s="242"/>
      <c r="E144" s="1023"/>
      <c r="F144" s="190"/>
      <c r="G144" s="1015"/>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995">
        <v>140.0</v>
      </c>
      <c r="D145" s="242"/>
      <c r="E145" s="1023"/>
      <c r="F145" s="190"/>
      <c r="G145" s="1015"/>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995">
        <v>141.0</v>
      </c>
      <c r="D146" s="242"/>
      <c r="E146" s="1023"/>
      <c r="F146" s="190"/>
      <c r="G146" s="1015"/>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995">
        <v>142.0</v>
      </c>
      <c r="D147" s="242"/>
      <c r="E147" s="1023"/>
      <c r="F147" s="190"/>
      <c r="G147" s="1015"/>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995">
        <v>143.0</v>
      </c>
      <c r="D148" s="242"/>
      <c r="E148" s="1023"/>
      <c r="F148" s="190"/>
      <c r="G148" s="1015"/>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995">
        <v>144.0</v>
      </c>
      <c r="D149" s="242"/>
      <c r="E149" s="1023"/>
      <c r="F149" s="190"/>
      <c r="G149" s="1015"/>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995">
        <v>145.0</v>
      </c>
      <c r="D150" s="242"/>
      <c r="E150" s="1023"/>
      <c r="F150" s="190"/>
      <c r="G150" s="1015"/>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995">
        <v>146.0</v>
      </c>
      <c r="D151" s="242"/>
      <c r="E151" s="1023"/>
      <c r="F151" s="190"/>
      <c r="G151" s="1015"/>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995">
        <v>147.0</v>
      </c>
      <c r="D152" s="242"/>
      <c r="E152" s="1023"/>
      <c r="F152" s="190"/>
      <c r="G152" s="1015"/>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995">
        <v>148.0</v>
      </c>
      <c r="D153" s="242"/>
      <c r="E153" s="1023"/>
      <c r="F153" s="190"/>
      <c r="G153" s="1015"/>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995">
        <v>149.0</v>
      </c>
      <c r="D154" s="242"/>
      <c r="E154" s="1023"/>
      <c r="F154" s="190"/>
      <c r="G154" s="1015"/>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995">
        <v>150.0</v>
      </c>
      <c r="D155" s="242"/>
      <c r="E155" s="1023"/>
      <c r="F155" s="190"/>
      <c r="G155" s="1015"/>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995">
        <v>151.0</v>
      </c>
      <c r="D156" s="242"/>
      <c r="E156" s="1023"/>
      <c r="F156" s="190"/>
      <c r="G156" s="1015"/>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995">
        <v>152.0</v>
      </c>
      <c r="D157" s="242"/>
      <c r="E157" s="1023"/>
      <c r="F157" s="190"/>
      <c r="G157" s="1015"/>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995">
        <v>153.0</v>
      </c>
      <c r="D158" s="242"/>
      <c r="E158" s="1023"/>
      <c r="F158" s="190"/>
      <c r="G158" s="1015"/>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995">
        <v>154.0</v>
      </c>
      <c r="D159" s="242"/>
      <c r="E159" s="1023"/>
      <c r="F159" s="190"/>
      <c r="G159" s="1015"/>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995">
        <v>155.0</v>
      </c>
      <c r="D160" s="242"/>
      <c r="E160" s="1023"/>
      <c r="F160" s="190"/>
      <c r="G160" s="1015"/>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995">
        <v>156.0</v>
      </c>
      <c r="D161" s="242"/>
      <c r="E161" s="1023"/>
      <c r="F161" s="190"/>
      <c r="G161" s="1015"/>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995">
        <v>157.0</v>
      </c>
      <c r="D162" s="242"/>
      <c r="E162" s="1023"/>
      <c r="F162" s="190"/>
      <c r="G162" s="1015"/>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995">
        <v>158.0</v>
      </c>
      <c r="D163" s="242"/>
      <c r="E163" s="1023"/>
      <c r="F163" s="190"/>
      <c r="G163" s="1015"/>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995">
        <v>159.0</v>
      </c>
      <c r="D164" s="242"/>
      <c r="E164" s="1023"/>
      <c r="F164" s="190"/>
      <c r="G164" s="1015"/>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995">
        <v>160.0</v>
      </c>
      <c r="D165" s="242"/>
      <c r="E165" s="1023"/>
      <c r="F165" s="190"/>
      <c r="G165" s="1015"/>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995">
        <v>161.0</v>
      </c>
      <c r="D166" s="242"/>
      <c r="E166" s="1023"/>
      <c r="F166" s="190"/>
      <c r="G166" s="1015"/>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995">
        <v>162.0</v>
      </c>
      <c r="D167" s="242"/>
      <c r="E167" s="1023"/>
      <c r="F167" s="190"/>
      <c r="G167" s="1015"/>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995">
        <v>163.0</v>
      </c>
      <c r="D168" s="242"/>
      <c r="E168" s="1023"/>
      <c r="F168" s="190"/>
      <c r="G168" s="1015"/>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995">
        <v>164.0</v>
      </c>
      <c r="D169" s="242"/>
      <c r="E169" s="1023"/>
      <c r="F169" s="190"/>
      <c r="G169" s="1015"/>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995">
        <v>165.0</v>
      </c>
      <c r="D170" s="242"/>
      <c r="E170" s="1023"/>
      <c r="F170" s="190"/>
      <c r="G170" s="1015"/>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995">
        <v>166.0</v>
      </c>
      <c r="D171" s="242"/>
      <c r="E171" s="1023"/>
      <c r="F171" s="190"/>
      <c r="G171" s="1015"/>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995">
        <v>167.0</v>
      </c>
      <c r="D172" s="242"/>
      <c r="E172" s="1023"/>
      <c r="F172" s="190"/>
      <c r="G172" s="1015"/>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995">
        <v>168.0</v>
      </c>
      <c r="D173" s="242"/>
      <c r="E173" s="1023"/>
      <c r="F173" s="190"/>
      <c r="G173" s="1015"/>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995">
        <v>169.0</v>
      </c>
      <c r="D174" s="242"/>
      <c r="E174" s="1023"/>
      <c r="F174" s="190"/>
      <c r="G174" s="1015"/>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995">
        <v>170.0</v>
      </c>
      <c r="D175" s="242"/>
      <c r="E175" s="1023"/>
      <c r="F175" s="190"/>
      <c r="G175" s="1015"/>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995">
        <v>171.0</v>
      </c>
      <c r="D176" s="242"/>
      <c r="E176" s="1023"/>
      <c r="F176" s="190"/>
      <c r="G176" s="1015"/>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995">
        <v>172.0</v>
      </c>
      <c r="D177" s="242"/>
      <c r="E177" s="1023"/>
      <c r="F177" s="190"/>
      <c r="G177" s="1015"/>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995">
        <v>173.0</v>
      </c>
      <c r="D178" s="242"/>
      <c r="E178" s="1023"/>
      <c r="F178" s="190"/>
      <c r="G178" s="1015"/>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995">
        <v>174.0</v>
      </c>
      <c r="D179" s="242"/>
      <c r="E179" s="1023"/>
      <c r="F179" s="190"/>
      <c r="G179" s="1015"/>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995">
        <v>175.0</v>
      </c>
      <c r="D180" s="242"/>
      <c r="E180" s="1023"/>
      <c r="F180" s="190"/>
      <c r="G180" s="1015"/>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995">
        <v>176.0</v>
      </c>
      <c r="D181" s="242"/>
      <c r="E181" s="1023"/>
      <c r="F181" s="190"/>
      <c r="G181" s="1015"/>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995">
        <v>177.0</v>
      </c>
      <c r="D182" s="242"/>
      <c r="E182" s="1023"/>
      <c r="F182" s="190"/>
      <c r="G182" s="1015"/>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995">
        <v>178.0</v>
      </c>
      <c r="D183" s="242"/>
      <c r="E183" s="1023"/>
      <c r="F183" s="190"/>
      <c r="G183" s="1015"/>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995">
        <v>179.0</v>
      </c>
      <c r="D184" s="242"/>
      <c r="E184" s="1023"/>
      <c r="F184" s="190"/>
      <c r="G184" s="1015"/>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995">
        <v>180.0</v>
      </c>
      <c r="D185" s="242"/>
      <c r="E185" s="1023"/>
      <c r="F185" s="190"/>
      <c r="G185" s="1015"/>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995">
        <v>181.0</v>
      </c>
      <c r="D186" s="242"/>
      <c r="E186" s="1023"/>
      <c r="F186" s="190"/>
      <c r="G186" s="1015"/>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995">
        <v>182.0</v>
      </c>
      <c r="D187" s="242"/>
      <c r="E187" s="1023"/>
      <c r="F187" s="190"/>
      <c r="G187" s="1015"/>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995">
        <v>183.0</v>
      </c>
      <c r="D188" s="242"/>
      <c r="E188" s="1023"/>
      <c r="F188" s="190"/>
      <c r="G188" s="1015"/>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995">
        <v>184.0</v>
      </c>
      <c r="D189" s="242"/>
      <c r="E189" s="1023"/>
      <c r="F189" s="190"/>
      <c r="G189" s="1015"/>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995">
        <v>185.0</v>
      </c>
      <c r="D190" s="242"/>
      <c r="E190" s="1023"/>
      <c r="F190" s="190"/>
      <c r="G190" s="1015"/>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995">
        <v>186.0</v>
      </c>
      <c r="D191" s="242"/>
      <c r="E191" s="1023"/>
      <c r="F191" s="190"/>
      <c r="G191" s="1015"/>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995">
        <v>187.0</v>
      </c>
      <c r="D192" s="242"/>
      <c r="E192" s="1023"/>
      <c r="F192" s="190"/>
      <c r="G192" s="1015"/>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995">
        <v>188.0</v>
      </c>
      <c r="D193" s="242"/>
      <c r="E193" s="1023"/>
      <c r="F193" s="190"/>
      <c r="G193" s="1015"/>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995">
        <v>189.0</v>
      </c>
      <c r="D194" s="242"/>
      <c r="E194" s="1023"/>
      <c r="F194" s="190"/>
      <c r="G194" s="1015"/>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995">
        <v>190.0</v>
      </c>
      <c r="D195" s="242"/>
      <c r="E195" s="1023"/>
      <c r="F195" s="190"/>
      <c r="G195" s="1015"/>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995">
        <v>191.0</v>
      </c>
      <c r="D196" s="242"/>
      <c r="E196" s="1023"/>
      <c r="F196" s="190"/>
      <c r="G196" s="1015"/>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995">
        <v>192.0</v>
      </c>
      <c r="D197" s="242"/>
      <c r="E197" s="1023"/>
      <c r="F197" s="190"/>
      <c r="G197" s="1015"/>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995">
        <v>193.0</v>
      </c>
      <c r="D198" s="242"/>
      <c r="E198" s="1023"/>
      <c r="F198" s="190"/>
      <c r="G198" s="1015"/>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995">
        <v>194.0</v>
      </c>
      <c r="D199" s="242"/>
      <c r="E199" s="1023"/>
      <c r="F199" s="190"/>
      <c r="G199" s="1015"/>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995">
        <v>195.0</v>
      </c>
      <c r="D200" s="242"/>
      <c r="E200" s="1023"/>
      <c r="F200" s="190"/>
      <c r="G200" s="1015"/>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995">
        <v>196.0</v>
      </c>
      <c r="D201" s="242"/>
      <c r="E201" s="1023"/>
      <c r="F201" s="190"/>
      <c r="G201" s="1015"/>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995">
        <v>197.0</v>
      </c>
      <c r="D202" s="242"/>
      <c r="E202" s="1023"/>
      <c r="F202" s="190"/>
      <c r="G202" s="1015"/>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995">
        <v>198.0</v>
      </c>
      <c r="D203" s="242"/>
      <c r="E203" s="1023"/>
      <c r="F203" s="190"/>
      <c r="G203" s="1015"/>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995">
        <v>199.0</v>
      </c>
      <c r="D204" s="242"/>
      <c r="E204" s="1023"/>
      <c r="F204" s="190"/>
      <c r="G204" s="1015"/>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995">
        <v>200.0</v>
      </c>
      <c r="D205" s="242"/>
      <c r="E205" s="1023"/>
      <c r="F205" s="190"/>
      <c r="G205" s="1015"/>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995">
        <v>201.0</v>
      </c>
      <c r="D206" s="242"/>
      <c r="E206" s="1023"/>
      <c r="F206" s="190"/>
      <c r="G206" s="1015"/>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995">
        <v>202.0</v>
      </c>
      <c r="D207" s="242"/>
      <c r="E207" s="1023"/>
      <c r="F207" s="190"/>
      <c r="G207" s="1015"/>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995">
        <v>203.0</v>
      </c>
      <c r="D208" s="242"/>
      <c r="E208" s="1023"/>
      <c r="F208" s="190"/>
      <c r="G208" s="1015"/>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995">
        <v>204.0</v>
      </c>
      <c r="D209" s="242"/>
      <c r="E209" s="1023"/>
      <c r="F209" s="190"/>
      <c r="G209" s="1015"/>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995">
        <v>205.0</v>
      </c>
      <c r="D210" s="242"/>
      <c r="E210" s="1023"/>
      <c r="F210" s="190"/>
      <c r="G210" s="1015"/>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995">
        <v>206.0</v>
      </c>
      <c r="D211" s="242"/>
      <c r="E211" s="1023"/>
      <c r="F211" s="190"/>
      <c r="G211" s="1015"/>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995">
        <v>207.0</v>
      </c>
      <c r="D212" s="242"/>
      <c r="E212" s="1023"/>
      <c r="F212" s="190"/>
      <c r="G212" s="1015"/>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995">
        <v>208.0</v>
      </c>
      <c r="D213" s="242"/>
      <c r="E213" s="1023"/>
      <c r="F213" s="190"/>
      <c r="G213" s="1015"/>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995">
        <v>209.0</v>
      </c>
      <c r="D214" s="242"/>
      <c r="E214" s="1023"/>
      <c r="F214" s="190"/>
      <c r="G214" s="1015"/>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995">
        <v>210.0</v>
      </c>
      <c r="D215" s="242"/>
      <c r="E215" s="1023"/>
      <c r="F215" s="190"/>
      <c r="G215" s="1015"/>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995">
        <v>211.0</v>
      </c>
      <c r="D216" s="242"/>
      <c r="E216" s="1023"/>
      <c r="F216" s="190"/>
      <c r="G216" s="1015"/>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995">
        <v>212.0</v>
      </c>
      <c r="D217" s="242"/>
      <c r="E217" s="1023"/>
      <c r="F217" s="190"/>
      <c r="G217" s="1015"/>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995">
        <v>213.0</v>
      </c>
      <c r="D218" s="242"/>
      <c r="E218" s="1023"/>
      <c r="F218" s="190"/>
      <c r="G218" s="1015"/>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995">
        <v>214.0</v>
      </c>
      <c r="D219" s="242"/>
      <c r="E219" s="1023"/>
      <c r="F219" s="190"/>
      <c r="G219" s="1015"/>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995">
        <v>215.0</v>
      </c>
      <c r="D220" s="242"/>
      <c r="E220" s="1023"/>
      <c r="F220" s="190"/>
      <c r="G220" s="1015"/>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995">
        <v>216.0</v>
      </c>
      <c r="D221" s="242"/>
      <c r="E221" s="1023"/>
      <c r="F221" s="190"/>
      <c r="G221" s="1015"/>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995">
        <v>217.0</v>
      </c>
      <c r="D222" s="242"/>
      <c r="E222" s="1023"/>
      <c r="F222" s="190"/>
      <c r="G222" s="1015"/>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995">
        <v>218.0</v>
      </c>
      <c r="D223" s="242"/>
      <c r="E223" s="1023"/>
      <c r="F223" s="190"/>
      <c r="G223" s="1015"/>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995">
        <v>219.0</v>
      </c>
      <c r="D224" s="242"/>
      <c r="E224" s="1023"/>
      <c r="F224" s="190"/>
      <c r="G224" s="1015"/>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995">
        <v>220.0</v>
      </c>
      <c r="D225" s="242"/>
      <c r="E225" s="1023"/>
      <c r="F225" s="190"/>
      <c r="G225" s="1015"/>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995">
        <v>221.0</v>
      </c>
      <c r="D226" s="242"/>
      <c r="E226" s="1023"/>
      <c r="F226" s="190"/>
      <c r="G226" s="1015"/>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995">
        <v>222.0</v>
      </c>
      <c r="D227" s="242"/>
      <c r="E227" s="1023"/>
      <c r="F227" s="190"/>
      <c r="G227" s="1015"/>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995">
        <v>223.0</v>
      </c>
      <c r="D228" s="242"/>
      <c r="E228" s="1023"/>
      <c r="F228" s="190"/>
      <c r="G228" s="1015"/>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995">
        <v>224.0</v>
      </c>
      <c r="D229" s="242"/>
      <c r="E229" s="1023"/>
      <c r="F229" s="190"/>
      <c r="G229" s="1015"/>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995">
        <v>225.0</v>
      </c>
      <c r="D230" s="242"/>
      <c r="E230" s="1023"/>
      <c r="F230" s="190"/>
      <c r="G230" s="1015"/>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995">
        <v>226.0</v>
      </c>
      <c r="D231" s="242"/>
      <c r="E231" s="1023"/>
      <c r="F231" s="190"/>
      <c r="G231" s="1015"/>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995">
        <v>227.0</v>
      </c>
      <c r="D232" s="242"/>
      <c r="E232" s="1023"/>
      <c r="F232" s="190"/>
      <c r="G232" s="1015"/>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995">
        <v>228.0</v>
      </c>
      <c r="D233" s="242"/>
      <c r="E233" s="1023"/>
      <c r="F233" s="190"/>
      <c r="G233" s="1015"/>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995">
        <v>229.0</v>
      </c>
      <c r="D234" s="242"/>
      <c r="E234" s="1023"/>
      <c r="F234" s="190"/>
      <c r="G234" s="1015"/>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995">
        <v>230.0</v>
      </c>
      <c r="D235" s="242"/>
      <c r="E235" s="1023"/>
      <c r="F235" s="190"/>
      <c r="G235" s="1015"/>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995">
        <v>231.0</v>
      </c>
      <c r="D236" s="242"/>
      <c r="E236" s="1023"/>
      <c r="F236" s="190"/>
      <c r="G236" s="1015"/>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995">
        <v>232.0</v>
      </c>
      <c r="D237" s="242"/>
      <c r="E237" s="1023"/>
      <c r="F237" s="190"/>
      <c r="G237" s="1015"/>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995">
        <v>233.0</v>
      </c>
      <c r="D238" s="242"/>
      <c r="E238" s="1023"/>
      <c r="F238" s="190"/>
      <c r="G238" s="1015"/>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995">
        <v>234.0</v>
      </c>
      <c r="D239" s="242"/>
      <c r="E239" s="1023"/>
      <c r="F239" s="190"/>
      <c r="G239" s="1015"/>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995">
        <v>235.0</v>
      </c>
      <c r="D240" s="242"/>
      <c r="E240" s="1023"/>
      <c r="F240" s="190"/>
      <c r="G240" s="1015"/>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995">
        <v>236.0</v>
      </c>
      <c r="D241" s="242"/>
      <c r="E241" s="1023"/>
      <c r="F241" s="190"/>
      <c r="G241" s="1015"/>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995">
        <v>237.0</v>
      </c>
      <c r="D242" s="242"/>
      <c r="E242" s="1023"/>
      <c r="F242" s="190"/>
      <c r="G242" s="1015"/>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995">
        <v>238.0</v>
      </c>
      <c r="D243" s="242"/>
      <c r="E243" s="1023"/>
      <c r="F243" s="190"/>
      <c r="G243" s="1015"/>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995">
        <v>239.0</v>
      </c>
      <c r="D244" s="242"/>
      <c r="E244" s="1023"/>
      <c r="F244" s="190"/>
      <c r="G244" s="1015"/>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995">
        <v>240.0</v>
      </c>
      <c r="D245" s="242"/>
      <c r="E245" s="1023"/>
      <c r="F245" s="190"/>
      <c r="G245" s="1015"/>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995">
        <v>241.0</v>
      </c>
      <c r="D246" s="242"/>
      <c r="E246" s="1023"/>
      <c r="F246" s="190"/>
      <c r="G246" s="1015"/>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995">
        <v>242.0</v>
      </c>
      <c r="D247" s="242"/>
      <c r="E247" s="1023"/>
      <c r="F247" s="190"/>
      <c r="G247" s="1015"/>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995">
        <v>243.0</v>
      </c>
      <c r="D248" s="242"/>
      <c r="E248" s="1023"/>
      <c r="F248" s="190"/>
      <c r="G248" s="1015"/>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995">
        <v>244.0</v>
      </c>
      <c r="D249" s="242"/>
      <c r="E249" s="1023"/>
      <c r="F249" s="190"/>
      <c r="G249" s="1015"/>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995">
        <v>245.0</v>
      </c>
      <c r="D250" s="242"/>
      <c r="E250" s="1023"/>
      <c r="F250" s="190"/>
      <c r="G250" s="1015"/>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995">
        <v>246.0</v>
      </c>
      <c r="D251" s="242"/>
      <c r="E251" s="1023"/>
      <c r="F251" s="190"/>
      <c r="G251" s="1015"/>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995">
        <v>247.0</v>
      </c>
      <c r="D252" s="242"/>
      <c r="E252" s="1023"/>
      <c r="F252" s="190"/>
      <c r="G252" s="1015"/>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995">
        <v>248.0</v>
      </c>
      <c r="D253" s="242"/>
      <c r="E253" s="1023"/>
      <c r="F253" s="190"/>
      <c r="G253" s="1015"/>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995">
        <v>249.0</v>
      </c>
      <c r="D254" s="242"/>
      <c r="E254" s="1023"/>
      <c r="F254" s="190"/>
      <c r="G254" s="1015"/>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995">
        <v>250.0</v>
      </c>
      <c r="D255" s="242"/>
      <c r="E255" s="1023"/>
      <c r="F255" s="190"/>
      <c r="G255" s="1015"/>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995">
        <v>251.0</v>
      </c>
      <c r="D256" s="242"/>
      <c r="E256" s="1023"/>
      <c r="F256" s="190"/>
      <c r="G256" s="1015"/>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995">
        <v>252.0</v>
      </c>
      <c r="D257" s="242"/>
      <c r="E257" s="1023"/>
      <c r="F257" s="190"/>
      <c r="G257" s="1015"/>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995">
        <v>253.0</v>
      </c>
      <c r="D258" s="242"/>
      <c r="E258" s="1023"/>
      <c r="F258" s="190"/>
      <c r="G258" s="1015"/>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995">
        <v>254.0</v>
      </c>
      <c r="D259" s="242"/>
      <c r="E259" s="1023"/>
      <c r="F259" s="190"/>
      <c r="G259" s="1015"/>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995">
        <v>255.0</v>
      </c>
      <c r="D260" s="242"/>
      <c r="E260" s="1023"/>
      <c r="F260" s="190"/>
      <c r="G260" s="1015"/>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995">
        <v>256.0</v>
      </c>
      <c r="D261" s="242"/>
      <c r="E261" s="1023"/>
      <c r="F261" s="190"/>
      <c r="G261" s="1015"/>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995">
        <v>257.0</v>
      </c>
      <c r="D262" s="242"/>
      <c r="E262" s="1023"/>
      <c r="F262" s="190"/>
      <c r="G262" s="1015"/>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995">
        <v>258.0</v>
      </c>
      <c r="D263" s="242"/>
      <c r="E263" s="1023"/>
      <c r="F263" s="190"/>
      <c r="G263" s="1015"/>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995">
        <v>259.0</v>
      </c>
      <c r="D264" s="242"/>
      <c r="E264" s="1023"/>
      <c r="F264" s="190"/>
      <c r="G264" s="1015"/>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995">
        <v>260.0</v>
      </c>
      <c r="D265" s="242"/>
      <c r="E265" s="1023"/>
      <c r="F265" s="190"/>
      <c r="G265" s="1015"/>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995">
        <v>261.0</v>
      </c>
      <c r="D266" s="242"/>
      <c r="E266" s="1023"/>
      <c r="F266" s="190"/>
      <c r="G266" s="1015"/>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995">
        <v>262.0</v>
      </c>
      <c r="D267" s="242"/>
      <c r="E267" s="1023"/>
      <c r="F267" s="190"/>
      <c r="G267" s="1015"/>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995">
        <v>263.0</v>
      </c>
      <c r="D268" s="242"/>
      <c r="E268" s="1023"/>
      <c r="F268" s="190"/>
      <c r="G268" s="1015"/>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995">
        <v>264.0</v>
      </c>
      <c r="D269" s="242"/>
      <c r="E269" s="1023"/>
      <c r="F269" s="190"/>
      <c r="G269" s="1015"/>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995">
        <v>265.0</v>
      </c>
      <c r="D270" s="242"/>
      <c r="E270" s="1023"/>
      <c r="F270" s="190"/>
      <c r="G270" s="1015"/>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995">
        <v>266.0</v>
      </c>
      <c r="D271" s="242"/>
      <c r="E271" s="1023"/>
      <c r="F271" s="190"/>
      <c r="G271" s="1015"/>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995">
        <v>267.0</v>
      </c>
      <c r="D272" s="242"/>
      <c r="E272" s="1023"/>
      <c r="F272" s="190"/>
      <c r="G272" s="1015"/>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995">
        <v>268.0</v>
      </c>
      <c r="D273" s="242"/>
      <c r="E273" s="1023"/>
      <c r="F273" s="190"/>
      <c r="G273" s="1015"/>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995">
        <v>269.0</v>
      </c>
      <c r="D274" s="242"/>
      <c r="E274" s="1023"/>
      <c r="F274" s="190"/>
      <c r="G274" s="1015"/>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995">
        <v>270.0</v>
      </c>
      <c r="D275" s="242"/>
      <c r="E275" s="1023"/>
      <c r="F275" s="190"/>
      <c r="G275" s="1015"/>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995">
        <v>271.0</v>
      </c>
      <c r="D276" s="242"/>
      <c r="E276" s="1023"/>
      <c r="F276" s="190"/>
      <c r="G276" s="1015"/>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995">
        <v>272.0</v>
      </c>
      <c r="D277" s="242"/>
      <c r="E277" s="1023"/>
      <c r="F277" s="190"/>
      <c r="G277" s="1015"/>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995">
        <v>273.0</v>
      </c>
      <c r="D278" s="242"/>
      <c r="E278" s="1023"/>
      <c r="F278" s="190"/>
      <c r="G278" s="1015"/>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995">
        <v>274.0</v>
      </c>
      <c r="D279" s="242"/>
      <c r="E279" s="1023"/>
      <c r="F279" s="190"/>
      <c r="G279" s="1015"/>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995">
        <v>275.0</v>
      </c>
      <c r="D280" s="242"/>
      <c r="E280" s="1023"/>
      <c r="F280" s="190"/>
      <c r="G280" s="1015"/>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995">
        <v>276.0</v>
      </c>
      <c r="D281" s="242"/>
      <c r="E281" s="1023"/>
      <c r="F281" s="190"/>
      <c r="G281" s="1015"/>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995">
        <v>277.0</v>
      </c>
      <c r="D282" s="242"/>
      <c r="E282" s="1023"/>
      <c r="F282" s="190"/>
      <c r="G282" s="1015"/>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995">
        <v>278.0</v>
      </c>
      <c r="D283" s="242"/>
      <c r="E283" s="1023"/>
      <c r="F283" s="190"/>
      <c r="G283" s="1015"/>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995">
        <v>279.0</v>
      </c>
      <c r="D284" s="242"/>
      <c r="E284" s="1023"/>
      <c r="F284" s="190"/>
      <c r="G284" s="1015"/>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995">
        <v>280.0</v>
      </c>
      <c r="D285" s="242"/>
      <c r="E285" s="1023"/>
      <c r="F285" s="190"/>
      <c r="G285" s="1015"/>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995">
        <v>281.0</v>
      </c>
      <c r="D286" s="242"/>
      <c r="E286" s="1023"/>
      <c r="F286" s="190"/>
      <c r="G286" s="1015"/>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995">
        <v>282.0</v>
      </c>
      <c r="D287" s="242"/>
      <c r="E287" s="1023"/>
      <c r="F287" s="190"/>
      <c r="G287" s="1015"/>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995">
        <v>283.0</v>
      </c>
      <c r="D288" s="242"/>
      <c r="E288" s="1023"/>
      <c r="F288" s="190"/>
      <c r="G288" s="1015"/>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995">
        <v>284.0</v>
      </c>
      <c r="D289" s="242"/>
      <c r="E289" s="1023"/>
      <c r="F289" s="190"/>
      <c r="G289" s="1015"/>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995">
        <v>285.0</v>
      </c>
      <c r="D290" s="242"/>
      <c r="E290" s="1023"/>
      <c r="F290" s="190"/>
      <c r="G290" s="1015"/>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995">
        <v>286.0</v>
      </c>
      <c r="D291" s="242"/>
      <c r="E291" s="1023"/>
      <c r="F291" s="190"/>
      <c r="G291" s="1015"/>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995">
        <v>287.0</v>
      </c>
      <c r="D292" s="242"/>
      <c r="E292" s="1023"/>
      <c r="F292" s="190"/>
      <c r="G292" s="1015"/>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995">
        <v>288.0</v>
      </c>
      <c r="D293" s="242"/>
      <c r="E293" s="1023"/>
      <c r="F293" s="190"/>
      <c r="G293" s="1015"/>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995">
        <v>289.0</v>
      </c>
      <c r="D294" s="242"/>
      <c r="E294" s="1023"/>
      <c r="F294" s="190"/>
      <c r="G294" s="1015"/>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995">
        <v>290.0</v>
      </c>
      <c r="D295" s="242"/>
      <c r="E295" s="1023"/>
      <c r="F295" s="190"/>
      <c r="G295" s="1015"/>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995">
        <v>291.0</v>
      </c>
      <c r="D296" s="242"/>
      <c r="E296" s="1023"/>
      <c r="F296" s="190"/>
      <c r="G296" s="1015"/>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995">
        <v>292.0</v>
      </c>
      <c r="D297" s="242"/>
      <c r="E297" s="1023"/>
      <c r="F297" s="190"/>
      <c r="G297" s="1015"/>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995">
        <v>293.0</v>
      </c>
      <c r="D298" s="242"/>
      <c r="E298" s="1023"/>
      <c r="F298" s="190"/>
      <c r="G298" s="1015"/>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995">
        <v>294.0</v>
      </c>
      <c r="D299" s="242"/>
      <c r="E299" s="1023"/>
      <c r="F299" s="190"/>
      <c r="G299" s="1015"/>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995">
        <v>295.0</v>
      </c>
      <c r="D300" s="242"/>
      <c r="E300" s="1023"/>
      <c r="F300" s="190"/>
      <c r="G300" s="1015"/>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995">
        <v>296.0</v>
      </c>
      <c r="D301" s="242"/>
      <c r="E301" s="1023"/>
      <c r="F301" s="190"/>
      <c r="G301" s="1015"/>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995">
        <v>297.0</v>
      </c>
      <c r="D302" s="242"/>
      <c r="E302" s="1023"/>
      <c r="F302" s="190"/>
      <c r="G302" s="1015"/>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995">
        <v>298.0</v>
      </c>
      <c r="D303" s="242"/>
      <c r="E303" s="1023"/>
      <c r="F303" s="190"/>
      <c r="G303" s="1015"/>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995">
        <v>299.0</v>
      </c>
      <c r="D304" s="242"/>
      <c r="E304" s="1023"/>
      <c r="F304" s="190"/>
      <c r="G304" s="1015"/>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995">
        <v>300.0</v>
      </c>
      <c r="D305" s="242"/>
      <c r="E305" s="1023"/>
      <c r="F305" s="190"/>
      <c r="G305" s="1015"/>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995">
        <v>301.0</v>
      </c>
      <c r="D306" s="242"/>
      <c r="E306" s="1023"/>
      <c r="F306" s="190"/>
      <c r="G306" s="1015"/>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995">
        <v>302.0</v>
      </c>
      <c r="D307" s="242"/>
      <c r="E307" s="1023"/>
      <c r="F307" s="190"/>
      <c r="G307" s="1015"/>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995">
        <v>303.0</v>
      </c>
      <c r="D308" s="242"/>
      <c r="E308" s="1023"/>
      <c r="F308" s="190"/>
      <c r="G308" s="1015"/>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995">
        <v>304.0</v>
      </c>
      <c r="D309" s="242"/>
      <c r="E309" s="1023"/>
      <c r="F309" s="190"/>
      <c r="G309" s="1015"/>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995">
        <v>305.0</v>
      </c>
      <c r="D310" s="242"/>
      <c r="E310" s="1023"/>
      <c r="F310" s="190"/>
      <c r="G310" s="1015"/>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995">
        <v>306.0</v>
      </c>
      <c r="D311" s="242"/>
      <c r="E311" s="1023"/>
      <c r="F311" s="190"/>
      <c r="G311" s="1015"/>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995">
        <v>307.0</v>
      </c>
      <c r="D312" s="242"/>
      <c r="E312" s="1023"/>
      <c r="F312" s="190"/>
      <c r="G312" s="1015"/>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995">
        <v>308.0</v>
      </c>
      <c r="D313" s="242"/>
      <c r="E313" s="1023"/>
      <c r="F313" s="190"/>
      <c r="G313" s="1015"/>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995">
        <v>309.0</v>
      </c>
      <c r="D314" s="242"/>
      <c r="E314" s="1023"/>
      <c r="F314" s="190"/>
      <c r="G314" s="1015"/>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995">
        <v>310.0</v>
      </c>
      <c r="D315" s="242"/>
      <c r="E315" s="1023"/>
      <c r="F315" s="190"/>
      <c r="G315" s="1015"/>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995">
        <v>311.0</v>
      </c>
      <c r="D316" s="242"/>
      <c r="E316" s="1023"/>
      <c r="F316" s="190"/>
      <c r="G316" s="1015"/>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995">
        <v>312.0</v>
      </c>
      <c r="D317" s="242"/>
      <c r="E317" s="1023"/>
      <c r="F317" s="190"/>
      <c r="G317" s="1015"/>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995">
        <v>313.0</v>
      </c>
      <c r="D318" s="242"/>
      <c r="E318" s="1023"/>
      <c r="F318" s="190"/>
      <c r="G318" s="1015"/>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995">
        <v>314.0</v>
      </c>
      <c r="D319" s="242"/>
      <c r="E319" s="1023"/>
      <c r="F319" s="190"/>
      <c r="G319" s="1015"/>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995">
        <v>315.0</v>
      </c>
      <c r="D320" s="242"/>
      <c r="E320" s="1023"/>
      <c r="F320" s="190"/>
      <c r="G320" s="1015"/>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995">
        <v>316.0</v>
      </c>
      <c r="D321" s="242"/>
      <c r="E321" s="1023"/>
      <c r="F321" s="190"/>
      <c r="G321" s="1015"/>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995">
        <v>317.0</v>
      </c>
      <c r="D322" s="242"/>
      <c r="E322" s="1023"/>
      <c r="F322" s="190"/>
      <c r="G322" s="1015"/>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995">
        <v>318.0</v>
      </c>
      <c r="D323" s="242"/>
      <c r="E323" s="1023"/>
      <c r="F323" s="190"/>
      <c r="G323" s="1015"/>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995">
        <v>319.0</v>
      </c>
      <c r="D324" s="242"/>
      <c r="E324" s="1023"/>
      <c r="F324" s="190"/>
      <c r="G324" s="1015"/>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995">
        <v>320.0</v>
      </c>
      <c r="D325" s="242"/>
      <c r="E325" s="1023"/>
      <c r="F325" s="190"/>
      <c r="G325" s="1015"/>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995">
        <v>321.0</v>
      </c>
      <c r="D326" s="242"/>
      <c r="E326" s="1023"/>
      <c r="F326" s="190"/>
      <c r="G326" s="1015"/>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995">
        <v>322.0</v>
      </c>
      <c r="D327" s="242"/>
      <c r="E327" s="1023"/>
      <c r="F327" s="190"/>
      <c r="G327" s="1015"/>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995">
        <v>323.0</v>
      </c>
      <c r="D328" s="242"/>
      <c r="E328" s="1023"/>
      <c r="F328" s="190"/>
      <c r="G328" s="1015"/>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995">
        <v>324.0</v>
      </c>
      <c r="D329" s="242"/>
      <c r="E329" s="1023"/>
      <c r="F329" s="190"/>
      <c r="G329" s="1015"/>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995">
        <v>325.0</v>
      </c>
      <c r="D330" s="242"/>
      <c r="E330" s="1023"/>
      <c r="F330" s="190"/>
      <c r="G330" s="1015"/>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995">
        <v>326.0</v>
      </c>
      <c r="D331" s="242"/>
      <c r="E331" s="1023"/>
      <c r="F331" s="190"/>
      <c r="G331" s="1015"/>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995">
        <v>327.0</v>
      </c>
      <c r="D332" s="242"/>
      <c r="E332" s="1023"/>
      <c r="F332" s="190"/>
      <c r="G332" s="1015"/>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995">
        <v>328.0</v>
      </c>
      <c r="D333" s="242"/>
      <c r="E333" s="1023"/>
      <c r="F333" s="190"/>
      <c r="G333" s="1015"/>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995">
        <v>329.0</v>
      </c>
      <c r="D334" s="242"/>
      <c r="E334" s="1023"/>
      <c r="F334" s="190"/>
      <c r="G334" s="1015"/>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995">
        <v>330.0</v>
      </c>
      <c r="D335" s="242"/>
      <c r="E335" s="1023"/>
      <c r="F335" s="190"/>
      <c r="G335" s="1015"/>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995">
        <v>331.0</v>
      </c>
      <c r="D336" s="242"/>
      <c r="E336" s="1023"/>
      <c r="F336" s="190"/>
      <c r="G336" s="1015"/>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995">
        <v>332.0</v>
      </c>
      <c r="D337" s="242"/>
      <c r="E337" s="1023"/>
      <c r="F337" s="190"/>
      <c r="G337" s="1015"/>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995">
        <v>333.0</v>
      </c>
      <c r="D338" s="242"/>
      <c r="E338" s="1023"/>
      <c r="F338" s="190"/>
      <c r="G338" s="1015"/>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995">
        <v>334.0</v>
      </c>
      <c r="D339" s="242"/>
      <c r="E339" s="1023"/>
      <c r="F339" s="190"/>
      <c r="G339" s="1015"/>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995">
        <v>335.0</v>
      </c>
      <c r="D340" s="242"/>
      <c r="E340" s="1023"/>
      <c r="F340" s="190"/>
      <c r="G340" s="1015"/>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995">
        <v>336.0</v>
      </c>
      <c r="D341" s="242"/>
      <c r="E341" s="1023"/>
      <c r="F341" s="190"/>
      <c r="G341" s="1015"/>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995">
        <v>337.0</v>
      </c>
      <c r="D342" s="242"/>
      <c r="E342" s="1023"/>
      <c r="F342" s="190"/>
      <c r="G342" s="1015"/>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995">
        <v>338.0</v>
      </c>
      <c r="D343" s="242"/>
      <c r="E343" s="1023"/>
      <c r="F343" s="190"/>
      <c r="G343" s="1015"/>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995">
        <v>339.0</v>
      </c>
      <c r="D344" s="242"/>
      <c r="E344" s="1023"/>
      <c r="F344" s="190"/>
      <c r="G344" s="1015"/>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995">
        <v>340.0</v>
      </c>
      <c r="D345" s="242"/>
      <c r="E345" s="1023"/>
      <c r="F345" s="190"/>
      <c r="G345" s="1015"/>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995">
        <v>341.0</v>
      </c>
      <c r="D346" s="242"/>
      <c r="E346" s="1023"/>
      <c r="F346" s="190"/>
      <c r="G346" s="1015"/>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995">
        <v>342.0</v>
      </c>
      <c r="D347" s="242"/>
      <c r="E347" s="1023"/>
      <c r="F347" s="190"/>
      <c r="G347" s="1015"/>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995">
        <v>343.0</v>
      </c>
      <c r="D348" s="242"/>
      <c r="E348" s="1023"/>
      <c r="F348" s="190"/>
      <c r="G348" s="1015"/>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995">
        <v>344.0</v>
      </c>
      <c r="D349" s="242"/>
      <c r="E349" s="1023"/>
      <c r="F349" s="190"/>
      <c r="G349" s="1015"/>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995">
        <v>345.0</v>
      </c>
      <c r="D350" s="242"/>
      <c r="E350" s="1023"/>
      <c r="F350" s="190"/>
      <c r="G350" s="1015"/>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995">
        <v>346.0</v>
      </c>
      <c r="D351" s="242"/>
      <c r="E351" s="1023"/>
      <c r="F351" s="190"/>
      <c r="G351" s="1015"/>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995">
        <v>347.0</v>
      </c>
      <c r="D352" s="242"/>
      <c r="E352" s="1023"/>
      <c r="F352" s="190"/>
      <c r="G352" s="1015"/>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995">
        <v>348.0</v>
      </c>
      <c r="D353" s="242"/>
      <c r="E353" s="1023"/>
      <c r="F353" s="190"/>
      <c r="G353" s="1015"/>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995">
        <v>349.0</v>
      </c>
      <c r="D354" s="242"/>
      <c r="E354" s="1023"/>
      <c r="F354" s="190"/>
      <c r="G354" s="1015"/>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995">
        <v>350.0</v>
      </c>
      <c r="D355" s="242"/>
      <c r="E355" s="1023"/>
      <c r="F355" s="190"/>
      <c r="G355" s="1015"/>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995">
        <v>351.0</v>
      </c>
      <c r="D356" s="242"/>
      <c r="E356" s="1023"/>
      <c r="F356" s="190"/>
      <c r="G356" s="1015"/>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995">
        <v>352.0</v>
      </c>
      <c r="D357" s="242"/>
      <c r="E357" s="1023"/>
      <c r="F357" s="190"/>
      <c r="G357" s="1015"/>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995">
        <v>353.0</v>
      </c>
      <c r="D358" s="242"/>
      <c r="E358" s="1023"/>
      <c r="F358" s="190"/>
      <c r="G358" s="1015"/>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995">
        <v>354.0</v>
      </c>
      <c r="D359" s="242"/>
      <c r="E359" s="1023"/>
      <c r="F359" s="190"/>
      <c r="G359" s="1015"/>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995">
        <v>355.0</v>
      </c>
      <c r="D360" s="242"/>
      <c r="E360" s="1023"/>
      <c r="F360" s="190"/>
      <c r="G360" s="1015"/>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995">
        <v>356.0</v>
      </c>
      <c r="D361" s="242"/>
      <c r="E361" s="1023"/>
      <c r="F361" s="190"/>
      <c r="G361" s="1015"/>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995">
        <v>357.0</v>
      </c>
      <c r="D362" s="242"/>
      <c r="E362" s="1023"/>
      <c r="F362" s="190"/>
      <c r="G362" s="1015"/>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995">
        <v>358.0</v>
      </c>
      <c r="D363" s="242"/>
      <c r="E363" s="1023"/>
      <c r="F363" s="190"/>
      <c r="G363" s="1015"/>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995">
        <v>359.0</v>
      </c>
      <c r="D364" s="242"/>
      <c r="E364" s="1023"/>
      <c r="F364" s="190"/>
      <c r="G364" s="1015"/>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995">
        <v>360.0</v>
      </c>
      <c r="D365" s="242"/>
      <c r="E365" s="1023"/>
      <c r="F365" s="190"/>
      <c r="G365" s="1015"/>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995">
        <v>361.0</v>
      </c>
      <c r="D366" s="242"/>
      <c r="E366" s="1023"/>
      <c r="F366" s="190"/>
      <c r="G366" s="1015"/>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995">
        <v>362.0</v>
      </c>
      <c r="D367" s="242"/>
      <c r="E367" s="1023"/>
      <c r="F367" s="190"/>
      <c r="G367" s="1015"/>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995">
        <v>363.0</v>
      </c>
      <c r="D368" s="242"/>
      <c r="E368" s="1023"/>
      <c r="F368" s="190"/>
      <c r="G368" s="1015"/>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995">
        <v>364.0</v>
      </c>
      <c r="D369" s="242"/>
      <c r="E369" s="1023"/>
      <c r="F369" s="190"/>
      <c r="G369" s="1015"/>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995">
        <v>365.0</v>
      </c>
      <c r="D370" s="242"/>
      <c r="E370" s="1023"/>
      <c r="F370" s="190"/>
      <c r="G370" s="1015"/>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995">
        <v>366.0</v>
      </c>
      <c r="D371" s="242"/>
      <c r="E371" s="1023"/>
      <c r="F371" s="190"/>
      <c r="G371" s="1015"/>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995">
        <v>367.0</v>
      </c>
      <c r="D372" s="242"/>
      <c r="E372" s="1023"/>
      <c r="F372" s="190"/>
      <c r="G372" s="1015"/>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995">
        <v>368.0</v>
      </c>
      <c r="D373" s="242"/>
      <c r="E373" s="1023"/>
      <c r="F373" s="190"/>
      <c r="G373" s="1015"/>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995">
        <v>369.0</v>
      </c>
      <c r="D374" s="242"/>
      <c r="E374" s="1023"/>
      <c r="F374" s="190"/>
      <c r="G374" s="1015"/>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995">
        <v>370.0</v>
      </c>
      <c r="D375" s="242"/>
      <c r="E375" s="1023"/>
      <c r="F375" s="190"/>
      <c r="G375" s="1015"/>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995">
        <v>371.0</v>
      </c>
      <c r="D376" s="242"/>
      <c r="E376" s="1023"/>
      <c r="F376" s="190"/>
      <c r="G376" s="1015"/>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995">
        <v>372.0</v>
      </c>
      <c r="D377" s="242"/>
      <c r="E377" s="1023"/>
      <c r="F377" s="190"/>
      <c r="G377" s="1015"/>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995">
        <v>373.0</v>
      </c>
      <c r="D378" s="242"/>
      <c r="E378" s="1023"/>
      <c r="F378" s="190"/>
      <c r="G378" s="1015"/>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995">
        <v>374.0</v>
      </c>
      <c r="D379" s="242"/>
      <c r="E379" s="1023"/>
      <c r="F379" s="190"/>
      <c r="G379" s="1015"/>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995">
        <v>375.0</v>
      </c>
      <c r="D380" s="242"/>
      <c r="E380" s="1023"/>
      <c r="F380" s="190"/>
      <c r="G380" s="1015"/>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995">
        <v>376.0</v>
      </c>
      <c r="D381" s="242"/>
      <c r="E381" s="1023"/>
      <c r="F381" s="190"/>
      <c r="G381" s="1015"/>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995">
        <v>377.0</v>
      </c>
      <c r="D382" s="242"/>
      <c r="E382" s="1023"/>
      <c r="F382" s="190"/>
      <c r="G382" s="1015"/>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995">
        <v>378.0</v>
      </c>
      <c r="D383" s="242"/>
      <c r="E383" s="1023"/>
      <c r="F383" s="190"/>
      <c r="G383" s="1015"/>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995">
        <v>379.0</v>
      </c>
      <c r="D384" s="242"/>
      <c r="E384" s="1023"/>
      <c r="F384" s="190"/>
      <c r="G384" s="1015"/>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995">
        <v>380.0</v>
      </c>
      <c r="D385" s="242"/>
      <c r="E385" s="1023"/>
      <c r="F385" s="190"/>
      <c r="G385" s="1015"/>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995">
        <v>381.0</v>
      </c>
      <c r="D386" s="242"/>
      <c r="E386" s="1023"/>
      <c r="F386" s="190"/>
      <c r="G386" s="1015"/>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995">
        <v>382.0</v>
      </c>
      <c r="D387" s="242"/>
      <c r="E387" s="1023"/>
      <c r="F387" s="190"/>
      <c r="G387" s="1015"/>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995">
        <v>383.0</v>
      </c>
      <c r="D388" s="242"/>
      <c r="E388" s="1023"/>
      <c r="F388" s="190"/>
      <c r="G388" s="1015"/>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995">
        <v>384.0</v>
      </c>
      <c r="D389" s="242"/>
      <c r="E389" s="1023"/>
      <c r="F389" s="190"/>
      <c r="G389" s="1015"/>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995">
        <v>385.0</v>
      </c>
      <c r="D390" s="242"/>
      <c r="E390" s="1023"/>
      <c r="F390" s="190"/>
      <c r="G390" s="1015"/>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995">
        <v>386.0</v>
      </c>
      <c r="D391" s="242"/>
      <c r="E391" s="1023"/>
      <c r="F391" s="190"/>
      <c r="G391" s="1015"/>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995">
        <v>387.0</v>
      </c>
      <c r="D392" s="242"/>
      <c r="E392" s="1023"/>
      <c r="F392" s="190"/>
      <c r="G392" s="1015"/>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995">
        <v>388.0</v>
      </c>
      <c r="D393" s="242"/>
      <c r="E393" s="1023"/>
      <c r="F393" s="190"/>
      <c r="G393" s="1015"/>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995">
        <v>389.0</v>
      </c>
      <c r="D394" s="242"/>
      <c r="E394" s="1023"/>
      <c r="F394" s="190"/>
      <c r="G394" s="1015"/>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995">
        <v>390.0</v>
      </c>
      <c r="D395" s="242"/>
      <c r="E395" s="1023"/>
      <c r="F395" s="190"/>
      <c r="G395" s="1015"/>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995">
        <v>391.0</v>
      </c>
      <c r="D396" s="242"/>
      <c r="E396" s="1023"/>
      <c r="F396" s="190"/>
      <c r="G396" s="1015"/>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995">
        <v>392.0</v>
      </c>
      <c r="D397" s="242"/>
      <c r="E397" s="1023"/>
      <c r="F397" s="190"/>
      <c r="G397" s="1015"/>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995">
        <v>393.0</v>
      </c>
      <c r="D398" s="242"/>
      <c r="E398" s="1023"/>
      <c r="F398" s="190"/>
      <c r="G398" s="1015"/>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995">
        <v>394.0</v>
      </c>
      <c r="D399" s="242"/>
      <c r="E399" s="1023"/>
      <c r="F399" s="190"/>
      <c r="G399" s="1015"/>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995">
        <v>395.0</v>
      </c>
      <c r="D400" s="242"/>
      <c r="E400" s="1023"/>
      <c r="F400" s="190"/>
      <c r="G400" s="1015"/>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995">
        <v>396.0</v>
      </c>
      <c r="D401" s="242"/>
      <c r="E401" s="1023"/>
      <c r="F401" s="190"/>
      <c r="G401" s="1015"/>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995">
        <v>397.0</v>
      </c>
      <c r="D402" s="242"/>
      <c r="E402" s="1023"/>
      <c r="F402" s="190"/>
      <c r="G402" s="1015"/>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995">
        <v>398.0</v>
      </c>
      <c r="D403" s="242"/>
      <c r="E403" s="1023"/>
      <c r="F403" s="190"/>
      <c r="G403" s="1015"/>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995">
        <v>399.0</v>
      </c>
      <c r="D404" s="242"/>
      <c r="E404" s="1023"/>
      <c r="F404" s="190"/>
      <c r="G404" s="1015"/>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995">
        <v>400.0</v>
      </c>
      <c r="D405" s="242"/>
      <c r="E405" s="1023"/>
      <c r="F405" s="190"/>
      <c r="G405" s="1015"/>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995">
        <v>401.0</v>
      </c>
      <c r="D406" s="242"/>
      <c r="E406" s="1023"/>
      <c r="F406" s="190"/>
      <c r="G406" s="1015"/>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995">
        <v>402.0</v>
      </c>
      <c r="D407" s="242"/>
      <c r="E407" s="1023"/>
      <c r="F407" s="190"/>
      <c r="G407" s="1015"/>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995">
        <v>403.0</v>
      </c>
      <c r="D408" s="242"/>
      <c r="E408" s="1023"/>
      <c r="F408" s="190"/>
      <c r="G408" s="1015"/>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995">
        <v>404.0</v>
      </c>
      <c r="D409" s="242"/>
      <c r="E409" s="1023"/>
      <c r="F409" s="190"/>
      <c r="G409" s="1015"/>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995">
        <v>405.0</v>
      </c>
      <c r="D410" s="242"/>
      <c r="E410" s="1023"/>
      <c r="F410" s="190"/>
      <c r="G410" s="1015"/>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995">
        <v>406.0</v>
      </c>
      <c r="D411" s="242"/>
      <c r="E411" s="1023"/>
      <c r="F411" s="190"/>
      <c r="G411" s="1015"/>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995">
        <v>407.0</v>
      </c>
      <c r="D412" s="242"/>
      <c r="E412" s="1023"/>
      <c r="F412" s="190"/>
      <c r="G412" s="1015"/>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995">
        <v>408.0</v>
      </c>
      <c r="D413" s="242"/>
      <c r="E413" s="1023"/>
      <c r="F413" s="190"/>
      <c r="G413" s="1015"/>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995">
        <v>409.0</v>
      </c>
      <c r="D414" s="242"/>
      <c r="E414" s="1023"/>
      <c r="F414" s="190"/>
      <c r="G414" s="1015"/>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995">
        <v>410.0</v>
      </c>
      <c r="D415" s="242"/>
      <c r="E415" s="1023"/>
      <c r="F415" s="190"/>
      <c r="G415" s="1015"/>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995">
        <v>411.0</v>
      </c>
      <c r="D416" s="242"/>
      <c r="E416" s="1023"/>
      <c r="F416" s="190"/>
      <c r="G416" s="1015"/>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995">
        <v>412.0</v>
      </c>
      <c r="D417" s="242"/>
      <c r="E417" s="1023"/>
      <c r="F417" s="190"/>
      <c r="G417" s="1015"/>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995">
        <v>413.0</v>
      </c>
      <c r="D418" s="242"/>
      <c r="E418" s="1023"/>
      <c r="F418" s="190"/>
      <c r="G418" s="1015"/>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995">
        <v>414.0</v>
      </c>
      <c r="D419" s="242"/>
      <c r="E419" s="1023"/>
      <c r="F419" s="190"/>
      <c r="G419" s="1015"/>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995">
        <v>415.0</v>
      </c>
      <c r="D420" s="242"/>
      <c r="E420" s="1023"/>
      <c r="F420" s="190"/>
      <c r="G420" s="1015"/>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995">
        <v>416.0</v>
      </c>
      <c r="D421" s="242"/>
      <c r="E421" s="1023"/>
      <c r="F421" s="190"/>
      <c r="G421" s="1015"/>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995">
        <v>417.0</v>
      </c>
      <c r="D422" s="242"/>
      <c r="E422" s="1023"/>
      <c r="F422" s="190"/>
      <c r="G422" s="1015"/>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995">
        <v>418.0</v>
      </c>
      <c r="D423" s="242"/>
      <c r="E423" s="1023"/>
      <c r="F423" s="190"/>
      <c r="G423" s="1015"/>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995">
        <v>419.0</v>
      </c>
      <c r="D424" s="242"/>
      <c r="E424" s="1023"/>
      <c r="F424" s="190"/>
      <c r="G424" s="1015"/>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995">
        <v>420.0</v>
      </c>
      <c r="D425" s="242"/>
      <c r="E425" s="1023"/>
      <c r="F425" s="190"/>
      <c r="G425" s="1015"/>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995">
        <v>421.0</v>
      </c>
      <c r="D426" s="242"/>
      <c r="E426" s="1023"/>
      <c r="F426" s="190"/>
      <c r="G426" s="1015"/>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995">
        <v>422.0</v>
      </c>
      <c r="D427" s="242"/>
      <c r="E427" s="1023"/>
      <c r="F427" s="190"/>
      <c r="G427" s="1015"/>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995">
        <v>423.0</v>
      </c>
      <c r="D428" s="242"/>
      <c r="E428" s="1023"/>
      <c r="F428" s="190"/>
      <c r="G428" s="1015"/>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995">
        <v>424.0</v>
      </c>
      <c r="D429" s="242"/>
      <c r="E429" s="1023"/>
      <c r="F429" s="190"/>
      <c r="G429" s="1015"/>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995">
        <v>425.0</v>
      </c>
      <c r="D430" s="242"/>
      <c r="E430" s="1023"/>
      <c r="F430" s="190"/>
      <c r="G430" s="1015"/>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995">
        <v>426.0</v>
      </c>
      <c r="D431" s="242"/>
      <c r="E431" s="1023"/>
      <c r="F431" s="190"/>
      <c r="G431" s="1015"/>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995">
        <v>427.0</v>
      </c>
      <c r="D432" s="242"/>
      <c r="E432" s="1023"/>
      <c r="F432" s="190"/>
      <c r="G432" s="1015"/>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995">
        <v>428.0</v>
      </c>
      <c r="D433" s="242"/>
      <c r="E433" s="1023"/>
      <c r="F433" s="190"/>
      <c r="G433" s="1015"/>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995">
        <v>429.0</v>
      </c>
      <c r="D434" s="242"/>
      <c r="E434" s="1023"/>
      <c r="F434" s="190"/>
      <c r="G434" s="1015"/>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995">
        <v>430.0</v>
      </c>
      <c r="D435" s="242"/>
      <c r="E435" s="1023"/>
      <c r="F435" s="190"/>
      <c r="G435" s="1015"/>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995">
        <v>431.0</v>
      </c>
      <c r="D436" s="242"/>
      <c r="E436" s="1023"/>
      <c r="F436" s="190"/>
      <c r="G436" s="1015"/>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995">
        <v>432.0</v>
      </c>
      <c r="D437" s="242"/>
      <c r="E437" s="1023"/>
      <c r="F437" s="190"/>
      <c r="G437" s="1015"/>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995">
        <v>433.0</v>
      </c>
      <c r="D438" s="242"/>
      <c r="E438" s="1023"/>
      <c r="F438" s="190"/>
      <c r="G438" s="1015"/>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995">
        <v>434.0</v>
      </c>
      <c r="D439" s="242"/>
      <c r="E439" s="1023"/>
      <c r="F439" s="190"/>
      <c r="G439" s="1015"/>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995">
        <v>435.0</v>
      </c>
      <c r="D440" s="242"/>
      <c r="E440" s="1023"/>
      <c r="F440" s="190"/>
      <c r="G440" s="1015"/>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995">
        <v>436.0</v>
      </c>
      <c r="D441" s="242"/>
      <c r="E441" s="1023"/>
      <c r="F441" s="190"/>
      <c r="G441" s="1015"/>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995">
        <v>437.0</v>
      </c>
      <c r="D442" s="242"/>
      <c r="E442" s="1023"/>
      <c r="F442" s="190"/>
      <c r="G442" s="1015"/>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995">
        <v>438.0</v>
      </c>
      <c r="D443" s="242"/>
      <c r="E443" s="1023"/>
      <c r="F443" s="190"/>
      <c r="G443" s="1015"/>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25"/>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25"/>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25"/>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25"/>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25"/>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25"/>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25"/>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26" t="s">
        <v>980</v>
      </c>
      <c r="B1" s="1"/>
      <c r="C1" s="1"/>
      <c r="D1" s="1"/>
      <c r="E1" s="1"/>
      <c r="F1" s="1"/>
      <c r="G1" s="1"/>
      <c r="H1" s="1027"/>
      <c r="I1" s="1028" t="s">
        <v>981</v>
      </c>
      <c r="J1" s="1029">
        <f>A3</f>
        <v>46054</v>
      </c>
      <c r="K1" s="1028" t="str">
        <f>"①R"&amp;year(J1)-2018&amp;"_"&amp;month(J1)&amp;"集計"</f>
        <v>①R8_2集計</v>
      </c>
      <c r="L1" s="1027"/>
      <c r="M1" s="1030">
        <v>480.0</v>
      </c>
      <c r="N1" s="1030">
        <v>480.0</v>
      </c>
      <c r="O1" s="1030">
        <v>600.0</v>
      </c>
      <c r="P1" s="1030">
        <v>700.0</v>
      </c>
      <c r="Q1" s="1027"/>
      <c r="R1" s="1031">
        <f>S4</f>
        <v>5590768.125</v>
      </c>
      <c r="S1" s="1031">
        <f>S7</f>
        <v>1383979.765</v>
      </c>
      <c r="T1" s="1032">
        <f>S8</f>
        <v>0.2475473377</v>
      </c>
      <c r="U1" s="1032">
        <f>S6</f>
        <v>0.6257258899</v>
      </c>
      <c r="V1" s="1027"/>
      <c r="W1" s="1027"/>
      <c r="X1" s="1027"/>
      <c r="Y1" s="1027"/>
      <c r="Z1" s="1027"/>
    </row>
    <row r="2">
      <c r="A2" s="1033" t="s">
        <v>981</v>
      </c>
      <c r="B2" s="1034" t="s">
        <v>50</v>
      </c>
      <c r="C2" s="1034" t="s">
        <v>334</v>
      </c>
      <c r="D2" s="1033" t="s">
        <v>335</v>
      </c>
      <c r="E2" s="1033" t="s">
        <v>340</v>
      </c>
      <c r="F2" s="1033" t="s">
        <v>332</v>
      </c>
      <c r="G2" s="1033" t="s">
        <v>982</v>
      </c>
      <c r="H2" s="1035"/>
      <c r="I2" s="1036" t="s">
        <v>983</v>
      </c>
      <c r="J2" s="1037">
        <f>DAY(EOMONTH(J1,0))</f>
        <v>28</v>
      </c>
      <c r="K2" s="1038" t="s">
        <v>984</v>
      </c>
      <c r="L2" s="1038" t="s">
        <v>334</v>
      </c>
      <c r="M2" s="1038" t="s">
        <v>985</v>
      </c>
      <c r="N2" s="1038" t="s">
        <v>986</v>
      </c>
      <c r="O2" s="1038" t="s">
        <v>987</v>
      </c>
      <c r="P2" s="1038" t="s">
        <v>988</v>
      </c>
      <c r="Q2" s="1038" t="s">
        <v>989</v>
      </c>
      <c r="R2" s="1036" t="s">
        <v>990</v>
      </c>
      <c r="S2" s="1039">
        <v>900.0</v>
      </c>
      <c r="T2" s="1027"/>
      <c r="U2" s="1027"/>
      <c r="V2" s="1027"/>
      <c r="W2" s="1027"/>
      <c r="X2" s="1027"/>
      <c r="Y2" s="1027"/>
      <c r="Z2" s="1027"/>
    </row>
    <row r="3">
      <c r="A3" s="1040">
        <v>46054.0</v>
      </c>
      <c r="B3" s="1034" t="str">
        <f t="shared" ref="B3:B13" si="2">"①R8_"&amp;month(A3)&amp;"集計"</f>
        <v>①R8_2集計</v>
      </c>
      <c r="C3" s="1041">
        <f t="shared" ref="C3:C14" si="3">iferror(FLOOR(indirect(B3&amp;"!G8"),2.5%),"")</f>
        <v>0.775</v>
      </c>
      <c r="D3" s="1042">
        <f t="shared" ref="D3:G3" si="1">xlookup($B3,$K:$K,R:R)</f>
        <v>5590768.125</v>
      </c>
      <c r="E3" s="1042">
        <f t="shared" si="1"/>
        <v>1383979.765</v>
      </c>
      <c r="F3" s="1043">
        <f t="shared" si="1"/>
        <v>0.2475473377</v>
      </c>
      <c r="G3" s="1043">
        <f t="shared" si="1"/>
        <v>0.6257258899</v>
      </c>
      <c r="H3" s="1035"/>
      <c r="I3" s="1036" t="s">
        <v>334</v>
      </c>
      <c r="J3" s="1037">
        <f t="array" ref="J3">xlookup(K1,$B$3:$B$14,$C$3:$C$14)*100</f>
        <v>77.5</v>
      </c>
      <c r="K3" s="1044">
        <f>SUM(M3:P3)</f>
        <v>242</v>
      </c>
      <c r="L3" s="1044">
        <v>100.0</v>
      </c>
      <c r="M3" s="1039">
        <v>162.0</v>
      </c>
      <c r="N3" s="1039">
        <v>67.0</v>
      </c>
      <c r="O3" s="1039">
        <v>10.0</v>
      </c>
      <c r="P3" s="1039">
        <v>3.0</v>
      </c>
      <c r="Q3" s="1044">
        <f>K3*J2</f>
        <v>6776</v>
      </c>
      <c r="R3" s="1045" t="s">
        <v>991</v>
      </c>
      <c r="S3" s="1046">
        <f>Q17</f>
        <v>864508.125</v>
      </c>
      <c r="T3" s="1027"/>
      <c r="U3" s="1027"/>
      <c r="V3" s="1027" t="s">
        <v>992</v>
      </c>
      <c r="W3" s="1036" t="s">
        <v>983</v>
      </c>
      <c r="X3" s="1047" t="s">
        <v>225</v>
      </c>
      <c r="Y3" s="1047" t="s">
        <v>993</v>
      </c>
      <c r="Z3" s="1047" t="s">
        <v>168</v>
      </c>
    </row>
    <row r="4">
      <c r="A4" s="1048">
        <f t="shared" ref="A4:A14" si="5">EDATE(A3,1)
</f>
        <v>46082</v>
      </c>
      <c r="B4" s="1034" t="str">
        <f t="shared" si="2"/>
        <v>①R8_3集計</v>
      </c>
      <c r="C4" s="1041">
        <f t="shared" si="3"/>
        <v>0.75</v>
      </c>
      <c r="D4" s="1042">
        <f t="shared" ref="D4:G4" si="4">xlookup($B4,$K:$K,R:R)</f>
        <v>5955991.5</v>
      </c>
      <c r="E4" s="1042">
        <f t="shared" si="4"/>
        <v>1434817</v>
      </c>
      <c r="F4" s="1043">
        <f t="shared" si="4"/>
        <v>0.2409031309</v>
      </c>
      <c r="G4" s="1043">
        <f t="shared" si="4"/>
        <v>0.6401410244</v>
      </c>
      <c r="H4" s="1035"/>
      <c r="I4" s="1036" t="s">
        <v>994</v>
      </c>
      <c r="J4" s="1039">
        <v>320000.0</v>
      </c>
      <c r="K4" s="1044">
        <f>K3*L4%</f>
        <v>187.55</v>
      </c>
      <c r="L4" s="1049">
        <f>J3</f>
        <v>77.5</v>
      </c>
      <c r="M4" s="1044">
        <f>M3*L4%</f>
        <v>125.55</v>
      </c>
      <c r="N4" s="1044">
        <f>N3*L4%</f>
        <v>51.925</v>
      </c>
      <c r="O4" s="1044">
        <f>O3*L4%</f>
        <v>7.75</v>
      </c>
      <c r="P4" s="1044">
        <f>P3*L4%</f>
        <v>2.325</v>
      </c>
      <c r="Q4" s="1044">
        <f>K4*J2</f>
        <v>5251.4</v>
      </c>
      <c r="R4" s="1036" t="s">
        <v>335</v>
      </c>
      <c r="S4" s="1046">
        <f>S2*Q4+S3</f>
        <v>5590768.125</v>
      </c>
      <c r="T4" s="1027"/>
      <c r="U4" s="1027"/>
      <c r="V4" s="1027"/>
      <c r="W4" s="1036" t="s">
        <v>335</v>
      </c>
      <c r="X4" s="1050">
        <v>5793301.0</v>
      </c>
      <c r="Y4" s="1050">
        <v>5622981.0</v>
      </c>
      <c r="Z4" s="1050">
        <v>5282342.0</v>
      </c>
    </row>
    <row r="5">
      <c r="A5" s="1048">
        <f t="shared" si="5"/>
        <v>46113</v>
      </c>
      <c r="B5" s="1034" t="str">
        <f t="shared" si="2"/>
        <v>①R8_4集計</v>
      </c>
      <c r="C5" s="1041">
        <f t="shared" si="3"/>
        <v>0.75</v>
      </c>
      <c r="D5" s="1042">
        <f t="shared" ref="D5:G5" si="6">xlookup($B5,$K:$K,R:R)</f>
        <v>5780662.5</v>
      </c>
      <c r="E5" s="1042">
        <f t="shared" si="6"/>
        <v>1107797.5</v>
      </c>
      <c r="F5" s="1043">
        <f t="shared" si="6"/>
        <v>0.1916385016</v>
      </c>
      <c r="G5" s="1043">
        <f t="shared" si="6"/>
        <v>0.5731808422</v>
      </c>
      <c r="H5" s="1035"/>
      <c r="I5" s="1036" t="s">
        <v>995</v>
      </c>
      <c r="J5" s="1051">
        <v>270000.0</v>
      </c>
      <c r="K5" s="1052" t="s">
        <v>996</v>
      </c>
      <c r="L5" s="3"/>
      <c r="M5" s="1039">
        <v>26.1</v>
      </c>
      <c r="N5" s="1039">
        <v>26.1</v>
      </c>
      <c r="O5" s="1039">
        <v>32.73</v>
      </c>
      <c r="P5" s="1039">
        <v>38.18</v>
      </c>
      <c r="Q5" s="1053"/>
      <c r="R5" s="1036" t="s">
        <v>997</v>
      </c>
      <c r="S5" s="1044">
        <f>M10+SUM(M14:N16)</f>
        <v>3498288.36</v>
      </c>
      <c r="T5" s="1027"/>
      <c r="U5" s="1027"/>
      <c r="V5" s="1027"/>
      <c r="W5" s="1036" t="s">
        <v>982</v>
      </c>
      <c r="X5" s="1054">
        <v>0.5794</v>
      </c>
      <c r="Y5" s="1054">
        <v>0.5735</v>
      </c>
      <c r="Z5" s="1054">
        <v>0.5606</v>
      </c>
    </row>
    <row r="6">
      <c r="A6" s="1048">
        <f t="shared" si="5"/>
        <v>46143</v>
      </c>
      <c r="B6" s="1034" t="str">
        <f t="shared" si="2"/>
        <v>①R8_5集計</v>
      </c>
      <c r="C6" s="1041" t="str">
        <f t="shared" si="3"/>
        <v/>
      </c>
      <c r="D6" s="1042">
        <f t="shared" ref="D6:G6" si="7">xlookup($B6,$K:$K,R:R)</f>
        <v>769629</v>
      </c>
      <c r="E6" s="1042">
        <f t="shared" si="7"/>
        <v>-1053271.4</v>
      </c>
      <c r="F6" s="1043">
        <f t="shared" si="7"/>
        <v>-1.368544325</v>
      </c>
      <c r="G6" s="1043">
        <f t="shared" si="7"/>
        <v>0.6021088083</v>
      </c>
      <c r="H6" s="1055"/>
      <c r="I6" s="1056" t="s">
        <v>998</v>
      </c>
      <c r="J6" s="1057">
        <v>1200.0</v>
      </c>
      <c r="K6" s="1058" t="s">
        <v>999</v>
      </c>
      <c r="L6" s="3"/>
      <c r="M6" s="1044">
        <f t="shared" ref="M6:P6" si="8">M4/(360/M5)</f>
        <v>9.102375</v>
      </c>
      <c r="N6" s="1044">
        <f t="shared" si="8"/>
        <v>3.7645625</v>
      </c>
      <c r="O6" s="1044">
        <f t="shared" si="8"/>
        <v>0.7046041667</v>
      </c>
      <c r="P6" s="1044">
        <f t="shared" si="8"/>
        <v>0.2465791667</v>
      </c>
      <c r="Q6" s="1044">
        <f t="shared" ref="Q6:Q7" si="10">M6+N6+O6+P6</f>
        <v>13.81812083</v>
      </c>
      <c r="R6" s="1036" t="s">
        <v>333</v>
      </c>
      <c r="S6" s="1054">
        <f>S5/S4</f>
        <v>0.6257258899</v>
      </c>
      <c r="T6" s="1027"/>
      <c r="U6" s="1027"/>
      <c r="V6" s="1027"/>
      <c r="W6" s="1036" t="s">
        <v>1000</v>
      </c>
      <c r="X6" s="1050">
        <v>1077217.0</v>
      </c>
      <c r="Y6" s="1050">
        <v>1038695.0</v>
      </c>
      <c r="Z6" s="1050">
        <v>961649.0</v>
      </c>
    </row>
    <row r="7">
      <c r="A7" s="1048">
        <f t="shared" si="5"/>
        <v>46174</v>
      </c>
      <c r="B7" s="1034" t="str">
        <f t="shared" si="2"/>
        <v>①R8_6集計</v>
      </c>
      <c r="C7" s="1041" t="str">
        <f t="shared" si="3"/>
        <v/>
      </c>
      <c r="D7" s="1042">
        <f t="shared" ref="D7:G7" si="9">xlookup($B7,$K:$K,R:R)</f>
        <v>757650</v>
      </c>
      <c r="E7" s="1042">
        <f t="shared" si="9"/>
        <v>-1026782</v>
      </c>
      <c r="F7" s="1043">
        <f t="shared" si="9"/>
        <v>-1.355219428</v>
      </c>
      <c r="G7" s="1043">
        <f t="shared" si="9"/>
        <v>0.5608552762</v>
      </c>
      <c r="H7" s="1059"/>
      <c r="I7" s="1060" t="s">
        <v>1001</v>
      </c>
      <c r="J7" s="1057">
        <v>6.5</v>
      </c>
      <c r="K7" s="1061" t="s">
        <v>1002</v>
      </c>
      <c r="L7" s="1039">
        <v>1100.0</v>
      </c>
      <c r="M7" s="1044">
        <f>M6*(L7*6)</f>
        <v>60075.675</v>
      </c>
      <c r="N7" s="1044">
        <f>N6*(L7*6)</f>
        <v>24846.1125</v>
      </c>
      <c r="O7" s="1044">
        <f>O6*(L7*6)</f>
        <v>4650.3875</v>
      </c>
      <c r="P7" s="1044">
        <f>P6*(L7*6)</f>
        <v>1627.4225</v>
      </c>
      <c r="Q7" s="1044">
        <f t="shared" si="10"/>
        <v>91199.5975</v>
      </c>
      <c r="R7" s="1036" t="s">
        <v>1000</v>
      </c>
      <c r="S7" s="1046">
        <f>S4-S5-M17</f>
        <v>1383979.765</v>
      </c>
      <c r="T7" s="1027"/>
      <c r="U7" s="1027"/>
      <c r="V7" s="1027"/>
      <c r="W7" s="1036" t="s">
        <v>332</v>
      </c>
      <c r="X7" s="1054">
        <v>0.1859</v>
      </c>
      <c r="Y7" s="1054">
        <v>0.1847</v>
      </c>
      <c r="Z7" s="1054">
        <v>0.182</v>
      </c>
    </row>
    <row r="8">
      <c r="A8" s="1048">
        <f t="shared" si="5"/>
        <v>46204</v>
      </c>
      <c r="B8" s="1034" t="str">
        <f t="shared" si="2"/>
        <v>①R8_7集計</v>
      </c>
      <c r="C8" s="1041" t="str">
        <f t="shared" si="3"/>
        <v/>
      </c>
      <c r="D8" s="1042">
        <f t="shared" ref="D8:G8" si="11">xlookup($B8,$K:$K,R:R)</f>
        <v>769629</v>
      </c>
      <c r="E8" s="1042">
        <f t="shared" si="11"/>
        <v>-1053271.4</v>
      </c>
      <c r="F8" s="1043">
        <f t="shared" si="11"/>
        <v>-1.368544325</v>
      </c>
      <c r="G8" s="1043">
        <f t="shared" si="11"/>
        <v>0.6021088083</v>
      </c>
      <c r="H8" s="1035"/>
      <c r="I8" s="1062" t="s">
        <v>1003</v>
      </c>
      <c r="J8" s="1063"/>
      <c r="K8" s="1064"/>
      <c r="L8" s="1053"/>
      <c r="M8" s="1053"/>
      <c r="N8" s="1053"/>
      <c r="O8" s="1053"/>
      <c r="P8" s="1053"/>
      <c r="Q8" s="1053"/>
      <c r="R8" s="1036" t="s">
        <v>332</v>
      </c>
      <c r="S8" s="1054">
        <f>S7/S4</f>
        <v>0.2475473377</v>
      </c>
      <c r="T8" s="1027"/>
      <c r="U8" s="1027"/>
      <c r="V8" s="1027"/>
      <c r="W8" s="1027"/>
      <c r="X8" s="1027"/>
      <c r="Y8" s="1027"/>
      <c r="Z8" s="1027"/>
    </row>
    <row r="9">
      <c r="A9" s="1048">
        <f t="shared" si="5"/>
        <v>46235</v>
      </c>
      <c r="B9" s="1034" t="str">
        <f t="shared" si="2"/>
        <v>①R8_8集計</v>
      </c>
      <c r="C9" s="1041" t="str">
        <f t="shared" si="3"/>
        <v/>
      </c>
      <c r="D9" s="1042">
        <f t="shared" ref="D9:G9" si="12">xlookup($B9,$K:$K,R:R)</f>
        <v>769629</v>
      </c>
      <c r="E9" s="1042">
        <f t="shared" si="12"/>
        <v>-1053271.4</v>
      </c>
      <c r="F9" s="1043">
        <f t="shared" si="12"/>
        <v>-1.368544325</v>
      </c>
      <c r="G9" s="1043">
        <f t="shared" si="12"/>
        <v>0.6021088083</v>
      </c>
      <c r="H9" s="1055"/>
      <c r="I9" s="1056" t="s">
        <v>1004</v>
      </c>
      <c r="J9" s="1057">
        <v>1200.0</v>
      </c>
      <c r="K9" s="1058" t="s">
        <v>1005</v>
      </c>
      <c r="L9" s="3"/>
      <c r="M9" s="1044">
        <f>Q7+(Q6*J15)</f>
        <v>99490.47</v>
      </c>
      <c r="N9" s="1053"/>
      <c r="O9" s="1065"/>
      <c r="P9" s="1066" t="s">
        <v>1006</v>
      </c>
      <c r="Q9" s="1045" t="s">
        <v>1007</v>
      </c>
      <c r="R9" s="1053"/>
      <c r="S9" s="1053"/>
      <c r="T9" s="1027"/>
      <c r="U9" s="1027"/>
      <c r="V9" s="1027" t="s">
        <v>1008</v>
      </c>
      <c r="W9" s="1036" t="s">
        <v>983</v>
      </c>
      <c r="X9" s="1047" t="s">
        <v>225</v>
      </c>
      <c r="Y9" s="1047" t="s">
        <v>993</v>
      </c>
      <c r="Z9" s="1047" t="s">
        <v>168</v>
      </c>
    </row>
    <row r="10">
      <c r="A10" s="1048">
        <f t="shared" si="5"/>
        <v>46266</v>
      </c>
      <c r="B10" s="1034" t="str">
        <f t="shared" si="2"/>
        <v>①R8_9集計</v>
      </c>
      <c r="C10" s="1041" t="str">
        <f t="shared" si="3"/>
        <v/>
      </c>
      <c r="D10" s="1042">
        <f t="shared" ref="D10:G10" si="13">xlookup($B10,$K:$K,R:R)</f>
        <v>757650</v>
      </c>
      <c r="E10" s="1042">
        <f t="shared" si="13"/>
        <v>-1026782</v>
      </c>
      <c r="F10" s="1043">
        <f t="shared" si="13"/>
        <v>-1.355219428</v>
      </c>
      <c r="G10" s="1043">
        <f t="shared" si="13"/>
        <v>0.5608552762</v>
      </c>
      <c r="H10" s="1067"/>
      <c r="I10" s="1068" t="s">
        <v>1009</v>
      </c>
      <c r="J10" s="1057">
        <v>2.0</v>
      </c>
      <c r="K10" s="1058" t="s">
        <v>1010</v>
      </c>
      <c r="L10" s="3"/>
      <c r="M10" s="1044">
        <f>M9*J2+(K3*J17*J2*30)+(K3*J19*J2*100)</f>
        <v>2854848.36</v>
      </c>
      <c r="N10" s="1069"/>
      <c r="O10" s="1069"/>
      <c r="P10" s="1070" t="s">
        <v>420</v>
      </c>
      <c r="Q10" s="1071">
        <v>112480.0</v>
      </c>
      <c r="R10" s="1053"/>
      <c r="S10" s="1072"/>
      <c r="T10" s="1027"/>
      <c r="U10" s="1027"/>
      <c r="V10" s="1027"/>
      <c r="W10" s="1036" t="s">
        <v>335</v>
      </c>
      <c r="X10" s="1050">
        <v>5793301.0</v>
      </c>
      <c r="Y10" s="1050">
        <v>5622981.0</v>
      </c>
      <c r="Z10" s="1050">
        <v>5282342.0</v>
      </c>
    </row>
    <row r="11">
      <c r="A11" s="1048">
        <f t="shared" si="5"/>
        <v>46296</v>
      </c>
      <c r="B11" s="1034" t="str">
        <f t="shared" si="2"/>
        <v>①R8_10集計</v>
      </c>
      <c r="C11" s="1041" t="str">
        <f t="shared" si="3"/>
        <v/>
      </c>
      <c r="D11" s="1042">
        <f t="shared" ref="D11:G11" si="14">xlookup($B11,$K:$K,R:R)</f>
        <v>769629</v>
      </c>
      <c r="E11" s="1042">
        <f t="shared" si="14"/>
        <v>-1053271.4</v>
      </c>
      <c r="F11" s="1043">
        <f t="shared" si="14"/>
        <v>-1.368544325</v>
      </c>
      <c r="G11" s="1043">
        <f t="shared" si="14"/>
        <v>0.6021088083</v>
      </c>
      <c r="H11" s="1067"/>
      <c r="I11" s="1068" t="s">
        <v>1011</v>
      </c>
      <c r="J11" s="1057">
        <f>J2</f>
        <v>28</v>
      </c>
      <c r="K11" s="1058" t="s">
        <v>1012</v>
      </c>
      <c r="L11" s="3"/>
      <c r="M11" s="1036" t="s">
        <v>429</v>
      </c>
      <c r="N11" s="1062" t="s">
        <v>404</v>
      </c>
      <c r="O11" s="1069"/>
      <c r="P11" s="1070" t="s">
        <v>418</v>
      </c>
      <c r="Q11" s="1071">
        <v>145200.0</v>
      </c>
      <c r="R11" s="1053"/>
      <c r="S11" s="1053"/>
      <c r="T11" s="1027"/>
      <c r="U11" s="1027"/>
      <c r="V11" s="1027"/>
      <c r="W11" s="1036" t="s">
        <v>982</v>
      </c>
      <c r="X11" s="1054">
        <v>0.6423</v>
      </c>
      <c r="Y11" s="1054">
        <v>0.6383</v>
      </c>
      <c r="Z11" s="1054">
        <v>0.6296</v>
      </c>
    </row>
    <row r="12">
      <c r="A12" s="1048">
        <f t="shared" si="5"/>
        <v>46327</v>
      </c>
      <c r="B12" s="1034" t="str">
        <f t="shared" si="2"/>
        <v>①R8_11集計</v>
      </c>
      <c r="C12" s="1041" t="str">
        <f t="shared" si="3"/>
        <v/>
      </c>
      <c r="D12" s="1042">
        <f t="shared" ref="D12:G12" si="15">xlookup($B12,$K:$K,R:R)</f>
        <v>757650</v>
      </c>
      <c r="E12" s="1042">
        <f t="shared" si="15"/>
        <v>-1026782</v>
      </c>
      <c r="F12" s="1043">
        <f t="shared" si="15"/>
        <v>-1.355219428</v>
      </c>
      <c r="G12" s="1043">
        <f t="shared" si="15"/>
        <v>0.5608552762</v>
      </c>
      <c r="H12" s="1055"/>
      <c r="I12" s="1056" t="s">
        <v>1013</v>
      </c>
      <c r="J12" s="1063"/>
      <c r="K12" s="1058" t="s">
        <v>1014</v>
      </c>
      <c r="L12" s="3"/>
      <c r="M12" s="1049">
        <f t="shared" ref="M12:M13" si="17">J4*1.15</f>
        <v>368000</v>
      </c>
      <c r="N12" s="1073">
        <v>15000.0</v>
      </c>
      <c r="O12" s="1074"/>
      <c r="P12" s="1070" t="s">
        <v>1015</v>
      </c>
      <c r="Q12" s="1071">
        <v>140600.0</v>
      </c>
      <c r="R12" s="1053"/>
      <c r="S12" s="1053"/>
      <c r="T12" s="1027"/>
      <c r="U12" s="1027"/>
      <c r="V12" s="1027"/>
      <c r="W12" s="1036" t="s">
        <v>1000</v>
      </c>
      <c r="X12" s="1050">
        <v>1333657.0</v>
      </c>
      <c r="Y12" s="1050">
        <v>1295135.0</v>
      </c>
      <c r="Z12" s="1050">
        <v>1218089.0</v>
      </c>
    </row>
    <row r="13">
      <c r="A13" s="1048">
        <f t="shared" si="5"/>
        <v>46357</v>
      </c>
      <c r="B13" s="1034" t="str">
        <f t="shared" si="2"/>
        <v>①R8_12集計</v>
      </c>
      <c r="C13" s="1041" t="str">
        <f t="shared" si="3"/>
        <v/>
      </c>
      <c r="D13" s="1042">
        <f t="shared" ref="D13:G13" si="16">xlookup($B13,$K:$K,R:R)</f>
        <v>769629</v>
      </c>
      <c r="E13" s="1042">
        <f t="shared" si="16"/>
        <v>-1053271.4</v>
      </c>
      <c r="F13" s="1043">
        <f t="shared" si="16"/>
        <v>-1.368544325</v>
      </c>
      <c r="G13" s="1043">
        <f t="shared" si="16"/>
        <v>0.6021088083</v>
      </c>
      <c r="H13" s="1055"/>
      <c r="I13" s="1056" t="s">
        <v>1016</v>
      </c>
      <c r="J13" s="1063"/>
      <c r="K13" s="1058" t="s">
        <v>1017</v>
      </c>
      <c r="L13" s="3"/>
      <c r="M13" s="1049">
        <f t="shared" si="17"/>
        <v>310500</v>
      </c>
      <c r="N13" s="1075">
        <v>15000.0</v>
      </c>
      <c r="O13" s="1076"/>
      <c r="P13" s="1077" t="s">
        <v>1018</v>
      </c>
      <c r="Q13" s="1039">
        <f>K3*J17*J2*100</f>
        <v>94864</v>
      </c>
      <c r="R13" s="1053"/>
      <c r="S13" s="1053"/>
      <c r="T13" s="1027"/>
      <c r="U13" s="1027"/>
      <c r="V13" s="1027"/>
      <c r="W13" s="1036" t="s">
        <v>332</v>
      </c>
      <c r="X13" s="1054">
        <v>0.2302</v>
      </c>
      <c r="Y13" s="1054">
        <v>0.2303</v>
      </c>
      <c r="Z13" s="1054">
        <v>0.2306</v>
      </c>
    </row>
    <row r="14">
      <c r="A14" s="1048">
        <f t="shared" si="5"/>
        <v>46388</v>
      </c>
      <c r="B14" s="1034" t="str">
        <f>"①R9_"&amp;month(A14)&amp;"集計"</f>
        <v>①R9_1集計</v>
      </c>
      <c r="C14" s="1041" t="str">
        <f t="shared" si="3"/>
        <v/>
      </c>
      <c r="D14" s="1042">
        <f t="shared" ref="D14:G14" si="18">xlookup($B14,$K:$K,R:R)</f>
        <v>769629</v>
      </c>
      <c r="E14" s="1042">
        <f t="shared" si="18"/>
        <v>-1053271.4</v>
      </c>
      <c r="F14" s="1043">
        <f t="shared" si="18"/>
        <v>-1.368544325</v>
      </c>
      <c r="G14" s="1043">
        <f t="shared" si="18"/>
        <v>0.6021088083</v>
      </c>
      <c r="H14" s="1055"/>
      <c r="I14" s="1056" t="s">
        <v>1019</v>
      </c>
      <c r="J14" s="1063"/>
      <c r="K14" s="1078" t="s">
        <v>1020</v>
      </c>
      <c r="L14" s="3"/>
      <c r="M14" s="1049">
        <f>(4*J2-21.7*2)*J6*J7</f>
        <v>535080</v>
      </c>
      <c r="N14" s="1049">
        <f>(J2*4-21.7*2)*J15</f>
        <v>41160</v>
      </c>
      <c r="O14" s="1072"/>
      <c r="P14" s="1070" t="s">
        <v>1021</v>
      </c>
      <c r="Q14" s="1039">
        <f>K3*J18*J2*100</f>
        <v>240548</v>
      </c>
      <c r="R14" s="1053"/>
      <c r="S14" s="1079"/>
      <c r="T14" s="1027"/>
      <c r="U14" s="1027"/>
      <c r="V14" s="1027"/>
      <c r="W14" s="1027"/>
      <c r="X14" s="1027"/>
      <c r="Y14" s="1027"/>
      <c r="Z14" s="1027"/>
    </row>
    <row r="15">
      <c r="A15" s="1055"/>
      <c r="B15" s="1055"/>
      <c r="C15" s="1055"/>
      <c r="D15" s="1055"/>
      <c r="E15" s="1055"/>
      <c r="F15" s="1055"/>
      <c r="G15" s="1055"/>
      <c r="H15" s="1055"/>
      <c r="I15" s="1080" t="s">
        <v>1022</v>
      </c>
      <c r="J15" s="1081">
        <v>600.0</v>
      </c>
      <c r="K15" s="1052" t="s">
        <v>1023</v>
      </c>
      <c r="L15" s="3"/>
      <c r="M15" s="1049">
        <f>J9*J10*J11</f>
        <v>67200</v>
      </c>
      <c r="N15" s="1072"/>
      <c r="O15" s="1072"/>
      <c r="P15" s="1070" t="s">
        <v>1024</v>
      </c>
      <c r="Q15" s="1082">
        <f>K4*J19*J3*150</f>
        <v>130816.125</v>
      </c>
      <c r="R15" s="1053"/>
      <c r="S15" s="1053"/>
      <c r="T15" s="1027"/>
      <c r="U15" s="1027"/>
      <c r="V15" s="1027"/>
      <c r="W15" s="1027"/>
      <c r="X15" s="1027"/>
      <c r="Y15" s="1027"/>
      <c r="Z15" s="1027"/>
    </row>
    <row r="16">
      <c r="A16" s="1027"/>
      <c r="B16" s="1027"/>
      <c r="C16" s="1027"/>
      <c r="D16" s="1027"/>
      <c r="E16" s="1027"/>
      <c r="F16" s="1027"/>
      <c r="G16" s="1027"/>
      <c r="H16" s="1027"/>
      <c r="I16" s="1053"/>
      <c r="J16" s="1053"/>
      <c r="K16" s="1052" t="s">
        <v>1025</v>
      </c>
      <c r="L16" s="3"/>
      <c r="M16" s="1049">
        <f>J12*J13*J14</f>
        <v>0</v>
      </c>
      <c r="N16" s="1049">
        <f>J14*J15</f>
        <v>0</v>
      </c>
      <c r="O16" s="1072"/>
      <c r="P16" s="1053"/>
      <c r="Q16" s="1053"/>
      <c r="R16" s="1053"/>
      <c r="S16" s="1079"/>
      <c r="T16" s="1027"/>
      <c r="U16" s="1027"/>
      <c r="V16" s="1027"/>
      <c r="W16" s="1027"/>
      <c r="X16" s="1027"/>
      <c r="Y16" s="1027"/>
      <c r="Z16" s="1027"/>
    </row>
    <row r="17">
      <c r="A17" s="1035"/>
      <c r="B17" s="1035"/>
      <c r="C17" s="1035"/>
      <c r="D17" s="1035"/>
      <c r="E17" s="1035"/>
      <c r="F17" s="1035"/>
      <c r="G17" s="1035"/>
      <c r="H17" s="1035"/>
      <c r="I17" s="1036" t="s">
        <v>1018</v>
      </c>
      <c r="J17" s="1083">
        <v>0.14</v>
      </c>
      <c r="K17" s="1058" t="s">
        <v>1026</v>
      </c>
      <c r="L17" s="3"/>
      <c r="M17" s="1049">
        <f>SUM(M12:N13)+J16</f>
        <v>708500</v>
      </c>
      <c r="N17" s="1072"/>
      <c r="O17" s="1072"/>
      <c r="P17" s="1036" t="s">
        <v>400</v>
      </c>
      <c r="Q17" s="1046">
        <f>SUM(Q10:Q15)</f>
        <v>864508.125</v>
      </c>
      <c r="R17" s="1053"/>
      <c r="S17" s="1053"/>
      <c r="T17" s="1027"/>
      <c r="U17" s="1027"/>
      <c r="V17" s="1027"/>
      <c r="W17" s="1027"/>
      <c r="X17" s="1027"/>
      <c r="Y17" s="1027"/>
      <c r="Z17" s="1027"/>
    </row>
    <row r="18">
      <c r="A18" s="1035"/>
      <c r="B18" s="1035"/>
      <c r="C18" s="1035"/>
      <c r="D18" s="1035"/>
      <c r="E18" s="1035"/>
      <c r="F18" s="1035"/>
      <c r="G18" s="1035"/>
      <c r="H18" s="1035"/>
      <c r="I18" s="1036" t="s">
        <v>1021</v>
      </c>
      <c r="J18" s="1054">
        <v>0.355</v>
      </c>
      <c r="K18" s="1027"/>
      <c r="L18" s="1027"/>
      <c r="M18" s="1027"/>
      <c r="N18" s="1027"/>
      <c r="O18" s="1027"/>
      <c r="P18" s="1027"/>
      <c r="Q18" s="1027"/>
      <c r="R18" s="1027"/>
      <c r="S18" s="1027"/>
      <c r="T18" s="1027"/>
      <c r="U18" s="1027"/>
      <c r="V18" s="1027"/>
      <c r="W18" s="1027"/>
      <c r="X18" s="1027"/>
      <c r="Y18" s="1027"/>
      <c r="Z18" s="1027"/>
    </row>
    <row r="19">
      <c r="A19" s="1055"/>
      <c r="B19" s="1055"/>
      <c r="C19" s="1055"/>
      <c r="D19" s="1055"/>
      <c r="E19" s="1055"/>
      <c r="F19" s="1055"/>
      <c r="G19" s="1055"/>
      <c r="H19" s="1055"/>
      <c r="I19" s="1080" t="s">
        <v>1024</v>
      </c>
      <c r="J19" s="1083">
        <v>0.06</v>
      </c>
      <c r="K19" s="1027"/>
      <c r="L19" s="1027"/>
      <c r="M19" s="1027"/>
      <c r="N19" s="1027"/>
      <c r="O19" s="1027"/>
      <c r="P19" s="1027"/>
      <c r="Q19" s="1027"/>
      <c r="R19" s="1027"/>
      <c r="S19" s="1027"/>
      <c r="T19" s="1027"/>
      <c r="U19" s="1027"/>
      <c r="V19" s="1027"/>
      <c r="W19" s="1027"/>
      <c r="X19" s="1027"/>
      <c r="Y19" s="1027"/>
      <c r="Z19" s="1027"/>
    </row>
    <row r="21">
      <c r="I21" s="1028" t="s">
        <v>981</v>
      </c>
      <c r="J21" s="1029">
        <f>A4</f>
        <v>46082</v>
      </c>
      <c r="K21" s="1028" t="str">
        <f>"①R"&amp;year(J21)-2018&amp;"_"&amp;month(J21)&amp;"集計"</f>
        <v>①R8_3集計</v>
      </c>
      <c r="L21" s="1027"/>
      <c r="M21" s="1030">
        <v>480.0</v>
      </c>
      <c r="N21" s="1030">
        <v>480.0</v>
      </c>
      <c r="O21" s="1030">
        <v>600.0</v>
      </c>
      <c r="P21" s="1030">
        <v>700.0</v>
      </c>
      <c r="Q21" s="1027"/>
      <c r="R21" s="1031">
        <f>S24</f>
        <v>5955991.5</v>
      </c>
      <c r="S21" s="1031">
        <f>S27</f>
        <v>1434817</v>
      </c>
      <c r="T21" s="1032">
        <f>S28</f>
        <v>0.2409031309</v>
      </c>
      <c r="U21" s="1032">
        <f>S26</f>
        <v>0.6401410244</v>
      </c>
    </row>
    <row r="22">
      <c r="I22" s="1036" t="s">
        <v>983</v>
      </c>
      <c r="J22" s="1037">
        <f>DAY(EOMONTH(J21,0))</f>
        <v>31</v>
      </c>
      <c r="K22" s="1038" t="s">
        <v>984</v>
      </c>
      <c r="L22" s="1038" t="s">
        <v>334</v>
      </c>
      <c r="M22" s="1038" t="s">
        <v>985</v>
      </c>
      <c r="N22" s="1038" t="s">
        <v>986</v>
      </c>
      <c r="O22" s="1038" t="s">
        <v>987</v>
      </c>
      <c r="P22" s="1038" t="s">
        <v>988</v>
      </c>
      <c r="Q22" s="1038" t="s">
        <v>989</v>
      </c>
      <c r="R22" s="1036" t="s">
        <v>990</v>
      </c>
      <c r="S22" s="1039">
        <v>900.0</v>
      </c>
      <c r="T22" s="1027"/>
      <c r="U22" s="1027"/>
    </row>
    <row r="23">
      <c r="I23" s="1036" t="s">
        <v>334</v>
      </c>
      <c r="J23" s="1037">
        <f t="array" ref="J23">xlookup(K21,$B$3:$B$14,$C$3:$C$14)*100</f>
        <v>75</v>
      </c>
      <c r="K23" s="1044">
        <f>SUM(M23:P23)</f>
        <v>242</v>
      </c>
      <c r="L23" s="1044">
        <v>100.0</v>
      </c>
      <c r="M23" s="1039">
        <v>162.0</v>
      </c>
      <c r="N23" s="1039">
        <v>67.0</v>
      </c>
      <c r="O23" s="1039">
        <v>10.0</v>
      </c>
      <c r="P23" s="1039">
        <v>3.0</v>
      </c>
      <c r="Q23" s="1044">
        <f>K23*J22</f>
        <v>7502</v>
      </c>
      <c r="R23" s="1045" t="s">
        <v>991</v>
      </c>
      <c r="S23" s="1046">
        <f>Q37</f>
        <v>892141.5</v>
      </c>
      <c r="T23" s="1027"/>
      <c r="U23" s="1027"/>
    </row>
    <row r="24">
      <c r="I24" s="1036" t="s">
        <v>994</v>
      </c>
      <c r="J24" s="1039">
        <v>320000.0</v>
      </c>
      <c r="K24" s="1044">
        <f>K23*L24%</f>
        <v>181.5</v>
      </c>
      <c r="L24" s="1049">
        <f>J23</f>
        <v>75</v>
      </c>
      <c r="M24" s="1044">
        <f>M23*L24%</f>
        <v>121.5</v>
      </c>
      <c r="N24" s="1044">
        <f>N23*L24%</f>
        <v>50.25</v>
      </c>
      <c r="O24" s="1044">
        <f>O23*L24%</f>
        <v>7.5</v>
      </c>
      <c r="P24" s="1044">
        <f>P23*L24%</f>
        <v>2.25</v>
      </c>
      <c r="Q24" s="1044">
        <f>K24*J22</f>
        <v>5626.5</v>
      </c>
      <c r="R24" s="1036" t="s">
        <v>335</v>
      </c>
      <c r="S24" s="1046">
        <f>S22*Q24+S23</f>
        <v>5955991.5</v>
      </c>
      <c r="T24" s="1027"/>
      <c r="U24" s="1027"/>
    </row>
    <row r="25">
      <c r="I25" s="1036" t="s">
        <v>995</v>
      </c>
      <c r="J25" s="1051">
        <v>270000.0</v>
      </c>
      <c r="K25" s="1052" t="s">
        <v>996</v>
      </c>
      <c r="L25" s="3"/>
      <c r="M25" s="1039">
        <v>26.1</v>
      </c>
      <c r="N25" s="1039">
        <v>26.1</v>
      </c>
      <c r="O25" s="1039">
        <v>32.73</v>
      </c>
      <c r="P25" s="1039">
        <v>38.18</v>
      </c>
      <c r="Q25" s="1053"/>
      <c r="R25" s="1036" t="s">
        <v>997</v>
      </c>
      <c r="S25" s="1044">
        <f>M30+SUM(M34:N36)</f>
        <v>3812674.5</v>
      </c>
      <c r="T25" s="1027"/>
      <c r="U25" s="1027"/>
    </row>
    <row r="26">
      <c r="I26" s="1056" t="s">
        <v>998</v>
      </c>
      <c r="J26" s="1057">
        <v>1200.0</v>
      </c>
      <c r="K26" s="1058" t="s">
        <v>999</v>
      </c>
      <c r="L26" s="3"/>
      <c r="M26" s="1044">
        <f t="shared" ref="M26:P26" si="19">M24/(360/M25)</f>
        <v>8.80875</v>
      </c>
      <c r="N26" s="1044">
        <f t="shared" si="19"/>
        <v>3.643125</v>
      </c>
      <c r="O26" s="1044">
        <f t="shared" si="19"/>
        <v>0.681875</v>
      </c>
      <c r="P26" s="1044">
        <f t="shared" si="19"/>
        <v>0.238625</v>
      </c>
      <c r="Q26" s="1044">
        <f t="shared" ref="Q26:Q27" si="20">M26+N26+O26+P26</f>
        <v>13.372375</v>
      </c>
      <c r="R26" s="1036" t="s">
        <v>333</v>
      </c>
      <c r="S26" s="1054">
        <f>S25/S24</f>
        <v>0.6401410244</v>
      </c>
      <c r="T26" s="1027"/>
      <c r="U26" s="1027"/>
    </row>
    <row r="27">
      <c r="I27" s="1060" t="s">
        <v>1001</v>
      </c>
      <c r="J27" s="1057">
        <v>6.5</v>
      </c>
      <c r="K27" s="1061" t="s">
        <v>1002</v>
      </c>
      <c r="L27" s="1039">
        <v>1100.0</v>
      </c>
      <c r="M27" s="1044">
        <f>M26*(L27*6)</f>
        <v>58137.75</v>
      </c>
      <c r="N27" s="1044">
        <f>N26*(L27*6)</f>
        <v>24044.625</v>
      </c>
      <c r="O27" s="1044">
        <f>O26*(L27*6)</f>
        <v>4500.375</v>
      </c>
      <c r="P27" s="1044">
        <f>P26*(L27*6)</f>
        <v>1574.925</v>
      </c>
      <c r="Q27" s="1044">
        <f t="shared" si="20"/>
        <v>88257.675</v>
      </c>
      <c r="R27" s="1036" t="s">
        <v>1000</v>
      </c>
      <c r="S27" s="1046">
        <f>S24-S25-M37</f>
        <v>1434817</v>
      </c>
      <c r="T27" s="1027"/>
      <c r="U27" s="1027"/>
    </row>
    <row r="28">
      <c r="I28" s="1062" t="s">
        <v>1003</v>
      </c>
      <c r="J28" s="1063"/>
      <c r="K28" s="1064"/>
      <c r="L28" s="1053"/>
      <c r="M28" s="1053"/>
      <c r="N28" s="1053"/>
      <c r="O28" s="1053"/>
      <c r="P28" s="1053"/>
      <c r="Q28" s="1053"/>
      <c r="R28" s="1036" t="s">
        <v>332</v>
      </c>
      <c r="S28" s="1054">
        <f>S27/S24</f>
        <v>0.2409031309</v>
      </c>
      <c r="T28" s="1027"/>
      <c r="U28" s="1027"/>
    </row>
    <row r="29">
      <c r="I29" s="1056" t="s">
        <v>1004</v>
      </c>
      <c r="J29" s="1057">
        <v>1200.0</v>
      </c>
      <c r="K29" s="1058" t="s">
        <v>1005</v>
      </c>
      <c r="L29" s="3"/>
      <c r="M29" s="1044">
        <f>Q27+(Q26*J35)</f>
        <v>96281.1</v>
      </c>
      <c r="N29" s="1053"/>
      <c r="O29" s="1065"/>
      <c r="P29" s="1066" t="s">
        <v>1006</v>
      </c>
      <c r="Q29" s="1045" t="s">
        <v>1007</v>
      </c>
      <c r="R29" s="1053"/>
      <c r="S29" s="1053"/>
      <c r="T29" s="1027"/>
      <c r="U29" s="1027"/>
    </row>
    <row r="30">
      <c r="I30" s="1068" t="s">
        <v>1009</v>
      </c>
      <c r="J30" s="1057">
        <v>2.0</v>
      </c>
      <c r="K30" s="1058" t="s">
        <v>1010</v>
      </c>
      <c r="L30" s="3"/>
      <c r="M30" s="1044">
        <f>M29*J22+(K23*J37*J22*30)+(K23*J39*J22*100)</f>
        <v>3061234.5</v>
      </c>
      <c r="N30" s="1069"/>
      <c r="O30" s="1069"/>
      <c r="P30" s="1070" t="s">
        <v>420</v>
      </c>
      <c r="Q30" s="1071">
        <v>112480.0</v>
      </c>
      <c r="R30" s="1053"/>
      <c r="S30" s="1072"/>
      <c r="T30" s="1027"/>
      <c r="U30" s="1027"/>
    </row>
    <row r="31">
      <c r="I31" s="1068" t="s">
        <v>1011</v>
      </c>
      <c r="J31" s="1057">
        <f>J22</f>
        <v>31</v>
      </c>
      <c r="K31" s="1058" t="s">
        <v>1012</v>
      </c>
      <c r="L31" s="3"/>
      <c r="M31" s="1036" t="s">
        <v>429</v>
      </c>
      <c r="N31" s="1062" t="s">
        <v>404</v>
      </c>
      <c r="O31" s="1069"/>
      <c r="P31" s="1070" t="s">
        <v>418</v>
      </c>
      <c r="Q31" s="1071">
        <v>145200.0</v>
      </c>
      <c r="R31" s="1053"/>
      <c r="S31" s="1053"/>
      <c r="T31" s="1027"/>
      <c r="U31" s="1027"/>
    </row>
    <row r="32">
      <c r="I32" s="1056" t="s">
        <v>1013</v>
      </c>
      <c r="J32" s="1063"/>
      <c r="K32" s="1058" t="s">
        <v>1014</v>
      </c>
      <c r="L32" s="3"/>
      <c r="M32" s="1049">
        <f t="shared" ref="M32:M33" si="21">J24*1.15</f>
        <v>368000</v>
      </c>
      <c r="N32" s="1073">
        <v>15000.0</v>
      </c>
      <c r="O32" s="1074"/>
      <c r="P32" s="1070" t="s">
        <v>1015</v>
      </c>
      <c r="Q32" s="1071">
        <v>140600.0</v>
      </c>
      <c r="R32" s="1053"/>
      <c r="S32" s="1053"/>
      <c r="T32" s="1027"/>
      <c r="U32" s="1027"/>
    </row>
    <row r="33">
      <c r="I33" s="1056" t="s">
        <v>1016</v>
      </c>
      <c r="J33" s="1063"/>
      <c r="K33" s="1058" t="s">
        <v>1017</v>
      </c>
      <c r="L33" s="3"/>
      <c r="M33" s="1049">
        <f t="shared" si="21"/>
        <v>310500</v>
      </c>
      <c r="N33" s="1075">
        <v>15000.0</v>
      </c>
      <c r="O33" s="1076"/>
      <c r="P33" s="1077" t="s">
        <v>1018</v>
      </c>
      <c r="Q33" s="1039">
        <f>K23*J37*J22*100</f>
        <v>105028</v>
      </c>
      <c r="R33" s="1053"/>
      <c r="S33" s="1053"/>
      <c r="T33" s="1027"/>
      <c r="U33" s="1027"/>
    </row>
    <row r="34">
      <c r="I34" s="1056" t="s">
        <v>1019</v>
      </c>
      <c r="J34" s="1063"/>
      <c r="K34" s="1078" t="s">
        <v>1020</v>
      </c>
      <c r="L34" s="3"/>
      <c r="M34" s="1049">
        <f>(4*J22-21.7*2)*J26*J27</f>
        <v>628680</v>
      </c>
      <c r="N34" s="1049">
        <f>(J22*4-21.7*2)*J35</f>
        <v>48360</v>
      </c>
      <c r="O34" s="1072"/>
      <c r="P34" s="1070" t="s">
        <v>1021</v>
      </c>
      <c r="Q34" s="1039">
        <f>K23*J38*J22*100</f>
        <v>266321</v>
      </c>
      <c r="R34" s="1053"/>
      <c r="S34" s="1079"/>
      <c r="T34" s="1027"/>
      <c r="U34" s="1027"/>
    </row>
    <row r="35">
      <c r="I35" s="1080" t="s">
        <v>1022</v>
      </c>
      <c r="J35" s="1081">
        <v>600.0</v>
      </c>
      <c r="K35" s="1052" t="s">
        <v>1023</v>
      </c>
      <c r="L35" s="3"/>
      <c r="M35" s="1049">
        <f>J29*J30*J31</f>
        <v>74400</v>
      </c>
      <c r="N35" s="1072"/>
      <c r="O35" s="1072"/>
      <c r="P35" s="1070" t="s">
        <v>1024</v>
      </c>
      <c r="Q35" s="1082">
        <f>K24*J39*J23*150</f>
        <v>122512.5</v>
      </c>
      <c r="R35" s="1053"/>
      <c r="S35" s="1053"/>
      <c r="T35" s="1027"/>
      <c r="U35" s="1027"/>
    </row>
    <row r="36">
      <c r="I36" s="1053"/>
      <c r="J36" s="1053"/>
      <c r="K36" s="1052" t="s">
        <v>1025</v>
      </c>
      <c r="L36" s="3"/>
      <c r="M36" s="1049">
        <f>J32*J33*J34</f>
        <v>0</v>
      </c>
      <c r="N36" s="1049">
        <f>J34*J35</f>
        <v>0</v>
      </c>
      <c r="O36" s="1072"/>
      <c r="P36" s="1053"/>
      <c r="Q36" s="1053"/>
      <c r="R36" s="1053"/>
      <c r="S36" s="1079"/>
      <c r="T36" s="1027"/>
      <c r="U36" s="1027"/>
    </row>
    <row r="37">
      <c r="I37" s="1036" t="s">
        <v>1018</v>
      </c>
      <c r="J37" s="1083">
        <v>0.14</v>
      </c>
      <c r="K37" s="1058" t="s">
        <v>1026</v>
      </c>
      <c r="L37" s="3"/>
      <c r="M37" s="1049">
        <f>SUM(M32:N33)+J36</f>
        <v>708500</v>
      </c>
      <c r="N37" s="1072"/>
      <c r="O37" s="1072"/>
      <c r="P37" s="1036" t="s">
        <v>400</v>
      </c>
      <c r="Q37" s="1046">
        <f>SUM(Q30:Q35)</f>
        <v>892141.5</v>
      </c>
      <c r="R37" s="1053"/>
      <c r="S37" s="1053"/>
      <c r="T37" s="1027"/>
      <c r="U37" s="1027"/>
    </row>
    <row r="38">
      <c r="I38" s="1036" t="s">
        <v>1021</v>
      </c>
      <c r="J38" s="1054">
        <v>0.355</v>
      </c>
      <c r="K38" s="1027"/>
      <c r="L38" s="1027"/>
      <c r="M38" s="1027"/>
      <c r="N38" s="1027"/>
      <c r="O38" s="1027"/>
      <c r="P38" s="1027"/>
      <c r="Q38" s="1027"/>
      <c r="R38" s="1027"/>
      <c r="S38" s="1027"/>
      <c r="T38" s="1027"/>
      <c r="U38" s="1027"/>
    </row>
    <row r="39">
      <c r="I39" s="1080" t="s">
        <v>1024</v>
      </c>
      <c r="J39" s="1083">
        <v>0.06</v>
      </c>
      <c r="K39" s="1027"/>
      <c r="L39" s="1027"/>
      <c r="M39" s="1027"/>
      <c r="N39" s="1027"/>
      <c r="O39" s="1027"/>
      <c r="P39" s="1027"/>
      <c r="Q39" s="1027"/>
      <c r="R39" s="1027"/>
      <c r="S39" s="1027"/>
      <c r="T39" s="1027"/>
      <c r="U39" s="1027"/>
    </row>
    <row r="41">
      <c r="I41" s="1028" t="s">
        <v>981</v>
      </c>
      <c r="J41" s="1029">
        <f>A5</f>
        <v>46113</v>
      </c>
      <c r="K41" s="1028" t="str">
        <f>"①R"&amp;year(J41)-2018&amp;"_"&amp;month(J41)&amp;"集計"</f>
        <v>①R8_4集計</v>
      </c>
      <c r="L41" s="1027"/>
      <c r="M41" s="1030">
        <v>480.0</v>
      </c>
      <c r="N41" s="1030">
        <v>480.0</v>
      </c>
      <c r="O41" s="1030">
        <v>600.0</v>
      </c>
      <c r="P41" s="1030">
        <v>700.0</v>
      </c>
      <c r="Q41" s="1027"/>
      <c r="R41" s="1031">
        <f>S44</f>
        <v>5780662.5</v>
      </c>
      <c r="S41" s="1031">
        <f>S47</f>
        <v>1107797.5</v>
      </c>
      <c r="T41" s="1032">
        <f>S48</f>
        <v>0.1916385016</v>
      </c>
      <c r="U41" s="1032">
        <f>S46</f>
        <v>0.5731808422</v>
      </c>
    </row>
    <row r="42">
      <c r="I42" s="1036" t="s">
        <v>983</v>
      </c>
      <c r="J42" s="1037">
        <f>DAY(EOMONTH(J41,0))</f>
        <v>30</v>
      </c>
      <c r="K42" s="1038" t="s">
        <v>984</v>
      </c>
      <c r="L42" s="1038" t="s">
        <v>334</v>
      </c>
      <c r="M42" s="1038" t="s">
        <v>985</v>
      </c>
      <c r="N42" s="1038" t="s">
        <v>986</v>
      </c>
      <c r="O42" s="1038" t="s">
        <v>987</v>
      </c>
      <c r="P42" s="1038" t="s">
        <v>988</v>
      </c>
      <c r="Q42" s="1038" t="s">
        <v>989</v>
      </c>
      <c r="R42" s="1036" t="s">
        <v>990</v>
      </c>
      <c r="S42" s="1039">
        <v>900.0</v>
      </c>
      <c r="T42" s="1027"/>
      <c r="U42" s="1027"/>
    </row>
    <row r="43">
      <c r="I43" s="1036" t="s">
        <v>334</v>
      </c>
      <c r="J43" s="1037">
        <f t="array" ref="J43">xlookup(K41,$B$3:$B$14,$C$3:$C$14)*100</f>
        <v>75</v>
      </c>
      <c r="K43" s="1044">
        <f>SUM(M43:P43)</f>
        <v>242</v>
      </c>
      <c r="L43" s="1044">
        <v>100.0</v>
      </c>
      <c r="M43" s="1039">
        <v>162.0</v>
      </c>
      <c r="N43" s="1039">
        <v>67.0</v>
      </c>
      <c r="O43" s="1039">
        <v>10.0</v>
      </c>
      <c r="P43" s="1039">
        <v>3.0</v>
      </c>
      <c r="Q43" s="1044">
        <f>K43*J42</f>
        <v>7260</v>
      </c>
      <c r="R43" s="1045" t="s">
        <v>991</v>
      </c>
      <c r="S43" s="1046">
        <f>Q57</f>
        <v>880162.5</v>
      </c>
      <c r="T43" s="1027"/>
      <c r="U43" s="1027"/>
    </row>
    <row r="44">
      <c r="I44" s="1036" t="s">
        <v>994</v>
      </c>
      <c r="J44" s="1039">
        <v>320000.0</v>
      </c>
      <c r="K44" s="1044">
        <f>K43*L44%</f>
        <v>181.5</v>
      </c>
      <c r="L44" s="1049">
        <f>J43</f>
        <v>75</v>
      </c>
      <c r="M44" s="1044">
        <f>M43*L44%</f>
        <v>121.5</v>
      </c>
      <c r="N44" s="1044">
        <f>N43*L44%</f>
        <v>50.25</v>
      </c>
      <c r="O44" s="1044">
        <f>O43*L44%</f>
        <v>7.5</v>
      </c>
      <c r="P44" s="1044">
        <f>P43*L44%</f>
        <v>2.25</v>
      </c>
      <c r="Q44" s="1044">
        <f>K44*J42</f>
        <v>5445</v>
      </c>
      <c r="R44" s="1036" t="s">
        <v>335</v>
      </c>
      <c r="S44" s="1046">
        <f>S42*Q44+S43</f>
        <v>5780662.5</v>
      </c>
      <c r="T44" s="1027"/>
      <c r="U44" s="1027"/>
    </row>
    <row r="45">
      <c r="I45" s="1036" t="s">
        <v>995</v>
      </c>
      <c r="J45" s="1084">
        <v>810000.0</v>
      </c>
      <c r="K45" s="1052" t="s">
        <v>996</v>
      </c>
      <c r="L45" s="3"/>
      <c r="M45" s="1039">
        <v>26.1</v>
      </c>
      <c r="N45" s="1039">
        <v>26.1</v>
      </c>
      <c r="O45" s="1039">
        <v>32.73</v>
      </c>
      <c r="P45" s="1039">
        <v>38.18</v>
      </c>
      <c r="Q45" s="1053"/>
      <c r="R45" s="1036" t="s">
        <v>997</v>
      </c>
      <c r="S45" s="1044">
        <f>M50+SUM(M54:N56)</f>
        <v>3313365</v>
      </c>
      <c r="T45" s="1027"/>
      <c r="U45" s="1027"/>
    </row>
    <row r="46">
      <c r="I46" s="1056" t="s">
        <v>998</v>
      </c>
      <c r="J46" s="1057">
        <v>1200.0</v>
      </c>
      <c r="K46" s="1058" t="s">
        <v>999</v>
      </c>
      <c r="L46" s="3"/>
      <c r="M46" s="1044">
        <f t="shared" ref="M46:P46" si="22">M44/(360/M45)</f>
        <v>8.80875</v>
      </c>
      <c r="N46" s="1044">
        <f t="shared" si="22"/>
        <v>3.643125</v>
      </c>
      <c r="O46" s="1044">
        <f t="shared" si="22"/>
        <v>0.681875</v>
      </c>
      <c r="P46" s="1044">
        <f t="shared" si="22"/>
        <v>0.238625</v>
      </c>
      <c r="Q46" s="1044">
        <f t="shared" ref="Q46:Q47" si="23">M46+N46+O46+P46</f>
        <v>13.372375</v>
      </c>
      <c r="R46" s="1036" t="s">
        <v>333</v>
      </c>
      <c r="S46" s="1054">
        <f>S45/S44</f>
        <v>0.5731808422</v>
      </c>
      <c r="T46" s="1027"/>
      <c r="U46" s="1027"/>
    </row>
    <row r="47">
      <c r="I47" s="1060" t="s">
        <v>1001</v>
      </c>
      <c r="J47" s="1057">
        <v>6.5</v>
      </c>
      <c r="K47" s="1061" t="s">
        <v>1002</v>
      </c>
      <c r="L47" s="1039">
        <v>1100.0</v>
      </c>
      <c r="M47" s="1044">
        <f>M46*(L47*6)</f>
        <v>58137.75</v>
      </c>
      <c r="N47" s="1044">
        <f>N46*(L47*6)</f>
        <v>24044.625</v>
      </c>
      <c r="O47" s="1044">
        <f>O46*(L47*6)</f>
        <v>4500.375</v>
      </c>
      <c r="P47" s="1044">
        <f>P46*(L47*6)</f>
        <v>1574.925</v>
      </c>
      <c r="Q47" s="1044">
        <f t="shared" si="23"/>
        <v>88257.675</v>
      </c>
      <c r="R47" s="1036" t="s">
        <v>1000</v>
      </c>
      <c r="S47" s="1046">
        <f>S44-S45-M57</f>
        <v>1107797.5</v>
      </c>
      <c r="T47" s="1027"/>
      <c r="U47" s="1027"/>
    </row>
    <row r="48">
      <c r="I48" s="1062" t="s">
        <v>1003</v>
      </c>
      <c r="J48" s="1063"/>
      <c r="K48" s="1064"/>
      <c r="L48" s="1053"/>
      <c r="M48" s="1053"/>
      <c r="N48" s="1053"/>
      <c r="O48" s="1053"/>
      <c r="P48" s="1053"/>
      <c r="Q48" s="1053"/>
      <c r="R48" s="1036" t="s">
        <v>332</v>
      </c>
      <c r="S48" s="1054">
        <f>S47/S44</f>
        <v>0.1916385016</v>
      </c>
      <c r="T48" s="1027"/>
      <c r="U48" s="1027"/>
    </row>
    <row r="49">
      <c r="I49" s="1056" t="s">
        <v>1004</v>
      </c>
      <c r="J49" s="1057">
        <v>1200.0</v>
      </c>
      <c r="K49" s="1058" t="s">
        <v>1005</v>
      </c>
      <c r="L49" s="3"/>
      <c r="M49" s="1044">
        <f>Q47+(Q46*J55)</f>
        <v>96281.1</v>
      </c>
      <c r="N49" s="1053"/>
      <c r="O49" s="1065"/>
      <c r="P49" s="1066" t="s">
        <v>1006</v>
      </c>
      <c r="Q49" s="1045" t="s">
        <v>1007</v>
      </c>
      <c r="R49" s="1053"/>
      <c r="S49" s="1053"/>
      <c r="T49" s="1027"/>
      <c r="U49" s="1027"/>
    </row>
    <row r="50">
      <c r="I50" s="1068" t="s">
        <v>1009</v>
      </c>
      <c r="J50" s="1057">
        <v>2.0</v>
      </c>
      <c r="K50" s="1058" t="s">
        <v>1010</v>
      </c>
      <c r="L50" s="3"/>
      <c r="M50" s="1044">
        <f>M49*J42+(K43*J57*J42*30)+(K43*J59*J42*100)</f>
        <v>2962485</v>
      </c>
      <c r="N50" s="1069"/>
      <c r="O50" s="1069"/>
      <c r="P50" s="1070" t="s">
        <v>420</v>
      </c>
      <c r="Q50" s="1071">
        <v>112480.0</v>
      </c>
      <c r="R50" s="1053"/>
      <c r="S50" s="1072"/>
      <c r="T50" s="1027"/>
      <c r="U50" s="1027"/>
    </row>
    <row r="51">
      <c r="I51" s="1068" t="s">
        <v>1011</v>
      </c>
      <c r="J51" s="1057">
        <f>J42</f>
        <v>30</v>
      </c>
      <c r="K51" s="1058" t="s">
        <v>1012</v>
      </c>
      <c r="L51" s="3"/>
      <c r="M51" s="1036" t="s">
        <v>429</v>
      </c>
      <c r="N51" s="1062" t="s">
        <v>404</v>
      </c>
      <c r="O51" s="1069"/>
      <c r="P51" s="1070" t="s">
        <v>418</v>
      </c>
      <c r="Q51" s="1071">
        <v>145200.0</v>
      </c>
      <c r="R51" s="1053"/>
      <c r="S51" s="1053"/>
      <c r="T51" s="1027"/>
      <c r="U51" s="1027"/>
    </row>
    <row r="52">
      <c r="I52" s="1056" t="s">
        <v>1013</v>
      </c>
      <c r="J52" s="1063"/>
      <c r="K52" s="1058" t="s">
        <v>1014</v>
      </c>
      <c r="L52" s="3"/>
      <c r="M52" s="1049">
        <f t="shared" ref="M52:M53" si="24">J44*1.15</f>
        <v>368000</v>
      </c>
      <c r="N52" s="1073">
        <v>15000.0</v>
      </c>
      <c r="O52" s="1074"/>
      <c r="P52" s="1070" t="s">
        <v>1015</v>
      </c>
      <c r="Q52" s="1071">
        <v>140600.0</v>
      </c>
      <c r="R52" s="1053"/>
      <c r="S52" s="1053"/>
      <c r="T52" s="1027"/>
      <c r="U52" s="1027"/>
    </row>
    <row r="53">
      <c r="I53" s="1056" t="s">
        <v>1016</v>
      </c>
      <c r="J53" s="1063"/>
      <c r="K53" s="1058" t="s">
        <v>1017</v>
      </c>
      <c r="L53" s="3"/>
      <c r="M53" s="1049">
        <f t="shared" si="24"/>
        <v>931500</v>
      </c>
      <c r="N53" s="1049">
        <v>45000.0</v>
      </c>
      <c r="O53" s="1076"/>
      <c r="P53" s="1077" t="s">
        <v>1018</v>
      </c>
      <c r="Q53" s="1039">
        <f>K43*J57*J42*100</f>
        <v>101640</v>
      </c>
      <c r="R53" s="1053"/>
      <c r="S53" s="1053"/>
      <c r="T53" s="1027"/>
      <c r="U53" s="1027"/>
    </row>
    <row r="54">
      <c r="I54" s="1056" t="s">
        <v>1019</v>
      </c>
      <c r="J54" s="1063"/>
      <c r="K54" s="1078" t="s">
        <v>1020</v>
      </c>
      <c r="L54" s="3"/>
      <c r="M54" s="1049">
        <f>(4*J42-21.7*4)*J46*J47</f>
        <v>258960</v>
      </c>
      <c r="N54" s="1049">
        <f>(J42*4-21.7*4)*J55</f>
        <v>19920</v>
      </c>
      <c r="O54" s="1072"/>
      <c r="P54" s="1070" t="s">
        <v>1021</v>
      </c>
      <c r="Q54" s="1039">
        <f>K43*J58*J42*100</f>
        <v>257730</v>
      </c>
      <c r="R54" s="1053"/>
      <c r="S54" s="1079"/>
      <c r="T54" s="1027"/>
      <c r="U54" s="1027"/>
    </row>
    <row r="55">
      <c r="I55" s="1080" t="s">
        <v>1022</v>
      </c>
      <c r="J55" s="1081">
        <v>600.0</v>
      </c>
      <c r="K55" s="1052" t="s">
        <v>1023</v>
      </c>
      <c r="L55" s="3"/>
      <c r="M55" s="1049">
        <f>J49*J50*J51</f>
        <v>72000</v>
      </c>
      <c r="N55" s="1072"/>
      <c r="O55" s="1072"/>
      <c r="P55" s="1070" t="s">
        <v>1024</v>
      </c>
      <c r="Q55" s="1082">
        <f>K44*J59*J43*150</f>
        <v>122512.5</v>
      </c>
      <c r="R55" s="1053"/>
      <c r="S55" s="1053"/>
      <c r="T55" s="1027"/>
      <c r="U55" s="1027"/>
    </row>
    <row r="56">
      <c r="I56" s="1053"/>
      <c r="J56" s="1053"/>
      <c r="K56" s="1052" t="s">
        <v>1025</v>
      </c>
      <c r="L56" s="3"/>
      <c r="M56" s="1049">
        <f>J52*J53*J54</f>
        <v>0</v>
      </c>
      <c r="N56" s="1049">
        <f>J54*J55</f>
        <v>0</v>
      </c>
      <c r="O56" s="1072"/>
      <c r="P56" s="1053"/>
      <c r="Q56" s="1053"/>
      <c r="R56" s="1053"/>
      <c r="S56" s="1079"/>
      <c r="T56" s="1027"/>
      <c r="U56" s="1027"/>
    </row>
    <row r="57">
      <c r="I57" s="1036" t="s">
        <v>1018</v>
      </c>
      <c r="J57" s="1083">
        <v>0.14</v>
      </c>
      <c r="K57" s="1058" t="s">
        <v>1026</v>
      </c>
      <c r="L57" s="3"/>
      <c r="M57" s="1049">
        <f>SUM(M52:N53)+J56</f>
        <v>1359500</v>
      </c>
      <c r="N57" s="1072"/>
      <c r="O57" s="1072"/>
      <c r="P57" s="1036" t="s">
        <v>400</v>
      </c>
      <c r="Q57" s="1046">
        <f>SUM(Q50:Q55)</f>
        <v>880162.5</v>
      </c>
      <c r="R57" s="1053"/>
      <c r="S57" s="1053"/>
      <c r="T57" s="1027"/>
      <c r="U57" s="1027"/>
    </row>
    <row r="58">
      <c r="I58" s="1036" t="s">
        <v>1021</v>
      </c>
      <c r="J58" s="1054">
        <v>0.355</v>
      </c>
      <c r="K58" s="1027"/>
      <c r="L58" s="1027"/>
      <c r="M58" s="1027"/>
      <c r="N58" s="1027"/>
      <c r="O58" s="1027"/>
      <c r="P58" s="1027"/>
      <c r="Q58" s="1027"/>
      <c r="R58" s="1027"/>
      <c r="S58" s="1027"/>
      <c r="T58" s="1027"/>
      <c r="U58" s="1027"/>
    </row>
    <row r="59">
      <c r="I59" s="1080" t="s">
        <v>1024</v>
      </c>
      <c r="J59" s="1083">
        <v>0.06</v>
      </c>
      <c r="K59" s="1027"/>
      <c r="L59" s="1027"/>
      <c r="M59" s="1027"/>
      <c r="N59" s="1027"/>
      <c r="O59" s="1027"/>
      <c r="P59" s="1027"/>
      <c r="Q59" s="1027"/>
      <c r="R59" s="1027"/>
      <c r="S59" s="1027"/>
      <c r="T59" s="1027"/>
      <c r="U59" s="1027"/>
    </row>
    <row r="61">
      <c r="I61" s="1028" t="s">
        <v>981</v>
      </c>
      <c r="J61" s="1029">
        <f>A6</f>
        <v>46143</v>
      </c>
      <c r="K61" s="1028" t="str">
        <f>"①R"&amp;year(J61)-2018&amp;"_"&amp;month(J61)&amp;"集計"</f>
        <v>①R8_5集計</v>
      </c>
      <c r="L61" s="1027"/>
      <c r="M61" s="1030">
        <v>480.0</v>
      </c>
      <c r="N61" s="1030">
        <v>480.0</v>
      </c>
      <c r="O61" s="1030">
        <v>600.0</v>
      </c>
      <c r="P61" s="1030">
        <v>700.0</v>
      </c>
      <c r="Q61" s="1027"/>
      <c r="R61" s="1031">
        <f>S64</f>
        <v>769629</v>
      </c>
      <c r="S61" s="1031">
        <f>S67</f>
        <v>-1053271.4</v>
      </c>
      <c r="T61" s="1032">
        <f>S68</f>
        <v>-1.368544325</v>
      </c>
      <c r="U61" s="1032">
        <f>S66</f>
        <v>0.6021088083</v>
      </c>
    </row>
    <row r="62">
      <c r="I62" s="1036" t="s">
        <v>983</v>
      </c>
      <c r="J62" s="1037">
        <f>DAY(EOMONTH(J61,0))</f>
        <v>31</v>
      </c>
      <c r="K62" s="1038" t="s">
        <v>984</v>
      </c>
      <c r="L62" s="1038" t="s">
        <v>334</v>
      </c>
      <c r="M62" s="1038" t="s">
        <v>985</v>
      </c>
      <c r="N62" s="1038" t="s">
        <v>986</v>
      </c>
      <c r="O62" s="1038" t="s">
        <v>987</v>
      </c>
      <c r="P62" s="1038" t="s">
        <v>988</v>
      </c>
      <c r="Q62" s="1038" t="s">
        <v>989</v>
      </c>
      <c r="R62" s="1036" t="s">
        <v>990</v>
      </c>
      <c r="S62" s="1039">
        <v>900.0</v>
      </c>
      <c r="T62" s="1027"/>
      <c r="U62" s="1027"/>
    </row>
    <row r="63">
      <c r="I63" s="1036" t="s">
        <v>334</v>
      </c>
      <c r="J63" s="1037">
        <f t="array" ref="J63">xlookup(K61,$B$3:$B$14,$C$3:$C$14)*100</f>
        <v>0</v>
      </c>
      <c r="K63" s="1044">
        <f>SUM(M63:P63)</f>
        <v>242</v>
      </c>
      <c r="L63" s="1044">
        <v>100.0</v>
      </c>
      <c r="M63" s="1039">
        <v>162.0</v>
      </c>
      <c r="N63" s="1039">
        <v>67.0</v>
      </c>
      <c r="O63" s="1039">
        <v>10.0</v>
      </c>
      <c r="P63" s="1039">
        <v>3.0</v>
      </c>
      <c r="Q63" s="1044">
        <f>K63*J62</f>
        <v>7502</v>
      </c>
      <c r="R63" s="1045" t="s">
        <v>991</v>
      </c>
      <c r="S63" s="1046">
        <f>Q77</f>
        <v>769629</v>
      </c>
      <c r="T63" s="1027"/>
      <c r="U63" s="1027"/>
    </row>
    <row r="64">
      <c r="I64" s="1036" t="s">
        <v>994</v>
      </c>
      <c r="J64" s="1039">
        <v>320000.0</v>
      </c>
      <c r="K64" s="1044">
        <f>K63*L64%</f>
        <v>0</v>
      </c>
      <c r="L64" s="1049">
        <f>J63</f>
        <v>0</v>
      </c>
      <c r="M64" s="1044">
        <f>M63*L64%</f>
        <v>0</v>
      </c>
      <c r="N64" s="1044">
        <f>N63*L64%</f>
        <v>0</v>
      </c>
      <c r="O64" s="1044">
        <f>O63*L64%</f>
        <v>0</v>
      </c>
      <c r="P64" s="1044">
        <f>P63*L64%</f>
        <v>0</v>
      </c>
      <c r="Q64" s="1044">
        <f>K64*J62</f>
        <v>0</v>
      </c>
      <c r="R64" s="1036" t="s">
        <v>335</v>
      </c>
      <c r="S64" s="1046">
        <f>S62*Q64+S63</f>
        <v>769629</v>
      </c>
      <c r="T64" s="1027"/>
      <c r="U64" s="1027"/>
    </row>
    <row r="65">
      <c r="I65" s="1036" t="s">
        <v>995</v>
      </c>
      <c r="J65" s="1084">
        <v>810000.0</v>
      </c>
      <c r="K65" s="1052" t="s">
        <v>996</v>
      </c>
      <c r="L65" s="3"/>
      <c r="M65" s="1039">
        <v>26.1</v>
      </c>
      <c r="N65" s="1039">
        <v>26.1</v>
      </c>
      <c r="O65" s="1039">
        <v>32.73</v>
      </c>
      <c r="P65" s="1039">
        <v>38.18</v>
      </c>
      <c r="Q65" s="1053"/>
      <c r="R65" s="1036" t="s">
        <v>997</v>
      </c>
      <c r="S65" s="1044">
        <f>M70+SUM(M74:N76)</f>
        <v>463400.4</v>
      </c>
      <c r="T65" s="1027"/>
      <c r="U65" s="1027"/>
    </row>
    <row r="66">
      <c r="I66" s="1056" t="s">
        <v>998</v>
      </c>
      <c r="J66" s="1057">
        <v>1200.0</v>
      </c>
      <c r="K66" s="1058" t="s">
        <v>999</v>
      </c>
      <c r="L66" s="3"/>
      <c r="M66" s="1044">
        <f t="shared" ref="M66:P66" si="25">M64/(360/M65)</f>
        <v>0</v>
      </c>
      <c r="N66" s="1044">
        <f t="shared" si="25"/>
        <v>0</v>
      </c>
      <c r="O66" s="1044">
        <f t="shared" si="25"/>
        <v>0</v>
      </c>
      <c r="P66" s="1044">
        <f t="shared" si="25"/>
        <v>0</v>
      </c>
      <c r="Q66" s="1044">
        <f t="shared" ref="Q66:Q67" si="26">M66+N66+O66+P66</f>
        <v>0</v>
      </c>
      <c r="R66" s="1036" t="s">
        <v>333</v>
      </c>
      <c r="S66" s="1054">
        <f>S65/S64</f>
        <v>0.6021088083</v>
      </c>
      <c r="T66" s="1027"/>
      <c r="U66" s="1027"/>
    </row>
    <row r="67">
      <c r="I67" s="1060" t="s">
        <v>1001</v>
      </c>
      <c r="J67" s="1057">
        <v>6.5</v>
      </c>
      <c r="K67" s="1061" t="s">
        <v>1002</v>
      </c>
      <c r="L67" s="1039">
        <v>1100.0</v>
      </c>
      <c r="M67" s="1044">
        <f>M66*(L67*6)</f>
        <v>0</v>
      </c>
      <c r="N67" s="1044">
        <f>N66*(L67*6)</f>
        <v>0</v>
      </c>
      <c r="O67" s="1044">
        <f>O66*(L67*6)</f>
        <v>0</v>
      </c>
      <c r="P67" s="1044">
        <f>P66*(L67*6)</f>
        <v>0</v>
      </c>
      <c r="Q67" s="1044">
        <f t="shared" si="26"/>
        <v>0</v>
      </c>
      <c r="R67" s="1036" t="s">
        <v>1000</v>
      </c>
      <c r="S67" s="1046">
        <f>S64-S65-M77</f>
        <v>-1053271.4</v>
      </c>
      <c r="T67" s="1027"/>
      <c r="U67" s="1027"/>
    </row>
    <row r="68">
      <c r="I68" s="1062" t="s">
        <v>1003</v>
      </c>
      <c r="J68" s="1063"/>
      <c r="K68" s="1064"/>
      <c r="L68" s="1053"/>
      <c r="M68" s="1053"/>
      <c r="N68" s="1053"/>
      <c r="O68" s="1053"/>
      <c r="P68" s="1053"/>
      <c r="Q68" s="1053"/>
      <c r="R68" s="1036" t="s">
        <v>332</v>
      </c>
      <c r="S68" s="1054">
        <f>S67/S64</f>
        <v>-1.368544325</v>
      </c>
      <c r="T68" s="1027"/>
      <c r="U68" s="1027"/>
    </row>
    <row r="69">
      <c r="I69" s="1056" t="s">
        <v>1004</v>
      </c>
      <c r="J69" s="1057">
        <v>1200.0</v>
      </c>
      <c r="K69" s="1058" t="s">
        <v>1005</v>
      </c>
      <c r="L69" s="3"/>
      <c r="M69" s="1044">
        <f>Q67+(Q66*J75)</f>
        <v>0</v>
      </c>
      <c r="N69" s="1053"/>
      <c r="O69" s="1065"/>
      <c r="P69" s="1066" t="s">
        <v>1006</v>
      </c>
      <c r="Q69" s="1045" t="s">
        <v>1007</v>
      </c>
      <c r="R69" s="1053"/>
      <c r="S69" s="1053"/>
      <c r="T69" s="1027"/>
      <c r="U69" s="1027"/>
    </row>
    <row r="70">
      <c r="I70" s="1068" t="s">
        <v>1009</v>
      </c>
      <c r="J70" s="1057">
        <v>2.0</v>
      </c>
      <c r="K70" s="1058" t="s">
        <v>1010</v>
      </c>
      <c r="L70" s="3"/>
      <c r="M70" s="1044">
        <f>M69*J62+(K63*J77*J62*30)+(K63*J79*J62*100)</f>
        <v>76520.4</v>
      </c>
      <c r="N70" s="1069"/>
      <c r="O70" s="1069"/>
      <c r="P70" s="1070" t="s">
        <v>420</v>
      </c>
      <c r="Q70" s="1071">
        <v>112480.0</v>
      </c>
      <c r="R70" s="1053"/>
      <c r="S70" s="1072"/>
      <c r="T70" s="1027"/>
      <c r="U70" s="1027"/>
    </row>
    <row r="71">
      <c r="I71" s="1068" t="s">
        <v>1011</v>
      </c>
      <c r="J71" s="1057">
        <f>J62</f>
        <v>31</v>
      </c>
      <c r="K71" s="1058" t="s">
        <v>1012</v>
      </c>
      <c r="L71" s="3"/>
      <c r="M71" s="1036" t="s">
        <v>429</v>
      </c>
      <c r="N71" s="1062" t="s">
        <v>404</v>
      </c>
      <c r="O71" s="1069"/>
      <c r="P71" s="1070" t="s">
        <v>418</v>
      </c>
      <c r="Q71" s="1071">
        <v>145200.0</v>
      </c>
      <c r="R71" s="1053"/>
      <c r="S71" s="1053"/>
      <c r="T71" s="1027"/>
      <c r="U71" s="1027"/>
    </row>
    <row r="72">
      <c r="I72" s="1056" t="s">
        <v>1013</v>
      </c>
      <c r="J72" s="1063"/>
      <c r="K72" s="1058" t="s">
        <v>1014</v>
      </c>
      <c r="L72" s="3"/>
      <c r="M72" s="1049">
        <f t="shared" ref="M72:M73" si="27">J64*1.15</f>
        <v>368000</v>
      </c>
      <c r="N72" s="1073">
        <v>15000.0</v>
      </c>
      <c r="O72" s="1074"/>
      <c r="P72" s="1070" t="s">
        <v>1015</v>
      </c>
      <c r="Q72" s="1071">
        <v>140600.0</v>
      </c>
      <c r="R72" s="1053"/>
      <c r="S72" s="1053"/>
      <c r="T72" s="1027"/>
      <c r="U72" s="1027"/>
    </row>
    <row r="73">
      <c r="I73" s="1056" t="s">
        <v>1016</v>
      </c>
      <c r="J73" s="1063"/>
      <c r="K73" s="1058" t="s">
        <v>1017</v>
      </c>
      <c r="L73" s="3"/>
      <c r="M73" s="1049">
        <f t="shared" si="27"/>
        <v>931500</v>
      </c>
      <c r="N73" s="1049">
        <v>45000.0</v>
      </c>
      <c r="O73" s="1076"/>
      <c r="P73" s="1077" t="s">
        <v>1018</v>
      </c>
      <c r="Q73" s="1039">
        <f>K63*J77*J62*100</f>
        <v>105028</v>
      </c>
      <c r="R73" s="1053"/>
      <c r="S73" s="1053"/>
      <c r="T73" s="1027"/>
      <c r="U73" s="1027"/>
    </row>
    <row r="74">
      <c r="I74" s="1056" t="s">
        <v>1019</v>
      </c>
      <c r="J74" s="1063"/>
      <c r="K74" s="1078" t="s">
        <v>1020</v>
      </c>
      <c r="L74" s="3"/>
      <c r="M74" s="1049">
        <f>(4*J62-21.7*4)*J66*J67</f>
        <v>290160</v>
      </c>
      <c r="N74" s="1049">
        <f>(J62*4-21.7*4)*J75</f>
        <v>22320</v>
      </c>
      <c r="O74" s="1072"/>
      <c r="P74" s="1070" t="s">
        <v>1021</v>
      </c>
      <c r="Q74" s="1039">
        <f>K63*J78*J62*100</f>
        <v>266321</v>
      </c>
      <c r="R74" s="1053"/>
      <c r="S74" s="1079"/>
      <c r="T74" s="1027"/>
      <c r="U74" s="1027"/>
    </row>
    <row r="75">
      <c r="I75" s="1080" t="s">
        <v>1022</v>
      </c>
      <c r="J75" s="1081">
        <v>600.0</v>
      </c>
      <c r="K75" s="1052" t="s">
        <v>1023</v>
      </c>
      <c r="L75" s="3"/>
      <c r="M75" s="1049">
        <f>J69*J70*J71</f>
        <v>74400</v>
      </c>
      <c r="N75" s="1072"/>
      <c r="O75" s="1072"/>
      <c r="P75" s="1070" t="s">
        <v>1024</v>
      </c>
      <c r="Q75" s="1082">
        <f>K64*J79*J63*150</f>
        <v>0</v>
      </c>
      <c r="R75" s="1053"/>
      <c r="S75" s="1053"/>
      <c r="T75" s="1027"/>
      <c r="U75" s="1027"/>
    </row>
    <row r="76">
      <c r="I76" s="1053"/>
      <c r="J76" s="1053"/>
      <c r="K76" s="1052" t="s">
        <v>1025</v>
      </c>
      <c r="L76" s="3"/>
      <c r="M76" s="1049">
        <f>J72*J73*J74</f>
        <v>0</v>
      </c>
      <c r="N76" s="1049">
        <f>J74*J75</f>
        <v>0</v>
      </c>
      <c r="O76" s="1072"/>
      <c r="P76" s="1053"/>
      <c r="Q76" s="1053"/>
      <c r="R76" s="1053"/>
      <c r="S76" s="1079"/>
      <c r="T76" s="1027"/>
      <c r="U76" s="1027"/>
    </row>
    <row r="77">
      <c r="I77" s="1036" t="s">
        <v>1018</v>
      </c>
      <c r="J77" s="1083">
        <v>0.14</v>
      </c>
      <c r="K77" s="1058" t="s">
        <v>1026</v>
      </c>
      <c r="L77" s="3"/>
      <c r="M77" s="1049">
        <f>SUM(M72:N73)+J76</f>
        <v>1359500</v>
      </c>
      <c r="N77" s="1072"/>
      <c r="O77" s="1072"/>
      <c r="P77" s="1036" t="s">
        <v>400</v>
      </c>
      <c r="Q77" s="1046">
        <f>SUM(Q70:Q75)</f>
        <v>769629</v>
      </c>
      <c r="R77" s="1053"/>
      <c r="S77" s="1053"/>
      <c r="T77" s="1027"/>
      <c r="U77" s="1027"/>
    </row>
    <row r="78">
      <c r="I78" s="1036" t="s">
        <v>1021</v>
      </c>
      <c r="J78" s="1054">
        <v>0.355</v>
      </c>
      <c r="K78" s="1027"/>
      <c r="L78" s="1027"/>
      <c r="M78" s="1027"/>
      <c r="N78" s="1027"/>
      <c r="O78" s="1027"/>
      <c r="P78" s="1027"/>
      <c r="Q78" s="1027"/>
      <c r="R78" s="1027"/>
      <c r="S78" s="1027"/>
      <c r="T78" s="1027"/>
      <c r="U78" s="1027"/>
    </row>
    <row r="79">
      <c r="I79" s="1080" t="s">
        <v>1024</v>
      </c>
      <c r="J79" s="1083">
        <v>0.06</v>
      </c>
      <c r="K79" s="1027"/>
      <c r="L79" s="1027"/>
      <c r="M79" s="1027"/>
      <c r="N79" s="1027"/>
      <c r="O79" s="1027"/>
      <c r="P79" s="1027"/>
      <c r="Q79" s="1027"/>
      <c r="R79" s="1027"/>
      <c r="S79" s="1027"/>
      <c r="T79" s="1027"/>
      <c r="U79" s="1027"/>
    </row>
    <row r="81">
      <c r="I81" s="1028" t="s">
        <v>981</v>
      </c>
      <c r="J81" s="1029">
        <f>A7</f>
        <v>46174</v>
      </c>
      <c r="K81" s="1028" t="str">
        <f>"①R"&amp;year(J81)-2018&amp;"_"&amp;month(J81)&amp;"集計"</f>
        <v>①R8_6集計</v>
      </c>
      <c r="L81" s="1027"/>
      <c r="M81" s="1030">
        <v>480.0</v>
      </c>
      <c r="N81" s="1030">
        <v>480.0</v>
      </c>
      <c r="O81" s="1030">
        <v>600.0</v>
      </c>
      <c r="P81" s="1030">
        <v>700.0</v>
      </c>
      <c r="Q81" s="1027"/>
      <c r="R81" s="1031">
        <f>S84</f>
        <v>757650</v>
      </c>
      <c r="S81" s="1031">
        <f>S87</f>
        <v>-1026782</v>
      </c>
      <c r="T81" s="1032">
        <f>S88</f>
        <v>-1.355219428</v>
      </c>
      <c r="U81" s="1032">
        <f>S86</f>
        <v>0.5608552762</v>
      </c>
    </row>
    <row r="82">
      <c r="I82" s="1036" t="s">
        <v>983</v>
      </c>
      <c r="J82" s="1037">
        <f>DAY(EOMONTH(J81,0))</f>
        <v>30</v>
      </c>
      <c r="K82" s="1038" t="s">
        <v>984</v>
      </c>
      <c r="L82" s="1038" t="s">
        <v>334</v>
      </c>
      <c r="M82" s="1038" t="s">
        <v>985</v>
      </c>
      <c r="N82" s="1038" t="s">
        <v>986</v>
      </c>
      <c r="O82" s="1038" t="s">
        <v>987</v>
      </c>
      <c r="P82" s="1038" t="s">
        <v>988</v>
      </c>
      <c r="Q82" s="1038" t="s">
        <v>989</v>
      </c>
      <c r="R82" s="1036" t="s">
        <v>990</v>
      </c>
      <c r="S82" s="1039">
        <v>900.0</v>
      </c>
      <c r="T82" s="1027"/>
      <c r="U82" s="1027"/>
    </row>
    <row r="83">
      <c r="I83" s="1036" t="s">
        <v>334</v>
      </c>
      <c r="J83" s="1037">
        <f t="array" ref="J83">xlookup(K81,$B$3:$B$14,$C$3:$C$14)*100</f>
        <v>0</v>
      </c>
      <c r="K83" s="1044">
        <f>SUM(M83:P83)</f>
        <v>242</v>
      </c>
      <c r="L83" s="1044">
        <v>100.0</v>
      </c>
      <c r="M83" s="1039">
        <v>162.0</v>
      </c>
      <c r="N83" s="1039">
        <v>67.0</v>
      </c>
      <c r="O83" s="1039">
        <v>10.0</v>
      </c>
      <c r="P83" s="1039">
        <v>3.0</v>
      </c>
      <c r="Q83" s="1044">
        <f>K83*J82</f>
        <v>7260</v>
      </c>
      <c r="R83" s="1045" t="s">
        <v>991</v>
      </c>
      <c r="S83" s="1046">
        <f>Q97</f>
        <v>757650</v>
      </c>
      <c r="T83" s="1027"/>
      <c r="U83" s="1027"/>
    </row>
    <row r="84">
      <c r="I84" s="1036" t="s">
        <v>994</v>
      </c>
      <c r="J84" s="1039">
        <v>320000.0</v>
      </c>
      <c r="K84" s="1044">
        <f>K83*L84%</f>
        <v>0</v>
      </c>
      <c r="L84" s="1049">
        <f>J83</f>
        <v>0</v>
      </c>
      <c r="M84" s="1044">
        <f>M83*L84%</f>
        <v>0</v>
      </c>
      <c r="N84" s="1044">
        <f>N83*L84%</f>
        <v>0</v>
      </c>
      <c r="O84" s="1044">
        <f>O83*L84%</f>
        <v>0</v>
      </c>
      <c r="P84" s="1044">
        <f>P83*L84%</f>
        <v>0</v>
      </c>
      <c r="Q84" s="1044">
        <f>K84*J82</f>
        <v>0</v>
      </c>
      <c r="R84" s="1036" t="s">
        <v>335</v>
      </c>
      <c r="S84" s="1046">
        <f>S82*Q84+S83</f>
        <v>757650</v>
      </c>
      <c r="T84" s="1027"/>
      <c r="U84" s="1027"/>
    </row>
    <row r="85">
      <c r="I85" s="1036" t="s">
        <v>995</v>
      </c>
      <c r="J85" s="1084">
        <v>810000.0</v>
      </c>
      <c r="K85" s="1052" t="s">
        <v>996</v>
      </c>
      <c r="L85" s="3"/>
      <c r="M85" s="1039">
        <v>26.1</v>
      </c>
      <c r="N85" s="1039">
        <v>26.1</v>
      </c>
      <c r="O85" s="1039">
        <v>32.73</v>
      </c>
      <c r="P85" s="1039">
        <v>38.18</v>
      </c>
      <c r="Q85" s="1053"/>
      <c r="R85" s="1036" t="s">
        <v>997</v>
      </c>
      <c r="S85" s="1044">
        <f>M90+SUM(M94:N96)</f>
        <v>424932</v>
      </c>
      <c r="T85" s="1027"/>
      <c r="U85" s="1027"/>
    </row>
    <row r="86">
      <c r="I86" s="1056" t="s">
        <v>998</v>
      </c>
      <c r="J86" s="1057">
        <v>1200.0</v>
      </c>
      <c r="K86" s="1058" t="s">
        <v>999</v>
      </c>
      <c r="L86" s="3"/>
      <c r="M86" s="1044">
        <f t="shared" ref="M86:P86" si="28">M84/(360/M85)</f>
        <v>0</v>
      </c>
      <c r="N86" s="1044">
        <f t="shared" si="28"/>
        <v>0</v>
      </c>
      <c r="O86" s="1044">
        <f t="shared" si="28"/>
        <v>0</v>
      </c>
      <c r="P86" s="1044">
        <f t="shared" si="28"/>
        <v>0</v>
      </c>
      <c r="Q86" s="1044">
        <f t="shared" ref="Q86:Q87" si="29">M86+N86+O86+P86</f>
        <v>0</v>
      </c>
      <c r="R86" s="1036" t="s">
        <v>333</v>
      </c>
      <c r="S86" s="1054">
        <f>S85/S84</f>
        <v>0.5608552762</v>
      </c>
      <c r="T86" s="1027"/>
      <c r="U86" s="1027"/>
    </row>
    <row r="87">
      <c r="I87" s="1060" t="s">
        <v>1001</v>
      </c>
      <c r="J87" s="1057">
        <v>6.5</v>
      </c>
      <c r="K87" s="1061" t="s">
        <v>1002</v>
      </c>
      <c r="L87" s="1039">
        <v>1100.0</v>
      </c>
      <c r="M87" s="1044">
        <f>M86*(L87*6)</f>
        <v>0</v>
      </c>
      <c r="N87" s="1044">
        <f>N86*(L87*6)</f>
        <v>0</v>
      </c>
      <c r="O87" s="1044">
        <f>O86*(L87*6)</f>
        <v>0</v>
      </c>
      <c r="P87" s="1044">
        <f>P86*(L87*6)</f>
        <v>0</v>
      </c>
      <c r="Q87" s="1044">
        <f t="shared" si="29"/>
        <v>0</v>
      </c>
      <c r="R87" s="1036" t="s">
        <v>1000</v>
      </c>
      <c r="S87" s="1046">
        <f>S84-S85-M97</f>
        <v>-1026782</v>
      </c>
      <c r="T87" s="1027"/>
      <c r="U87" s="1027"/>
    </row>
    <row r="88">
      <c r="I88" s="1062" t="s">
        <v>1003</v>
      </c>
      <c r="J88" s="1063"/>
      <c r="K88" s="1064"/>
      <c r="L88" s="1053"/>
      <c r="M88" s="1053"/>
      <c r="N88" s="1053"/>
      <c r="O88" s="1053"/>
      <c r="P88" s="1053"/>
      <c r="Q88" s="1053"/>
      <c r="R88" s="1036" t="s">
        <v>332</v>
      </c>
      <c r="S88" s="1054">
        <f>S87/S84</f>
        <v>-1.355219428</v>
      </c>
      <c r="T88" s="1027"/>
      <c r="U88" s="1027"/>
    </row>
    <row r="89">
      <c r="I89" s="1056" t="s">
        <v>1004</v>
      </c>
      <c r="J89" s="1057">
        <v>1200.0</v>
      </c>
      <c r="K89" s="1058" t="s">
        <v>1005</v>
      </c>
      <c r="L89" s="3"/>
      <c r="M89" s="1044">
        <f>Q87+(Q86*J95)</f>
        <v>0</v>
      </c>
      <c r="N89" s="1053"/>
      <c r="O89" s="1065"/>
      <c r="P89" s="1066" t="s">
        <v>1006</v>
      </c>
      <c r="Q89" s="1045" t="s">
        <v>1007</v>
      </c>
      <c r="R89" s="1053"/>
      <c r="S89" s="1053"/>
      <c r="T89" s="1027"/>
      <c r="U89" s="1027"/>
    </row>
    <row r="90">
      <c r="I90" s="1068" t="s">
        <v>1009</v>
      </c>
      <c r="J90" s="1057">
        <v>2.0</v>
      </c>
      <c r="K90" s="1058" t="s">
        <v>1010</v>
      </c>
      <c r="L90" s="3"/>
      <c r="M90" s="1044">
        <f>M89*J82+(K83*J97*J82*30)+(K83*J99*J82*100)</f>
        <v>74052</v>
      </c>
      <c r="N90" s="1069"/>
      <c r="O90" s="1069"/>
      <c r="P90" s="1070" t="s">
        <v>420</v>
      </c>
      <c r="Q90" s="1071">
        <v>112480.0</v>
      </c>
      <c r="R90" s="1053"/>
      <c r="S90" s="1072"/>
      <c r="T90" s="1027"/>
      <c r="U90" s="1027"/>
    </row>
    <row r="91">
      <c r="I91" s="1068" t="s">
        <v>1011</v>
      </c>
      <c r="J91" s="1057">
        <f>J82</f>
        <v>30</v>
      </c>
      <c r="K91" s="1058" t="s">
        <v>1012</v>
      </c>
      <c r="L91" s="3"/>
      <c r="M91" s="1036" t="s">
        <v>429</v>
      </c>
      <c r="N91" s="1062" t="s">
        <v>404</v>
      </c>
      <c r="O91" s="1069"/>
      <c r="P91" s="1070" t="s">
        <v>418</v>
      </c>
      <c r="Q91" s="1071">
        <v>145200.0</v>
      </c>
      <c r="R91" s="1053"/>
      <c r="S91" s="1053"/>
      <c r="T91" s="1027"/>
      <c r="U91" s="1027"/>
    </row>
    <row r="92">
      <c r="I92" s="1056" t="s">
        <v>1013</v>
      </c>
      <c r="J92" s="1063"/>
      <c r="K92" s="1058" t="s">
        <v>1014</v>
      </c>
      <c r="L92" s="3"/>
      <c r="M92" s="1049">
        <f t="shared" ref="M92:M93" si="30">J84*1.15</f>
        <v>368000</v>
      </c>
      <c r="N92" s="1073">
        <v>15000.0</v>
      </c>
      <c r="O92" s="1074"/>
      <c r="P92" s="1070" t="s">
        <v>1015</v>
      </c>
      <c r="Q92" s="1071">
        <v>140600.0</v>
      </c>
      <c r="R92" s="1053"/>
      <c r="S92" s="1053"/>
      <c r="T92" s="1027"/>
      <c r="U92" s="1027"/>
    </row>
    <row r="93">
      <c r="I93" s="1056" t="s">
        <v>1016</v>
      </c>
      <c r="J93" s="1063"/>
      <c r="K93" s="1058" t="s">
        <v>1017</v>
      </c>
      <c r="L93" s="3"/>
      <c r="M93" s="1049">
        <f t="shared" si="30"/>
        <v>931500</v>
      </c>
      <c r="N93" s="1049">
        <v>45000.0</v>
      </c>
      <c r="O93" s="1076"/>
      <c r="P93" s="1077" t="s">
        <v>1018</v>
      </c>
      <c r="Q93" s="1039">
        <f>K83*J97*J82*100</f>
        <v>101640</v>
      </c>
      <c r="R93" s="1053"/>
      <c r="S93" s="1053"/>
      <c r="T93" s="1027"/>
      <c r="U93" s="1027"/>
    </row>
    <row r="94">
      <c r="I94" s="1056" t="s">
        <v>1019</v>
      </c>
      <c r="J94" s="1063"/>
      <c r="K94" s="1078" t="s">
        <v>1020</v>
      </c>
      <c r="L94" s="3"/>
      <c r="M94" s="1049">
        <f>(4*J82-21.7*4)*J86*J87</f>
        <v>258960</v>
      </c>
      <c r="N94" s="1049">
        <f>(J82*4-21.7*4)*J95</f>
        <v>19920</v>
      </c>
      <c r="O94" s="1072"/>
      <c r="P94" s="1070" t="s">
        <v>1021</v>
      </c>
      <c r="Q94" s="1039">
        <f>K83*J98*J82*100</f>
        <v>257730</v>
      </c>
      <c r="R94" s="1053"/>
      <c r="S94" s="1079"/>
      <c r="T94" s="1027"/>
      <c r="U94" s="1027"/>
    </row>
    <row r="95">
      <c r="I95" s="1080" t="s">
        <v>1022</v>
      </c>
      <c r="J95" s="1081">
        <v>600.0</v>
      </c>
      <c r="K95" s="1052" t="s">
        <v>1023</v>
      </c>
      <c r="L95" s="3"/>
      <c r="M95" s="1049">
        <f>J89*J90*J91</f>
        <v>72000</v>
      </c>
      <c r="N95" s="1072"/>
      <c r="O95" s="1072"/>
      <c r="P95" s="1070" t="s">
        <v>1024</v>
      </c>
      <c r="Q95" s="1082">
        <f>K84*J99*J83*150</f>
        <v>0</v>
      </c>
      <c r="R95" s="1053"/>
      <c r="S95" s="1053"/>
      <c r="T95" s="1027"/>
      <c r="U95" s="1027"/>
    </row>
    <row r="96">
      <c r="I96" s="1053"/>
      <c r="J96" s="1053"/>
      <c r="K96" s="1052" t="s">
        <v>1025</v>
      </c>
      <c r="L96" s="3"/>
      <c r="M96" s="1049">
        <f>J92*J93*J94</f>
        <v>0</v>
      </c>
      <c r="N96" s="1049">
        <f>J94*J95</f>
        <v>0</v>
      </c>
      <c r="O96" s="1072"/>
      <c r="P96" s="1053"/>
      <c r="Q96" s="1053"/>
      <c r="R96" s="1053"/>
      <c r="S96" s="1079"/>
      <c r="T96" s="1027"/>
      <c r="U96" s="1027"/>
    </row>
    <row r="97">
      <c r="I97" s="1036" t="s">
        <v>1018</v>
      </c>
      <c r="J97" s="1083">
        <v>0.14</v>
      </c>
      <c r="K97" s="1058" t="s">
        <v>1026</v>
      </c>
      <c r="L97" s="3"/>
      <c r="M97" s="1049">
        <f>SUM(M92:N93)+J96</f>
        <v>1359500</v>
      </c>
      <c r="N97" s="1072"/>
      <c r="O97" s="1072"/>
      <c r="P97" s="1036" t="s">
        <v>400</v>
      </c>
      <c r="Q97" s="1046">
        <f>SUM(Q90:Q95)</f>
        <v>757650</v>
      </c>
      <c r="R97" s="1053"/>
      <c r="S97" s="1053"/>
      <c r="T97" s="1027"/>
      <c r="U97" s="1027"/>
    </row>
    <row r="98">
      <c r="I98" s="1036" t="s">
        <v>1021</v>
      </c>
      <c r="J98" s="1054">
        <v>0.355</v>
      </c>
      <c r="K98" s="1027"/>
      <c r="L98" s="1027"/>
      <c r="M98" s="1027"/>
      <c r="N98" s="1027"/>
      <c r="O98" s="1027"/>
      <c r="P98" s="1027"/>
      <c r="Q98" s="1027"/>
      <c r="R98" s="1027"/>
      <c r="S98" s="1027"/>
      <c r="T98" s="1027"/>
      <c r="U98" s="1027"/>
    </row>
    <row r="99">
      <c r="I99" s="1080" t="s">
        <v>1024</v>
      </c>
      <c r="J99" s="1083">
        <v>0.06</v>
      </c>
      <c r="K99" s="1027"/>
      <c r="L99" s="1027"/>
      <c r="M99" s="1027"/>
      <c r="N99" s="1027"/>
      <c r="O99" s="1027"/>
      <c r="P99" s="1027"/>
      <c r="Q99" s="1027"/>
      <c r="R99" s="1027"/>
      <c r="S99" s="1027"/>
      <c r="T99" s="1027"/>
      <c r="U99" s="1027"/>
    </row>
    <row r="101">
      <c r="I101" s="1028" t="s">
        <v>981</v>
      </c>
      <c r="J101" s="1029">
        <f>A8</f>
        <v>46204</v>
      </c>
      <c r="K101" s="1028" t="str">
        <f>"①R"&amp;year(J101)-2018&amp;"_"&amp;month(J101)&amp;"集計"</f>
        <v>①R8_7集計</v>
      </c>
      <c r="L101" s="1027"/>
      <c r="M101" s="1030">
        <v>480.0</v>
      </c>
      <c r="N101" s="1030">
        <v>480.0</v>
      </c>
      <c r="O101" s="1030">
        <v>600.0</v>
      </c>
      <c r="P101" s="1030">
        <v>700.0</v>
      </c>
      <c r="Q101" s="1027"/>
      <c r="R101" s="1031">
        <f>S104</f>
        <v>769629</v>
      </c>
      <c r="S101" s="1031">
        <f>S107</f>
        <v>-1053271.4</v>
      </c>
      <c r="T101" s="1032">
        <f>S108</f>
        <v>-1.368544325</v>
      </c>
      <c r="U101" s="1032">
        <f>S106</f>
        <v>0.6021088083</v>
      </c>
    </row>
    <row r="102">
      <c r="I102" s="1036" t="s">
        <v>983</v>
      </c>
      <c r="J102" s="1037">
        <f>DAY(EOMONTH(J101,0))</f>
        <v>31</v>
      </c>
      <c r="K102" s="1038" t="s">
        <v>984</v>
      </c>
      <c r="L102" s="1038" t="s">
        <v>334</v>
      </c>
      <c r="M102" s="1038" t="s">
        <v>985</v>
      </c>
      <c r="N102" s="1038" t="s">
        <v>986</v>
      </c>
      <c r="O102" s="1038" t="s">
        <v>987</v>
      </c>
      <c r="P102" s="1038" t="s">
        <v>988</v>
      </c>
      <c r="Q102" s="1038" t="s">
        <v>989</v>
      </c>
      <c r="R102" s="1036" t="s">
        <v>990</v>
      </c>
      <c r="S102" s="1039">
        <v>900.0</v>
      </c>
      <c r="T102" s="1027"/>
      <c r="U102" s="1027"/>
    </row>
    <row r="103">
      <c r="I103" s="1036" t="s">
        <v>334</v>
      </c>
      <c r="J103" s="1037">
        <f t="array" ref="J103">xlookup(K101,$B$3:$B$14,$C$3:$C$14)*100</f>
        <v>0</v>
      </c>
      <c r="K103" s="1044">
        <f>SUM(M103:P103)</f>
        <v>242</v>
      </c>
      <c r="L103" s="1044">
        <v>100.0</v>
      </c>
      <c r="M103" s="1039">
        <v>162.0</v>
      </c>
      <c r="N103" s="1039">
        <v>67.0</v>
      </c>
      <c r="O103" s="1039">
        <v>10.0</v>
      </c>
      <c r="P103" s="1039">
        <v>3.0</v>
      </c>
      <c r="Q103" s="1044">
        <f>K103*J102</f>
        <v>7502</v>
      </c>
      <c r="R103" s="1045" t="s">
        <v>991</v>
      </c>
      <c r="S103" s="1046">
        <f>Q117</f>
        <v>769629</v>
      </c>
      <c r="T103" s="1027"/>
      <c r="U103" s="1027"/>
    </row>
    <row r="104">
      <c r="I104" s="1036" t="s">
        <v>994</v>
      </c>
      <c r="J104" s="1039">
        <v>320000.0</v>
      </c>
      <c r="K104" s="1044">
        <f>K103*L104%</f>
        <v>0</v>
      </c>
      <c r="L104" s="1049">
        <f>J103</f>
        <v>0</v>
      </c>
      <c r="M104" s="1044">
        <f>M103*L104%</f>
        <v>0</v>
      </c>
      <c r="N104" s="1044">
        <f>N103*L104%</f>
        <v>0</v>
      </c>
      <c r="O104" s="1044">
        <f>O103*L104%</f>
        <v>0</v>
      </c>
      <c r="P104" s="1044">
        <f>P103*L104%</f>
        <v>0</v>
      </c>
      <c r="Q104" s="1044">
        <f>K104*J102</f>
        <v>0</v>
      </c>
      <c r="R104" s="1036" t="s">
        <v>335</v>
      </c>
      <c r="S104" s="1046">
        <f>S102*Q104+S103</f>
        <v>769629</v>
      </c>
      <c r="T104" s="1027"/>
      <c r="U104" s="1027"/>
    </row>
    <row r="105">
      <c r="I105" s="1036" t="s">
        <v>995</v>
      </c>
      <c r="J105" s="1084">
        <v>810000.0</v>
      </c>
      <c r="K105" s="1052" t="s">
        <v>996</v>
      </c>
      <c r="L105" s="3"/>
      <c r="M105" s="1039">
        <v>26.1</v>
      </c>
      <c r="N105" s="1039">
        <v>26.1</v>
      </c>
      <c r="O105" s="1039">
        <v>32.73</v>
      </c>
      <c r="P105" s="1039">
        <v>38.18</v>
      </c>
      <c r="Q105" s="1053"/>
      <c r="R105" s="1036" t="s">
        <v>997</v>
      </c>
      <c r="S105" s="1044">
        <f>M110+SUM(M114:N116)</f>
        <v>463400.4</v>
      </c>
      <c r="T105" s="1027"/>
      <c r="U105" s="1027"/>
    </row>
    <row r="106">
      <c r="I106" s="1056" t="s">
        <v>998</v>
      </c>
      <c r="J106" s="1057">
        <v>1200.0</v>
      </c>
      <c r="K106" s="1058" t="s">
        <v>999</v>
      </c>
      <c r="L106" s="3"/>
      <c r="M106" s="1044">
        <f t="shared" ref="M106:P106" si="31">M104/(360/M105)</f>
        <v>0</v>
      </c>
      <c r="N106" s="1044">
        <f t="shared" si="31"/>
        <v>0</v>
      </c>
      <c r="O106" s="1044">
        <f t="shared" si="31"/>
        <v>0</v>
      </c>
      <c r="P106" s="1044">
        <f t="shared" si="31"/>
        <v>0</v>
      </c>
      <c r="Q106" s="1044">
        <f t="shared" ref="Q106:Q107" si="32">M106+N106+O106+P106</f>
        <v>0</v>
      </c>
      <c r="R106" s="1036" t="s">
        <v>333</v>
      </c>
      <c r="S106" s="1054">
        <f>S105/S104</f>
        <v>0.6021088083</v>
      </c>
      <c r="T106" s="1027"/>
      <c r="U106" s="1027"/>
    </row>
    <row r="107">
      <c r="I107" s="1060" t="s">
        <v>1001</v>
      </c>
      <c r="J107" s="1057">
        <v>6.5</v>
      </c>
      <c r="K107" s="1061" t="s">
        <v>1002</v>
      </c>
      <c r="L107" s="1039">
        <v>1100.0</v>
      </c>
      <c r="M107" s="1044">
        <f>M106*(L107*6)</f>
        <v>0</v>
      </c>
      <c r="N107" s="1044">
        <f>N106*(L107*6)</f>
        <v>0</v>
      </c>
      <c r="O107" s="1044">
        <f>O106*(L107*6)</f>
        <v>0</v>
      </c>
      <c r="P107" s="1044">
        <f>P106*(L107*6)</f>
        <v>0</v>
      </c>
      <c r="Q107" s="1044">
        <f t="shared" si="32"/>
        <v>0</v>
      </c>
      <c r="R107" s="1036" t="s">
        <v>1000</v>
      </c>
      <c r="S107" s="1046">
        <f>S104-S105-M117</f>
        <v>-1053271.4</v>
      </c>
      <c r="T107" s="1027"/>
      <c r="U107" s="1027"/>
    </row>
    <row r="108">
      <c r="I108" s="1062" t="s">
        <v>1003</v>
      </c>
      <c r="J108" s="1063"/>
      <c r="K108" s="1064"/>
      <c r="L108" s="1053"/>
      <c r="M108" s="1053"/>
      <c r="N108" s="1053"/>
      <c r="O108" s="1053"/>
      <c r="P108" s="1053"/>
      <c r="Q108" s="1053"/>
      <c r="R108" s="1036" t="s">
        <v>332</v>
      </c>
      <c r="S108" s="1054">
        <f>S107/S104</f>
        <v>-1.368544325</v>
      </c>
      <c r="T108" s="1027"/>
      <c r="U108" s="1027"/>
    </row>
    <row r="109">
      <c r="I109" s="1056" t="s">
        <v>1004</v>
      </c>
      <c r="J109" s="1057">
        <v>1200.0</v>
      </c>
      <c r="K109" s="1058" t="s">
        <v>1005</v>
      </c>
      <c r="L109" s="3"/>
      <c r="M109" s="1044">
        <f>Q107+(Q106*J115)</f>
        <v>0</v>
      </c>
      <c r="N109" s="1053"/>
      <c r="O109" s="1065"/>
      <c r="P109" s="1066" t="s">
        <v>1006</v>
      </c>
      <c r="Q109" s="1045" t="s">
        <v>1007</v>
      </c>
      <c r="R109" s="1053"/>
      <c r="S109" s="1053"/>
      <c r="T109" s="1027"/>
      <c r="U109" s="1027"/>
    </row>
    <row r="110">
      <c r="I110" s="1068" t="s">
        <v>1009</v>
      </c>
      <c r="J110" s="1057">
        <v>2.0</v>
      </c>
      <c r="K110" s="1058" t="s">
        <v>1010</v>
      </c>
      <c r="L110" s="3"/>
      <c r="M110" s="1044">
        <f>M109*J102+(K103*J117*J102*30)+(K103*J119*J102*100)</f>
        <v>76520.4</v>
      </c>
      <c r="N110" s="1069"/>
      <c r="O110" s="1069"/>
      <c r="P110" s="1070" t="s">
        <v>420</v>
      </c>
      <c r="Q110" s="1071">
        <v>112480.0</v>
      </c>
      <c r="R110" s="1053"/>
      <c r="S110" s="1072"/>
      <c r="T110" s="1027"/>
      <c r="U110" s="1027"/>
    </row>
    <row r="111">
      <c r="I111" s="1068" t="s">
        <v>1011</v>
      </c>
      <c r="J111" s="1057">
        <f>J102</f>
        <v>31</v>
      </c>
      <c r="K111" s="1058" t="s">
        <v>1012</v>
      </c>
      <c r="L111" s="3"/>
      <c r="M111" s="1036" t="s">
        <v>429</v>
      </c>
      <c r="N111" s="1062" t="s">
        <v>404</v>
      </c>
      <c r="O111" s="1069"/>
      <c r="P111" s="1070" t="s">
        <v>418</v>
      </c>
      <c r="Q111" s="1071">
        <v>145200.0</v>
      </c>
      <c r="R111" s="1053"/>
      <c r="S111" s="1053"/>
      <c r="T111" s="1027"/>
      <c r="U111" s="1027"/>
    </row>
    <row r="112">
      <c r="I112" s="1056" t="s">
        <v>1013</v>
      </c>
      <c r="J112" s="1063"/>
      <c r="K112" s="1058" t="s">
        <v>1014</v>
      </c>
      <c r="L112" s="3"/>
      <c r="M112" s="1049">
        <f t="shared" ref="M112:M113" si="33">J104*1.15</f>
        <v>368000</v>
      </c>
      <c r="N112" s="1073">
        <v>15000.0</v>
      </c>
      <c r="O112" s="1074"/>
      <c r="P112" s="1070" t="s">
        <v>1015</v>
      </c>
      <c r="Q112" s="1071">
        <v>140600.0</v>
      </c>
      <c r="R112" s="1053"/>
      <c r="S112" s="1053"/>
      <c r="T112" s="1027"/>
      <c r="U112" s="1027"/>
    </row>
    <row r="113">
      <c r="I113" s="1056" t="s">
        <v>1016</v>
      </c>
      <c r="J113" s="1063"/>
      <c r="K113" s="1058" t="s">
        <v>1017</v>
      </c>
      <c r="L113" s="3"/>
      <c r="M113" s="1049">
        <f t="shared" si="33"/>
        <v>931500</v>
      </c>
      <c r="N113" s="1049">
        <v>45000.0</v>
      </c>
      <c r="O113" s="1076"/>
      <c r="P113" s="1077" t="s">
        <v>1018</v>
      </c>
      <c r="Q113" s="1039">
        <f>K103*J117*J102*100</f>
        <v>105028</v>
      </c>
      <c r="R113" s="1053"/>
      <c r="S113" s="1053"/>
      <c r="T113" s="1027"/>
      <c r="U113" s="1027"/>
    </row>
    <row r="114">
      <c r="I114" s="1056" t="s">
        <v>1019</v>
      </c>
      <c r="J114" s="1063"/>
      <c r="K114" s="1078" t="s">
        <v>1020</v>
      </c>
      <c r="L114" s="3"/>
      <c r="M114" s="1049">
        <f>(4*J102-21.7*4)*J106*J107</f>
        <v>290160</v>
      </c>
      <c r="N114" s="1049">
        <f>(J102*4-21.7*4)*J115</f>
        <v>22320</v>
      </c>
      <c r="O114" s="1072"/>
      <c r="P114" s="1070" t="s">
        <v>1021</v>
      </c>
      <c r="Q114" s="1039">
        <f>K103*J118*J102*100</f>
        <v>266321</v>
      </c>
      <c r="R114" s="1053"/>
      <c r="S114" s="1079"/>
      <c r="T114" s="1027"/>
      <c r="U114" s="1027"/>
    </row>
    <row r="115">
      <c r="I115" s="1080" t="s">
        <v>1022</v>
      </c>
      <c r="J115" s="1081">
        <v>600.0</v>
      </c>
      <c r="K115" s="1052" t="s">
        <v>1023</v>
      </c>
      <c r="L115" s="3"/>
      <c r="M115" s="1049">
        <f>J109*J110*J111</f>
        <v>74400</v>
      </c>
      <c r="N115" s="1072"/>
      <c r="O115" s="1072"/>
      <c r="P115" s="1070" t="s">
        <v>1024</v>
      </c>
      <c r="Q115" s="1082">
        <f>K104*J119*J103*150</f>
        <v>0</v>
      </c>
      <c r="R115" s="1053"/>
      <c r="S115" s="1053"/>
      <c r="T115" s="1027"/>
      <c r="U115" s="1027"/>
    </row>
    <row r="116">
      <c r="I116" s="1053"/>
      <c r="J116" s="1053"/>
      <c r="K116" s="1052" t="s">
        <v>1025</v>
      </c>
      <c r="L116" s="3"/>
      <c r="M116" s="1049">
        <f>J112*J113*J114</f>
        <v>0</v>
      </c>
      <c r="N116" s="1049">
        <f>J114*J115</f>
        <v>0</v>
      </c>
      <c r="O116" s="1072"/>
      <c r="P116" s="1053"/>
      <c r="Q116" s="1053"/>
      <c r="R116" s="1053"/>
      <c r="S116" s="1079"/>
      <c r="T116" s="1027"/>
      <c r="U116" s="1027"/>
    </row>
    <row r="117">
      <c r="I117" s="1036" t="s">
        <v>1018</v>
      </c>
      <c r="J117" s="1083">
        <v>0.14</v>
      </c>
      <c r="K117" s="1058" t="s">
        <v>1026</v>
      </c>
      <c r="L117" s="3"/>
      <c r="M117" s="1049">
        <f>SUM(M112:N113)+J116</f>
        <v>1359500</v>
      </c>
      <c r="N117" s="1072"/>
      <c r="O117" s="1072"/>
      <c r="P117" s="1036" t="s">
        <v>400</v>
      </c>
      <c r="Q117" s="1046">
        <f>SUM(Q110:Q115)</f>
        <v>769629</v>
      </c>
      <c r="R117" s="1053"/>
      <c r="S117" s="1053"/>
      <c r="T117" s="1027"/>
      <c r="U117" s="1027"/>
    </row>
    <row r="118">
      <c r="I118" s="1036" t="s">
        <v>1021</v>
      </c>
      <c r="J118" s="1054">
        <v>0.355</v>
      </c>
      <c r="K118" s="1027"/>
      <c r="L118" s="1027"/>
      <c r="M118" s="1027"/>
      <c r="N118" s="1027"/>
      <c r="O118" s="1027"/>
      <c r="P118" s="1027"/>
      <c r="Q118" s="1027"/>
      <c r="R118" s="1027"/>
      <c r="S118" s="1027"/>
      <c r="T118" s="1027"/>
      <c r="U118" s="1027"/>
    </row>
    <row r="119">
      <c r="I119" s="1080" t="s">
        <v>1024</v>
      </c>
      <c r="J119" s="1083">
        <v>0.06</v>
      </c>
      <c r="K119" s="1027"/>
      <c r="L119" s="1027"/>
      <c r="M119" s="1027"/>
      <c r="N119" s="1027"/>
      <c r="O119" s="1027"/>
      <c r="P119" s="1027"/>
      <c r="Q119" s="1027"/>
      <c r="R119" s="1027"/>
      <c r="S119" s="1027"/>
      <c r="T119" s="1027"/>
      <c r="U119" s="1027"/>
    </row>
    <row r="121">
      <c r="I121" s="1028" t="s">
        <v>981</v>
      </c>
      <c r="J121" s="1029">
        <f>A9</f>
        <v>46235</v>
      </c>
      <c r="K121" s="1028" t="str">
        <f>"①R"&amp;year(J121)-2018&amp;"_"&amp;month(J121)&amp;"集計"</f>
        <v>①R8_8集計</v>
      </c>
      <c r="L121" s="1027"/>
      <c r="M121" s="1030">
        <v>480.0</v>
      </c>
      <c r="N121" s="1030">
        <v>480.0</v>
      </c>
      <c r="O121" s="1030">
        <v>600.0</v>
      </c>
      <c r="P121" s="1030">
        <v>700.0</v>
      </c>
      <c r="Q121" s="1027"/>
      <c r="R121" s="1031">
        <f>S124</f>
        <v>769629</v>
      </c>
      <c r="S121" s="1031">
        <f>S127</f>
        <v>-1053271.4</v>
      </c>
      <c r="T121" s="1032">
        <f>S128</f>
        <v>-1.368544325</v>
      </c>
      <c r="U121" s="1032">
        <f>S126</f>
        <v>0.6021088083</v>
      </c>
    </row>
    <row r="122">
      <c r="I122" s="1036" t="s">
        <v>983</v>
      </c>
      <c r="J122" s="1037">
        <f>DAY(EOMONTH(J121,0))</f>
        <v>31</v>
      </c>
      <c r="K122" s="1038" t="s">
        <v>984</v>
      </c>
      <c r="L122" s="1038" t="s">
        <v>334</v>
      </c>
      <c r="M122" s="1038" t="s">
        <v>985</v>
      </c>
      <c r="N122" s="1038" t="s">
        <v>986</v>
      </c>
      <c r="O122" s="1038" t="s">
        <v>987</v>
      </c>
      <c r="P122" s="1038" t="s">
        <v>988</v>
      </c>
      <c r="Q122" s="1038" t="s">
        <v>989</v>
      </c>
      <c r="R122" s="1036" t="s">
        <v>990</v>
      </c>
      <c r="S122" s="1039">
        <v>900.0</v>
      </c>
      <c r="T122" s="1027"/>
      <c r="U122" s="1027"/>
    </row>
    <row r="123">
      <c r="I123" s="1036" t="s">
        <v>334</v>
      </c>
      <c r="J123" s="1037">
        <f t="array" ref="J123">xlookup(K121,$B$3:$B$14,$C$3:$C$14)*100</f>
        <v>0</v>
      </c>
      <c r="K123" s="1044">
        <f>SUM(M123:P123)</f>
        <v>242</v>
      </c>
      <c r="L123" s="1044">
        <v>100.0</v>
      </c>
      <c r="M123" s="1039">
        <v>162.0</v>
      </c>
      <c r="N123" s="1039">
        <v>67.0</v>
      </c>
      <c r="O123" s="1039">
        <v>10.0</v>
      </c>
      <c r="P123" s="1039">
        <v>3.0</v>
      </c>
      <c r="Q123" s="1044">
        <f>K123*J122</f>
        <v>7502</v>
      </c>
      <c r="R123" s="1045" t="s">
        <v>991</v>
      </c>
      <c r="S123" s="1046">
        <f>Q137</f>
        <v>769629</v>
      </c>
      <c r="T123" s="1027"/>
      <c r="U123" s="1027"/>
    </row>
    <row r="124">
      <c r="I124" s="1036" t="s">
        <v>994</v>
      </c>
      <c r="J124" s="1039">
        <v>320000.0</v>
      </c>
      <c r="K124" s="1044">
        <f>K123*L124%</f>
        <v>0</v>
      </c>
      <c r="L124" s="1049">
        <f>J123</f>
        <v>0</v>
      </c>
      <c r="M124" s="1044">
        <f>M123*L124%</f>
        <v>0</v>
      </c>
      <c r="N124" s="1044">
        <f>N123*L124%</f>
        <v>0</v>
      </c>
      <c r="O124" s="1044">
        <f>O123*L124%</f>
        <v>0</v>
      </c>
      <c r="P124" s="1044">
        <f>P123*L124%</f>
        <v>0</v>
      </c>
      <c r="Q124" s="1044">
        <f>K124*J122</f>
        <v>0</v>
      </c>
      <c r="R124" s="1036" t="s">
        <v>335</v>
      </c>
      <c r="S124" s="1046">
        <f>S122*Q124+S123</f>
        <v>769629</v>
      </c>
      <c r="T124" s="1027"/>
      <c r="U124" s="1027"/>
    </row>
    <row r="125">
      <c r="I125" s="1036" t="s">
        <v>995</v>
      </c>
      <c r="J125" s="1084">
        <v>810000.0</v>
      </c>
      <c r="K125" s="1052" t="s">
        <v>996</v>
      </c>
      <c r="L125" s="3"/>
      <c r="M125" s="1039">
        <v>26.1</v>
      </c>
      <c r="N125" s="1039">
        <v>26.1</v>
      </c>
      <c r="O125" s="1039">
        <v>32.73</v>
      </c>
      <c r="P125" s="1039">
        <v>38.18</v>
      </c>
      <c r="Q125" s="1053"/>
      <c r="R125" s="1036" t="s">
        <v>997</v>
      </c>
      <c r="S125" s="1044">
        <f>M130+SUM(M134:N136)</f>
        <v>463400.4</v>
      </c>
      <c r="T125" s="1027"/>
      <c r="U125" s="1027"/>
    </row>
    <row r="126">
      <c r="I126" s="1056" t="s">
        <v>998</v>
      </c>
      <c r="J126" s="1057">
        <v>1200.0</v>
      </c>
      <c r="K126" s="1058" t="s">
        <v>999</v>
      </c>
      <c r="L126" s="3"/>
      <c r="M126" s="1044">
        <f t="shared" ref="M126:P126" si="34">M124/(360/M125)</f>
        <v>0</v>
      </c>
      <c r="N126" s="1044">
        <f t="shared" si="34"/>
        <v>0</v>
      </c>
      <c r="O126" s="1044">
        <f t="shared" si="34"/>
        <v>0</v>
      </c>
      <c r="P126" s="1044">
        <f t="shared" si="34"/>
        <v>0</v>
      </c>
      <c r="Q126" s="1044">
        <f t="shared" ref="Q126:Q127" si="35">M126+N126+O126+P126</f>
        <v>0</v>
      </c>
      <c r="R126" s="1036" t="s">
        <v>333</v>
      </c>
      <c r="S126" s="1054">
        <f>S125/S124</f>
        <v>0.6021088083</v>
      </c>
      <c r="T126" s="1027"/>
      <c r="U126" s="1027"/>
    </row>
    <row r="127">
      <c r="I127" s="1060" t="s">
        <v>1001</v>
      </c>
      <c r="J127" s="1057">
        <v>6.5</v>
      </c>
      <c r="K127" s="1061" t="s">
        <v>1002</v>
      </c>
      <c r="L127" s="1039">
        <v>1100.0</v>
      </c>
      <c r="M127" s="1044">
        <f>M126*(L127*6)</f>
        <v>0</v>
      </c>
      <c r="N127" s="1044">
        <f>N126*(L127*6)</f>
        <v>0</v>
      </c>
      <c r="O127" s="1044">
        <f>O126*(L127*6)</f>
        <v>0</v>
      </c>
      <c r="P127" s="1044">
        <f>P126*(L127*6)</f>
        <v>0</v>
      </c>
      <c r="Q127" s="1044">
        <f t="shared" si="35"/>
        <v>0</v>
      </c>
      <c r="R127" s="1036" t="s">
        <v>1000</v>
      </c>
      <c r="S127" s="1046">
        <f>S124-S125-M137</f>
        <v>-1053271.4</v>
      </c>
      <c r="T127" s="1027"/>
      <c r="U127" s="1027"/>
    </row>
    <row r="128">
      <c r="I128" s="1062" t="s">
        <v>1003</v>
      </c>
      <c r="J128" s="1063"/>
      <c r="K128" s="1064"/>
      <c r="L128" s="1053"/>
      <c r="M128" s="1053"/>
      <c r="N128" s="1053"/>
      <c r="O128" s="1053"/>
      <c r="P128" s="1053"/>
      <c r="Q128" s="1053"/>
      <c r="R128" s="1036" t="s">
        <v>332</v>
      </c>
      <c r="S128" s="1054">
        <f>S127/S124</f>
        <v>-1.368544325</v>
      </c>
      <c r="T128" s="1027"/>
      <c r="U128" s="1027"/>
    </row>
    <row r="129">
      <c r="I129" s="1056" t="s">
        <v>1004</v>
      </c>
      <c r="J129" s="1057">
        <v>1200.0</v>
      </c>
      <c r="K129" s="1058" t="s">
        <v>1005</v>
      </c>
      <c r="L129" s="3"/>
      <c r="M129" s="1044">
        <f>Q127+(Q126*J135)</f>
        <v>0</v>
      </c>
      <c r="N129" s="1053"/>
      <c r="O129" s="1065"/>
      <c r="P129" s="1066" t="s">
        <v>1006</v>
      </c>
      <c r="Q129" s="1045" t="s">
        <v>1007</v>
      </c>
      <c r="R129" s="1053"/>
      <c r="S129" s="1053"/>
      <c r="T129" s="1027"/>
      <c r="U129" s="1027"/>
    </row>
    <row r="130">
      <c r="I130" s="1068" t="s">
        <v>1009</v>
      </c>
      <c r="J130" s="1057">
        <v>2.0</v>
      </c>
      <c r="K130" s="1058" t="s">
        <v>1010</v>
      </c>
      <c r="L130" s="3"/>
      <c r="M130" s="1044">
        <f>M129*J122+(K123*J137*J122*30)+(K123*J139*J122*100)</f>
        <v>76520.4</v>
      </c>
      <c r="N130" s="1069"/>
      <c r="O130" s="1069"/>
      <c r="P130" s="1070" t="s">
        <v>420</v>
      </c>
      <c r="Q130" s="1071">
        <v>112480.0</v>
      </c>
      <c r="R130" s="1053"/>
      <c r="S130" s="1072"/>
      <c r="T130" s="1027"/>
      <c r="U130" s="1027"/>
    </row>
    <row r="131">
      <c r="I131" s="1068" t="s">
        <v>1011</v>
      </c>
      <c r="J131" s="1057">
        <f>J122</f>
        <v>31</v>
      </c>
      <c r="K131" s="1058" t="s">
        <v>1012</v>
      </c>
      <c r="L131" s="3"/>
      <c r="M131" s="1036" t="s">
        <v>429</v>
      </c>
      <c r="N131" s="1062" t="s">
        <v>404</v>
      </c>
      <c r="O131" s="1069"/>
      <c r="P131" s="1070" t="s">
        <v>418</v>
      </c>
      <c r="Q131" s="1071">
        <v>145200.0</v>
      </c>
      <c r="R131" s="1053"/>
      <c r="S131" s="1053"/>
      <c r="T131" s="1027"/>
      <c r="U131" s="1027"/>
    </row>
    <row r="132">
      <c r="I132" s="1056" t="s">
        <v>1013</v>
      </c>
      <c r="J132" s="1063"/>
      <c r="K132" s="1058" t="s">
        <v>1014</v>
      </c>
      <c r="L132" s="3"/>
      <c r="M132" s="1049">
        <f t="shared" ref="M132:M133" si="36">J124*1.15</f>
        <v>368000</v>
      </c>
      <c r="N132" s="1073">
        <v>15000.0</v>
      </c>
      <c r="O132" s="1074"/>
      <c r="P132" s="1070" t="s">
        <v>1015</v>
      </c>
      <c r="Q132" s="1071">
        <v>140600.0</v>
      </c>
      <c r="R132" s="1053"/>
      <c r="S132" s="1053"/>
      <c r="T132" s="1027"/>
      <c r="U132" s="1027"/>
    </row>
    <row r="133">
      <c r="I133" s="1056" t="s">
        <v>1016</v>
      </c>
      <c r="J133" s="1063"/>
      <c r="K133" s="1058" t="s">
        <v>1017</v>
      </c>
      <c r="L133" s="3"/>
      <c r="M133" s="1049">
        <f t="shared" si="36"/>
        <v>931500</v>
      </c>
      <c r="N133" s="1049">
        <v>45000.0</v>
      </c>
      <c r="O133" s="1076"/>
      <c r="P133" s="1077" t="s">
        <v>1018</v>
      </c>
      <c r="Q133" s="1039">
        <f>K123*J137*J122*100</f>
        <v>105028</v>
      </c>
      <c r="R133" s="1053"/>
      <c r="S133" s="1053"/>
      <c r="T133" s="1027"/>
      <c r="U133" s="1027"/>
    </row>
    <row r="134">
      <c r="I134" s="1056" t="s">
        <v>1019</v>
      </c>
      <c r="J134" s="1063"/>
      <c r="K134" s="1078" t="s">
        <v>1020</v>
      </c>
      <c r="L134" s="3"/>
      <c r="M134" s="1049">
        <f>(4*J122-21.7*4)*J126*J127</f>
        <v>290160</v>
      </c>
      <c r="N134" s="1049">
        <f>(J122*4-21.7*4)*J135</f>
        <v>22320</v>
      </c>
      <c r="O134" s="1072"/>
      <c r="P134" s="1070" t="s">
        <v>1021</v>
      </c>
      <c r="Q134" s="1039">
        <f>K123*J138*J122*100</f>
        <v>266321</v>
      </c>
      <c r="R134" s="1053"/>
      <c r="S134" s="1079"/>
      <c r="T134" s="1027"/>
      <c r="U134" s="1027"/>
    </row>
    <row r="135">
      <c r="I135" s="1080" t="s">
        <v>1022</v>
      </c>
      <c r="J135" s="1081">
        <v>600.0</v>
      </c>
      <c r="K135" s="1052" t="s">
        <v>1023</v>
      </c>
      <c r="L135" s="3"/>
      <c r="M135" s="1049">
        <f>J129*J130*J131</f>
        <v>74400</v>
      </c>
      <c r="N135" s="1072"/>
      <c r="O135" s="1072"/>
      <c r="P135" s="1070" t="s">
        <v>1024</v>
      </c>
      <c r="Q135" s="1082">
        <f>K124*J139*J123*150</f>
        <v>0</v>
      </c>
      <c r="R135" s="1053"/>
      <c r="S135" s="1053"/>
      <c r="T135" s="1027"/>
      <c r="U135" s="1027"/>
    </row>
    <row r="136">
      <c r="I136" s="1053"/>
      <c r="J136" s="1053"/>
      <c r="K136" s="1052" t="s">
        <v>1025</v>
      </c>
      <c r="L136" s="3"/>
      <c r="M136" s="1049">
        <f>J132*J133*J134</f>
        <v>0</v>
      </c>
      <c r="N136" s="1049">
        <f>J134*J135</f>
        <v>0</v>
      </c>
      <c r="O136" s="1072"/>
      <c r="P136" s="1053"/>
      <c r="Q136" s="1053"/>
      <c r="R136" s="1053"/>
      <c r="S136" s="1079"/>
      <c r="T136" s="1027"/>
      <c r="U136" s="1027"/>
    </row>
    <row r="137">
      <c r="I137" s="1036" t="s">
        <v>1018</v>
      </c>
      <c r="J137" s="1083">
        <v>0.14</v>
      </c>
      <c r="K137" s="1058" t="s">
        <v>1026</v>
      </c>
      <c r="L137" s="3"/>
      <c r="M137" s="1049">
        <f>SUM(M132:N133)+J136</f>
        <v>1359500</v>
      </c>
      <c r="N137" s="1072"/>
      <c r="O137" s="1072"/>
      <c r="P137" s="1036" t="s">
        <v>400</v>
      </c>
      <c r="Q137" s="1046">
        <f>SUM(Q130:Q135)</f>
        <v>769629</v>
      </c>
      <c r="R137" s="1053"/>
      <c r="S137" s="1053"/>
      <c r="T137" s="1027"/>
      <c r="U137" s="1027"/>
    </row>
    <row r="138">
      <c r="I138" s="1036" t="s">
        <v>1021</v>
      </c>
      <c r="J138" s="1054">
        <v>0.355</v>
      </c>
      <c r="K138" s="1027"/>
      <c r="L138" s="1027"/>
      <c r="M138" s="1027"/>
      <c r="N138" s="1027"/>
      <c r="O138" s="1027"/>
      <c r="P138" s="1027"/>
      <c r="Q138" s="1027"/>
      <c r="R138" s="1027"/>
      <c r="S138" s="1027"/>
      <c r="T138" s="1027"/>
      <c r="U138" s="1027"/>
    </row>
    <row r="139">
      <c r="I139" s="1080" t="s">
        <v>1024</v>
      </c>
      <c r="J139" s="1083">
        <v>0.06</v>
      </c>
      <c r="K139" s="1027"/>
      <c r="L139" s="1027"/>
      <c r="M139" s="1027"/>
      <c r="N139" s="1027"/>
      <c r="O139" s="1027"/>
      <c r="P139" s="1027"/>
      <c r="Q139" s="1027"/>
      <c r="R139" s="1027"/>
      <c r="S139" s="1027"/>
      <c r="T139" s="1027"/>
      <c r="U139" s="1027"/>
    </row>
    <row r="141">
      <c r="I141" s="1028" t="s">
        <v>981</v>
      </c>
      <c r="J141" s="1029">
        <f>A10</f>
        <v>46266</v>
      </c>
      <c r="K141" s="1028" t="str">
        <f>"①R"&amp;year(J141)-2018&amp;"_"&amp;month(J141)&amp;"集計"</f>
        <v>①R8_9集計</v>
      </c>
      <c r="L141" s="1027"/>
      <c r="M141" s="1030">
        <v>480.0</v>
      </c>
      <c r="N141" s="1030">
        <v>480.0</v>
      </c>
      <c r="O141" s="1030">
        <v>600.0</v>
      </c>
      <c r="P141" s="1030">
        <v>700.0</v>
      </c>
      <c r="Q141" s="1027"/>
      <c r="R141" s="1031">
        <f>S144</f>
        <v>757650</v>
      </c>
      <c r="S141" s="1031">
        <f>S147</f>
        <v>-1026782</v>
      </c>
      <c r="T141" s="1032">
        <f>S148</f>
        <v>-1.355219428</v>
      </c>
      <c r="U141" s="1032">
        <f>S146</f>
        <v>0.5608552762</v>
      </c>
    </row>
    <row r="142">
      <c r="I142" s="1036" t="s">
        <v>983</v>
      </c>
      <c r="J142" s="1037">
        <f>DAY(EOMONTH(J141,0))</f>
        <v>30</v>
      </c>
      <c r="K142" s="1038" t="s">
        <v>984</v>
      </c>
      <c r="L142" s="1038" t="s">
        <v>334</v>
      </c>
      <c r="M142" s="1038" t="s">
        <v>985</v>
      </c>
      <c r="N142" s="1038" t="s">
        <v>986</v>
      </c>
      <c r="O142" s="1038" t="s">
        <v>987</v>
      </c>
      <c r="P142" s="1038" t="s">
        <v>988</v>
      </c>
      <c r="Q142" s="1038" t="s">
        <v>989</v>
      </c>
      <c r="R142" s="1036" t="s">
        <v>990</v>
      </c>
      <c r="S142" s="1039">
        <v>900.0</v>
      </c>
      <c r="T142" s="1027"/>
      <c r="U142" s="1027"/>
    </row>
    <row r="143">
      <c r="I143" s="1036" t="s">
        <v>334</v>
      </c>
      <c r="J143" s="1037">
        <f t="array" ref="J143">xlookup(K141,$B$3:$B$14,$C$3:$C$14)*100</f>
        <v>0</v>
      </c>
      <c r="K143" s="1044">
        <f>SUM(M143:P143)</f>
        <v>242</v>
      </c>
      <c r="L143" s="1044">
        <v>100.0</v>
      </c>
      <c r="M143" s="1039">
        <v>162.0</v>
      </c>
      <c r="N143" s="1039">
        <v>67.0</v>
      </c>
      <c r="O143" s="1039">
        <v>10.0</v>
      </c>
      <c r="P143" s="1039">
        <v>3.0</v>
      </c>
      <c r="Q143" s="1044">
        <f>K143*J142</f>
        <v>7260</v>
      </c>
      <c r="R143" s="1045" t="s">
        <v>991</v>
      </c>
      <c r="S143" s="1046">
        <f>Q157</f>
        <v>757650</v>
      </c>
      <c r="T143" s="1027"/>
      <c r="U143" s="1027"/>
    </row>
    <row r="144">
      <c r="I144" s="1036" t="s">
        <v>994</v>
      </c>
      <c r="J144" s="1039">
        <v>320000.0</v>
      </c>
      <c r="K144" s="1044">
        <f>K143*L144%</f>
        <v>0</v>
      </c>
      <c r="L144" s="1049">
        <f>J143</f>
        <v>0</v>
      </c>
      <c r="M144" s="1044">
        <f>M143*L144%</f>
        <v>0</v>
      </c>
      <c r="N144" s="1044">
        <f>N143*L144%</f>
        <v>0</v>
      </c>
      <c r="O144" s="1044">
        <f>O143*L144%</f>
        <v>0</v>
      </c>
      <c r="P144" s="1044">
        <f>P143*L144%</f>
        <v>0</v>
      </c>
      <c r="Q144" s="1044">
        <f>K144*J142</f>
        <v>0</v>
      </c>
      <c r="R144" s="1036" t="s">
        <v>335</v>
      </c>
      <c r="S144" s="1046">
        <f>S142*Q144+S143</f>
        <v>757650</v>
      </c>
      <c r="T144" s="1027"/>
      <c r="U144" s="1027"/>
    </row>
    <row r="145">
      <c r="I145" s="1036" t="s">
        <v>995</v>
      </c>
      <c r="J145" s="1084">
        <v>810000.0</v>
      </c>
      <c r="K145" s="1052" t="s">
        <v>996</v>
      </c>
      <c r="L145" s="3"/>
      <c r="M145" s="1039">
        <v>26.1</v>
      </c>
      <c r="N145" s="1039">
        <v>26.1</v>
      </c>
      <c r="O145" s="1039">
        <v>32.73</v>
      </c>
      <c r="P145" s="1039">
        <v>38.18</v>
      </c>
      <c r="Q145" s="1053"/>
      <c r="R145" s="1036" t="s">
        <v>997</v>
      </c>
      <c r="S145" s="1044">
        <f>M150+SUM(M154:N156)</f>
        <v>424932</v>
      </c>
      <c r="T145" s="1027"/>
      <c r="U145" s="1027"/>
    </row>
    <row r="146">
      <c r="I146" s="1056" t="s">
        <v>998</v>
      </c>
      <c r="J146" s="1057">
        <v>1200.0</v>
      </c>
      <c r="K146" s="1058" t="s">
        <v>999</v>
      </c>
      <c r="L146" s="3"/>
      <c r="M146" s="1044">
        <f t="shared" ref="M146:P146" si="37">M144/(360/M145)</f>
        <v>0</v>
      </c>
      <c r="N146" s="1044">
        <f t="shared" si="37"/>
        <v>0</v>
      </c>
      <c r="O146" s="1044">
        <f t="shared" si="37"/>
        <v>0</v>
      </c>
      <c r="P146" s="1044">
        <f t="shared" si="37"/>
        <v>0</v>
      </c>
      <c r="Q146" s="1044">
        <f t="shared" ref="Q146:Q147" si="38">M146+N146+O146+P146</f>
        <v>0</v>
      </c>
      <c r="R146" s="1036" t="s">
        <v>333</v>
      </c>
      <c r="S146" s="1054">
        <f>S145/S144</f>
        <v>0.5608552762</v>
      </c>
      <c r="T146" s="1027"/>
      <c r="U146" s="1027"/>
    </row>
    <row r="147">
      <c r="I147" s="1060" t="s">
        <v>1001</v>
      </c>
      <c r="J147" s="1057">
        <v>6.5</v>
      </c>
      <c r="K147" s="1061" t="s">
        <v>1002</v>
      </c>
      <c r="L147" s="1039">
        <v>1100.0</v>
      </c>
      <c r="M147" s="1044">
        <f>M146*(L147*6)</f>
        <v>0</v>
      </c>
      <c r="N147" s="1044">
        <f>N146*(L147*6)</f>
        <v>0</v>
      </c>
      <c r="O147" s="1044">
        <f>O146*(L147*6)</f>
        <v>0</v>
      </c>
      <c r="P147" s="1044">
        <f>P146*(L147*6)</f>
        <v>0</v>
      </c>
      <c r="Q147" s="1044">
        <f t="shared" si="38"/>
        <v>0</v>
      </c>
      <c r="R147" s="1036" t="s">
        <v>1000</v>
      </c>
      <c r="S147" s="1046">
        <f>S144-S145-M157</f>
        <v>-1026782</v>
      </c>
      <c r="T147" s="1027"/>
      <c r="U147" s="1027"/>
    </row>
    <row r="148">
      <c r="I148" s="1062" t="s">
        <v>1003</v>
      </c>
      <c r="J148" s="1063"/>
      <c r="K148" s="1064"/>
      <c r="L148" s="1053"/>
      <c r="M148" s="1053"/>
      <c r="N148" s="1053"/>
      <c r="O148" s="1053"/>
      <c r="P148" s="1053"/>
      <c r="Q148" s="1053"/>
      <c r="R148" s="1036" t="s">
        <v>332</v>
      </c>
      <c r="S148" s="1054">
        <f>S147/S144</f>
        <v>-1.355219428</v>
      </c>
      <c r="T148" s="1027"/>
      <c r="U148" s="1027"/>
    </row>
    <row r="149">
      <c r="I149" s="1056" t="s">
        <v>1004</v>
      </c>
      <c r="J149" s="1057">
        <v>1200.0</v>
      </c>
      <c r="K149" s="1058" t="s">
        <v>1005</v>
      </c>
      <c r="L149" s="3"/>
      <c r="M149" s="1044">
        <f>Q147+(Q146*J155)</f>
        <v>0</v>
      </c>
      <c r="N149" s="1053"/>
      <c r="O149" s="1065"/>
      <c r="P149" s="1066" t="s">
        <v>1006</v>
      </c>
      <c r="Q149" s="1045" t="s">
        <v>1007</v>
      </c>
      <c r="R149" s="1053"/>
      <c r="S149" s="1053"/>
      <c r="T149" s="1027"/>
      <c r="U149" s="1027"/>
    </row>
    <row r="150">
      <c r="I150" s="1068" t="s">
        <v>1009</v>
      </c>
      <c r="J150" s="1057">
        <v>2.0</v>
      </c>
      <c r="K150" s="1058" t="s">
        <v>1010</v>
      </c>
      <c r="L150" s="3"/>
      <c r="M150" s="1044">
        <f>M149*J142+(K143*J157*J142*30)+(K143*J159*J142*100)</f>
        <v>74052</v>
      </c>
      <c r="N150" s="1069"/>
      <c r="O150" s="1069"/>
      <c r="P150" s="1070" t="s">
        <v>420</v>
      </c>
      <c r="Q150" s="1071">
        <v>112480.0</v>
      </c>
      <c r="R150" s="1053"/>
      <c r="S150" s="1072"/>
      <c r="T150" s="1027"/>
      <c r="U150" s="1027"/>
    </row>
    <row r="151">
      <c r="I151" s="1068" t="s">
        <v>1011</v>
      </c>
      <c r="J151" s="1057">
        <f>J142</f>
        <v>30</v>
      </c>
      <c r="K151" s="1058" t="s">
        <v>1012</v>
      </c>
      <c r="L151" s="3"/>
      <c r="M151" s="1036" t="s">
        <v>429</v>
      </c>
      <c r="N151" s="1062" t="s">
        <v>404</v>
      </c>
      <c r="O151" s="1069"/>
      <c r="P151" s="1070" t="s">
        <v>418</v>
      </c>
      <c r="Q151" s="1071">
        <v>145200.0</v>
      </c>
      <c r="R151" s="1053"/>
      <c r="S151" s="1053"/>
      <c r="T151" s="1027"/>
      <c r="U151" s="1027"/>
    </row>
    <row r="152">
      <c r="I152" s="1056" t="s">
        <v>1013</v>
      </c>
      <c r="J152" s="1063"/>
      <c r="K152" s="1058" t="s">
        <v>1014</v>
      </c>
      <c r="L152" s="3"/>
      <c r="M152" s="1049">
        <f t="shared" ref="M152:M153" si="39">J144*1.15</f>
        <v>368000</v>
      </c>
      <c r="N152" s="1073">
        <v>15000.0</v>
      </c>
      <c r="O152" s="1074"/>
      <c r="P152" s="1070" t="s">
        <v>1015</v>
      </c>
      <c r="Q152" s="1071">
        <v>140600.0</v>
      </c>
      <c r="R152" s="1053"/>
      <c r="S152" s="1053"/>
      <c r="T152" s="1027"/>
      <c r="U152" s="1027"/>
    </row>
    <row r="153">
      <c r="I153" s="1056" t="s">
        <v>1016</v>
      </c>
      <c r="J153" s="1063"/>
      <c r="K153" s="1058" t="s">
        <v>1017</v>
      </c>
      <c r="L153" s="3"/>
      <c r="M153" s="1049">
        <f t="shared" si="39"/>
        <v>931500</v>
      </c>
      <c r="N153" s="1049">
        <v>45000.0</v>
      </c>
      <c r="O153" s="1076"/>
      <c r="P153" s="1077" t="s">
        <v>1018</v>
      </c>
      <c r="Q153" s="1039">
        <f>K143*J157*J142*100</f>
        <v>101640</v>
      </c>
      <c r="R153" s="1053"/>
      <c r="S153" s="1053"/>
      <c r="T153" s="1027"/>
      <c r="U153" s="1027"/>
    </row>
    <row r="154">
      <c r="I154" s="1056" t="s">
        <v>1019</v>
      </c>
      <c r="J154" s="1063"/>
      <c r="K154" s="1078" t="s">
        <v>1020</v>
      </c>
      <c r="L154" s="3"/>
      <c r="M154" s="1049">
        <f>(4*J142-21.7*4)*J146*J147</f>
        <v>258960</v>
      </c>
      <c r="N154" s="1049">
        <f>(J142*4-21.7*4)*J155</f>
        <v>19920</v>
      </c>
      <c r="O154" s="1072"/>
      <c r="P154" s="1070" t="s">
        <v>1021</v>
      </c>
      <c r="Q154" s="1039">
        <f>K143*J158*J142*100</f>
        <v>257730</v>
      </c>
      <c r="R154" s="1053"/>
      <c r="S154" s="1079"/>
      <c r="T154" s="1027"/>
      <c r="U154" s="1027"/>
    </row>
    <row r="155">
      <c r="I155" s="1080" t="s">
        <v>1022</v>
      </c>
      <c r="J155" s="1081">
        <v>600.0</v>
      </c>
      <c r="K155" s="1052" t="s">
        <v>1023</v>
      </c>
      <c r="L155" s="3"/>
      <c r="M155" s="1049">
        <f>J149*J150*J151</f>
        <v>72000</v>
      </c>
      <c r="N155" s="1072"/>
      <c r="O155" s="1072"/>
      <c r="P155" s="1070" t="s">
        <v>1024</v>
      </c>
      <c r="Q155" s="1082">
        <f>K144*J159*J143*150</f>
        <v>0</v>
      </c>
      <c r="R155" s="1053"/>
      <c r="S155" s="1053"/>
      <c r="T155" s="1027"/>
      <c r="U155" s="1027"/>
    </row>
    <row r="156">
      <c r="I156" s="1053"/>
      <c r="J156" s="1053"/>
      <c r="K156" s="1052" t="s">
        <v>1025</v>
      </c>
      <c r="L156" s="3"/>
      <c r="M156" s="1049">
        <f>J152*J153*J154</f>
        <v>0</v>
      </c>
      <c r="N156" s="1049">
        <f>J154*J155</f>
        <v>0</v>
      </c>
      <c r="O156" s="1072"/>
      <c r="P156" s="1053"/>
      <c r="Q156" s="1053"/>
      <c r="R156" s="1053"/>
      <c r="S156" s="1079"/>
      <c r="T156" s="1027"/>
      <c r="U156" s="1027"/>
    </row>
    <row r="157">
      <c r="I157" s="1036" t="s">
        <v>1018</v>
      </c>
      <c r="J157" s="1083">
        <v>0.14</v>
      </c>
      <c r="K157" s="1058" t="s">
        <v>1026</v>
      </c>
      <c r="L157" s="3"/>
      <c r="M157" s="1049">
        <f>SUM(M152:N153)+J156</f>
        <v>1359500</v>
      </c>
      <c r="N157" s="1072"/>
      <c r="O157" s="1072"/>
      <c r="P157" s="1036" t="s">
        <v>400</v>
      </c>
      <c r="Q157" s="1046">
        <f>SUM(Q150:Q155)</f>
        <v>757650</v>
      </c>
      <c r="R157" s="1053"/>
      <c r="S157" s="1053"/>
      <c r="T157" s="1027"/>
      <c r="U157" s="1027"/>
    </row>
    <row r="158">
      <c r="I158" s="1036" t="s">
        <v>1021</v>
      </c>
      <c r="J158" s="1054">
        <v>0.355</v>
      </c>
      <c r="K158" s="1027"/>
      <c r="L158" s="1027"/>
      <c r="M158" s="1027"/>
      <c r="N158" s="1027"/>
      <c r="O158" s="1027"/>
      <c r="P158" s="1027"/>
      <c r="Q158" s="1027"/>
      <c r="R158" s="1027"/>
      <c r="S158" s="1027"/>
      <c r="T158" s="1027"/>
      <c r="U158" s="1027"/>
    </row>
    <row r="159">
      <c r="I159" s="1080" t="s">
        <v>1024</v>
      </c>
      <c r="J159" s="1083">
        <v>0.06</v>
      </c>
      <c r="K159" s="1027"/>
      <c r="L159" s="1027"/>
      <c r="M159" s="1027"/>
      <c r="N159" s="1027"/>
      <c r="O159" s="1027"/>
      <c r="P159" s="1027"/>
      <c r="Q159" s="1027"/>
      <c r="R159" s="1027"/>
      <c r="S159" s="1027"/>
      <c r="T159" s="1027"/>
      <c r="U159" s="1027"/>
    </row>
    <row r="161">
      <c r="I161" s="1028" t="s">
        <v>981</v>
      </c>
      <c r="J161" s="1029">
        <f>A11</f>
        <v>46296</v>
      </c>
      <c r="K161" s="1028" t="str">
        <f>"①R"&amp;year(J161)-2018&amp;"_"&amp;month(J161)&amp;"集計"</f>
        <v>①R8_10集計</v>
      </c>
      <c r="L161" s="1027"/>
      <c r="M161" s="1030">
        <v>480.0</v>
      </c>
      <c r="N161" s="1030">
        <v>480.0</v>
      </c>
      <c r="O161" s="1030">
        <v>600.0</v>
      </c>
      <c r="P161" s="1030">
        <v>700.0</v>
      </c>
      <c r="Q161" s="1027"/>
      <c r="R161" s="1031">
        <f>S164</f>
        <v>769629</v>
      </c>
      <c r="S161" s="1031">
        <f>S167</f>
        <v>-1053271.4</v>
      </c>
      <c r="T161" s="1032">
        <f>S168</f>
        <v>-1.368544325</v>
      </c>
      <c r="U161" s="1032">
        <f>S166</f>
        <v>0.6021088083</v>
      </c>
    </row>
    <row r="162">
      <c r="I162" s="1036" t="s">
        <v>983</v>
      </c>
      <c r="J162" s="1037">
        <f>DAY(EOMONTH(J161,0))</f>
        <v>31</v>
      </c>
      <c r="K162" s="1038" t="s">
        <v>984</v>
      </c>
      <c r="L162" s="1038" t="s">
        <v>334</v>
      </c>
      <c r="M162" s="1038" t="s">
        <v>985</v>
      </c>
      <c r="N162" s="1038" t="s">
        <v>986</v>
      </c>
      <c r="O162" s="1038" t="s">
        <v>987</v>
      </c>
      <c r="P162" s="1038" t="s">
        <v>988</v>
      </c>
      <c r="Q162" s="1038" t="s">
        <v>989</v>
      </c>
      <c r="R162" s="1036" t="s">
        <v>990</v>
      </c>
      <c r="S162" s="1039">
        <v>900.0</v>
      </c>
      <c r="T162" s="1027"/>
      <c r="U162" s="1027"/>
    </row>
    <row r="163">
      <c r="I163" s="1036" t="s">
        <v>334</v>
      </c>
      <c r="J163" s="1037">
        <f t="array" ref="J163">xlookup(K161,$B$3:$B$14,$C$3:$C$14)*100</f>
        <v>0</v>
      </c>
      <c r="K163" s="1044">
        <f>SUM(M163:P163)</f>
        <v>242</v>
      </c>
      <c r="L163" s="1044">
        <v>100.0</v>
      </c>
      <c r="M163" s="1039">
        <v>162.0</v>
      </c>
      <c r="N163" s="1039">
        <v>67.0</v>
      </c>
      <c r="O163" s="1039">
        <v>10.0</v>
      </c>
      <c r="P163" s="1039">
        <v>3.0</v>
      </c>
      <c r="Q163" s="1044">
        <f>K163*J162</f>
        <v>7502</v>
      </c>
      <c r="R163" s="1045" t="s">
        <v>991</v>
      </c>
      <c r="S163" s="1046">
        <f>Q177</f>
        <v>769629</v>
      </c>
      <c r="T163" s="1027"/>
      <c r="U163" s="1027"/>
    </row>
    <row r="164">
      <c r="I164" s="1036" t="s">
        <v>994</v>
      </c>
      <c r="J164" s="1039">
        <v>320000.0</v>
      </c>
      <c r="K164" s="1044">
        <f>K163*L164%</f>
        <v>0</v>
      </c>
      <c r="L164" s="1049">
        <f>J163</f>
        <v>0</v>
      </c>
      <c r="M164" s="1044">
        <f>M163*L164%</f>
        <v>0</v>
      </c>
      <c r="N164" s="1044">
        <f>N163*L164%</f>
        <v>0</v>
      </c>
      <c r="O164" s="1044">
        <f>O163*L164%</f>
        <v>0</v>
      </c>
      <c r="P164" s="1044">
        <f>P163*L164%</f>
        <v>0</v>
      </c>
      <c r="Q164" s="1044">
        <f>K164*J162</f>
        <v>0</v>
      </c>
      <c r="R164" s="1036" t="s">
        <v>335</v>
      </c>
      <c r="S164" s="1046">
        <f>S162*Q164+S163</f>
        <v>769629</v>
      </c>
      <c r="T164" s="1027"/>
      <c r="U164" s="1027"/>
    </row>
    <row r="165">
      <c r="I165" s="1036" t="s">
        <v>995</v>
      </c>
      <c r="J165" s="1084">
        <v>810000.0</v>
      </c>
      <c r="K165" s="1052" t="s">
        <v>996</v>
      </c>
      <c r="L165" s="3"/>
      <c r="M165" s="1039">
        <v>26.1</v>
      </c>
      <c r="N165" s="1039">
        <v>26.1</v>
      </c>
      <c r="O165" s="1039">
        <v>32.73</v>
      </c>
      <c r="P165" s="1039">
        <v>38.18</v>
      </c>
      <c r="Q165" s="1053"/>
      <c r="R165" s="1036" t="s">
        <v>997</v>
      </c>
      <c r="S165" s="1044">
        <f>M170+SUM(M174:N176)</f>
        <v>463400.4</v>
      </c>
      <c r="T165" s="1027"/>
      <c r="U165" s="1027"/>
    </row>
    <row r="166">
      <c r="I166" s="1056" t="s">
        <v>998</v>
      </c>
      <c r="J166" s="1057">
        <v>1200.0</v>
      </c>
      <c r="K166" s="1058" t="s">
        <v>999</v>
      </c>
      <c r="L166" s="3"/>
      <c r="M166" s="1044">
        <f t="shared" ref="M166:P166" si="40">M164/(360/M165)</f>
        <v>0</v>
      </c>
      <c r="N166" s="1044">
        <f t="shared" si="40"/>
        <v>0</v>
      </c>
      <c r="O166" s="1044">
        <f t="shared" si="40"/>
        <v>0</v>
      </c>
      <c r="P166" s="1044">
        <f t="shared" si="40"/>
        <v>0</v>
      </c>
      <c r="Q166" s="1044">
        <f t="shared" ref="Q166:Q167" si="41">M166+N166+O166+P166</f>
        <v>0</v>
      </c>
      <c r="R166" s="1036" t="s">
        <v>333</v>
      </c>
      <c r="S166" s="1054">
        <f>S165/S164</f>
        <v>0.6021088083</v>
      </c>
      <c r="T166" s="1027"/>
      <c r="U166" s="1027"/>
    </row>
    <row r="167">
      <c r="I167" s="1060" t="s">
        <v>1001</v>
      </c>
      <c r="J167" s="1057">
        <v>6.5</v>
      </c>
      <c r="K167" s="1061" t="s">
        <v>1002</v>
      </c>
      <c r="L167" s="1039">
        <v>1100.0</v>
      </c>
      <c r="M167" s="1044">
        <f>M166*(L167*6)</f>
        <v>0</v>
      </c>
      <c r="N167" s="1044">
        <f>N166*(L167*6)</f>
        <v>0</v>
      </c>
      <c r="O167" s="1044">
        <f>O166*(L167*6)</f>
        <v>0</v>
      </c>
      <c r="P167" s="1044">
        <f>P166*(L167*6)</f>
        <v>0</v>
      </c>
      <c r="Q167" s="1044">
        <f t="shared" si="41"/>
        <v>0</v>
      </c>
      <c r="R167" s="1036" t="s">
        <v>1000</v>
      </c>
      <c r="S167" s="1046">
        <f>S164-S165-M177</f>
        <v>-1053271.4</v>
      </c>
      <c r="T167" s="1027"/>
      <c r="U167" s="1027"/>
    </row>
    <row r="168">
      <c r="I168" s="1062" t="s">
        <v>1003</v>
      </c>
      <c r="J168" s="1063"/>
      <c r="K168" s="1064"/>
      <c r="L168" s="1053"/>
      <c r="M168" s="1053"/>
      <c r="N168" s="1053"/>
      <c r="O168" s="1053"/>
      <c r="P168" s="1053"/>
      <c r="Q168" s="1053"/>
      <c r="R168" s="1036" t="s">
        <v>332</v>
      </c>
      <c r="S168" s="1054">
        <f>S167/S164</f>
        <v>-1.368544325</v>
      </c>
      <c r="T168" s="1027"/>
      <c r="U168" s="1027"/>
    </row>
    <row r="169">
      <c r="I169" s="1056" t="s">
        <v>1004</v>
      </c>
      <c r="J169" s="1057">
        <v>1200.0</v>
      </c>
      <c r="K169" s="1058" t="s">
        <v>1005</v>
      </c>
      <c r="L169" s="3"/>
      <c r="M169" s="1044">
        <f>Q167+(Q166*J175)</f>
        <v>0</v>
      </c>
      <c r="N169" s="1053"/>
      <c r="O169" s="1065"/>
      <c r="P169" s="1066" t="s">
        <v>1006</v>
      </c>
      <c r="Q169" s="1045" t="s">
        <v>1007</v>
      </c>
      <c r="R169" s="1053"/>
      <c r="S169" s="1053"/>
      <c r="T169" s="1027"/>
      <c r="U169" s="1027"/>
    </row>
    <row r="170">
      <c r="I170" s="1068" t="s">
        <v>1009</v>
      </c>
      <c r="J170" s="1057">
        <v>2.0</v>
      </c>
      <c r="K170" s="1058" t="s">
        <v>1010</v>
      </c>
      <c r="L170" s="3"/>
      <c r="M170" s="1044">
        <f>M169*J162+(K163*J177*J162*30)+(K163*J179*J162*100)</f>
        <v>76520.4</v>
      </c>
      <c r="N170" s="1069"/>
      <c r="O170" s="1069"/>
      <c r="P170" s="1070" t="s">
        <v>420</v>
      </c>
      <c r="Q170" s="1071">
        <v>112480.0</v>
      </c>
      <c r="R170" s="1053"/>
      <c r="S170" s="1072"/>
      <c r="T170" s="1027"/>
      <c r="U170" s="1027"/>
    </row>
    <row r="171">
      <c r="I171" s="1068" t="s">
        <v>1011</v>
      </c>
      <c r="J171" s="1057">
        <f>J162</f>
        <v>31</v>
      </c>
      <c r="K171" s="1058" t="s">
        <v>1012</v>
      </c>
      <c r="L171" s="3"/>
      <c r="M171" s="1036" t="s">
        <v>429</v>
      </c>
      <c r="N171" s="1062" t="s">
        <v>404</v>
      </c>
      <c r="O171" s="1069"/>
      <c r="P171" s="1070" t="s">
        <v>418</v>
      </c>
      <c r="Q171" s="1071">
        <v>145200.0</v>
      </c>
      <c r="R171" s="1053"/>
      <c r="S171" s="1053"/>
      <c r="T171" s="1027"/>
      <c r="U171" s="1027"/>
    </row>
    <row r="172">
      <c r="I172" s="1056" t="s">
        <v>1013</v>
      </c>
      <c r="J172" s="1063"/>
      <c r="K172" s="1058" t="s">
        <v>1014</v>
      </c>
      <c r="L172" s="3"/>
      <c r="M172" s="1049">
        <f t="shared" ref="M172:M173" si="42">J164*1.15</f>
        <v>368000</v>
      </c>
      <c r="N172" s="1073">
        <v>15000.0</v>
      </c>
      <c r="O172" s="1074"/>
      <c r="P172" s="1070" t="s">
        <v>1015</v>
      </c>
      <c r="Q172" s="1071">
        <v>140600.0</v>
      </c>
      <c r="R172" s="1053"/>
      <c r="S172" s="1053"/>
      <c r="T172" s="1027"/>
      <c r="U172" s="1027"/>
    </row>
    <row r="173">
      <c r="I173" s="1056" t="s">
        <v>1016</v>
      </c>
      <c r="J173" s="1063"/>
      <c r="K173" s="1058" t="s">
        <v>1017</v>
      </c>
      <c r="L173" s="3"/>
      <c r="M173" s="1049">
        <f t="shared" si="42"/>
        <v>931500</v>
      </c>
      <c r="N173" s="1049">
        <v>45000.0</v>
      </c>
      <c r="O173" s="1076"/>
      <c r="P173" s="1077" t="s">
        <v>1018</v>
      </c>
      <c r="Q173" s="1039">
        <f>K163*J177*J162*100</f>
        <v>105028</v>
      </c>
      <c r="R173" s="1053"/>
      <c r="S173" s="1053"/>
      <c r="T173" s="1027"/>
      <c r="U173" s="1027"/>
    </row>
    <row r="174">
      <c r="I174" s="1056" t="s">
        <v>1019</v>
      </c>
      <c r="J174" s="1063"/>
      <c r="K174" s="1078" t="s">
        <v>1020</v>
      </c>
      <c r="L174" s="3"/>
      <c r="M174" s="1049">
        <f>(4*J162-21.7*4)*J166*J167</f>
        <v>290160</v>
      </c>
      <c r="N174" s="1049">
        <f>(J162*4-21.7*4)*J175</f>
        <v>22320</v>
      </c>
      <c r="O174" s="1072"/>
      <c r="P174" s="1070" t="s">
        <v>1021</v>
      </c>
      <c r="Q174" s="1039">
        <f>K163*J178*J162*100</f>
        <v>266321</v>
      </c>
      <c r="R174" s="1053"/>
      <c r="S174" s="1079"/>
      <c r="T174" s="1027"/>
      <c r="U174" s="1027"/>
    </row>
    <row r="175">
      <c r="I175" s="1080" t="s">
        <v>1022</v>
      </c>
      <c r="J175" s="1081">
        <v>600.0</v>
      </c>
      <c r="K175" s="1052" t="s">
        <v>1023</v>
      </c>
      <c r="L175" s="3"/>
      <c r="M175" s="1049">
        <f>J169*J170*J171</f>
        <v>74400</v>
      </c>
      <c r="N175" s="1072"/>
      <c r="O175" s="1072"/>
      <c r="P175" s="1070" t="s">
        <v>1024</v>
      </c>
      <c r="Q175" s="1082">
        <f>K164*J179*J163*150</f>
        <v>0</v>
      </c>
      <c r="R175" s="1053"/>
      <c r="S175" s="1053"/>
      <c r="T175" s="1027"/>
      <c r="U175" s="1027"/>
    </row>
    <row r="176">
      <c r="I176" s="1053"/>
      <c r="J176" s="1053"/>
      <c r="K176" s="1052" t="s">
        <v>1025</v>
      </c>
      <c r="L176" s="3"/>
      <c r="M176" s="1049">
        <f>J172*J173*J174</f>
        <v>0</v>
      </c>
      <c r="N176" s="1049">
        <f>J174*J175</f>
        <v>0</v>
      </c>
      <c r="O176" s="1072"/>
      <c r="P176" s="1053"/>
      <c r="Q176" s="1053"/>
      <c r="R176" s="1053"/>
      <c r="S176" s="1079"/>
      <c r="T176" s="1027"/>
      <c r="U176" s="1027"/>
    </row>
    <row r="177">
      <c r="I177" s="1036" t="s">
        <v>1018</v>
      </c>
      <c r="J177" s="1083">
        <v>0.14</v>
      </c>
      <c r="K177" s="1058" t="s">
        <v>1026</v>
      </c>
      <c r="L177" s="3"/>
      <c r="M177" s="1049">
        <f>SUM(M172:N173)+J176</f>
        <v>1359500</v>
      </c>
      <c r="N177" s="1072"/>
      <c r="O177" s="1072"/>
      <c r="P177" s="1036" t="s">
        <v>400</v>
      </c>
      <c r="Q177" s="1046">
        <f>SUM(Q170:Q175)</f>
        <v>769629</v>
      </c>
      <c r="R177" s="1053"/>
      <c r="S177" s="1053"/>
      <c r="T177" s="1027"/>
      <c r="U177" s="1027"/>
    </row>
    <row r="178">
      <c r="I178" s="1036" t="s">
        <v>1021</v>
      </c>
      <c r="J178" s="1054">
        <v>0.355</v>
      </c>
      <c r="K178" s="1027"/>
      <c r="L178" s="1027"/>
      <c r="M178" s="1027"/>
      <c r="N178" s="1027"/>
      <c r="O178" s="1027"/>
      <c r="P178" s="1027"/>
      <c r="Q178" s="1027"/>
      <c r="R178" s="1027"/>
      <c r="S178" s="1027"/>
      <c r="T178" s="1027"/>
      <c r="U178" s="1027"/>
    </row>
    <row r="179">
      <c r="I179" s="1080" t="s">
        <v>1024</v>
      </c>
      <c r="J179" s="1083">
        <v>0.06</v>
      </c>
      <c r="K179" s="1027"/>
      <c r="L179" s="1027"/>
      <c r="M179" s="1027"/>
      <c r="N179" s="1027"/>
      <c r="O179" s="1027"/>
      <c r="P179" s="1027"/>
      <c r="Q179" s="1027"/>
      <c r="R179" s="1027"/>
      <c r="S179" s="1027"/>
      <c r="T179" s="1027"/>
      <c r="U179" s="1027"/>
    </row>
    <row r="181">
      <c r="I181" s="1028" t="s">
        <v>981</v>
      </c>
      <c r="J181" s="1029">
        <f>A12</f>
        <v>46327</v>
      </c>
      <c r="K181" s="1028" t="str">
        <f>"①R"&amp;year(J181)-2018&amp;"_"&amp;month(J181)&amp;"集計"</f>
        <v>①R8_11集計</v>
      </c>
      <c r="L181" s="1027"/>
      <c r="M181" s="1030">
        <v>480.0</v>
      </c>
      <c r="N181" s="1030">
        <v>480.0</v>
      </c>
      <c r="O181" s="1030">
        <v>600.0</v>
      </c>
      <c r="P181" s="1030">
        <v>700.0</v>
      </c>
      <c r="Q181" s="1027"/>
      <c r="R181" s="1031">
        <f>S184</f>
        <v>757650</v>
      </c>
      <c r="S181" s="1031">
        <f>S187</f>
        <v>-1026782</v>
      </c>
      <c r="T181" s="1032">
        <f>S188</f>
        <v>-1.355219428</v>
      </c>
      <c r="U181" s="1032">
        <f>S186</f>
        <v>0.5608552762</v>
      </c>
    </row>
    <row r="182">
      <c r="I182" s="1036" t="s">
        <v>983</v>
      </c>
      <c r="J182" s="1037">
        <f>DAY(EOMONTH(J181,0))</f>
        <v>30</v>
      </c>
      <c r="K182" s="1038" t="s">
        <v>984</v>
      </c>
      <c r="L182" s="1038" t="s">
        <v>334</v>
      </c>
      <c r="M182" s="1038" t="s">
        <v>985</v>
      </c>
      <c r="N182" s="1038" t="s">
        <v>986</v>
      </c>
      <c r="O182" s="1038" t="s">
        <v>987</v>
      </c>
      <c r="P182" s="1038" t="s">
        <v>988</v>
      </c>
      <c r="Q182" s="1038" t="s">
        <v>989</v>
      </c>
      <c r="R182" s="1036" t="s">
        <v>990</v>
      </c>
      <c r="S182" s="1039">
        <v>900.0</v>
      </c>
      <c r="T182" s="1027"/>
      <c r="U182" s="1027"/>
    </row>
    <row r="183">
      <c r="I183" s="1036" t="s">
        <v>334</v>
      </c>
      <c r="J183" s="1037">
        <f t="array" ref="J183">xlookup(K181,$B$3:$B$14,$C$3:$C$14)*100</f>
        <v>0</v>
      </c>
      <c r="K183" s="1044">
        <f>SUM(M183:P183)</f>
        <v>242</v>
      </c>
      <c r="L183" s="1044">
        <v>100.0</v>
      </c>
      <c r="M183" s="1039">
        <v>162.0</v>
      </c>
      <c r="N183" s="1039">
        <v>67.0</v>
      </c>
      <c r="O183" s="1039">
        <v>10.0</v>
      </c>
      <c r="P183" s="1039">
        <v>3.0</v>
      </c>
      <c r="Q183" s="1044">
        <f>K183*J182</f>
        <v>7260</v>
      </c>
      <c r="R183" s="1045" t="s">
        <v>991</v>
      </c>
      <c r="S183" s="1046">
        <f>Q197</f>
        <v>757650</v>
      </c>
      <c r="T183" s="1027"/>
      <c r="U183" s="1027"/>
    </row>
    <row r="184">
      <c r="I184" s="1036" t="s">
        <v>994</v>
      </c>
      <c r="J184" s="1039">
        <v>320000.0</v>
      </c>
      <c r="K184" s="1044">
        <f>K183*L184%</f>
        <v>0</v>
      </c>
      <c r="L184" s="1049">
        <f>J183</f>
        <v>0</v>
      </c>
      <c r="M184" s="1044">
        <f>M183*L184%</f>
        <v>0</v>
      </c>
      <c r="N184" s="1044">
        <f>N183*L184%</f>
        <v>0</v>
      </c>
      <c r="O184" s="1044">
        <f>O183*L184%</f>
        <v>0</v>
      </c>
      <c r="P184" s="1044">
        <f>P183*L184%</f>
        <v>0</v>
      </c>
      <c r="Q184" s="1044">
        <f>K184*J182</f>
        <v>0</v>
      </c>
      <c r="R184" s="1036" t="s">
        <v>335</v>
      </c>
      <c r="S184" s="1046">
        <f>S182*Q184+S183</f>
        <v>757650</v>
      </c>
      <c r="T184" s="1027"/>
      <c r="U184" s="1027"/>
    </row>
    <row r="185">
      <c r="I185" s="1036" t="s">
        <v>995</v>
      </c>
      <c r="J185" s="1084">
        <v>810000.0</v>
      </c>
      <c r="K185" s="1052" t="s">
        <v>996</v>
      </c>
      <c r="L185" s="3"/>
      <c r="M185" s="1039">
        <v>26.1</v>
      </c>
      <c r="N185" s="1039">
        <v>26.1</v>
      </c>
      <c r="O185" s="1039">
        <v>32.73</v>
      </c>
      <c r="P185" s="1039">
        <v>38.18</v>
      </c>
      <c r="Q185" s="1053"/>
      <c r="R185" s="1036" t="s">
        <v>997</v>
      </c>
      <c r="S185" s="1044">
        <f>M190+SUM(M194:N196)</f>
        <v>424932</v>
      </c>
      <c r="T185" s="1027"/>
      <c r="U185" s="1027"/>
    </row>
    <row r="186">
      <c r="I186" s="1056" t="s">
        <v>998</v>
      </c>
      <c r="J186" s="1057">
        <v>1200.0</v>
      </c>
      <c r="K186" s="1058" t="s">
        <v>999</v>
      </c>
      <c r="L186" s="3"/>
      <c r="M186" s="1044">
        <f t="shared" ref="M186:P186" si="43">M184/(360/M185)</f>
        <v>0</v>
      </c>
      <c r="N186" s="1044">
        <f t="shared" si="43"/>
        <v>0</v>
      </c>
      <c r="O186" s="1044">
        <f t="shared" si="43"/>
        <v>0</v>
      </c>
      <c r="P186" s="1044">
        <f t="shared" si="43"/>
        <v>0</v>
      </c>
      <c r="Q186" s="1044">
        <f t="shared" ref="Q186:Q187" si="44">M186+N186+O186+P186</f>
        <v>0</v>
      </c>
      <c r="R186" s="1036" t="s">
        <v>333</v>
      </c>
      <c r="S186" s="1054">
        <f>S185/S184</f>
        <v>0.5608552762</v>
      </c>
      <c r="T186" s="1027"/>
      <c r="U186" s="1027"/>
    </row>
    <row r="187">
      <c r="I187" s="1060" t="s">
        <v>1001</v>
      </c>
      <c r="J187" s="1057">
        <v>6.5</v>
      </c>
      <c r="K187" s="1061" t="s">
        <v>1002</v>
      </c>
      <c r="L187" s="1039">
        <v>1100.0</v>
      </c>
      <c r="M187" s="1044">
        <f>M186*(L187*6)</f>
        <v>0</v>
      </c>
      <c r="N187" s="1044">
        <f>N186*(L187*6)</f>
        <v>0</v>
      </c>
      <c r="O187" s="1044">
        <f>O186*(L187*6)</f>
        <v>0</v>
      </c>
      <c r="P187" s="1044">
        <f>P186*(L187*6)</f>
        <v>0</v>
      </c>
      <c r="Q187" s="1044">
        <f t="shared" si="44"/>
        <v>0</v>
      </c>
      <c r="R187" s="1036" t="s">
        <v>1000</v>
      </c>
      <c r="S187" s="1046">
        <f>S184-S185-M197</f>
        <v>-1026782</v>
      </c>
      <c r="T187" s="1027"/>
      <c r="U187" s="1027"/>
    </row>
    <row r="188">
      <c r="I188" s="1062" t="s">
        <v>1003</v>
      </c>
      <c r="J188" s="1063"/>
      <c r="K188" s="1064"/>
      <c r="L188" s="1053"/>
      <c r="M188" s="1053"/>
      <c r="N188" s="1053"/>
      <c r="O188" s="1053"/>
      <c r="P188" s="1053"/>
      <c r="Q188" s="1053"/>
      <c r="R188" s="1036" t="s">
        <v>332</v>
      </c>
      <c r="S188" s="1054">
        <f>S187/S184</f>
        <v>-1.355219428</v>
      </c>
      <c r="T188" s="1027"/>
      <c r="U188" s="1027"/>
    </row>
    <row r="189">
      <c r="I189" s="1056" t="s">
        <v>1004</v>
      </c>
      <c r="J189" s="1057">
        <v>1200.0</v>
      </c>
      <c r="K189" s="1058" t="s">
        <v>1005</v>
      </c>
      <c r="L189" s="3"/>
      <c r="M189" s="1044">
        <f>Q187+(Q186*J195)</f>
        <v>0</v>
      </c>
      <c r="N189" s="1053"/>
      <c r="O189" s="1065"/>
      <c r="P189" s="1066" t="s">
        <v>1006</v>
      </c>
      <c r="Q189" s="1045" t="s">
        <v>1007</v>
      </c>
      <c r="R189" s="1053"/>
      <c r="S189" s="1053"/>
      <c r="T189" s="1027"/>
      <c r="U189" s="1027"/>
    </row>
    <row r="190">
      <c r="I190" s="1068" t="s">
        <v>1009</v>
      </c>
      <c r="J190" s="1057">
        <v>2.0</v>
      </c>
      <c r="K190" s="1058" t="s">
        <v>1010</v>
      </c>
      <c r="L190" s="3"/>
      <c r="M190" s="1044">
        <f>M189*J182+(K183*J197*J182*30)+(K183*J199*J182*100)</f>
        <v>74052</v>
      </c>
      <c r="N190" s="1069"/>
      <c r="O190" s="1069"/>
      <c r="P190" s="1070" t="s">
        <v>420</v>
      </c>
      <c r="Q190" s="1071">
        <v>112480.0</v>
      </c>
      <c r="R190" s="1053"/>
      <c r="S190" s="1072"/>
      <c r="T190" s="1027"/>
      <c r="U190" s="1027"/>
    </row>
    <row r="191">
      <c r="I191" s="1068" t="s">
        <v>1011</v>
      </c>
      <c r="J191" s="1057">
        <f>J182</f>
        <v>30</v>
      </c>
      <c r="K191" s="1058" t="s">
        <v>1012</v>
      </c>
      <c r="L191" s="3"/>
      <c r="M191" s="1036" t="s">
        <v>429</v>
      </c>
      <c r="N191" s="1062" t="s">
        <v>404</v>
      </c>
      <c r="O191" s="1069"/>
      <c r="P191" s="1070" t="s">
        <v>418</v>
      </c>
      <c r="Q191" s="1071">
        <v>145200.0</v>
      </c>
      <c r="R191" s="1053"/>
      <c r="S191" s="1053"/>
      <c r="T191" s="1027"/>
      <c r="U191" s="1027"/>
    </row>
    <row r="192">
      <c r="I192" s="1056" t="s">
        <v>1013</v>
      </c>
      <c r="J192" s="1063"/>
      <c r="K192" s="1058" t="s">
        <v>1014</v>
      </c>
      <c r="L192" s="3"/>
      <c r="M192" s="1049">
        <f t="shared" ref="M192:M193" si="45">J184*1.15</f>
        <v>368000</v>
      </c>
      <c r="N192" s="1073">
        <v>15000.0</v>
      </c>
      <c r="O192" s="1074"/>
      <c r="P192" s="1070" t="s">
        <v>1015</v>
      </c>
      <c r="Q192" s="1071">
        <v>140600.0</v>
      </c>
      <c r="R192" s="1053"/>
      <c r="S192" s="1053"/>
      <c r="T192" s="1027"/>
      <c r="U192" s="1027"/>
    </row>
    <row r="193">
      <c r="I193" s="1056" t="s">
        <v>1016</v>
      </c>
      <c r="J193" s="1063"/>
      <c r="K193" s="1058" t="s">
        <v>1017</v>
      </c>
      <c r="L193" s="3"/>
      <c r="M193" s="1049">
        <f t="shared" si="45"/>
        <v>931500</v>
      </c>
      <c r="N193" s="1049">
        <v>45000.0</v>
      </c>
      <c r="O193" s="1076"/>
      <c r="P193" s="1077" t="s">
        <v>1018</v>
      </c>
      <c r="Q193" s="1039">
        <f>K183*J197*J182*100</f>
        <v>101640</v>
      </c>
      <c r="R193" s="1053"/>
      <c r="S193" s="1053"/>
      <c r="T193" s="1027"/>
      <c r="U193" s="1027"/>
    </row>
    <row r="194">
      <c r="I194" s="1056" t="s">
        <v>1019</v>
      </c>
      <c r="J194" s="1063"/>
      <c r="K194" s="1078" t="s">
        <v>1020</v>
      </c>
      <c r="L194" s="3"/>
      <c r="M194" s="1049">
        <f>(4*J182-21.7*4)*J186*J187</f>
        <v>258960</v>
      </c>
      <c r="N194" s="1049">
        <f>(J182*4-21.7*4)*J195</f>
        <v>19920</v>
      </c>
      <c r="O194" s="1072"/>
      <c r="P194" s="1070" t="s">
        <v>1021</v>
      </c>
      <c r="Q194" s="1039">
        <f>K183*J198*J182*100</f>
        <v>257730</v>
      </c>
      <c r="R194" s="1053"/>
      <c r="S194" s="1079"/>
      <c r="T194" s="1027"/>
      <c r="U194" s="1027"/>
    </row>
    <row r="195">
      <c r="I195" s="1080" t="s">
        <v>1022</v>
      </c>
      <c r="J195" s="1081">
        <v>600.0</v>
      </c>
      <c r="K195" s="1052" t="s">
        <v>1023</v>
      </c>
      <c r="L195" s="3"/>
      <c r="M195" s="1049">
        <f>J189*J190*J191</f>
        <v>72000</v>
      </c>
      <c r="N195" s="1072"/>
      <c r="O195" s="1072"/>
      <c r="P195" s="1070" t="s">
        <v>1024</v>
      </c>
      <c r="Q195" s="1082">
        <f>K184*J199*J183*150</f>
        <v>0</v>
      </c>
      <c r="R195" s="1053"/>
      <c r="S195" s="1053"/>
      <c r="T195" s="1027"/>
      <c r="U195" s="1027"/>
    </row>
    <row r="196">
      <c r="I196" s="1053"/>
      <c r="J196" s="1053"/>
      <c r="K196" s="1052" t="s">
        <v>1025</v>
      </c>
      <c r="L196" s="3"/>
      <c r="M196" s="1049">
        <f>J192*J193*J194</f>
        <v>0</v>
      </c>
      <c r="N196" s="1049">
        <f>J194*J195</f>
        <v>0</v>
      </c>
      <c r="O196" s="1072"/>
      <c r="P196" s="1053"/>
      <c r="Q196" s="1053"/>
      <c r="R196" s="1053"/>
      <c r="S196" s="1079"/>
      <c r="T196" s="1027"/>
      <c r="U196" s="1027"/>
    </row>
    <row r="197">
      <c r="I197" s="1036" t="s">
        <v>1018</v>
      </c>
      <c r="J197" s="1083">
        <v>0.14</v>
      </c>
      <c r="K197" s="1058" t="s">
        <v>1026</v>
      </c>
      <c r="L197" s="3"/>
      <c r="M197" s="1049">
        <f>SUM(M192:N193)+J196</f>
        <v>1359500</v>
      </c>
      <c r="N197" s="1072"/>
      <c r="O197" s="1072"/>
      <c r="P197" s="1036" t="s">
        <v>400</v>
      </c>
      <c r="Q197" s="1046">
        <f>SUM(Q190:Q195)</f>
        <v>757650</v>
      </c>
      <c r="R197" s="1053"/>
      <c r="S197" s="1053"/>
      <c r="T197" s="1027"/>
      <c r="U197" s="1027"/>
    </row>
    <row r="198">
      <c r="I198" s="1036" t="s">
        <v>1021</v>
      </c>
      <c r="J198" s="1054">
        <v>0.355</v>
      </c>
      <c r="K198" s="1027"/>
      <c r="L198" s="1027"/>
      <c r="M198" s="1027"/>
      <c r="N198" s="1027"/>
      <c r="O198" s="1027"/>
      <c r="P198" s="1027"/>
      <c r="Q198" s="1027"/>
      <c r="R198" s="1027"/>
      <c r="S198" s="1027"/>
      <c r="T198" s="1027"/>
      <c r="U198" s="1027"/>
    </row>
    <row r="199">
      <c r="I199" s="1080" t="s">
        <v>1024</v>
      </c>
      <c r="J199" s="1083">
        <v>0.06</v>
      </c>
      <c r="K199" s="1027"/>
      <c r="L199" s="1027"/>
      <c r="M199" s="1027"/>
      <c r="N199" s="1027"/>
      <c r="O199" s="1027"/>
      <c r="P199" s="1027"/>
      <c r="Q199" s="1027"/>
      <c r="R199" s="1027"/>
      <c r="S199" s="1027"/>
      <c r="T199" s="1027"/>
      <c r="U199" s="1027"/>
    </row>
    <row r="201">
      <c r="I201" s="1028" t="s">
        <v>981</v>
      </c>
      <c r="J201" s="1029">
        <f>A13</f>
        <v>46357</v>
      </c>
      <c r="K201" s="1028" t="str">
        <f>"①R"&amp;year(J201)-2018&amp;"_"&amp;month(J201)&amp;"集計"</f>
        <v>①R8_12集計</v>
      </c>
      <c r="L201" s="1027"/>
      <c r="M201" s="1030">
        <v>480.0</v>
      </c>
      <c r="N201" s="1030">
        <v>480.0</v>
      </c>
      <c r="O201" s="1030">
        <v>600.0</v>
      </c>
      <c r="P201" s="1030">
        <v>700.0</v>
      </c>
      <c r="Q201" s="1027"/>
      <c r="R201" s="1031">
        <f>S204</f>
        <v>769629</v>
      </c>
      <c r="S201" s="1031">
        <f>S207</f>
        <v>-1053271.4</v>
      </c>
      <c r="T201" s="1032">
        <f>S208</f>
        <v>-1.368544325</v>
      </c>
      <c r="U201" s="1032">
        <f>S206</f>
        <v>0.6021088083</v>
      </c>
    </row>
    <row r="202">
      <c r="I202" s="1036" t="s">
        <v>983</v>
      </c>
      <c r="J202" s="1037">
        <f>DAY(EOMONTH(J201,0))</f>
        <v>31</v>
      </c>
      <c r="K202" s="1038" t="s">
        <v>984</v>
      </c>
      <c r="L202" s="1038" t="s">
        <v>334</v>
      </c>
      <c r="M202" s="1038" t="s">
        <v>985</v>
      </c>
      <c r="N202" s="1038" t="s">
        <v>986</v>
      </c>
      <c r="O202" s="1038" t="s">
        <v>987</v>
      </c>
      <c r="P202" s="1038" t="s">
        <v>988</v>
      </c>
      <c r="Q202" s="1038" t="s">
        <v>989</v>
      </c>
      <c r="R202" s="1036" t="s">
        <v>990</v>
      </c>
      <c r="S202" s="1039">
        <v>900.0</v>
      </c>
      <c r="T202" s="1027"/>
      <c r="U202" s="1027"/>
    </row>
    <row r="203">
      <c r="I203" s="1036" t="s">
        <v>334</v>
      </c>
      <c r="J203" s="1037">
        <f t="array" ref="J203">xlookup(K201,$B$3:$B$14,$C$3:$C$14)*100</f>
        <v>0</v>
      </c>
      <c r="K203" s="1044">
        <f>SUM(M203:P203)</f>
        <v>242</v>
      </c>
      <c r="L203" s="1044">
        <v>100.0</v>
      </c>
      <c r="M203" s="1039">
        <v>162.0</v>
      </c>
      <c r="N203" s="1039">
        <v>67.0</v>
      </c>
      <c r="O203" s="1039">
        <v>10.0</v>
      </c>
      <c r="P203" s="1039">
        <v>3.0</v>
      </c>
      <c r="Q203" s="1044">
        <f>K203*J202</f>
        <v>7502</v>
      </c>
      <c r="R203" s="1045" t="s">
        <v>991</v>
      </c>
      <c r="S203" s="1046">
        <f>Q217</f>
        <v>769629</v>
      </c>
      <c r="T203" s="1027"/>
      <c r="U203" s="1027"/>
    </row>
    <row r="204">
      <c r="I204" s="1036" t="s">
        <v>994</v>
      </c>
      <c r="J204" s="1039">
        <v>320000.0</v>
      </c>
      <c r="K204" s="1044">
        <f>K203*L204%</f>
        <v>0</v>
      </c>
      <c r="L204" s="1049">
        <f>J203</f>
        <v>0</v>
      </c>
      <c r="M204" s="1044">
        <f>M203*L204%</f>
        <v>0</v>
      </c>
      <c r="N204" s="1044">
        <f>N203*L204%</f>
        <v>0</v>
      </c>
      <c r="O204" s="1044">
        <f>O203*L204%</f>
        <v>0</v>
      </c>
      <c r="P204" s="1044">
        <f>P203*L204%</f>
        <v>0</v>
      </c>
      <c r="Q204" s="1044">
        <f>K204*J202</f>
        <v>0</v>
      </c>
      <c r="R204" s="1036" t="s">
        <v>335</v>
      </c>
      <c r="S204" s="1046">
        <f>S202*Q204+S203</f>
        <v>769629</v>
      </c>
      <c r="T204" s="1027"/>
      <c r="U204" s="1027"/>
    </row>
    <row r="205">
      <c r="I205" s="1036" t="s">
        <v>995</v>
      </c>
      <c r="J205" s="1084">
        <v>810000.0</v>
      </c>
      <c r="K205" s="1052" t="s">
        <v>996</v>
      </c>
      <c r="L205" s="3"/>
      <c r="M205" s="1039">
        <v>26.1</v>
      </c>
      <c r="N205" s="1039">
        <v>26.1</v>
      </c>
      <c r="O205" s="1039">
        <v>32.73</v>
      </c>
      <c r="P205" s="1039">
        <v>38.18</v>
      </c>
      <c r="Q205" s="1053"/>
      <c r="R205" s="1036" t="s">
        <v>997</v>
      </c>
      <c r="S205" s="1044">
        <f>M210+SUM(M214:N216)</f>
        <v>463400.4</v>
      </c>
      <c r="T205" s="1027"/>
      <c r="U205" s="1027"/>
    </row>
    <row r="206">
      <c r="I206" s="1056" t="s">
        <v>998</v>
      </c>
      <c r="J206" s="1057">
        <v>1200.0</v>
      </c>
      <c r="K206" s="1058" t="s">
        <v>999</v>
      </c>
      <c r="L206" s="3"/>
      <c r="M206" s="1044">
        <f t="shared" ref="M206:P206" si="46">M204/(360/M205)</f>
        <v>0</v>
      </c>
      <c r="N206" s="1044">
        <f t="shared" si="46"/>
        <v>0</v>
      </c>
      <c r="O206" s="1044">
        <f t="shared" si="46"/>
        <v>0</v>
      </c>
      <c r="P206" s="1044">
        <f t="shared" si="46"/>
        <v>0</v>
      </c>
      <c r="Q206" s="1044">
        <f t="shared" ref="Q206:Q207" si="47">M206+N206+O206+P206</f>
        <v>0</v>
      </c>
      <c r="R206" s="1036" t="s">
        <v>333</v>
      </c>
      <c r="S206" s="1054">
        <f>S205/S204</f>
        <v>0.6021088083</v>
      </c>
      <c r="T206" s="1027"/>
      <c r="U206" s="1027"/>
    </row>
    <row r="207">
      <c r="I207" s="1060" t="s">
        <v>1001</v>
      </c>
      <c r="J207" s="1057">
        <v>6.5</v>
      </c>
      <c r="K207" s="1061" t="s">
        <v>1002</v>
      </c>
      <c r="L207" s="1039">
        <v>1100.0</v>
      </c>
      <c r="M207" s="1044">
        <f>M206*(L207*6)</f>
        <v>0</v>
      </c>
      <c r="N207" s="1044">
        <f>N206*(L207*6)</f>
        <v>0</v>
      </c>
      <c r="O207" s="1044">
        <f>O206*(L207*6)</f>
        <v>0</v>
      </c>
      <c r="P207" s="1044">
        <f>P206*(L207*6)</f>
        <v>0</v>
      </c>
      <c r="Q207" s="1044">
        <f t="shared" si="47"/>
        <v>0</v>
      </c>
      <c r="R207" s="1036" t="s">
        <v>1000</v>
      </c>
      <c r="S207" s="1046">
        <f>S204-S205-M217</f>
        <v>-1053271.4</v>
      </c>
      <c r="T207" s="1027"/>
      <c r="U207" s="1027"/>
    </row>
    <row r="208">
      <c r="I208" s="1062" t="s">
        <v>1003</v>
      </c>
      <c r="J208" s="1063"/>
      <c r="K208" s="1064"/>
      <c r="L208" s="1053"/>
      <c r="M208" s="1053"/>
      <c r="N208" s="1053"/>
      <c r="O208" s="1053"/>
      <c r="P208" s="1053"/>
      <c r="Q208" s="1053"/>
      <c r="R208" s="1036" t="s">
        <v>332</v>
      </c>
      <c r="S208" s="1054">
        <f>S207/S204</f>
        <v>-1.368544325</v>
      </c>
      <c r="T208" s="1027"/>
      <c r="U208" s="1027"/>
    </row>
    <row r="209">
      <c r="I209" s="1056" t="s">
        <v>1004</v>
      </c>
      <c r="J209" s="1057">
        <v>1200.0</v>
      </c>
      <c r="K209" s="1058" t="s">
        <v>1005</v>
      </c>
      <c r="L209" s="3"/>
      <c r="M209" s="1044">
        <f>Q207+(Q206*J215)</f>
        <v>0</v>
      </c>
      <c r="N209" s="1053"/>
      <c r="O209" s="1065"/>
      <c r="P209" s="1066" t="s">
        <v>1006</v>
      </c>
      <c r="Q209" s="1045" t="s">
        <v>1007</v>
      </c>
      <c r="R209" s="1053"/>
      <c r="S209" s="1053"/>
      <c r="T209" s="1027"/>
      <c r="U209" s="1027"/>
    </row>
    <row r="210">
      <c r="I210" s="1068" t="s">
        <v>1009</v>
      </c>
      <c r="J210" s="1057">
        <v>2.0</v>
      </c>
      <c r="K210" s="1058" t="s">
        <v>1010</v>
      </c>
      <c r="L210" s="3"/>
      <c r="M210" s="1044">
        <f>M209*J202+(K203*J217*J202*30)+(K203*J219*J202*100)</f>
        <v>76520.4</v>
      </c>
      <c r="N210" s="1069"/>
      <c r="O210" s="1069"/>
      <c r="P210" s="1070" t="s">
        <v>420</v>
      </c>
      <c r="Q210" s="1071">
        <v>112480.0</v>
      </c>
      <c r="R210" s="1053"/>
      <c r="S210" s="1072"/>
      <c r="T210" s="1027"/>
      <c r="U210" s="1027"/>
    </row>
    <row r="211">
      <c r="I211" s="1068" t="s">
        <v>1011</v>
      </c>
      <c r="J211" s="1057">
        <f>J202</f>
        <v>31</v>
      </c>
      <c r="K211" s="1058" t="s">
        <v>1012</v>
      </c>
      <c r="L211" s="3"/>
      <c r="M211" s="1036" t="s">
        <v>429</v>
      </c>
      <c r="N211" s="1062" t="s">
        <v>404</v>
      </c>
      <c r="O211" s="1069"/>
      <c r="P211" s="1070" t="s">
        <v>418</v>
      </c>
      <c r="Q211" s="1071">
        <v>145200.0</v>
      </c>
      <c r="R211" s="1053"/>
      <c r="S211" s="1053"/>
      <c r="T211" s="1027"/>
      <c r="U211" s="1027"/>
    </row>
    <row r="212">
      <c r="I212" s="1056" t="s">
        <v>1013</v>
      </c>
      <c r="J212" s="1063"/>
      <c r="K212" s="1058" t="s">
        <v>1014</v>
      </c>
      <c r="L212" s="3"/>
      <c r="M212" s="1049">
        <f t="shared" ref="M212:M213" si="48">J204*1.15</f>
        <v>368000</v>
      </c>
      <c r="N212" s="1073">
        <v>15000.0</v>
      </c>
      <c r="O212" s="1074"/>
      <c r="P212" s="1070" t="s">
        <v>1015</v>
      </c>
      <c r="Q212" s="1071">
        <v>140600.0</v>
      </c>
      <c r="R212" s="1053"/>
      <c r="S212" s="1053"/>
      <c r="T212" s="1027"/>
      <c r="U212" s="1027"/>
    </row>
    <row r="213">
      <c r="I213" s="1056" t="s">
        <v>1016</v>
      </c>
      <c r="J213" s="1063"/>
      <c r="K213" s="1058" t="s">
        <v>1017</v>
      </c>
      <c r="L213" s="3"/>
      <c r="M213" s="1049">
        <f t="shared" si="48"/>
        <v>931500</v>
      </c>
      <c r="N213" s="1049">
        <v>45000.0</v>
      </c>
      <c r="O213" s="1076"/>
      <c r="P213" s="1077" t="s">
        <v>1018</v>
      </c>
      <c r="Q213" s="1039">
        <f>K203*J217*J202*100</f>
        <v>105028</v>
      </c>
      <c r="R213" s="1053"/>
      <c r="S213" s="1053"/>
      <c r="T213" s="1027"/>
      <c r="U213" s="1027"/>
    </row>
    <row r="214">
      <c r="I214" s="1056" t="s">
        <v>1019</v>
      </c>
      <c r="J214" s="1063"/>
      <c r="K214" s="1078" t="s">
        <v>1020</v>
      </c>
      <c r="L214" s="3"/>
      <c r="M214" s="1049">
        <f>(4*J202-21.7*4)*J206*J207</f>
        <v>290160</v>
      </c>
      <c r="N214" s="1049">
        <f>(J202*4-21.7*4)*J215</f>
        <v>22320</v>
      </c>
      <c r="O214" s="1072"/>
      <c r="P214" s="1070" t="s">
        <v>1021</v>
      </c>
      <c r="Q214" s="1039">
        <f>K203*J218*J202*100</f>
        <v>266321</v>
      </c>
      <c r="R214" s="1053"/>
      <c r="S214" s="1079"/>
      <c r="T214" s="1027"/>
      <c r="U214" s="1027"/>
    </row>
    <row r="215">
      <c r="I215" s="1080" t="s">
        <v>1022</v>
      </c>
      <c r="J215" s="1081">
        <v>600.0</v>
      </c>
      <c r="K215" s="1052" t="s">
        <v>1023</v>
      </c>
      <c r="L215" s="3"/>
      <c r="M215" s="1049">
        <f>J209*J210*J211</f>
        <v>74400</v>
      </c>
      <c r="N215" s="1072"/>
      <c r="O215" s="1072"/>
      <c r="P215" s="1070" t="s">
        <v>1024</v>
      </c>
      <c r="Q215" s="1082">
        <f>K204*J219*J203*150</f>
        <v>0</v>
      </c>
      <c r="R215" s="1053"/>
      <c r="S215" s="1053"/>
      <c r="T215" s="1027"/>
      <c r="U215" s="1027"/>
    </row>
    <row r="216">
      <c r="I216" s="1053"/>
      <c r="J216" s="1053"/>
      <c r="K216" s="1052" t="s">
        <v>1025</v>
      </c>
      <c r="L216" s="3"/>
      <c r="M216" s="1049">
        <f>J212*J213*J214</f>
        <v>0</v>
      </c>
      <c r="N216" s="1049">
        <f>J214*J215</f>
        <v>0</v>
      </c>
      <c r="O216" s="1072"/>
      <c r="P216" s="1053"/>
      <c r="Q216" s="1053"/>
      <c r="R216" s="1053"/>
      <c r="S216" s="1079"/>
      <c r="T216" s="1027"/>
      <c r="U216" s="1027"/>
    </row>
    <row r="217">
      <c r="I217" s="1036" t="s">
        <v>1018</v>
      </c>
      <c r="J217" s="1083">
        <v>0.14</v>
      </c>
      <c r="K217" s="1058" t="s">
        <v>1026</v>
      </c>
      <c r="L217" s="3"/>
      <c r="M217" s="1049">
        <f>SUM(M212:N213)+J216</f>
        <v>1359500</v>
      </c>
      <c r="N217" s="1072"/>
      <c r="O217" s="1072"/>
      <c r="P217" s="1036" t="s">
        <v>400</v>
      </c>
      <c r="Q217" s="1046">
        <f>SUM(Q210:Q215)</f>
        <v>769629</v>
      </c>
      <c r="R217" s="1053"/>
      <c r="S217" s="1053"/>
      <c r="T217" s="1027"/>
      <c r="U217" s="1027"/>
    </row>
    <row r="218">
      <c r="I218" s="1036" t="s">
        <v>1021</v>
      </c>
      <c r="J218" s="1054">
        <v>0.355</v>
      </c>
      <c r="K218" s="1027"/>
      <c r="L218" s="1027"/>
      <c r="M218" s="1027"/>
      <c r="N218" s="1027"/>
      <c r="O218" s="1027"/>
      <c r="P218" s="1027"/>
      <c r="Q218" s="1027"/>
      <c r="R218" s="1027"/>
      <c r="S218" s="1027"/>
      <c r="T218" s="1027"/>
      <c r="U218" s="1027"/>
    </row>
    <row r="219">
      <c r="I219" s="1080" t="s">
        <v>1024</v>
      </c>
      <c r="J219" s="1083">
        <v>0.06</v>
      </c>
      <c r="K219" s="1027"/>
      <c r="L219" s="1027"/>
      <c r="M219" s="1027"/>
      <c r="N219" s="1027"/>
      <c r="O219" s="1027"/>
      <c r="P219" s="1027"/>
      <c r="Q219" s="1027"/>
      <c r="R219" s="1027"/>
      <c r="S219" s="1027"/>
      <c r="T219" s="1027"/>
      <c r="U219" s="1027"/>
    </row>
    <row r="221">
      <c r="I221" s="1028" t="s">
        <v>981</v>
      </c>
      <c r="J221" s="1029">
        <f>A14</f>
        <v>46388</v>
      </c>
      <c r="K221" s="1028" t="str">
        <f>"①R"&amp;year(J221)-2018&amp;"_"&amp;month(J221)&amp;"集計"</f>
        <v>①R9_1集計</v>
      </c>
      <c r="L221" s="1027"/>
      <c r="M221" s="1030">
        <v>480.0</v>
      </c>
      <c r="N221" s="1030">
        <v>480.0</v>
      </c>
      <c r="O221" s="1030">
        <v>600.0</v>
      </c>
      <c r="P221" s="1030">
        <v>700.0</v>
      </c>
      <c r="Q221" s="1027"/>
      <c r="R221" s="1031">
        <f>S224</f>
        <v>769629</v>
      </c>
      <c r="S221" s="1031">
        <f>S227</f>
        <v>-1053271.4</v>
      </c>
      <c r="T221" s="1032">
        <f>S228</f>
        <v>-1.368544325</v>
      </c>
      <c r="U221" s="1032">
        <f>S226</f>
        <v>0.6021088083</v>
      </c>
    </row>
    <row r="222">
      <c r="I222" s="1036" t="s">
        <v>983</v>
      </c>
      <c r="J222" s="1037">
        <f>DAY(EOMONTH(J221,0))</f>
        <v>31</v>
      </c>
      <c r="K222" s="1038" t="s">
        <v>984</v>
      </c>
      <c r="L222" s="1038" t="s">
        <v>334</v>
      </c>
      <c r="M222" s="1038" t="s">
        <v>985</v>
      </c>
      <c r="N222" s="1038" t="s">
        <v>986</v>
      </c>
      <c r="O222" s="1038" t="s">
        <v>987</v>
      </c>
      <c r="P222" s="1038" t="s">
        <v>988</v>
      </c>
      <c r="Q222" s="1038" t="s">
        <v>989</v>
      </c>
      <c r="R222" s="1036" t="s">
        <v>990</v>
      </c>
      <c r="S222" s="1039">
        <v>900.0</v>
      </c>
      <c r="T222" s="1027"/>
      <c r="U222" s="1027"/>
    </row>
    <row r="223">
      <c r="I223" s="1036" t="s">
        <v>334</v>
      </c>
      <c r="J223" s="1037">
        <f t="array" ref="J223">xlookup(K221,$B$3:$B$14,$C$3:$C$14)*100</f>
        <v>0</v>
      </c>
      <c r="K223" s="1044">
        <f>SUM(M223:P223)</f>
        <v>242</v>
      </c>
      <c r="L223" s="1044">
        <v>100.0</v>
      </c>
      <c r="M223" s="1039">
        <v>162.0</v>
      </c>
      <c r="N223" s="1039">
        <v>67.0</v>
      </c>
      <c r="O223" s="1039">
        <v>10.0</v>
      </c>
      <c r="P223" s="1039">
        <v>3.0</v>
      </c>
      <c r="Q223" s="1044">
        <f>K223*J222</f>
        <v>7502</v>
      </c>
      <c r="R223" s="1045" t="s">
        <v>991</v>
      </c>
      <c r="S223" s="1046">
        <f>Q237</f>
        <v>769629</v>
      </c>
      <c r="T223" s="1027"/>
      <c r="U223" s="1027"/>
    </row>
    <row r="224">
      <c r="I224" s="1036" t="s">
        <v>994</v>
      </c>
      <c r="J224" s="1039">
        <v>320000.0</v>
      </c>
      <c r="K224" s="1044">
        <f>K223*L224%</f>
        <v>0</v>
      </c>
      <c r="L224" s="1049">
        <f>J223</f>
        <v>0</v>
      </c>
      <c r="M224" s="1044">
        <f>M223*L224%</f>
        <v>0</v>
      </c>
      <c r="N224" s="1044">
        <f>N223*L224%</f>
        <v>0</v>
      </c>
      <c r="O224" s="1044">
        <f>O223*L224%</f>
        <v>0</v>
      </c>
      <c r="P224" s="1044">
        <f>P223*L224%</f>
        <v>0</v>
      </c>
      <c r="Q224" s="1044">
        <f>K224*J222</f>
        <v>0</v>
      </c>
      <c r="R224" s="1036" t="s">
        <v>335</v>
      </c>
      <c r="S224" s="1046">
        <f>S222*Q224+S223</f>
        <v>769629</v>
      </c>
      <c r="T224" s="1027"/>
      <c r="U224" s="1027"/>
    </row>
    <row r="225">
      <c r="I225" s="1036" t="s">
        <v>995</v>
      </c>
      <c r="J225" s="1084">
        <v>810000.0</v>
      </c>
      <c r="K225" s="1052" t="s">
        <v>996</v>
      </c>
      <c r="L225" s="3"/>
      <c r="M225" s="1039">
        <v>26.1</v>
      </c>
      <c r="N225" s="1039">
        <v>26.1</v>
      </c>
      <c r="O225" s="1039">
        <v>32.73</v>
      </c>
      <c r="P225" s="1039">
        <v>38.18</v>
      </c>
      <c r="Q225" s="1053"/>
      <c r="R225" s="1036" t="s">
        <v>997</v>
      </c>
      <c r="S225" s="1044">
        <f>M230+SUM(M234:N236)</f>
        <v>463400.4</v>
      </c>
      <c r="T225" s="1027"/>
      <c r="U225" s="1027"/>
    </row>
    <row r="226">
      <c r="I226" s="1056" t="s">
        <v>998</v>
      </c>
      <c r="J226" s="1057">
        <v>1200.0</v>
      </c>
      <c r="K226" s="1058" t="s">
        <v>999</v>
      </c>
      <c r="L226" s="3"/>
      <c r="M226" s="1044">
        <f t="shared" ref="M226:P226" si="49">M224/(360/M225)</f>
        <v>0</v>
      </c>
      <c r="N226" s="1044">
        <f t="shared" si="49"/>
        <v>0</v>
      </c>
      <c r="O226" s="1044">
        <f t="shared" si="49"/>
        <v>0</v>
      </c>
      <c r="P226" s="1044">
        <f t="shared" si="49"/>
        <v>0</v>
      </c>
      <c r="Q226" s="1044">
        <f t="shared" ref="Q226:Q227" si="50">M226+N226+O226+P226</f>
        <v>0</v>
      </c>
      <c r="R226" s="1036" t="s">
        <v>333</v>
      </c>
      <c r="S226" s="1054">
        <f>S225/S224</f>
        <v>0.6021088083</v>
      </c>
      <c r="T226" s="1027"/>
      <c r="U226" s="1027"/>
    </row>
    <row r="227">
      <c r="I227" s="1060" t="s">
        <v>1001</v>
      </c>
      <c r="J227" s="1057">
        <v>6.5</v>
      </c>
      <c r="K227" s="1061" t="s">
        <v>1002</v>
      </c>
      <c r="L227" s="1039">
        <v>1100.0</v>
      </c>
      <c r="M227" s="1044">
        <f>M226*(L227*6)</f>
        <v>0</v>
      </c>
      <c r="N227" s="1044">
        <f>N226*(L227*6)</f>
        <v>0</v>
      </c>
      <c r="O227" s="1044">
        <f>O226*(L227*6)</f>
        <v>0</v>
      </c>
      <c r="P227" s="1044">
        <f>P226*(L227*6)</f>
        <v>0</v>
      </c>
      <c r="Q227" s="1044">
        <f t="shared" si="50"/>
        <v>0</v>
      </c>
      <c r="R227" s="1036" t="s">
        <v>1000</v>
      </c>
      <c r="S227" s="1046">
        <f>S224-S225-M237</f>
        <v>-1053271.4</v>
      </c>
      <c r="T227" s="1027"/>
      <c r="U227" s="1027"/>
    </row>
    <row r="228">
      <c r="I228" s="1062" t="s">
        <v>1003</v>
      </c>
      <c r="J228" s="1063"/>
      <c r="K228" s="1064"/>
      <c r="L228" s="1053"/>
      <c r="M228" s="1053"/>
      <c r="N228" s="1053"/>
      <c r="O228" s="1053"/>
      <c r="P228" s="1053"/>
      <c r="Q228" s="1053"/>
      <c r="R228" s="1036" t="s">
        <v>332</v>
      </c>
      <c r="S228" s="1054">
        <f>S227/S224</f>
        <v>-1.368544325</v>
      </c>
      <c r="T228" s="1027"/>
      <c r="U228" s="1027"/>
    </row>
    <row r="229">
      <c r="I229" s="1056" t="s">
        <v>1004</v>
      </c>
      <c r="J229" s="1057">
        <v>1200.0</v>
      </c>
      <c r="K229" s="1058" t="s">
        <v>1005</v>
      </c>
      <c r="L229" s="3"/>
      <c r="M229" s="1044">
        <f>Q227+(Q226*J235)</f>
        <v>0</v>
      </c>
      <c r="N229" s="1053"/>
      <c r="O229" s="1065"/>
      <c r="P229" s="1066" t="s">
        <v>1006</v>
      </c>
      <c r="Q229" s="1045" t="s">
        <v>1007</v>
      </c>
      <c r="R229" s="1053"/>
      <c r="S229" s="1053"/>
      <c r="T229" s="1027"/>
      <c r="U229" s="1027"/>
    </row>
    <row r="230">
      <c r="I230" s="1068" t="s">
        <v>1009</v>
      </c>
      <c r="J230" s="1057">
        <v>2.0</v>
      </c>
      <c r="K230" s="1058" t="s">
        <v>1010</v>
      </c>
      <c r="L230" s="3"/>
      <c r="M230" s="1044">
        <f>M229*J222+(K223*J237*J222*30)+(K223*J239*J222*100)</f>
        <v>76520.4</v>
      </c>
      <c r="N230" s="1069"/>
      <c r="O230" s="1069"/>
      <c r="P230" s="1070" t="s">
        <v>420</v>
      </c>
      <c r="Q230" s="1071">
        <v>112480.0</v>
      </c>
      <c r="R230" s="1053"/>
      <c r="S230" s="1072"/>
      <c r="T230" s="1027"/>
      <c r="U230" s="1027"/>
    </row>
    <row r="231">
      <c r="I231" s="1068" t="s">
        <v>1011</v>
      </c>
      <c r="J231" s="1057">
        <f>J222</f>
        <v>31</v>
      </c>
      <c r="K231" s="1058" t="s">
        <v>1012</v>
      </c>
      <c r="L231" s="3"/>
      <c r="M231" s="1036" t="s">
        <v>429</v>
      </c>
      <c r="N231" s="1062" t="s">
        <v>404</v>
      </c>
      <c r="O231" s="1069"/>
      <c r="P231" s="1070" t="s">
        <v>418</v>
      </c>
      <c r="Q231" s="1071">
        <v>145200.0</v>
      </c>
      <c r="R231" s="1053"/>
      <c r="S231" s="1053"/>
      <c r="T231" s="1027"/>
      <c r="U231" s="1027"/>
    </row>
    <row r="232">
      <c r="I232" s="1056" t="s">
        <v>1013</v>
      </c>
      <c r="J232" s="1063"/>
      <c r="K232" s="1058" t="s">
        <v>1014</v>
      </c>
      <c r="L232" s="3"/>
      <c r="M232" s="1049">
        <f t="shared" ref="M232:M233" si="51">J224*1.15</f>
        <v>368000</v>
      </c>
      <c r="N232" s="1073">
        <v>15000.0</v>
      </c>
      <c r="O232" s="1074"/>
      <c r="P232" s="1070" t="s">
        <v>1015</v>
      </c>
      <c r="Q232" s="1071">
        <v>140600.0</v>
      </c>
      <c r="R232" s="1053"/>
      <c r="S232" s="1053"/>
      <c r="T232" s="1027"/>
      <c r="U232" s="1027"/>
    </row>
    <row r="233">
      <c r="I233" s="1056" t="s">
        <v>1016</v>
      </c>
      <c r="J233" s="1063"/>
      <c r="K233" s="1058" t="s">
        <v>1017</v>
      </c>
      <c r="L233" s="3"/>
      <c r="M233" s="1049">
        <f t="shared" si="51"/>
        <v>931500</v>
      </c>
      <c r="N233" s="1049">
        <v>45000.0</v>
      </c>
      <c r="O233" s="1076"/>
      <c r="P233" s="1077" t="s">
        <v>1018</v>
      </c>
      <c r="Q233" s="1039">
        <f>K223*J237*J222*100</f>
        <v>105028</v>
      </c>
      <c r="R233" s="1053"/>
      <c r="S233" s="1053"/>
      <c r="T233" s="1027"/>
      <c r="U233" s="1027"/>
    </row>
    <row r="234">
      <c r="I234" s="1056" t="s">
        <v>1019</v>
      </c>
      <c r="J234" s="1063"/>
      <c r="K234" s="1078" t="s">
        <v>1020</v>
      </c>
      <c r="L234" s="3"/>
      <c r="M234" s="1049">
        <f>(4*J222-21.7*4)*J226*J227</f>
        <v>290160</v>
      </c>
      <c r="N234" s="1049">
        <f>(J222*4-21.7*4)*J235</f>
        <v>22320</v>
      </c>
      <c r="O234" s="1072"/>
      <c r="P234" s="1070" t="s">
        <v>1021</v>
      </c>
      <c r="Q234" s="1039">
        <f>K223*J238*J222*100</f>
        <v>266321</v>
      </c>
      <c r="R234" s="1053"/>
      <c r="S234" s="1079"/>
      <c r="T234" s="1027"/>
      <c r="U234" s="1027"/>
    </row>
    <row r="235">
      <c r="I235" s="1080" t="s">
        <v>1022</v>
      </c>
      <c r="J235" s="1081">
        <v>600.0</v>
      </c>
      <c r="K235" s="1052" t="s">
        <v>1023</v>
      </c>
      <c r="L235" s="3"/>
      <c r="M235" s="1049">
        <f>J229*J230*J231</f>
        <v>74400</v>
      </c>
      <c r="N235" s="1072"/>
      <c r="O235" s="1072"/>
      <c r="P235" s="1070" t="s">
        <v>1024</v>
      </c>
      <c r="Q235" s="1082">
        <f>K224*J239*J223*150</f>
        <v>0</v>
      </c>
      <c r="R235" s="1053"/>
      <c r="S235" s="1053"/>
      <c r="T235" s="1027"/>
      <c r="U235" s="1027"/>
    </row>
    <row r="236">
      <c r="I236" s="1053"/>
      <c r="J236" s="1053"/>
      <c r="K236" s="1052" t="s">
        <v>1025</v>
      </c>
      <c r="L236" s="3"/>
      <c r="M236" s="1049">
        <f>J232*J233*J234</f>
        <v>0</v>
      </c>
      <c r="N236" s="1049">
        <f>J234*J235</f>
        <v>0</v>
      </c>
      <c r="O236" s="1072"/>
      <c r="P236" s="1053"/>
      <c r="Q236" s="1053"/>
      <c r="R236" s="1053"/>
      <c r="S236" s="1079"/>
      <c r="T236" s="1027"/>
      <c r="U236" s="1027"/>
    </row>
    <row r="237">
      <c r="I237" s="1036" t="s">
        <v>1018</v>
      </c>
      <c r="J237" s="1083">
        <v>0.14</v>
      </c>
      <c r="K237" s="1058" t="s">
        <v>1026</v>
      </c>
      <c r="L237" s="3"/>
      <c r="M237" s="1049">
        <f>SUM(M232:N233)+J236</f>
        <v>1359500</v>
      </c>
      <c r="N237" s="1072"/>
      <c r="O237" s="1072"/>
      <c r="P237" s="1036" t="s">
        <v>400</v>
      </c>
      <c r="Q237" s="1046">
        <f>SUM(Q230:Q235)</f>
        <v>769629</v>
      </c>
      <c r="R237" s="1053"/>
      <c r="S237" s="1053"/>
      <c r="T237" s="1027"/>
      <c r="U237" s="1027"/>
    </row>
    <row r="238">
      <c r="I238" s="1036" t="s">
        <v>1021</v>
      </c>
      <c r="J238" s="1054">
        <v>0.355</v>
      </c>
      <c r="K238" s="1027"/>
      <c r="L238" s="1027"/>
      <c r="M238" s="1027"/>
      <c r="N238" s="1027"/>
      <c r="O238" s="1027"/>
      <c r="P238" s="1027"/>
      <c r="Q238" s="1027"/>
      <c r="R238" s="1027"/>
      <c r="S238" s="1027"/>
      <c r="T238" s="1027"/>
      <c r="U238" s="1027"/>
    </row>
    <row r="239">
      <c r="I239" s="1080" t="s">
        <v>1024</v>
      </c>
      <c r="J239" s="1083">
        <v>0.06</v>
      </c>
      <c r="K239" s="1027"/>
      <c r="L239" s="1027"/>
      <c r="M239" s="1027"/>
      <c r="N239" s="1027"/>
      <c r="O239" s="1027"/>
      <c r="P239" s="1027"/>
      <c r="Q239" s="1027"/>
      <c r="R239" s="1027"/>
      <c r="S239" s="1027"/>
      <c r="T239" s="1027"/>
      <c r="U239" s="1027"/>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085"/>
      <c r="C1" s="214"/>
      <c r="D1" s="214"/>
      <c r="E1" s="214"/>
      <c r="F1" s="1086"/>
      <c r="G1" s="214"/>
      <c r="H1" s="214"/>
      <c r="I1" s="214"/>
      <c r="J1" s="214"/>
      <c r="K1" s="214"/>
      <c r="L1" s="214"/>
      <c r="M1" s="214"/>
      <c r="N1" s="214"/>
      <c r="O1" s="1087"/>
      <c r="P1" s="1088"/>
      <c r="Q1" s="1089"/>
      <c r="R1" s="1088"/>
      <c r="S1" s="1090"/>
      <c r="T1" s="1090"/>
      <c r="U1" s="1090"/>
      <c r="V1" s="1090"/>
      <c r="W1" s="1090"/>
      <c r="X1" s="1090"/>
      <c r="Y1" s="1088"/>
      <c r="Z1" s="1088"/>
      <c r="AA1" s="1089"/>
      <c r="AB1" s="1088"/>
      <c r="AC1" s="1090"/>
      <c r="AD1" s="1090"/>
      <c r="AE1" s="1090"/>
      <c r="AF1" s="1090"/>
      <c r="AG1" s="1090"/>
      <c r="AH1" s="1090"/>
      <c r="AI1" s="1088"/>
      <c r="AJ1" s="1088"/>
      <c r="AK1" s="1089"/>
      <c r="AL1" s="1088"/>
      <c r="AM1" s="1090"/>
      <c r="AN1" s="1090"/>
      <c r="AO1" s="1090"/>
      <c r="AP1" s="1090"/>
      <c r="AQ1" s="1090"/>
      <c r="AR1" s="1090"/>
      <c r="AS1" s="1090"/>
      <c r="AT1" s="1088"/>
      <c r="AU1" s="1091"/>
      <c r="AV1" s="1092"/>
      <c r="AW1" s="1093"/>
      <c r="AX1" s="1093"/>
      <c r="AY1" s="1093"/>
      <c r="AZ1" s="1093"/>
      <c r="BA1" s="1093"/>
      <c r="BB1" s="1093"/>
      <c r="BC1" s="1088"/>
      <c r="BD1" s="1088"/>
      <c r="BE1" s="1089"/>
      <c r="BF1" s="1088"/>
      <c r="BG1" s="1090"/>
      <c r="BH1" s="1090"/>
      <c r="BI1" s="1090"/>
      <c r="BJ1" s="1090"/>
      <c r="BK1" s="1090"/>
      <c r="BL1" s="1090"/>
      <c r="BM1" s="1088"/>
      <c r="BN1" s="1088"/>
      <c r="BO1" s="1089"/>
      <c r="BP1" s="1088"/>
      <c r="BQ1" s="1090"/>
      <c r="BR1" s="1090"/>
      <c r="BS1" s="1090"/>
      <c r="BT1" s="1090"/>
      <c r="BU1" s="1090"/>
      <c r="BV1" s="1090"/>
      <c r="BW1" s="1090"/>
      <c r="BX1" s="1088"/>
      <c r="BY1" s="1089"/>
      <c r="BZ1" s="1088"/>
      <c r="CA1" s="1090"/>
      <c r="CB1" s="1090"/>
      <c r="CC1" s="1090"/>
      <c r="CD1" s="1090"/>
      <c r="CE1" s="1090"/>
      <c r="CF1" s="1090"/>
      <c r="CG1" s="1088"/>
      <c r="CH1" s="1088"/>
      <c r="CI1" s="1089"/>
      <c r="CJ1" s="1088"/>
      <c r="CK1" s="1090"/>
      <c r="CL1" s="1090"/>
      <c r="CM1" s="1090"/>
      <c r="CN1" s="1090"/>
      <c r="CO1" s="1090"/>
      <c r="CP1" s="1090"/>
      <c r="CQ1" s="1088"/>
      <c r="CR1" s="1088"/>
      <c r="CS1" s="1089"/>
      <c r="CT1" s="1088"/>
      <c r="CU1" s="1090"/>
      <c r="CV1" s="1090"/>
      <c r="CW1" s="1090"/>
      <c r="CX1" s="1090"/>
      <c r="CY1" s="1090"/>
      <c r="CZ1" s="1090"/>
      <c r="DA1" s="1090"/>
      <c r="DB1" s="1088"/>
      <c r="DC1" s="1089"/>
      <c r="DD1" s="1088"/>
      <c r="DE1" s="1090"/>
      <c r="DF1" s="1090"/>
      <c r="DG1" s="1090"/>
      <c r="DH1" s="1090"/>
      <c r="DI1" s="1090"/>
      <c r="DJ1" s="1090"/>
      <c r="DK1" s="1088"/>
      <c r="DL1" s="1088"/>
      <c r="DM1" s="1089"/>
      <c r="DN1" s="1088"/>
      <c r="DO1" s="1090"/>
      <c r="DP1" s="1090"/>
      <c r="DQ1" s="1090"/>
      <c r="DR1" s="1090"/>
      <c r="DS1" s="1090"/>
      <c r="DT1" s="1090"/>
      <c r="DU1" s="1088"/>
      <c r="DV1" s="1088"/>
      <c r="DW1" s="1089"/>
      <c r="DX1" s="1088"/>
      <c r="DY1" s="1090"/>
      <c r="DZ1" s="1090"/>
      <c r="EA1" s="1090"/>
      <c r="EB1" s="1090"/>
      <c r="EC1" s="1090"/>
      <c r="ED1" s="1090"/>
      <c r="EE1" s="1088"/>
      <c r="EF1" s="1090"/>
      <c r="EG1" s="1090"/>
      <c r="EH1" s="1090"/>
      <c r="EI1" s="237"/>
      <c r="EJ1" s="237"/>
      <c r="EK1" s="237"/>
      <c r="EL1" s="237"/>
      <c r="EM1" s="237"/>
      <c r="EN1" s="237"/>
      <c r="EO1" s="237"/>
      <c r="EP1" s="237"/>
      <c r="EQ1" s="237"/>
      <c r="ER1" s="237"/>
      <c r="ES1" s="237"/>
      <c r="ET1" s="237"/>
      <c r="EU1" s="237"/>
      <c r="EV1" s="237"/>
      <c r="EW1" s="237"/>
      <c r="EX1" s="237"/>
      <c r="EY1" s="237"/>
      <c r="EZ1" s="237"/>
    </row>
    <row r="2" ht="24.75" customHeight="1">
      <c r="A2" s="214"/>
      <c r="B2" s="1094" t="s">
        <v>1027</v>
      </c>
      <c r="C2" s="214"/>
      <c r="D2" s="214"/>
      <c r="E2" s="214"/>
      <c r="F2" s="237"/>
      <c r="G2" s="214"/>
      <c r="H2" s="214"/>
      <c r="I2" s="214"/>
      <c r="J2" s="214"/>
      <c r="K2" s="214"/>
      <c r="L2" s="214"/>
      <c r="M2" s="214"/>
      <c r="N2" s="214"/>
      <c r="O2" s="1087"/>
      <c r="P2" s="1095">
        <f>month(P3)</f>
        <v>2</v>
      </c>
      <c r="Q2" s="1096" t="s">
        <v>1028</v>
      </c>
      <c r="R2" s="1097" t="s">
        <v>1029</v>
      </c>
      <c r="S2" s="1098" t="s">
        <v>1030</v>
      </c>
      <c r="T2" s="1098" t="s">
        <v>1031</v>
      </c>
      <c r="U2" s="1098" t="s">
        <v>1032</v>
      </c>
      <c r="V2" s="1099" t="s">
        <v>1033</v>
      </c>
      <c r="W2" s="1098" t="s">
        <v>1034</v>
      </c>
      <c r="X2" s="1098" t="s">
        <v>1035</v>
      </c>
      <c r="Y2" s="1095"/>
      <c r="Z2" s="1095">
        <f>month(Z3)</f>
        <v>3</v>
      </c>
      <c r="AA2" s="1096" t="s">
        <v>1028</v>
      </c>
      <c r="AB2" s="1097" t="s">
        <v>1029</v>
      </c>
      <c r="AC2" s="1098" t="s">
        <v>1030</v>
      </c>
      <c r="AD2" s="1098" t="s">
        <v>1031</v>
      </c>
      <c r="AE2" s="1098" t="s">
        <v>1032</v>
      </c>
      <c r="AF2" s="1099" t="s">
        <v>1036</v>
      </c>
      <c r="AG2" s="1098" t="s">
        <v>1034</v>
      </c>
      <c r="AH2" s="1098" t="s">
        <v>1035</v>
      </c>
      <c r="AI2" s="1095"/>
      <c r="AJ2" s="1095">
        <f>month(AJ3)</f>
        <v>4</v>
      </c>
      <c r="AK2" s="1096" t="s">
        <v>1028</v>
      </c>
      <c r="AL2" s="1097" t="s">
        <v>1029</v>
      </c>
      <c r="AM2" s="1098" t="s">
        <v>1030</v>
      </c>
      <c r="AN2" s="1098" t="s">
        <v>1031</v>
      </c>
      <c r="AO2" s="1098" t="s">
        <v>1032</v>
      </c>
      <c r="AP2" s="1099" t="s">
        <v>1037</v>
      </c>
      <c r="AQ2" s="1098" t="s">
        <v>1034</v>
      </c>
      <c r="AR2" s="1098" t="s">
        <v>1035</v>
      </c>
      <c r="AS2" s="1098"/>
      <c r="AT2" s="1095">
        <f>month(AT3)</f>
        <v>5</v>
      </c>
      <c r="AU2" s="1100" t="s">
        <v>1028</v>
      </c>
      <c r="AV2" s="1101" t="s">
        <v>1029</v>
      </c>
      <c r="AW2" s="1102" t="s">
        <v>1030</v>
      </c>
      <c r="AX2" s="1102" t="s">
        <v>1031</v>
      </c>
      <c r="AY2" s="1102" t="s">
        <v>1032</v>
      </c>
      <c r="AZ2" s="1103" t="s">
        <v>1038</v>
      </c>
      <c r="BA2" s="1102" t="s">
        <v>1034</v>
      </c>
      <c r="BB2" s="1102" t="s">
        <v>1035</v>
      </c>
      <c r="BC2" s="1095"/>
      <c r="BD2" s="1095">
        <f>month(BD3)</f>
        <v>6</v>
      </c>
      <c r="BE2" s="1096" t="s">
        <v>1028</v>
      </c>
      <c r="BF2" s="1097" t="s">
        <v>1029</v>
      </c>
      <c r="BG2" s="1098" t="s">
        <v>1030</v>
      </c>
      <c r="BH2" s="1098" t="s">
        <v>1031</v>
      </c>
      <c r="BI2" s="1098" t="s">
        <v>1032</v>
      </c>
      <c r="BJ2" s="1099" t="s">
        <v>1039</v>
      </c>
      <c r="BK2" s="1098" t="s">
        <v>1034</v>
      </c>
      <c r="BL2" s="1098" t="s">
        <v>1035</v>
      </c>
      <c r="BM2" s="1095"/>
      <c r="BN2" s="1095">
        <f>month(BN3)</f>
        <v>7</v>
      </c>
      <c r="BO2" s="1096" t="s">
        <v>1028</v>
      </c>
      <c r="BP2" s="1097" t="s">
        <v>1029</v>
      </c>
      <c r="BQ2" s="1098" t="s">
        <v>1030</v>
      </c>
      <c r="BR2" s="1098" t="s">
        <v>1031</v>
      </c>
      <c r="BS2" s="1098" t="s">
        <v>1032</v>
      </c>
      <c r="BT2" s="1099" t="s">
        <v>1040</v>
      </c>
      <c r="BU2" s="1098" t="s">
        <v>1034</v>
      </c>
      <c r="BV2" s="1098" t="s">
        <v>1035</v>
      </c>
      <c r="BW2" s="1098"/>
      <c r="BX2" s="1095">
        <f>month(BX3)</f>
        <v>8</v>
      </c>
      <c r="BY2" s="1096" t="s">
        <v>1028</v>
      </c>
      <c r="BZ2" s="1097" t="s">
        <v>1029</v>
      </c>
      <c r="CA2" s="1098" t="s">
        <v>1030</v>
      </c>
      <c r="CB2" s="1098" t="s">
        <v>1031</v>
      </c>
      <c r="CC2" s="1098" t="s">
        <v>1032</v>
      </c>
      <c r="CD2" s="1099" t="s">
        <v>1041</v>
      </c>
      <c r="CE2" s="1098" t="s">
        <v>1034</v>
      </c>
      <c r="CF2" s="1098" t="s">
        <v>1035</v>
      </c>
      <c r="CG2" s="1095"/>
      <c r="CH2" s="1095">
        <f>month(CH3)</f>
        <v>9</v>
      </c>
      <c r="CI2" s="1096" t="s">
        <v>1028</v>
      </c>
      <c r="CJ2" s="1097" t="s">
        <v>1029</v>
      </c>
      <c r="CK2" s="1098" t="s">
        <v>1030</v>
      </c>
      <c r="CL2" s="1098" t="s">
        <v>1031</v>
      </c>
      <c r="CM2" s="1098" t="s">
        <v>1032</v>
      </c>
      <c r="CN2" s="1099" t="s">
        <v>1042</v>
      </c>
      <c r="CO2" s="1098" t="s">
        <v>1034</v>
      </c>
      <c r="CP2" s="1098" t="s">
        <v>1035</v>
      </c>
      <c r="CQ2" s="1095"/>
      <c r="CR2" s="1095">
        <f>month(CR3)</f>
        <v>10</v>
      </c>
      <c r="CS2" s="1096" t="s">
        <v>1028</v>
      </c>
      <c r="CT2" s="1097" t="s">
        <v>1029</v>
      </c>
      <c r="CU2" s="1098" t="s">
        <v>1030</v>
      </c>
      <c r="CV2" s="1098" t="s">
        <v>1031</v>
      </c>
      <c r="CW2" s="1098" t="s">
        <v>1032</v>
      </c>
      <c r="CX2" s="1099" t="s">
        <v>1043</v>
      </c>
      <c r="CY2" s="1098" t="s">
        <v>1034</v>
      </c>
      <c r="CZ2" s="1098" t="s">
        <v>1035</v>
      </c>
      <c r="DA2" s="1098"/>
      <c r="DB2" s="1095">
        <f>month(DB3)</f>
        <v>11</v>
      </c>
      <c r="DC2" s="1096" t="s">
        <v>1028</v>
      </c>
      <c r="DD2" s="1097" t="s">
        <v>1029</v>
      </c>
      <c r="DE2" s="1098" t="s">
        <v>1030</v>
      </c>
      <c r="DF2" s="1098" t="s">
        <v>1031</v>
      </c>
      <c r="DG2" s="1098" t="s">
        <v>1032</v>
      </c>
      <c r="DH2" s="1099" t="s">
        <v>1044</v>
      </c>
      <c r="DI2" s="1098" t="s">
        <v>1034</v>
      </c>
      <c r="DJ2" s="1098" t="s">
        <v>1035</v>
      </c>
      <c r="DK2" s="1095"/>
      <c r="DL2" s="1095">
        <f>month(DL3)</f>
        <v>12</v>
      </c>
      <c r="DM2" s="1096" t="s">
        <v>1028</v>
      </c>
      <c r="DN2" s="1097" t="s">
        <v>1029</v>
      </c>
      <c r="DO2" s="1098" t="s">
        <v>1030</v>
      </c>
      <c r="DP2" s="1098" t="s">
        <v>1031</v>
      </c>
      <c r="DQ2" s="1098" t="s">
        <v>1032</v>
      </c>
      <c r="DR2" s="1099" t="s">
        <v>1045</v>
      </c>
      <c r="DS2" s="1098" t="s">
        <v>1034</v>
      </c>
      <c r="DT2" s="1098" t="s">
        <v>1035</v>
      </c>
      <c r="DU2" s="1095"/>
      <c r="DV2" s="1095">
        <f>month(DV3)</f>
        <v>1</v>
      </c>
      <c r="DW2" s="1096" t="s">
        <v>1028</v>
      </c>
      <c r="DX2" s="1097" t="s">
        <v>1029</v>
      </c>
      <c r="DY2" s="1098" t="s">
        <v>1030</v>
      </c>
      <c r="DZ2" s="1098" t="s">
        <v>1031</v>
      </c>
      <c r="EA2" s="1098" t="s">
        <v>1032</v>
      </c>
      <c r="EB2" s="1099" t="s">
        <v>1046</v>
      </c>
      <c r="EC2" s="1098" t="s">
        <v>1034</v>
      </c>
      <c r="ED2" s="1098" t="s">
        <v>1035</v>
      </c>
      <c r="EE2" s="1095"/>
      <c r="EF2" s="1104"/>
      <c r="EG2" s="1104"/>
      <c r="EH2" s="1105"/>
      <c r="EI2" s="1106"/>
      <c r="EJ2" s="1106"/>
      <c r="EK2" s="1107"/>
      <c r="EL2" s="1107"/>
      <c r="EM2" s="1107"/>
      <c r="EN2" s="1107"/>
      <c r="EO2" s="1107"/>
      <c r="EP2" s="1107"/>
      <c r="EQ2" s="1107"/>
      <c r="ER2" s="1107"/>
      <c r="ES2" s="1107"/>
      <c r="ET2" s="1107"/>
      <c r="EU2" s="1107"/>
      <c r="EV2" s="1107"/>
      <c r="EW2" s="1107"/>
      <c r="EX2" s="1107"/>
      <c r="EY2" s="1107"/>
      <c r="EZ2" s="1107"/>
    </row>
    <row r="3">
      <c r="A3" s="214"/>
      <c r="B3" s="1108" t="s">
        <v>79</v>
      </c>
      <c r="C3" s="1108" t="s">
        <v>1047</v>
      </c>
      <c r="D3" s="1108" t="s">
        <v>626</v>
      </c>
      <c r="E3" s="1108" t="s">
        <v>1048</v>
      </c>
      <c r="F3" s="1109" t="s">
        <v>1049</v>
      </c>
      <c r="G3" s="1110" t="s">
        <v>1050</v>
      </c>
      <c r="H3" s="1111" t="s">
        <v>1051</v>
      </c>
      <c r="I3" s="1108" t="s">
        <v>1052</v>
      </c>
      <c r="J3" s="1108" t="s">
        <v>1053</v>
      </c>
      <c r="K3" s="214"/>
      <c r="L3" s="1112" t="s">
        <v>95</v>
      </c>
      <c r="M3" s="1112" t="s">
        <v>595</v>
      </c>
      <c r="N3" s="214"/>
      <c r="O3" s="1087"/>
      <c r="P3" s="1113">
        <v>46054.0</v>
      </c>
      <c r="Q3" s="1114" t="s">
        <v>79</v>
      </c>
      <c r="R3" s="1115" t="s">
        <v>1047</v>
      </c>
      <c r="S3" s="1114" t="s">
        <v>626</v>
      </c>
      <c r="T3" s="1114" t="s">
        <v>1054</v>
      </c>
      <c r="U3" s="1114" t="s">
        <v>1055</v>
      </c>
      <c r="V3" s="1114" t="s">
        <v>1056</v>
      </c>
      <c r="W3" s="1114" t="s">
        <v>1057</v>
      </c>
      <c r="X3" s="1114" t="s">
        <v>1058</v>
      </c>
      <c r="Y3" s="1116"/>
      <c r="Z3" s="1113">
        <v>46082.0</v>
      </c>
      <c r="AA3" s="1114" t="s">
        <v>79</v>
      </c>
      <c r="AB3" s="1115" t="s">
        <v>1047</v>
      </c>
      <c r="AC3" s="1114" t="s">
        <v>626</v>
      </c>
      <c r="AD3" s="1114" t="s">
        <v>1054</v>
      </c>
      <c r="AE3" s="1114" t="s">
        <v>1055</v>
      </c>
      <c r="AF3" s="1114" t="s">
        <v>1056</v>
      </c>
      <c r="AG3" s="1114" t="s">
        <v>1057</v>
      </c>
      <c r="AH3" s="1114" t="s">
        <v>1058</v>
      </c>
      <c r="AI3" s="1117"/>
      <c r="AJ3" s="1118">
        <v>46113.0</v>
      </c>
      <c r="AK3" s="1114" t="s">
        <v>79</v>
      </c>
      <c r="AL3" s="1115" t="s">
        <v>1047</v>
      </c>
      <c r="AM3" s="1114" t="s">
        <v>626</v>
      </c>
      <c r="AN3" s="1114" t="s">
        <v>1054</v>
      </c>
      <c r="AO3" s="1114" t="s">
        <v>1055</v>
      </c>
      <c r="AP3" s="1114" t="s">
        <v>1056</v>
      </c>
      <c r="AQ3" s="1114" t="s">
        <v>1057</v>
      </c>
      <c r="AR3" s="1114" t="s">
        <v>1058</v>
      </c>
      <c r="AS3" s="1116"/>
      <c r="AT3" s="1118">
        <v>46143.0</v>
      </c>
      <c r="AU3" s="1119" t="s">
        <v>79</v>
      </c>
      <c r="AV3" s="1120" t="s">
        <v>1047</v>
      </c>
      <c r="AW3" s="1119" t="s">
        <v>626</v>
      </c>
      <c r="AX3" s="1119" t="s">
        <v>1054</v>
      </c>
      <c r="AY3" s="1119" t="s">
        <v>1055</v>
      </c>
      <c r="AZ3" s="1119" t="s">
        <v>1056</v>
      </c>
      <c r="BA3" s="1119" t="s">
        <v>1057</v>
      </c>
      <c r="BB3" s="1119" t="s">
        <v>1058</v>
      </c>
      <c r="BC3" s="1116"/>
      <c r="BD3" s="1118">
        <v>46174.0</v>
      </c>
      <c r="BE3" s="1114" t="s">
        <v>79</v>
      </c>
      <c r="BF3" s="1115" t="s">
        <v>1047</v>
      </c>
      <c r="BG3" s="1114" t="s">
        <v>626</v>
      </c>
      <c r="BH3" s="1114" t="s">
        <v>1054</v>
      </c>
      <c r="BI3" s="1114" t="s">
        <v>1055</v>
      </c>
      <c r="BJ3" s="1114" t="s">
        <v>1056</v>
      </c>
      <c r="BK3" s="1114" t="s">
        <v>1057</v>
      </c>
      <c r="BL3" s="1114" t="s">
        <v>1058</v>
      </c>
      <c r="BM3" s="1117"/>
      <c r="BN3" s="1118">
        <v>46205.0</v>
      </c>
      <c r="BO3" s="1114" t="s">
        <v>79</v>
      </c>
      <c r="BP3" s="1115" t="s">
        <v>1047</v>
      </c>
      <c r="BQ3" s="1114" t="s">
        <v>626</v>
      </c>
      <c r="BR3" s="1114" t="s">
        <v>1054</v>
      </c>
      <c r="BS3" s="1114" t="s">
        <v>1055</v>
      </c>
      <c r="BT3" s="1114" t="s">
        <v>1056</v>
      </c>
      <c r="BU3" s="1114" t="s">
        <v>1057</v>
      </c>
      <c r="BV3" s="1114" t="s">
        <v>1058</v>
      </c>
      <c r="BW3" s="1116"/>
      <c r="BX3" s="1118">
        <v>46235.0</v>
      </c>
      <c r="BY3" s="1114" t="s">
        <v>79</v>
      </c>
      <c r="BZ3" s="1115" t="s">
        <v>1047</v>
      </c>
      <c r="CA3" s="1114" t="s">
        <v>626</v>
      </c>
      <c r="CB3" s="1114" t="s">
        <v>1054</v>
      </c>
      <c r="CC3" s="1114" t="s">
        <v>1055</v>
      </c>
      <c r="CD3" s="1114" t="s">
        <v>1056</v>
      </c>
      <c r="CE3" s="1114" t="s">
        <v>1057</v>
      </c>
      <c r="CF3" s="1114" t="s">
        <v>1058</v>
      </c>
      <c r="CG3" s="1116"/>
      <c r="CH3" s="1118">
        <v>46266.0</v>
      </c>
      <c r="CI3" s="1114" t="s">
        <v>79</v>
      </c>
      <c r="CJ3" s="1115" t="s">
        <v>1047</v>
      </c>
      <c r="CK3" s="1114" t="s">
        <v>626</v>
      </c>
      <c r="CL3" s="1114" t="s">
        <v>1054</v>
      </c>
      <c r="CM3" s="1114" t="s">
        <v>1055</v>
      </c>
      <c r="CN3" s="1114" t="s">
        <v>1056</v>
      </c>
      <c r="CO3" s="1114" t="s">
        <v>1057</v>
      </c>
      <c r="CP3" s="1114" t="s">
        <v>1058</v>
      </c>
      <c r="CQ3" s="1117"/>
      <c r="CR3" s="1118">
        <v>46296.0</v>
      </c>
      <c r="CS3" s="1114" t="s">
        <v>79</v>
      </c>
      <c r="CT3" s="1115" t="s">
        <v>1047</v>
      </c>
      <c r="CU3" s="1114" t="s">
        <v>626</v>
      </c>
      <c r="CV3" s="1114" t="s">
        <v>1054</v>
      </c>
      <c r="CW3" s="1114" t="s">
        <v>1055</v>
      </c>
      <c r="CX3" s="1114" t="s">
        <v>1056</v>
      </c>
      <c r="CY3" s="1114" t="s">
        <v>1057</v>
      </c>
      <c r="CZ3" s="1114" t="s">
        <v>1058</v>
      </c>
      <c r="DA3" s="1116"/>
      <c r="DB3" s="1118">
        <v>46327.0</v>
      </c>
      <c r="DC3" s="1114" t="s">
        <v>79</v>
      </c>
      <c r="DD3" s="1115" t="s">
        <v>1047</v>
      </c>
      <c r="DE3" s="1114" t="s">
        <v>626</v>
      </c>
      <c r="DF3" s="1114" t="s">
        <v>1054</v>
      </c>
      <c r="DG3" s="1114" t="s">
        <v>1055</v>
      </c>
      <c r="DH3" s="1114" t="s">
        <v>1056</v>
      </c>
      <c r="DI3" s="1114" t="s">
        <v>1057</v>
      </c>
      <c r="DJ3" s="1114" t="s">
        <v>1058</v>
      </c>
      <c r="DK3" s="1116"/>
      <c r="DL3" s="1118">
        <v>46357.0</v>
      </c>
      <c r="DM3" s="1114" t="s">
        <v>79</v>
      </c>
      <c r="DN3" s="1115" t="s">
        <v>1047</v>
      </c>
      <c r="DO3" s="1114" t="s">
        <v>626</v>
      </c>
      <c r="DP3" s="1114" t="s">
        <v>1054</v>
      </c>
      <c r="DQ3" s="1114" t="s">
        <v>1055</v>
      </c>
      <c r="DR3" s="1114" t="s">
        <v>1056</v>
      </c>
      <c r="DS3" s="1114" t="s">
        <v>1057</v>
      </c>
      <c r="DT3" s="1114" t="s">
        <v>1058</v>
      </c>
      <c r="DU3" s="1116"/>
      <c r="DV3" s="1118">
        <v>46388.0</v>
      </c>
      <c r="DW3" s="1114" t="s">
        <v>79</v>
      </c>
      <c r="DX3" s="1115" t="s">
        <v>1047</v>
      </c>
      <c r="DY3" s="1114" t="s">
        <v>626</v>
      </c>
      <c r="DZ3" s="1114" t="s">
        <v>1054</v>
      </c>
      <c r="EA3" s="1114" t="s">
        <v>1055</v>
      </c>
      <c r="EB3" s="1114" t="s">
        <v>1056</v>
      </c>
      <c r="EC3" s="1114" t="s">
        <v>1057</v>
      </c>
      <c r="ED3" s="1114" t="s">
        <v>1058</v>
      </c>
      <c r="EE3" s="1116"/>
      <c r="EF3" s="1117"/>
      <c r="EG3" s="1117"/>
      <c r="EH3" s="1117"/>
      <c r="EI3" s="1117"/>
      <c r="EJ3" s="1117"/>
      <c r="EK3" s="1117"/>
      <c r="EL3" s="1117"/>
      <c r="EM3" s="1117"/>
      <c r="EN3" s="1117"/>
      <c r="EO3" s="1117"/>
      <c r="EP3" s="1117"/>
      <c r="EQ3" s="1117"/>
      <c r="ER3" s="1117"/>
      <c r="ES3" s="1117"/>
      <c r="ET3" s="1117"/>
      <c r="EU3" s="1117"/>
      <c r="EV3" s="1117"/>
      <c r="EW3" s="1117"/>
      <c r="EX3" s="1117"/>
      <c r="EY3" s="1117"/>
      <c r="EZ3" s="1117"/>
    </row>
    <row r="4">
      <c r="A4" s="1121"/>
      <c r="B4" s="1122">
        <f t="array" ref="B4:B200">xlookup(month(today()),P2:DV2,Q4:DW200)</f>
        <v>1710</v>
      </c>
      <c r="C4" s="1123" t="str">
        <f t="array" ref="C4:C200">xlookup(month(today()),P2:DV2,R4:DX200)</f>
        <v>ウィング</v>
      </c>
      <c r="D4" s="1124" t="str">
        <f t="array" ref="D4:D200">xlookup(month(today()),P2:DV2,S4:DY200)</f>
        <v>チェッカー</v>
      </c>
      <c r="E4" s="1124" t="str">
        <f t="array" ref="E4:E200">xlookup(month(today()),P2:DV2,T4:DZ200)</f>
        <v>時給</v>
      </c>
      <c r="F4" s="112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126" t="str">
        <f t="shared" ref="G4:G299" si="3">if(C4="","",if(H4=0,"該当","非該当"))</f>
        <v>該当</v>
      </c>
      <c r="H4" s="112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7">
        <f t="shared" si="1"/>
        <v>173.6333333</v>
      </c>
      <c r="J4" s="1128">
        <f t="shared" si="1"/>
        <v>0</v>
      </c>
      <c r="K4" s="1121"/>
      <c r="L4" s="242" t="str">
        <f t="array" ref="L4">IFERROR(INDEX('💻シート作成'!$D$6:$D999, MATCH(M4, '💻シート作成'!$E$6:$E999, 0)), "")</f>
        <v/>
      </c>
      <c r="M4" s="160" t="str">
        <f>IFERROR(__xludf.DUMMYFUNCTION("filter('💻シート作成'!E6:E999,'💻シート作成'!E6:E999&lt;&gt;"""")"),"💭口コミ")</f>
        <v>💭口コミ</v>
      </c>
      <c r="N4" s="1121"/>
      <c r="O4" s="1129"/>
      <c r="P4" s="1130" t="s">
        <v>1059</v>
      </c>
      <c r="Q4" s="1131">
        <f>IFERROR(__xludf.DUMMYFUNCTION("IMPORTRANGE($P$5,$P$4&amp;Q$2)"),1669.0)</f>
        <v>1669</v>
      </c>
      <c r="R4" s="1132" t="str">
        <f>IFERROR(__xludf.DUMMYFUNCTION("IMPORTRANGE($P$5,$P$4&amp;R$2)"),"ノーマン")</f>
        <v>ノーマン</v>
      </c>
      <c r="S4" s="242" t="str">
        <f>IFERROR(__xludf.DUMMYFUNCTION("IMPORTRANGE($P$5,$P$4&amp;S$2)"),"ノーマン")</f>
        <v>ノーマン</v>
      </c>
      <c r="T4" s="242" t="str">
        <f>IFERROR(__xludf.DUMMYFUNCTION("IMPORTRANGE($P$5,$P$4&amp;T$2)"),"")</f>
        <v/>
      </c>
      <c r="U4" s="1133">
        <f>IFERROR(__xludf.DUMMYFUNCTION("IMPORTRANGE($P$5,$P$4&amp;U$2)"),0.0)</f>
        <v>0</v>
      </c>
      <c r="V4" s="242">
        <f t="shared" ref="V4:V299" si="5">COUNTIF(INDIRECT(V$2 &amp; "L9:L"), R4)</f>
        <v>0</v>
      </c>
      <c r="W4" s="1134">
        <f>IFERROR(__xludf.DUMMYFUNCTION("IMPORTRANGE($P$5,$P$4&amp;W$2)"),0.0)</f>
        <v>0</v>
      </c>
      <c r="X4" s="242">
        <f>IFERROR(__xludf.DUMMYFUNCTION("IMPORTRANGE($P$5,$P$4&amp;X$2)"),0.0)</f>
        <v>0</v>
      </c>
      <c r="Y4" s="1121"/>
      <c r="Z4" s="1135" t="str">
        <f>$P$6</f>
        <v>R803_コンフォートホテル博多_アルバイト給料</v>
      </c>
      <c r="AA4" s="1131">
        <f>IFERROR(__xludf.DUMMYFUNCTION("IMPORTRANGE($P$6,$P$4&amp;AA$2)"),1679.0)</f>
        <v>1679</v>
      </c>
      <c r="AB4" s="1132" t="str">
        <f>IFERROR(__xludf.DUMMYFUNCTION("IMPORTRANGE($P$6,$P$4&amp;AB$2)"),"熊本")</f>
        <v>熊本</v>
      </c>
      <c r="AC4" s="242" t="str">
        <f>IFERROR(__xludf.DUMMYFUNCTION("IMPORTRANGE($P$6,$P$4&amp;AC$2)"),"メイド")</f>
        <v>メイド</v>
      </c>
      <c r="AD4" s="242" t="str">
        <f>IFERROR(__xludf.DUMMYFUNCTION("IMPORTRANGE($P$6,$P$4&amp;AD$2)"),"時給")</f>
        <v>時給</v>
      </c>
      <c r="AE4" s="1133">
        <f>IFERROR(__xludf.DUMMYFUNCTION("IMPORTRANGE($P$6,$P$4&amp;AE$2)"),13.0)</f>
        <v>13</v>
      </c>
      <c r="AF4" s="242">
        <f t="shared" ref="AF4:AF299" si="6">COUNTIF(INDIRECT(AF$2 &amp; "L9:L"), AB4)</f>
        <v>0</v>
      </c>
      <c r="AG4" s="1136">
        <f>IFERROR(__xludf.DUMMYFUNCTION("IMPORTRANGE($P$6,$P$4&amp;AG$2)"),83.23333333333333)</f>
        <v>83.23333333</v>
      </c>
      <c r="AH4" s="242">
        <f>IFERROR(__xludf.DUMMYFUNCTION("IMPORTRANGE($P$6,$P$4&amp;AH$2)"),0.0)</f>
        <v>0</v>
      </c>
      <c r="AI4" s="1121"/>
      <c r="AJ4" s="1135" t="str">
        <f>$P$7</f>
        <v>R804_コンフォートホテル博多_アルバイト給料</v>
      </c>
      <c r="AK4" s="1131">
        <f>IFERROR(__xludf.DUMMYFUNCTION("IMPORTRANGE($P$7,$P$4&amp;AK$2)"),1710.0)</f>
        <v>1710</v>
      </c>
      <c r="AL4" s="1132"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33">
        <f>IFERROR(__xludf.DUMMYFUNCTION("IMPORTRANGE($P$7,$P$4&amp;AO$2)"),8.0)</f>
        <v>8</v>
      </c>
      <c r="AP4" s="242">
        <f t="shared" ref="AP4:AP299" si="7">COUNTIF(INDIRECT(AP$2 &amp; "L9:L"), AL4)</f>
        <v>0</v>
      </c>
      <c r="AQ4" s="1136">
        <f>IFERROR(__xludf.DUMMYFUNCTION("IMPORTRANGE($P$7,$P$4&amp;AQ$2)"),49.333333333333336)</f>
        <v>49.33333333</v>
      </c>
      <c r="AR4" s="242">
        <f>IFERROR(__xludf.DUMMYFUNCTION("IMPORTRANGE($P$7,$P$4&amp;AR$2)"),0.0)</f>
        <v>0</v>
      </c>
      <c r="AS4" s="237"/>
      <c r="AT4" s="1137" t="str">
        <f>$P$8</f>
        <v/>
      </c>
      <c r="AU4" s="1138" t="str">
        <f>IFERROR(__xludf.DUMMYFUNCTION("IMPORTRANGE($P$8,$P$4&amp;AU$2)"),"#N/A")</f>
        <v>#N/A</v>
      </c>
      <c r="AV4" s="1139" t="str">
        <f>IFERROR(__xludf.DUMMYFUNCTION("IMPORTRANGE($P$8,$P$4&amp;AV$2)"),"#N/A")</f>
        <v>#N/A</v>
      </c>
      <c r="AW4" s="1140" t="str">
        <f>IFERROR(__xludf.DUMMYFUNCTION("IMPORTRANGE($P$8,$P$4&amp;AW$2)"),"#N/A")</f>
        <v>#N/A</v>
      </c>
      <c r="AX4" s="1140" t="str">
        <f>IFERROR(__xludf.DUMMYFUNCTION("IMPORTRANGE($P$8,$P$4&amp;AX$2)"),"#N/A")</f>
        <v>#N/A</v>
      </c>
      <c r="AY4" s="1140" t="str">
        <f>IFERROR(__xludf.DUMMYFUNCTION("IMPORTRANGE($P$8,$P$4&amp;AY$2)"),"#N/A")</f>
        <v>#N/A</v>
      </c>
      <c r="AZ4" s="1140">
        <f t="shared" ref="AZ4:AZ299" si="8">COUNTIF(INDIRECT(AZ$2 &amp; "L9:L"), AV4)</f>
        <v>0</v>
      </c>
      <c r="BA4" s="1140" t="str">
        <f>IFERROR(__xludf.DUMMYFUNCTION("IMPORTRANGE($P$8,$P$4&amp;BA$2)"),"#N/A")</f>
        <v>#N/A</v>
      </c>
      <c r="BB4" s="1140" t="str">
        <f>IFERROR(__xludf.DUMMYFUNCTION("IMPORTRANGE($P$8,$P$4&amp;BB$2)"),"#N/A")</f>
        <v>#N/A</v>
      </c>
      <c r="BC4" s="1121"/>
      <c r="BD4" s="1137" t="str">
        <f>$P$9</f>
        <v/>
      </c>
      <c r="BE4" s="1131"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21"/>
      <c r="BN4" s="1137" t="str">
        <f>$P$10</f>
        <v/>
      </c>
      <c r="BO4" s="1131"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37" t="str">
        <f>$P$11</f>
        <v/>
      </c>
      <c r="BY4" s="1131"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21"/>
      <c r="CH4" s="1137" t="str">
        <f>$P$12</f>
        <v/>
      </c>
      <c r="CI4" s="1131"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21"/>
      <c r="CR4" s="1137" t="str">
        <f>$P$13</f>
        <v/>
      </c>
      <c r="CS4" s="1131"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37" t="str">
        <f>$P$14</f>
        <v/>
      </c>
      <c r="DC4" s="1131"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21"/>
      <c r="DL4" s="1137" t="str">
        <f>$P$15</f>
        <v/>
      </c>
      <c r="DM4" s="1131"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21"/>
      <c r="DV4" s="1137" t="str">
        <f>$P$16</f>
        <v/>
      </c>
      <c r="DW4" s="1131"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21"/>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22">
        <v>1753.0</v>
      </c>
      <c r="C5" s="1123" t="s">
        <v>204</v>
      </c>
      <c r="D5" s="1124" t="s">
        <v>88</v>
      </c>
      <c r="E5" s="1124" t="s">
        <v>1002</v>
      </c>
      <c r="F5" s="1125">
        <f t="shared" si="2"/>
        <v>50</v>
      </c>
      <c r="G5" s="1126" t="str">
        <f t="shared" si="3"/>
        <v>非該当</v>
      </c>
      <c r="H5" s="112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27">
        <f t="shared" si="4"/>
        <v>327.9166667</v>
      </c>
      <c r="J5" s="1128">
        <f t="shared" si="4"/>
        <v>0</v>
      </c>
      <c r="K5" s="214"/>
      <c r="L5" s="242" t="str">
        <f t="array" ref="L5">IFERROR(INDEX('💻シート作成'!$D$6:$D999, MATCH(M5, '💻シート作成'!$E$6:$E999, 0)), "")</f>
        <v/>
      </c>
      <c r="M5" s="1024" t="str">
        <f>IFERROR(__xludf.DUMMYFUNCTION("""COMPUTED_VALUE"""),"🔵クレーム")</f>
        <v>🔵クレーム</v>
      </c>
      <c r="N5" s="214"/>
      <c r="O5" s="1141">
        <v>2.0</v>
      </c>
      <c r="P5" s="1142" t="s">
        <v>1060</v>
      </c>
      <c r="Q5" s="1131">
        <f>IFERROR(__xludf.DUMMYFUNCTION("""COMPUTED_VALUE"""),1679.0)</f>
        <v>1679</v>
      </c>
      <c r="R5" s="519" t="str">
        <f>IFERROR(__xludf.DUMMYFUNCTION("""COMPUTED_VALUE"""),"熊本")</f>
        <v>熊本</v>
      </c>
      <c r="S5" s="995" t="str">
        <f>IFERROR(__xludf.DUMMYFUNCTION("""COMPUTED_VALUE"""),"熊本")</f>
        <v>熊本</v>
      </c>
      <c r="T5" s="995" t="str">
        <f>IFERROR(__xludf.DUMMYFUNCTION("""COMPUTED_VALUE"""),"時給")</f>
        <v>時給</v>
      </c>
      <c r="U5" s="1133">
        <f>IFERROR(__xludf.DUMMYFUNCTION("""COMPUTED_VALUE"""),11.0)</f>
        <v>11</v>
      </c>
      <c r="V5" s="242">
        <f t="shared" si="5"/>
        <v>0</v>
      </c>
      <c r="W5" s="1134">
        <f>IFERROR(__xludf.DUMMYFUNCTION("""COMPUTED_VALUE"""),69.3)</f>
        <v>69.3</v>
      </c>
      <c r="X5" s="242">
        <f>IFERROR(__xludf.DUMMYFUNCTION("""COMPUTED_VALUE"""),0.0)</f>
        <v>0</v>
      </c>
      <c r="Y5" s="214"/>
      <c r="Z5" s="525"/>
      <c r="AA5" s="1131">
        <f>IFERROR(__xludf.DUMMYFUNCTION("""COMPUTED_VALUE"""),1688.0)</f>
        <v>1688</v>
      </c>
      <c r="AB5" s="519" t="str">
        <f>IFERROR(__xludf.DUMMYFUNCTION("""COMPUTED_VALUE"""),"ランテ")</f>
        <v>ランテ</v>
      </c>
      <c r="AC5" s="995" t="str">
        <f>IFERROR(__xludf.DUMMYFUNCTION("""COMPUTED_VALUE"""),"メイド")</f>
        <v>メイド</v>
      </c>
      <c r="AD5" s="995" t="str">
        <f>IFERROR(__xludf.DUMMYFUNCTION("""COMPUTED_VALUE"""),"時給")</f>
        <v>時給</v>
      </c>
      <c r="AE5" s="1133">
        <f>IFERROR(__xludf.DUMMYFUNCTION("""COMPUTED_VALUE"""),18.0)</f>
        <v>18</v>
      </c>
      <c r="AF5" s="242">
        <f t="shared" si="6"/>
        <v>0</v>
      </c>
      <c r="AG5" s="1136">
        <f>IFERROR(__xludf.DUMMYFUNCTION("""COMPUTED_VALUE"""),112.36666666666666)</f>
        <v>112.3666667</v>
      </c>
      <c r="AH5" s="242">
        <f>IFERROR(__xludf.DUMMYFUNCTION("""COMPUTED_VALUE"""),0.0)</f>
        <v>0</v>
      </c>
      <c r="AI5" s="214"/>
      <c r="AJ5" s="525"/>
      <c r="AK5" s="1131">
        <f>IFERROR(__xludf.DUMMYFUNCTION("""COMPUTED_VALUE"""),1753.0)</f>
        <v>1753</v>
      </c>
      <c r="AL5" s="519" t="str">
        <f>IFERROR(__xludf.DUMMYFUNCTION("""COMPUTED_VALUE"""),"サイトウ")</f>
        <v>サイトウ</v>
      </c>
      <c r="AM5" s="995" t="str">
        <f>IFERROR(__xludf.DUMMYFUNCTION("""COMPUTED_VALUE"""),"チェッカー")</f>
        <v>チェッカー</v>
      </c>
      <c r="AN5" s="995" t="str">
        <f>IFERROR(__xludf.DUMMYFUNCTION("""COMPUTED_VALUE"""),"時給")</f>
        <v>時給</v>
      </c>
      <c r="AO5" s="1133">
        <f>IFERROR(__xludf.DUMMYFUNCTION("""COMPUTED_VALUE"""),15.0)</f>
        <v>15</v>
      </c>
      <c r="AP5" s="242">
        <f t="shared" si="7"/>
        <v>0</v>
      </c>
      <c r="AQ5" s="1136">
        <f>IFERROR(__xludf.DUMMYFUNCTION("""COMPUTED_VALUE"""),93.93333333333334)</f>
        <v>93.93333333</v>
      </c>
      <c r="AR5" s="242">
        <f>IFERROR(__xludf.DUMMYFUNCTION("""COMPUTED_VALUE"""),0.0)</f>
        <v>0</v>
      </c>
      <c r="AS5" s="237"/>
      <c r="AT5" s="525"/>
      <c r="AU5" s="1138"/>
      <c r="AV5" s="1143"/>
      <c r="AW5" s="1144"/>
      <c r="AX5" s="1144"/>
      <c r="AY5" s="1145"/>
      <c r="AZ5" s="1140">
        <f t="shared" si="8"/>
        <v>0</v>
      </c>
      <c r="BA5" s="1146"/>
      <c r="BB5" s="1140"/>
      <c r="BC5" s="214"/>
      <c r="BD5" s="525"/>
      <c r="BE5" s="1131"/>
      <c r="BF5" s="169"/>
      <c r="BG5" s="995"/>
      <c r="BH5" s="995"/>
      <c r="BI5" s="1133"/>
      <c r="BJ5" s="242">
        <f t="shared" si="9"/>
        <v>0</v>
      </c>
      <c r="BK5" s="1136"/>
      <c r="BL5" s="242"/>
      <c r="BM5" s="214"/>
      <c r="BN5" s="525"/>
      <c r="BO5" s="1131"/>
      <c r="BP5" s="169"/>
      <c r="BQ5" s="995"/>
      <c r="BR5" s="995"/>
      <c r="BS5" s="1133"/>
      <c r="BT5" s="242">
        <f t="shared" si="10"/>
        <v>0</v>
      </c>
      <c r="BU5" s="1136"/>
      <c r="BV5" s="242"/>
      <c r="BW5" s="237"/>
      <c r="BX5" s="525"/>
      <c r="BY5" s="1131"/>
      <c r="BZ5" s="169"/>
      <c r="CA5" s="995"/>
      <c r="CB5" s="995"/>
      <c r="CC5" s="1133"/>
      <c r="CD5" s="242">
        <f t="shared" si="11"/>
        <v>0</v>
      </c>
      <c r="CE5" s="1136"/>
      <c r="CF5" s="242"/>
      <c r="CG5" s="214"/>
      <c r="CH5" s="525"/>
      <c r="CI5" s="1131"/>
      <c r="CJ5" s="169"/>
      <c r="CK5" s="995"/>
      <c r="CL5" s="995"/>
      <c r="CM5" s="1133"/>
      <c r="CN5" s="242">
        <f t="shared" si="12"/>
        <v>0</v>
      </c>
      <c r="CO5" s="1136"/>
      <c r="CP5" s="242"/>
      <c r="CQ5" s="214"/>
      <c r="CR5" s="525"/>
      <c r="CS5" s="1131"/>
      <c r="CT5" s="169"/>
      <c r="CU5" s="995"/>
      <c r="CV5" s="995"/>
      <c r="CW5" s="1133"/>
      <c r="CX5" s="242">
        <f t="shared" si="13"/>
        <v>0</v>
      </c>
      <c r="CY5" s="1136"/>
      <c r="CZ5" s="242"/>
      <c r="DA5" s="237"/>
      <c r="DB5" s="525"/>
      <c r="DC5" s="1131"/>
      <c r="DD5" s="169"/>
      <c r="DE5" s="995"/>
      <c r="DF5" s="995"/>
      <c r="DG5" s="1133"/>
      <c r="DH5" s="242">
        <f t="shared" si="14"/>
        <v>0</v>
      </c>
      <c r="DI5" s="1136"/>
      <c r="DJ5" s="242"/>
      <c r="DK5" s="214"/>
      <c r="DL5" s="525"/>
      <c r="DM5" s="1131"/>
      <c r="DN5" s="169"/>
      <c r="DO5" s="995"/>
      <c r="DP5" s="995"/>
      <c r="DQ5" s="1133"/>
      <c r="DR5" s="242">
        <f t="shared" si="15"/>
        <v>0</v>
      </c>
      <c r="DS5" s="1136"/>
      <c r="DT5" s="242"/>
      <c r="DU5" s="214"/>
      <c r="DV5" s="525"/>
      <c r="DW5" s="1131"/>
      <c r="DX5" s="169"/>
      <c r="DY5" s="995"/>
      <c r="DZ5" s="995"/>
      <c r="EA5" s="1133"/>
      <c r="EB5" s="242">
        <f t="shared" si="16"/>
        <v>0</v>
      </c>
      <c r="EC5" s="1136"/>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22">
        <v>2244.0</v>
      </c>
      <c r="C6" s="1123" t="s">
        <v>155</v>
      </c>
      <c r="D6" s="1124" t="s">
        <v>88</v>
      </c>
      <c r="E6" s="1124" t="s">
        <v>1061</v>
      </c>
      <c r="F6" s="1125">
        <f t="shared" si="2"/>
        <v>25</v>
      </c>
      <c r="G6" s="1126" t="str">
        <f t="shared" si="3"/>
        <v>非該当</v>
      </c>
      <c r="H6" s="112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27">
        <f t="shared" si="17"/>
        <v>149.5833333</v>
      </c>
      <c r="J6" s="1128">
        <f t="shared" si="17"/>
        <v>0</v>
      </c>
      <c r="K6" s="214"/>
      <c r="L6" s="242" t="str">
        <f t="array" ref="L6">IFERROR(INDEX('💻シート作成'!$D$6:$D999, MATCH(M6, '💻シート作成'!$E$6:$E999, 0)), "")</f>
        <v/>
      </c>
      <c r="M6" s="1013" t="str">
        <f>IFERROR(__xludf.DUMMYFUNCTION("""COMPUTED_VALUE"""),"R8品質データまとめ")</f>
        <v>R8品質データまとめ</v>
      </c>
      <c r="N6" s="214"/>
      <c r="O6" s="1141">
        <v>3.0</v>
      </c>
      <c r="P6" s="1147" t="s">
        <v>1062</v>
      </c>
      <c r="Q6" s="1131">
        <f>IFERROR(__xludf.DUMMYFUNCTION("""COMPUTED_VALUE"""),1688.0)</f>
        <v>1688</v>
      </c>
      <c r="R6" s="519" t="str">
        <f>IFERROR(__xludf.DUMMYFUNCTION("""COMPUTED_VALUE"""),"ランテ")</f>
        <v>ランテ</v>
      </c>
      <c r="S6" s="995" t="str">
        <f>IFERROR(__xludf.DUMMYFUNCTION("""COMPUTED_VALUE"""),"ランテ")</f>
        <v>ランテ</v>
      </c>
      <c r="T6" s="995" t="str">
        <f>IFERROR(__xludf.DUMMYFUNCTION("""COMPUTED_VALUE"""),"時給")</f>
        <v>時給</v>
      </c>
      <c r="U6" s="1133">
        <f>IFERROR(__xludf.DUMMYFUNCTION("""COMPUTED_VALUE"""),16.0)</f>
        <v>16</v>
      </c>
      <c r="V6" s="242">
        <f t="shared" si="5"/>
        <v>0</v>
      </c>
      <c r="W6" s="1134">
        <f>IFERROR(__xludf.DUMMYFUNCTION("""COMPUTED_VALUE"""),98.4)</f>
        <v>98.4</v>
      </c>
      <c r="X6" s="242">
        <f>IFERROR(__xludf.DUMMYFUNCTION("""COMPUTED_VALUE"""),0.0)</f>
        <v>0</v>
      </c>
      <c r="Y6" s="214"/>
      <c r="Z6" s="214"/>
      <c r="AA6" s="1131">
        <f>IFERROR(__xludf.DUMMYFUNCTION("""COMPUTED_VALUE"""),1695.0)</f>
        <v>1695</v>
      </c>
      <c r="AB6" s="519" t="str">
        <f>IFERROR(__xludf.DUMMYFUNCTION("""COMPUTED_VALUE"""),"ランディカ")</f>
        <v>ランディカ</v>
      </c>
      <c r="AC6" s="995" t="str">
        <f>IFERROR(__xludf.DUMMYFUNCTION("""COMPUTED_VALUE"""),"メイド")</f>
        <v>メイド</v>
      </c>
      <c r="AD6" s="995" t="str">
        <f>IFERROR(__xludf.DUMMYFUNCTION("""COMPUTED_VALUE"""),"歩+時")</f>
        <v>歩+時</v>
      </c>
      <c r="AE6" s="1133">
        <f>IFERROR(__xludf.DUMMYFUNCTION("""COMPUTED_VALUE"""),12.0)</f>
        <v>12</v>
      </c>
      <c r="AF6" s="242">
        <f t="shared" si="6"/>
        <v>6</v>
      </c>
      <c r="AG6" s="1136">
        <f>IFERROR(__xludf.DUMMYFUNCTION("""COMPUTED_VALUE"""),36.03333333333333)</f>
        <v>36.03333333</v>
      </c>
      <c r="AH6" s="242">
        <f>IFERROR(__xludf.DUMMYFUNCTION("""COMPUTED_VALUE"""),129.0)</f>
        <v>129</v>
      </c>
      <c r="AI6" s="214"/>
      <c r="AJ6" s="214"/>
      <c r="AK6" s="1131">
        <f>IFERROR(__xludf.DUMMYFUNCTION("""COMPUTED_VALUE"""),2244.0)</f>
        <v>2244</v>
      </c>
      <c r="AL6" s="519" t="str">
        <f>IFERROR(__xludf.DUMMYFUNCTION("""COMPUTED_VALUE"""),"山本")</f>
        <v>山本</v>
      </c>
      <c r="AM6" s="995" t="str">
        <f>IFERROR(__xludf.DUMMYFUNCTION("""COMPUTED_VALUE"""),"チェッカー")</f>
        <v>チェッカー</v>
      </c>
      <c r="AN6" s="995" t="str">
        <f>IFERROR(__xludf.DUMMYFUNCTION("""COMPUTED_VALUE"""),"")</f>
        <v/>
      </c>
      <c r="AO6" s="1133">
        <f>IFERROR(__xludf.DUMMYFUNCTION("""COMPUTED_VALUE"""),0.0)</f>
        <v>0</v>
      </c>
      <c r="AP6" s="242">
        <f t="shared" si="7"/>
        <v>0</v>
      </c>
      <c r="AQ6" s="1136">
        <f>IFERROR(__xludf.DUMMYFUNCTION("""COMPUTED_VALUE"""),0.0)</f>
        <v>0</v>
      </c>
      <c r="AR6" s="242">
        <f>IFERROR(__xludf.DUMMYFUNCTION("""COMPUTED_VALUE"""),0.0)</f>
        <v>0</v>
      </c>
      <c r="AS6" s="237"/>
      <c r="AT6" s="214"/>
      <c r="AU6" s="1138"/>
      <c r="AV6" s="1143"/>
      <c r="AW6" s="1144"/>
      <c r="AX6" s="1144"/>
      <c r="AY6" s="1145"/>
      <c r="AZ6" s="1140">
        <f t="shared" si="8"/>
        <v>0</v>
      </c>
      <c r="BA6" s="1146"/>
      <c r="BB6" s="1140"/>
      <c r="BC6" s="214"/>
      <c r="BD6" s="214"/>
      <c r="BE6" s="1131"/>
      <c r="BF6" s="169"/>
      <c r="BG6" s="995"/>
      <c r="BH6" s="995"/>
      <c r="BI6" s="1133"/>
      <c r="BJ6" s="242">
        <f t="shared" si="9"/>
        <v>0</v>
      </c>
      <c r="BK6" s="1136"/>
      <c r="BL6" s="242"/>
      <c r="BM6" s="214"/>
      <c r="BN6" s="214"/>
      <c r="BO6" s="1131"/>
      <c r="BP6" s="169"/>
      <c r="BQ6" s="995"/>
      <c r="BR6" s="995"/>
      <c r="BS6" s="1133"/>
      <c r="BT6" s="242">
        <f t="shared" si="10"/>
        <v>0</v>
      </c>
      <c r="BU6" s="1136"/>
      <c r="BV6" s="242"/>
      <c r="BW6" s="237"/>
      <c r="BX6" s="214"/>
      <c r="BY6" s="1131"/>
      <c r="BZ6" s="169"/>
      <c r="CA6" s="995"/>
      <c r="CB6" s="995"/>
      <c r="CC6" s="1133"/>
      <c r="CD6" s="242">
        <f t="shared" si="11"/>
        <v>0</v>
      </c>
      <c r="CE6" s="1136"/>
      <c r="CF6" s="242"/>
      <c r="CG6" s="214"/>
      <c r="CH6" s="214"/>
      <c r="CI6" s="1131"/>
      <c r="CJ6" s="169"/>
      <c r="CK6" s="995"/>
      <c r="CL6" s="995"/>
      <c r="CM6" s="1133"/>
      <c r="CN6" s="242">
        <f t="shared" si="12"/>
        <v>0</v>
      </c>
      <c r="CO6" s="1136"/>
      <c r="CP6" s="242"/>
      <c r="CQ6" s="214"/>
      <c r="CR6" s="214"/>
      <c r="CS6" s="1131"/>
      <c r="CT6" s="169"/>
      <c r="CU6" s="995"/>
      <c r="CV6" s="995"/>
      <c r="CW6" s="1133"/>
      <c r="CX6" s="242">
        <f t="shared" si="13"/>
        <v>0</v>
      </c>
      <c r="CY6" s="1136"/>
      <c r="CZ6" s="242"/>
      <c r="DA6" s="237"/>
      <c r="DB6" s="214"/>
      <c r="DC6" s="1131"/>
      <c r="DD6" s="169"/>
      <c r="DE6" s="995"/>
      <c r="DF6" s="995"/>
      <c r="DG6" s="1133"/>
      <c r="DH6" s="242">
        <f t="shared" si="14"/>
        <v>0</v>
      </c>
      <c r="DI6" s="1136"/>
      <c r="DJ6" s="242"/>
      <c r="DK6" s="214"/>
      <c r="DL6" s="214"/>
      <c r="DM6" s="1131"/>
      <c r="DN6" s="169"/>
      <c r="DO6" s="995"/>
      <c r="DP6" s="995"/>
      <c r="DQ6" s="1133"/>
      <c r="DR6" s="242">
        <f t="shared" si="15"/>
        <v>0</v>
      </c>
      <c r="DS6" s="1136"/>
      <c r="DT6" s="242"/>
      <c r="DU6" s="214"/>
      <c r="DV6" s="214"/>
      <c r="DW6" s="1131"/>
      <c r="DX6" s="169"/>
      <c r="DY6" s="995"/>
      <c r="DZ6" s="995"/>
      <c r="EA6" s="1133"/>
      <c r="EB6" s="242">
        <f t="shared" si="16"/>
        <v>0</v>
      </c>
      <c r="EC6" s="1136"/>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22">
        <v>2254.0</v>
      </c>
      <c r="C7" s="1123" t="s">
        <v>190</v>
      </c>
      <c r="D7" s="1124" t="s">
        <v>88</v>
      </c>
      <c r="E7" s="1124" t="s">
        <v>1061</v>
      </c>
      <c r="F7" s="1125">
        <f t="shared" si="2"/>
        <v>13</v>
      </c>
      <c r="G7" s="1126" t="str">
        <f t="shared" si="3"/>
        <v>非該当</v>
      </c>
      <c r="H7" s="112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27">
        <f t="shared" si="18"/>
        <v>58.53333333</v>
      </c>
      <c r="J7" s="1128">
        <f t="shared" si="18"/>
        <v>0</v>
      </c>
      <c r="K7" s="214"/>
      <c r="L7" s="242" t="str">
        <f t="array" ref="L7">IFERROR(INDEX('💻シート作成'!$D$6:$D999, MATCH(M7, '💻シート作成'!$E$6:$E999, 0)), "")</f>
        <v/>
      </c>
      <c r="M7" s="1013" t="str">
        <f>IFERROR(__xludf.DUMMYFUNCTION("""COMPUTED_VALUE"""),"✅安全チェック")</f>
        <v>✅安全チェック</v>
      </c>
      <c r="N7" s="214"/>
      <c r="O7" s="1141">
        <v>4.0</v>
      </c>
      <c r="P7" s="1148" t="s">
        <v>1063</v>
      </c>
      <c r="Q7" s="1131">
        <f>IFERROR(__xludf.DUMMYFUNCTION("""COMPUTED_VALUE"""),1695.0)</f>
        <v>1695</v>
      </c>
      <c r="R7" s="519" t="str">
        <f>IFERROR(__xludf.DUMMYFUNCTION("""COMPUTED_VALUE"""),"ランディカ")</f>
        <v>ランディカ</v>
      </c>
      <c r="S7" s="995" t="str">
        <f>IFERROR(__xludf.DUMMYFUNCTION("""COMPUTED_VALUE"""),"ランディカ")</f>
        <v>ランディカ</v>
      </c>
      <c r="T7" s="995" t="str">
        <f>IFERROR(__xludf.DUMMYFUNCTION("""COMPUTED_VALUE"""),"歩+時")</f>
        <v>歩+時</v>
      </c>
      <c r="U7" s="1133">
        <f>IFERROR(__xludf.DUMMYFUNCTION("""COMPUTED_VALUE"""),14.0)</f>
        <v>14</v>
      </c>
      <c r="V7" s="242">
        <f t="shared" si="5"/>
        <v>3</v>
      </c>
      <c r="W7" s="1134">
        <f>IFERROR(__xludf.DUMMYFUNCTION("""COMPUTED_VALUE"""),38.7)</f>
        <v>38.7</v>
      </c>
      <c r="X7" s="242">
        <f>IFERROR(__xludf.DUMMYFUNCTION("""COMPUTED_VALUE"""),139.0)</f>
        <v>139</v>
      </c>
      <c r="Y7" s="214"/>
      <c r="Z7" s="214"/>
      <c r="AA7" s="1131">
        <f>IFERROR(__xludf.DUMMYFUNCTION("""COMPUTED_VALUE"""),1697.0)</f>
        <v>1697</v>
      </c>
      <c r="AB7" s="519" t="str">
        <f>IFERROR(__xludf.DUMMYFUNCTION("""COMPUTED_VALUE"""),"サンジャナ")</f>
        <v>サンジャナ</v>
      </c>
      <c r="AC7" s="995" t="str">
        <f>IFERROR(__xludf.DUMMYFUNCTION("""COMPUTED_VALUE"""),"メイド")</f>
        <v>メイド</v>
      </c>
      <c r="AD7" s="995" t="str">
        <f>IFERROR(__xludf.DUMMYFUNCTION("""COMPUTED_VALUE"""),"")</f>
        <v/>
      </c>
      <c r="AE7" s="1133">
        <f>IFERROR(__xludf.DUMMYFUNCTION("""COMPUTED_VALUE"""),0.0)</f>
        <v>0</v>
      </c>
      <c r="AF7" s="242">
        <f t="shared" si="6"/>
        <v>1</v>
      </c>
      <c r="AG7" s="1136">
        <f>IFERROR(__xludf.DUMMYFUNCTION("""COMPUTED_VALUE"""),0.0)</f>
        <v>0</v>
      </c>
      <c r="AH7" s="242">
        <f>IFERROR(__xludf.DUMMYFUNCTION("""COMPUTED_VALUE"""),0.0)</f>
        <v>0</v>
      </c>
      <c r="AI7" s="214"/>
      <c r="AJ7" s="214"/>
      <c r="AK7" s="1131">
        <f>IFERROR(__xludf.DUMMYFUNCTION("""COMPUTED_VALUE"""),2254.0)</f>
        <v>2254</v>
      </c>
      <c r="AL7" s="519" t="str">
        <f>IFERROR(__xludf.DUMMYFUNCTION("""COMPUTED_VALUE"""),"栗田")</f>
        <v>栗田</v>
      </c>
      <c r="AM7" s="995" t="str">
        <f>IFERROR(__xludf.DUMMYFUNCTION("""COMPUTED_VALUE"""),"チェッカー")</f>
        <v>チェッカー</v>
      </c>
      <c r="AN7" s="995" t="str">
        <f>IFERROR(__xludf.DUMMYFUNCTION("""COMPUTED_VALUE"""),"")</f>
        <v/>
      </c>
      <c r="AO7" s="1133">
        <f>IFERROR(__xludf.DUMMYFUNCTION("""COMPUTED_VALUE"""),0.0)</f>
        <v>0</v>
      </c>
      <c r="AP7" s="242">
        <f t="shared" si="7"/>
        <v>0</v>
      </c>
      <c r="AQ7" s="1136">
        <f>IFERROR(__xludf.DUMMYFUNCTION("""COMPUTED_VALUE"""),0.0)</f>
        <v>0</v>
      </c>
      <c r="AR7" s="242">
        <f>IFERROR(__xludf.DUMMYFUNCTION("""COMPUTED_VALUE"""),0.0)</f>
        <v>0</v>
      </c>
      <c r="AS7" s="237"/>
      <c r="AT7" s="214"/>
      <c r="AU7" s="1138"/>
      <c r="AV7" s="1143"/>
      <c r="AW7" s="1144"/>
      <c r="AX7" s="1144"/>
      <c r="AY7" s="1145"/>
      <c r="AZ7" s="1140">
        <f t="shared" si="8"/>
        <v>0</v>
      </c>
      <c r="BA7" s="1146"/>
      <c r="BB7" s="1140"/>
      <c r="BC7" s="214"/>
      <c r="BD7" s="214"/>
      <c r="BE7" s="1131"/>
      <c r="BF7" s="169"/>
      <c r="BG7" s="995"/>
      <c r="BH7" s="995"/>
      <c r="BI7" s="1133"/>
      <c r="BJ7" s="242">
        <f t="shared" si="9"/>
        <v>0</v>
      </c>
      <c r="BK7" s="1136"/>
      <c r="BL7" s="242"/>
      <c r="BM7" s="214"/>
      <c r="BN7" s="214"/>
      <c r="BO7" s="1131"/>
      <c r="BP7" s="169"/>
      <c r="BQ7" s="995"/>
      <c r="BR7" s="995"/>
      <c r="BS7" s="1133"/>
      <c r="BT7" s="242">
        <f t="shared" si="10"/>
        <v>0</v>
      </c>
      <c r="BU7" s="1136"/>
      <c r="BV7" s="242"/>
      <c r="BW7" s="237"/>
      <c r="BX7" s="214"/>
      <c r="BY7" s="1131"/>
      <c r="BZ7" s="169"/>
      <c r="CA7" s="995"/>
      <c r="CB7" s="995"/>
      <c r="CC7" s="1133"/>
      <c r="CD7" s="242">
        <f t="shared" si="11"/>
        <v>0</v>
      </c>
      <c r="CE7" s="1136"/>
      <c r="CF7" s="242"/>
      <c r="CG7" s="214"/>
      <c r="CH7" s="214"/>
      <c r="CI7" s="1131"/>
      <c r="CJ7" s="169"/>
      <c r="CK7" s="995"/>
      <c r="CL7" s="995"/>
      <c r="CM7" s="1133"/>
      <c r="CN7" s="242">
        <f t="shared" si="12"/>
        <v>0</v>
      </c>
      <c r="CO7" s="1136"/>
      <c r="CP7" s="242"/>
      <c r="CQ7" s="214"/>
      <c r="CR7" s="214"/>
      <c r="CS7" s="1131"/>
      <c r="CT7" s="169"/>
      <c r="CU7" s="995"/>
      <c r="CV7" s="995"/>
      <c r="CW7" s="1133"/>
      <c r="CX7" s="242">
        <f t="shared" si="13"/>
        <v>0</v>
      </c>
      <c r="CY7" s="1136"/>
      <c r="CZ7" s="242"/>
      <c r="DA7" s="237"/>
      <c r="DB7" s="214"/>
      <c r="DC7" s="1131"/>
      <c r="DD7" s="169"/>
      <c r="DE7" s="995"/>
      <c r="DF7" s="995"/>
      <c r="DG7" s="1133"/>
      <c r="DH7" s="242">
        <f t="shared" si="14"/>
        <v>0</v>
      </c>
      <c r="DI7" s="1136"/>
      <c r="DJ7" s="242"/>
      <c r="DK7" s="214"/>
      <c r="DL7" s="214"/>
      <c r="DM7" s="1131"/>
      <c r="DN7" s="169"/>
      <c r="DO7" s="995"/>
      <c r="DP7" s="995"/>
      <c r="DQ7" s="1133"/>
      <c r="DR7" s="242">
        <f t="shared" si="15"/>
        <v>0</v>
      </c>
      <c r="DS7" s="1136"/>
      <c r="DT7" s="242"/>
      <c r="DU7" s="214"/>
      <c r="DV7" s="214"/>
      <c r="DW7" s="1131"/>
      <c r="DX7" s="169"/>
      <c r="DY7" s="995"/>
      <c r="DZ7" s="995"/>
      <c r="EA7" s="1133"/>
      <c r="EB7" s="242">
        <f t="shared" si="16"/>
        <v>0</v>
      </c>
      <c r="EC7" s="1136"/>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22">
        <v>2270.0</v>
      </c>
      <c r="C8" s="1123" t="s">
        <v>144</v>
      </c>
      <c r="D8" s="1124" t="s">
        <v>88</v>
      </c>
      <c r="E8" s="1124" t="s">
        <v>1002</v>
      </c>
      <c r="F8" s="1125">
        <f t="shared" si="2"/>
        <v>58</v>
      </c>
      <c r="G8" s="1126" t="str">
        <f t="shared" si="3"/>
        <v>非該当</v>
      </c>
      <c r="H8" s="112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7">
        <f t="shared" si="19"/>
        <v>395.7</v>
      </c>
      <c r="J8" s="1128">
        <f t="shared" si="19"/>
        <v>0</v>
      </c>
      <c r="K8" s="214"/>
      <c r="L8" s="242" t="str">
        <f t="array" ref="L8">IFERROR(INDEX('💻シート作成'!$D$6:$D999, MATCH(M8, '💻シート作成'!$E$6:$E999, 0)), "")</f>
        <v/>
      </c>
      <c r="M8" s="1013" t="str">
        <f>IFERROR(__xludf.DUMMYFUNCTION("""COMPUTED_VALUE"""),"📝定例会議事録")</f>
        <v>📝定例会議事録</v>
      </c>
      <c r="N8" s="214"/>
      <c r="O8" s="1141">
        <v>5.0</v>
      </c>
      <c r="P8" s="1130"/>
      <c r="Q8" s="1131">
        <f>IFERROR(__xludf.DUMMYFUNCTION("""COMPUTED_VALUE"""),1697.0)</f>
        <v>1697</v>
      </c>
      <c r="R8" s="519" t="str">
        <f>IFERROR(__xludf.DUMMYFUNCTION("""COMPUTED_VALUE"""),"サンジャナ")</f>
        <v>サンジャナ</v>
      </c>
      <c r="S8" s="995" t="str">
        <f>IFERROR(__xludf.DUMMYFUNCTION("""COMPUTED_VALUE"""),"サンジャナ")</f>
        <v>サンジャナ</v>
      </c>
      <c r="T8" s="995" t="str">
        <f>IFERROR(__xludf.DUMMYFUNCTION("""COMPUTED_VALUE"""),"歩+時")</f>
        <v>歩+時</v>
      </c>
      <c r="U8" s="1133">
        <f>IFERROR(__xludf.DUMMYFUNCTION("""COMPUTED_VALUE"""),10.0)</f>
        <v>10</v>
      </c>
      <c r="V8" s="242">
        <f t="shared" si="5"/>
        <v>4</v>
      </c>
      <c r="W8" s="1134">
        <f>IFERROR(__xludf.DUMMYFUNCTION("""COMPUTED_VALUE"""),24.2)</f>
        <v>24.2</v>
      </c>
      <c r="X8" s="242">
        <f>IFERROR(__xludf.DUMMYFUNCTION("""COMPUTED_VALUE"""),63.0)</f>
        <v>63</v>
      </c>
      <c r="Y8" s="214"/>
      <c r="Z8" s="214"/>
      <c r="AA8" s="1131">
        <f>IFERROR(__xludf.DUMMYFUNCTION("""COMPUTED_VALUE"""),1702.0)</f>
        <v>1702</v>
      </c>
      <c r="AB8" s="519" t="str">
        <f>IFERROR(__xludf.DUMMYFUNCTION("""COMPUTED_VALUE"""),"井崎")</f>
        <v>井崎</v>
      </c>
      <c r="AC8" s="995" t="str">
        <f>IFERROR(__xludf.DUMMYFUNCTION("""COMPUTED_VALUE"""),"メイド")</f>
        <v>メイド</v>
      </c>
      <c r="AD8" s="995" t="str">
        <f>IFERROR(__xludf.DUMMYFUNCTION("""COMPUTED_VALUE"""),"時給")</f>
        <v>時給</v>
      </c>
      <c r="AE8" s="1133">
        <f>IFERROR(__xludf.DUMMYFUNCTION("""COMPUTED_VALUE"""),13.0)</f>
        <v>13</v>
      </c>
      <c r="AF8" s="242">
        <f t="shared" si="6"/>
        <v>0</v>
      </c>
      <c r="AG8" s="1136">
        <f>IFERROR(__xludf.DUMMYFUNCTION("""COMPUTED_VALUE"""),66.46666666666667)</f>
        <v>66.46666667</v>
      </c>
      <c r="AH8" s="242">
        <f>IFERROR(__xludf.DUMMYFUNCTION("""COMPUTED_VALUE"""),0.0)</f>
        <v>0</v>
      </c>
      <c r="AI8" s="214"/>
      <c r="AJ8" s="214"/>
      <c r="AK8" s="1131">
        <f>IFERROR(__xludf.DUMMYFUNCTION("""COMPUTED_VALUE"""),2270.0)</f>
        <v>2270</v>
      </c>
      <c r="AL8" s="519" t="str">
        <f>IFERROR(__xludf.DUMMYFUNCTION("""COMPUTED_VALUE"""),"本村")</f>
        <v>本村</v>
      </c>
      <c r="AM8" s="995" t="str">
        <f>IFERROR(__xludf.DUMMYFUNCTION("""COMPUTED_VALUE"""),"チェッカー")</f>
        <v>チェッカー</v>
      </c>
      <c r="AN8" s="995" t="str">
        <f>IFERROR(__xludf.DUMMYFUNCTION("""COMPUTED_VALUE"""),"時給")</f>
        <v>時給</v>
      </c>
      <c r="AO8" s="1133">
        <f>IFERROR(__xludf.DUMMYFUNCTION("""COMPUTED_VALUE"""),18.0)</f>
        <v>18</v>
      </c>
      <c r="AP8" s="242">
        <f t="shared" si="7"/>
        <v>1</v>
      </c>
      <c r="AQ8" s="1136">
        <f>IFERROR(__xludf.DUMMYFUNCTION("""COMPUTED_VALUE"""),120.9)</f>
        <v>120.9</v>
      </c>
      <c r="AR8" s="242">
        <f>IFERROR(__xludf.DUMMYFUNCTION("""COMPUTED_VALUE"""),0.0)</f>
        <v>0</v>
      </c>
      <c r="AS8" s="237"/>
      <c r="AT8" s="214"/>
      <c r="AU8" s="1138"/>
      <c r="AV8" s="1143"/>
      <c r="AW8" s="1144"/>
      <c r="AX8" s="1144"/>
      <c r="AY8" s="1145"/>
      <c r="AZ8" s="1140">
        <f t="shared" si="8"/>
        <v>0</v>
      </c>
      <c r="BA8" s="1146"/>
      <c r="BB8" s="1140"/>
      <c r="BC8" s="214"/>
      <c r="BD8" s="214"/>
      <c r="BE8" s="1131"/>
      <c r="BF8" s="169"/>
      <c r="BG8" s="995"/>
      <c r="BH8" s="995"/>
      <c r="BI8" s="1133"/>
      <c r="BJ8" s="242">
        <f t="shared" si="9"/>
        <v>0</v>
      </c>
      <c r="BK8" s="1136"/>
      <c r="BL8" s="242"/>
      <c r="BM8" s="214"/>
      <c r="BN8" s="214"/>
      <c r="BO8" s="1131"/>
      <c r="BP8" s="169"/>
      <c r="BQ8" s="995"/>
      <c r="BR8" s="995"/>
      <c r="BS8" s="1133"/>
      <c r="BT8" s="242">
        <f t="shared" si="10"/>
        <v>0</v>
      </c>
      <c r="BU8" s="1136"/>
      <c r="BV8" s="242"/>
      <c r="BW8" s="237"/>
      <c r="BX8" s="214"/>
      <c r="BY8" s="1131"/>
      <c r="BZ8" s="169"/>
      <c r="CA8" s="995"/>
      <c r="CB8" s="995"/>
      <c r="CC8" s="1133"/>
      <c r="CD8" s="242">
        <f t="shared" si="11"/>
        <v>0</v>
      </c>
      <c r="CE8" s="1136"/>
      <c r="CF8" s="242"/>
      <c r="CG8" s="214"/>
      <c r="CH8" s="214"/>
      <c r="CI8" s="1131"/>
      <c r="CJ8" s="169"/>
      <c r="CK8" s="995"/>
      <c r="CL8" s="995"/>
      <c r="CM8" s="1133"/>
      <c r="CN8" s="242">
        <f t="shared" si="12"/>
        <v>0</v>
      </c>
      <c r="CO8" s="1136"/>
      <c r="CP8" s="242"/>
      <c r="CQ8" s="214"/>
      <c r="CR8" s="214"/>
      <c r="CS8" s="1131"/>
      <c r="CT8" s="169"/>
      <c r="CU8" s="995"/>
      <c r="CV8" s="995"/>
      <c r="CW8" s="1133"/>
      <c r="CX8" s="242">
        <f t="shared" si="13"/>
        <v>0</v>
      </c>
      <c r="CY8" s="1136"/>
      <c r="CZ8" s="242"/>
      <c r="DA8" s="237"/>
      <c r="DB8" s="214"/>
      <c r="DC8" s="1131"/>
      <c r="DD8" s="169"/>
      <c r="DE8" s="995"/>
      <c r="DF8" s="995"/>
      <c r="DG8" s="1133"/>
      <c r="DH8" s="242">
        <f t="shared" si="14"/>
        <v>0</v>
      </c>
      <c r="DI8" s="1136"/>
      <c r="DJ8" s="242"/>
      <c r="DK8" s="214"/>
      <c r="DL8" s="214"/>
      <c r="DM8" s="1131"/>
      <c r="DN8" s="169"/>
      <c r="DO8" s="995"/>
      <c r="DP8" s="995"/>
      <c r="DQ8" s="1133"/>
      <c r="DR8" s="242">
        <f t="shared" si="15"/>
        <v>0</v>
      </c>
      <c r="DS8" s="1136"/>
      <c r="DT8" s="242"/>
      <c r="DU8" s="214"/>
      <c r="DV8" s="214"/>
      <c r="DW8" s="1131"/>
      <c r="DX8" s="169"/>
      <c r="DY8" s="995"/>
      <c r="DZ8" s="995"/>
      <c r="EA8" s="1133"/>
      <c r="EB8" s="242">
        <f t="shared" si="16"/>
        <v>0</v>
      </c>
      <c r="EC8" s="1136"/>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22">
        <v>2392.0</v>
      </c>
      <c r="C9" s="1123" t="s">
        <v>495</v>
      </c>
      <c r="D9" s="1124" t="s">
        <v>88</v>
      </c>
      <c r="E9" s="1124" t="s">
        <v>1002</v>
      </c>
      <c r="F9" s="1125">
        <f t="shared" si="2"/>
        <v>16</v>
      </c>
      <c r="G9" s="1126" t="str">
        <f t="shared" si="3"/>
        <v>該当</v>
      </c>
      <c r="H9" s="112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7">
        <f t="shared" si="20"/>
        <v>100.5666667</v>
      </c>
      <c r="J9" s="1128">
        <f t="shared" si="20"/>
        <v>0</v>
      </c>
      <c r="K9" s="214"/>
      <c r="L9" s="242" t="str">
        <f t="array" ref="L9">IFERROR(INDEX('💻シート作成'!$D$6:$D999, MATCH(M9, '💻シート作成'!$E$6:$E999, 0)), "")</f>
        <v>1月</v>
      </c>
      <c r="M9" s="1024" t="str">
        <f>IFERROR(__xludf.DUMMYFUNCTION("""COMPUTED_VALUE"""),"①R9_1集計")</f>
        <v>①R9_1集計</v>
      </c>
      <c r="N9" s="214"/>
      <c r="O9" s="1141">
        <v>6.0</v>
      </c>
      <c r="P9" s="1130"/>
      <c r="Q9" s="1131">
        <f>IFERROR(__xludf.DUMMYFUNCTION("""COMPUTED_VALUE"""),1702.0)</f>
        <v>1702</v>
      </c>
      <c r="R9" s="519" t="str">
        <f>IFERROR(__xludf.DUMMYFUNCTION("""COMPUTED_VALUE"""),"井崎")</f>
        <v>井崎</v>
      </c>
      <c r="S9" s="995" t="str">
        <f>IFERROR(__xludf.DUMMYFUNCTION("""COMPUTED_VALUE"""),"井崎")</f>
        <v>井崎</v>
      </c>
      <c r="T9" s="995" t="str">
        <f>IFERROR(__xludf.DUMMYFUNCTION("""COMPUTED_VALUE"""),"時給")</f>
        <v>時給</v>
      </c>
      <c r="U9" s="1133">
        <f>IFERROR(__xludf.DUMMYFUNCTION("""COMPUTED_VALUE"""),10.0)</f>
        <v>10</v>
      </c>
      <c r="V9" s="242">
        <f t="shared" si="5"/>
        <v>0</v>
      </c>
      <c r="W9" s="1134">
        <f>IFERROR(__xludf.DUMMYFUNCTION("""COMPUTED_VALUE"""),49.7)</f>
        <v>49.7</v>
      </c>
      <c r="X9" s="242">
        <f>IFERROR(__xludf.DUMMYFUNCTION("""COMPUTED_VALUE"""),0.0)</f>
        <v>0</v>
      </c>
      <c r="Y9" s="214"/>
      <c r="Z9" s="214"/>
      <c r="AA9" s="1131">
        <f>IFERROR(__xludf.DUMMYFUNCTION("""COMPUTED_VALUE"""),1710.0)</f>
        <v>1710</v>
      </c>
      <c r="AB9" s="519" t="str">
        <f>IFERROR(__xludf.DUMMYFUNCTION("""COMPUTED_VALUE"""),"ウィング")</f>
        <v>ウィング</v>
      </c>
      <c r="AC9" s="995" t="str">
        <f>IFERROR(__xludf.DUMMYFUNCTION("""COMPUTED_VALUE"""),"チェッカー")</f>
        <v>チェッカー</v>
      </c>
      <c r="AD9" s="995" t="str">
        <f>IFERROR(__xludf.DUMMYFUNCTION("""COMPUTED_VALUE"""),"時給")</f>
        <v>時給</v>
      </c>
      <c r="AE9" s="1133">
        <f>IFERROR(__xludf.DUMMYFUNCTION("""COMPUTED_VALUE"""),9.0)</f>
        <v>9</v>
      </c>
      <c r="AF9" s="242">
        <f t="shared" si="6"/>
        <v>0</v>
      </c>
      <c r="AG9" s="1136">
        <f>IFERROR(__xludf.DUMMYFUNCTION("""COMPUTED_VALUE"""),57.7)</f>
        <v>57.7</v>
      </c>
      <c r="AH9" s="242">
        <f>IFERROR(__xludf.DUMMYFUNCTION("""COMPUTED_VALUE"""),0.0)</f>
        <v>0</v>
      </c>
      <c r="AI9" s="214"/>
      <c r="AJ9" s="214"/>
      <c r="AK9" s="1131">
        <f>IFERROR(__xludf.DUMMYFUNCTION("""COMPUTED_VALUE"""),2392.0)</f>
        <v>2392</v>
      </c>
      <c r="AL9" s="519" t="str">
        <f>IFERROR(__xludf.DUMMYFUNCTION("""COMPUTED_VALUE"""),"中山")</f>
        <v>中山</v>
      </c>
      <c r="AM9" s="995" t="str">
        <f>IFERROR(__xludf.DUMMYFUNCTION("""COMPUTED_VALUE"""),"チェッカー")</f>
        <v>チェッカー</v>
      </c>
      <c r="AN9" s="995" t="str">
        <f>IFERROR(__xludf.DUMMYFUNCTION("""COMPUTED_VALUE"""),"時給")</f>
        <v>時給</v>
      </c>
      <c r="AO9" s="1133">
        <f>IFERROR(__xludf.DUMMYFUNCTION("""COMPUTED_VALUE"""),7.0)</f>
        <v>7</v>
      </c>
      <c r="AP9" s="242">
        <f t="shared" si="7"/>
        <v>0</v>
      </c>
      <c r="AQ9" s="1136">
        <f>IFERROR(__xludf.DUMMYFUNCTION("""COMPUTED_VALUE"""),46.416666666666664)</f>
        <v>46.41666667</v>
      </c>
      <c r="AR9" s="242">
        <f>IFERROR(__xludf.DUMMYFUNCTION("""COMPUTED_VALUE"""),0.0)</f>
        <v>0</v>
      </c>
      <c r="AS9" s="237"/>
      <c r="AT9" s="214"/>
      <c r="AU9" s="1138"/>
      <c r="AV9" s="1143"/>
      <c r="AW9" s="1144"/>
      <c r="AX9" s="1144"/>
      <c r="AY9" s="1145"/>
      <c r="AZ9" s="1140">
        <f t="shared" si="8"/>
        <v>0</v>
      </c>
      <c r="BA9" s="1146"/>
      <c r="BB9" s="1140"/>
      <c r="BC9" s="214"/>
      <c r="BD9" s="214"/>
      <c r="BE9" s="1131"/>
      <c r="BF9" s="169"/>
      <c r="BG9" s="995"/>
      <c r="BH9" s="995"/>
      <c r="BI9" s="1133"/>
      <c r="BJ9" s="242">
        <f t="shared" si="9"/>
        <v>0</v>
      </c>
      <c r="BK9" s="1136"/>
      <c r="BL9" s="242"/>
      <c r="BM9" s="214"/>
      <c r="BN9" s="214"/>
      <c r="BO9" s="1131"/>
      <c r="BP9" s="169"/>
      <c r="BQ9" s="995"/>
      <c r="BR9" s="995"/>
      <c r="BS9" s="1133"/>
      <c r="BT9" s="242">
        <f t="shared" si="10"/>
        <v>0</v>
      </c>
      <c r="BU9" s="1136"/>
      <c r="BV9" s="242"/>
      <c r="BW9" s="237"/>
      <c r="BX9" s="214"/>
      <c r="BY9" s="1131"/>
      <c r="BZ9" s="169"/>
      <c r="CA9" s="995"/>
      <c r="CB9" s="995"/>
      <c r="CC9" s="1133"/>
      <c r="CD9" s="242">
        <f t="shared" si="11"/>
        <v>0</v>
      </c>
      <c r="CE9" s="1136"/>
      <c r="CF9" s="242"/>
      <c r="CG9" s="214"/>
      <c r="CH9" s="214"/>
      <c r="CI9" s="1131"/>
      <c r="CJ9" s="169"/>
      <c r="CK9" s="995"/>
      <c r="CL9" s="995"/>
      <c r="CM9" s="1133"/>
      <c r="CN9" s="242">
        <f t="shared" si="12"/>
        <v>0</v>
      </c>
      <c r="CO9" s="1136"/>
      <c r="CP9" s="242"/>
      <c r="CQ9" s="214"/>
      <c r="CR9" s="214"/>
      <c r="CS9" s="1131"/>
      <c r="CT9" s="169"/>
      <c r="CU9" s="995"/>
      <c r="CV9" s="995"/>
      <c r="CW9" s="1133"/>
      <c r="CX9" s="242">
        <f t="shared" si="13"/>
        <v>0</v>
      </c>
      <c r="CY9" s="1136"/>
      <c r="CZ9" s="242"/>
      <c r="DA9" s="237"/>
      <c r="DB9" s="214"/>
      <c r="DC9" s="1131"/>
      <c r="DD9" s="169"/>
      <c r="DE9" s="995"/>
      <c r="DF9" s="995"/>
      <c r="DG9" s="1133"/>
      <c r="DH9" s="242">
        <f t="shared" si="14"/>
        <v>0</v>
      </c>
      <c r="DI9" s="1136"/>
      <c r="DJ9" s="242"/>
      <c r="DK9" s="214"/>
      <c r="DL9" s="214"/>
      <c r="DM9" s="1131"/>
      <c r="DN9" s="169"/>
      <c r="DO9" s="995"/>
      <c r="DP9" s="995"/>
      <c r="DQ9" s="1133"/>
      <c r="DR9" s="242">
        <f t="shared" si="15"/>
        <v>0</v>
      </c>
      <c r="DS9" s="1136"/>
      <c r="DT9" s="242"/>
      <c r="DU9" s="214"/>
      <c r="DV9" s="214"/>
      <c r="DW9" s="1131"/>
      <c r="DX9" s="169"/>
      <c r="DY9" s="995"/>
      <c r="DZ9" s="995"/>
      <c r="EA9" s="1133"/>
      <c r="EB9" s="242">
        <f t="shared" si="16"/>
        <v>0</v>
      </c>
      <c r="EC9" s="1136"/>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22">
        <v>2401.0</v>
      </c>
      <c r="C10" s="1123" t="s">
        <v>637</v>
      </c>
      <c r="D10" s="1124" t="s">
        <v>88</v>
      </c>
      <c r="E10" s="1124" t="s">
        <v>1002</v>
      </c>
      <c r="F10" s="1125">
        <f t="shared" si="2"/>
        <v>21</v>
      </c>
      <c r="G10" s="1126" t="str">
        <f t="shared" si="3"/>
        <v>非該当</v>
      </c>
      <c r="H10" s="112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7</v>
      </c>
      <c r="I10" s="1127">
        <f t="shared" si="21"/>
        <v>128.9833333</v>
      </c>
      <c r="J10" s="1128">
        <f t="shared" si="21"/>
        <v>0</v>
      </c>
      <c r="K10" s="214"/>
      <c r="L10" s="242" t="str">
        <f t="array" ref="L10">IFERROR(INDEX('💻シート作成'!$D$6:$D999, MATCH(M10, '💻シート作成'!$E$6:$E999, 0)), "")</f>
        <v>1月</v>
      </c>
      <c r="M10" s="1013" t="str">
        <f>IFERROR(__xludf.DUMMYFUNCTION("""COMPUTED_VALUE"""),"②R9_1シフト")</f>
        <v>②R9_1シフト</v>
      </c>
      <c r="N10" s="214"/>
      <c r="O10" s="1141">
        <v>7.0</v>
      </c>
      <c r="P10" s="1130"/>
      <c r="Q10" s="1131">
        <f>IFERROR(__xludf.DUMMYFUNCTION("""COMPUTED_VALUE"""),1710.0)</f>
        <v>1710</v>
      </c>
      <c r="R10" s="519" t="str">
        <f>IFERROR(__xludf.DUMMYFUNCTION("""COMPUTED_VALUE"""),"ウィング")</f>
        <v>ウィング</v>
      </c>
      <c r="S10" s="995" t="str">
        <f>IFERROR(__xludf.DUMMYFUNCTION("""COMPUTED_VALUE"""),"ウィング")</f>
        <v>ウィング</v>
      </c>
      <c r="T10" s="995" t="str">
        <f>IFERROR(__xludf.DUMMYFUNCTION("""COMPUTED_VALUE"""),"時給")</f>
        <v>時給</v>
      </c>
      <c r="U10" s="1133">
        <f>IFERROR(__xludf.DUMMYFUNCTION("""COMPUTED_VALUE"""),10.0)</f>
        <v>10</v>
      </c>
      <c r="V10" s="242">
        <f t="shared" si="5"/>
        <v>0</v>
      </c>
      <c r="W10" s="1134">
        <f>IFERROR(__xludf.DUMMYFUNCTION("""COMPUTED_VALUE"""),66.6)</f>
        <v>66.6</v>
      </c>
      <c r="X10" s="242">
        <f>IFERROR(__xludf.DUMMYFUNCTION("""COMPUTED_VALUE"""),0.0)</f>
        <v>0</v>
      </c>
      <c r="Y10" s="214"/>
      <c r="Z10" s="214"/>
      <c r="AA10" s="1131">
        <f>IFERROR(__xludf.DUMMYFUNCTION("""COMPUTED_VALUE"""),1714.0)</f>
        <v>1714</v>
      </c>
      <c r="AB10" s="519" t="str">
        <f>IFERROR(__xludf.DUMMYFUNCTION("""COMPUTED_VALUE"""),"サロメ")</f>
        <v>サロメ</v>
      </c>
      <c r="AC10" s="995" t="str">
        <f>IFERROR(__xludf.DUMMYFUNCTION("""COMPUTED_VALUE"""),"メイド")</f>
        <v>メイド</v>
      </c>
      <c r="AD10" s="995" t="str">
        <f>IFERROR(__xludf.DUMMYFUNCTION("""COMPUTED_VALUE"""),"歩+時")</f>
        <v>歩+時</v>
      </c>
      <c r="AE10" s="1133">
        <f>IFERROR(__xludf.DUMMYFUNCTION("""COMPUTED_VALUE"""),22.0)</f>
        <v>22</v>
      </c>
      <c r="AF10" s="242">
        <f t="shared" si="6"/>
        <v>0</v>
      </c>
      <c r="AG10" s="1136">
        <f>IFERROR(__xludf.DUMMYFUNCTION("""COMPUTED_VALUE"""),121.75)</f>
        <v>121.75</v>
      </c>
      <c r="AH10" s="242">
        <f>IFERROR(__xludf.DUMMYFUNCTION("""COMPUTED_VALUE"""),339.0)</f>
        <v>339</v>
      </c>
      <c r="AI10" s="214"/>
      <c r="AJ10" s="214"/>
      <c r="AK10" s="1131">
        <f>IFERROR(__xludf.DUMMYFUNCTION("""COMPUTED_VALUE"""),2401.0)</f>
        <v>2401</v>
      </c>
      <c r="AL10" s="519" t="str">
        <f>IFERROR(__xludf.DUMMYFUNCTION("""COMPUTED_VALUE"""),"福原")</f>
        <v>福原</v>
      </c>
      <c r="AM10" s="995" t="str">
        <f>IFERROR(__xludf.DUMMYFUNCTION("""COMPUTED_VALUE"""),"チェッカー")</f>
        <v>チェッカー</v>
      </c>
      <c r="AN10" s="995" t="str">
        <f>IFERROR(__xludf.DUMMYFUNCTION("""COMPUTED_VALUE"""),"時給")</f>
        <v>時給</v>
      </c>
      <c r="AO10" s="1133">
        <f>IFERROR(__xludf.DUMMYFUNCTION("""COMPUTED_VALUE"""),11.0)</f>
        <v>11</v>
      </c>
      <c r="AP10" s="242">
        <f t="shared" si="7"/>
        <v>5</v>
      </c>
      <c r="AQ10" s="1136">
        <f>IFERROR(__xludf.DUMMYFUNCTION("""COMPUTED_VALUE"""),68.66666666666667)</f>
        <v>68.66666667</v>
      </c>
      <c r="AR10" s="242">
        <f>IFERROR(__xludf.DUMMYFUNCTION("""COMPUTED_VALUE"""),0.0)</f>
        <v>0</v>
      </c>
      <c r="AS10" s="237"/>
      <c r="AT10" s="214"/>
      <c r="AU10" s="1138"/>
      <c r="AV10" s="1143"/>
      <c r="AW10" s="1144"/>
      <c r="AX10" s="1144"/>
      <c r="AY10" s="1145"/>
      <c r="AZ10" s="1140">
        <f t="shared" si="8"/>
        <v>0</v>
      </c>
      <c r="BA10" s="1146"/>
      <c r="BB10" s="1140"/>
      <c r="BC10" s="214"/>
      <c r="BD10" s="214"/>
      <c r="BE10" s="1131"/>
      <c r="BF10" s="169"/>
      <c r="BG10" s="995"/>
      <c r="BH10" s="995"/>
      <c r="BI10" s="1133"/>
      <c r="BJ10" s="242">
        <f t="shared" si="9"/>
        <v>0</v>
      </c>
      <c r="BK10" s="1136"/>
      <c r="BL10" s="242"/>
      <c r="BM10" s="214"/>
      <c r="BN10" s="214"/>
      <c r="BO10" s="1131"/>
      <c r="BP10" s="169"/>
      <c r="BQ10" s="995"/>
      <c r="BR10" s="995"/>
      <c r="BS10" s="1133"/>
      <c r="BT10" s="242">
        <f t="shared" si="10"/>
        <v>0</v>
      </c>
      <c r="BU10" s="1136"/>
      <c r="BV10" s="242"/>
      <c r="BW10" s="237"/>
      <c r="BX10" s="214"/>
      <c r="BY10" s="1131"/>
      <c r="BZ10" s="169"/>
      <c r="CA10" s="995"/>
      <c r="CB10" s="995"/>
      <c r="CC10" s="1133"/>
      <c r="CD10" s="242">
        <f t="shared" si="11"/>
        <v>0</v>
      </c>
      <c r="CE10" s="1136"/>
      <c r="CF10" s="242"/>
      <c r="CG10" s="214"/>
      <c r="CH10" s="214"/>
      <c r="CI10" s="1131"/>
      <c r="CJ10" s="169"/>
      <c r="CK10" s="995"/>
      <c r="CL10" s="995"/>
      <c r="CM10" s="1133"/>
      <c r="CN10" s="242">
        <f t="shared" si="12"/>
        <v>0</v>
      </c>
      <c r="CO10" s="1136"/>
      <c r="CP10" s="242"/>
      <c r="CQ10" s="214"/>
      <c r="CR10" s="214"/>
      <c r="CS10" s="1131"/>
      <c r="CT10" s="169"/>
      <c r="CU10" s="995"/>
      <c r="CV10" s="995"/>
      <c r="CW10" s="1133"/>
      <c r="CX10" s="242">
        <f t="shared" si="13"/>
        <v>0</v>
      </c>
      <c r="CY10" s="1136"/>
      <c r="CZ10" s="242"/>
      <c r="DA10" s="237"/>
      <c r="DB10" s="214"/>
      <c r="DC10" s="1131"/>
      <c r="DD10" s="169"/>
      <c r="DE10" s="995"/>
      <c r="DF10" s="995"/>
      <c r="DG10" s="1133"/>
      <c r="DH10" s="242">
        <f t="shared" si="14"/>
        <v>0</v>
      </c>
      <c r="DI10" s="1136"/>
      <c r="DJ10" s="242"/>
      <c r="DK10" s="214"/>
      <c r="DL10" s="214"/>
      <c r="DM10" s="1131"/>
      <c r="DN10" s="169"/>
      <c r="DO10" s="995"/>
      <c r="DP10" s="995"/>
      <c r="DQ10" s="1133"/>
      <c r="DR10" s="242">
        <f t="shared" si="15"/>
        <v>0</v>
      </c>
      <c r="DS10" s="1136"/>
      <c r="DT10" s="242"/>
      <c r="DU10" s="214"/>
      <c r="DV10" s="214"/>
      <c r="DW10" s="1131"/>
      <c r="DX10" s="169"/>
      <c r="DY10" s="995"/>
      <c r="DZ10" s="995"/>
      <c r="EA10" s="1133"/>
      <c r="EB10" s="242">
        <f t="shared" si="16"/>
        <v>0</v>
      </c>
      <c r="EC10" s="1136"/>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22">
        <v>2411.0</v>
      </c>
      <c r="C11" s="1123" t="s">
        <v>496</v>
      </c>
      <c r="D11" s="1124" t="s">
        <v>88</v>
      </c>
      <c r="E11" s="1124" t="s">
        <v>1002</v>
      </c>
      <c r="F11" s="1125">
        <f t="shared" si="2"/>
        <v>23</v>
      </c>
      <c r="G11" s="1126" t="str">
        <f t="shared" si="3"/>
        <v>該当</v>
      </c>
      <c r="H11" s="112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7">
        <f t="shared" si="22"/>
        <v>139.1</v>
      </c>
      <c r="J11" s="1128">
        <f t="shared" si="22"/>
        <v>0</v>
      </c>
      <c r="K11" s="214"/>
      <c r="L11" s="242" t="str">
        <f t="array" ref="L11">IFERROR(INDEX('💻シート作成'!$D$6:$D999, MATCH(M11, '💻シート作成'!$E$6:$E999, 0)), "")</f>
        <v>1月</v>
      </c>
      <c r="M11" s="1013" t="str">
        <f>IFERROR(__xludf.DUMMYFUNCTION("""COMPUTED_VALUE"""),"③R9_1日報")</f>
        <v>③R9_1日報</v>
      </c>
      <c r="N11" s="214"/>
      <c r="O11" s="1141">
        <v>8.0</v>
      </c>
      <c r="P11" s="1130"/>
      <c r="Q11" s="1131">
        <f>IFERROR(__xludf.DUMMYFUNCTION("""COMPUTED_VALUE"""),1714.0)</f>
        <v>1714</v>
      </c>
      <c r="R11" s="519" t="str">
        <f>IFERROR(__xludf.DUMMYFUNCTION("""COMPUTED_VALUE"""),"サロメ")</f>
        <v>サロメ</v>
      </c>
      <c r="S11" s="995" t="str">
        <f>IFERROR(__xludf.DUMMYFUNCTION("""COMPUTED_VALUE"""),"サロメ")</f>
        <v>サロメ</v>
      </c>
      <c r="T11" s="995" t="str">
        <f>IFERROR(__xludf.DUMMYFUNCTION("""COMPUTED_VALUE"""),"歩+時")</f>
        <v>歩+時</v>
      </c>
      <c r="U11" s="1133">
        <f>IFERROR(__xludf.DUMMYFUNCTION("""COMPUTED_VALUE"""),18.0)</f>
        <v>18</v>
      </c>
      <c r="V11" s="242">
        <f t="shared" si="5"/>
        <v>0</v>
      </c>
      <c r="W11" s="1134">
        <f>IFERROR(__xludf.DUMMYFUNCTION("""COMPUTED_VALUE"""),100.4)</f>
        <v>100.4</v>
      </c>
      <c r="X11" s="242">
        <f>IFERROR(__xludf.DUMMYFUNCTION("""COMPUTED_VALUE"""),290.0)</f>
        <v>290</v>
      </c>
      <c r="Y11" s="214"/>
      <c r="Z11" s="214"/>
      <c r="AA11" s="1131">
        <f>IFERROR(__xludf.DUMMYFUNCTION("""COMPUTED_VALUE"""),1722.0)</f>
        <v>1722</v>
      </c>
      <c r="AB11" s="519" t="str">
        <f>IFERROR(__xludf.DUMMYFUNCTION("""COMPUTED_VALUE"""),"ポールニ")</f>
        <v>ポールニ</v>
      </c>
      <c r="AC11" s="995" t="str">
        <f>IFERROR(__xludf.DUMMYFUNCTION("""COMPUTED_VALUE"""),"メイド")</f>
        <v>メイド</v>
      </c>
      <c r="AD11" s="995" t="str">
        <f>IFERROR(__xludf.DUMMYFUNCTION("""COMPUTED_VALUE"""),"時給")</f>
        <v>時給</v>
      </c>
      <c r="AE11" s="1133">
        <f>IFERROR(__xludf.DUMMYFUNCTION("""COMPUTED_VALUE"""),3.0)</f>
        <v>3</v>
      </c>
      <c r="AF11" s="242">
        <f t="shared" si="6"/>
        <v>0</v>
      </c>
      <c r="AG11" s="1136">
        <f>IFERROR(__xludf.DUMMYFUNCTION("""COMPUTED_VALUE"""),17.2)</f>
        <v>17.2</v>
      </c>
      <c r="AH11" s="242">
        <f>IFERROR(__xludf.DUMMYFUNCTION("""COMPUTED_VALUE"""),0.0)</f>
        <v>0</v>
      </c>
      <c r="AI11" s="214"/>
      <c r="AJ11" s="214"/>
      <c r="AK11" s="1131">
        <f>IFERROR(__xludf.DUMMYFUNCTION("""COMPUTED_VALUE"""),2411.0)</f>
        <v>2411</v>
      </c>
      <c r="AL11" s="169" t="str">
        <f>IFERROR(__xludf.DUMMYFUNCTION("""COMPUTED_VALUE"""),"吉野")</f>
        <v>吉野</v>
      </c>
      <c r="AM11" s="995" t="str">
        <f>IFERROR(__xludf.DUMMYFUNCTION("""COMPUTED_VALUE"""),"チェッカー")</f>
        <v>チェッカー</v>
      </c>
      <c r="AN11" s="995" t="str">
        <f>IFERROR(__xludf.DUMMYFUNCTION("""COMPUTED_VALUE"""),"時給")</f>
        <v>時給</v>
      </c>
      <c r="AO11" s="1133">
        <f>IFERROR(__xludf.DUMMYFUNCTION("""COMPUTED_VALUE"""),16.0)</f>
        <v>16</v>
      </c>
      <c r="AP11" s="242">
        <f t="shared" si="7"/>
        <v>0</v>
      </c>
      <c r="AQ11" s="1136">
        <f>IFERROR(__xludf.DUMMYFUNCTION("""COMPUTED_VALUE"""),98.6)</f>
        <v>98.6</v>
      </c>
      <c r="AR11" s="242">
        <f>IFERROR(__xludf.DUMMYFUNCTION("""COMPUTED_VALUE"""),0.0)</f>
        <v>0</v>
      </c>
      <c r="AS11" s="237"/>
      <c r="AT11" s="214"/>
      <c r="AU11" s="1138"/>
      <c r="AV11" s="1143"/>
      <c r="AW11" s="1144"/>
      <c r="AX11" s="1144"/>
      <c r="AY11" s="1145"/>
      <c r="AZ11" s="1140">
        <f t="shared" si="8"/>
        <v>0</v>
      </c>
      <c r="BA11" s="1146"/>
      <c r="BB11" s="1140"/>
      <c r="BC11" s="214"/>
      <c r="BD11" s="214"/>
      <c r="BE11" s="1131"/>
      <c r="BF11" s="169"/>
      <c r="BG11" s="995"/>
      <c r="BH11" s="995"/>
      <c r="BI11" s="1133"/>
      <c r="BJ11" s="242">
        <f t="shared" si="9"/>
        <v>0</v>
      </c>
      <c r="BK11" s="1136"/>
      <c r="BL11" s="242"/>
      <c r="BM11" s="214"/>
      <c r="BN11" s="214"/>
      <c r="BO11" s="1131"/>
      <c r="BP11" s="169"/>
      <c r="BQ11" s="995"/>
      <c r="BR11" s="995"/>
      <c r="BS11" s="1133"/>
      <c r="BT11" s="242">
        <f t="shared" si="10"/>
        <v>0</v>
      </c>
      <c r="BU11" s="1136"/>
      <c r="BV11" s="242"/>
      <c r="BW11" s="237"/>
      <c r="BX11" s="214"/>
      <c r="BY11" s="1131"/>
      <c r="BZ11" s="169"/>
      <c r="CA11" s="995"/>
      <c r="CB11" s="995"/>
      <c r="CC11" s="1133"/>
      <c r="CD11" s="242">
        <f t="shared" si="11"/>
        <v>0</v>
      </c>
      <c r="CE11" s="1136"/>
      <c r="CF11" s="242"/>
      <c r="CG11" s="214"/>
      <c r="CH11" s="214"/>
      <c r="CI11" s="1131"/>
      <c r="CJ11" s="169"/>
      <c r="CK11" s="995"/>
      <c r="CL11" s="995"/>
      <c r="CM11" s="1133"/>
      <c r="CN11" s="242">
        <f t="shared" si="12"/>
        <v>0</v>
      </c>
      <c r="CO11" s="1136"/>
      <c r="CP11" s="242"/>
      <c r="CQ11" s="214"/>
      <c r="CR11" s="214"/>
      <c r="CS11" s="1131"/>
      <c r="CT11" s="169"/>
      <c r="CU11" s="995"/>
      <c r="CV11" s="995"/>
      <c r="CW11" s="1133"/>
      <c r="CX11" s="242">
        <f t="shared" si="13"/>
        <v>0</v>
      </c>
      <c r="CY11" s="1136"/>
      <c r="CZ11" s="242"/>
      <c r="DA11" s="237"/>
      <c r="DB11" s="214"/>
      <c r="DC11" s="1131"/>
      <c r="DD11" s="169"/>
      <c r="DE11" s="995"/>
      <c r="DF11" s="995"/>
      <c r="DG11" s="1133"/>
      <c r="DH11" s="242">
        <f t="shared" si="14"/>
        <v>0</v>
      </c>
      <c r="DI11" s="1136"/>
      <c r="DJ11" s="242"/>
      <c r="DK11" s="214"/>
      <c r="DL11" s="214"/>
      <c r="DM11" s="1131"/>
      <c r="DN11" s="169"/>
      <c r="DO11" s="995"/>
      <c r="DP11" s="995"/>
      <c r="DQ11" s="1133"/>
      <c r="DR11" s="242">
        <f t="shared" si="15"/>
        <v>0</v>
      </c>
      <c r="DS11" s="1136"/>
      <c r="DT11" s="242"/>
      <c r="DU11" s="214"/>
      <c r="DV11" s="214"/>
      <c r="DW11" s="1131"/>
      <c r="DX11" s="169"/>
      <c r="DY11" s="995"/>
      <c r="DZ11" s="995"/>
      <c r="EA11" s="1133"/>
      <c r="EB11" s="242">
        <f t="shared" si="16"/>
        <v>0</v>
      </c>
      <c r="EC11" s="1136"/>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22">
        <v>1679.0</v>
      </c>
      <c r="C12" s="1123" t="s">
        <v>506</v>
      </c>
      <c r="D12" s="1124" t="s">
        <v>89</v>
      </c>
      <c r="E12" s="1124" t="s">
        <v>1002</v>
      </c>
      <c r="F12" s="1125">
        <f t="shared" si="2"/>
        <v>37</v>
      </c>
      <c r="G12" s="1126" t="str">
        <f t="shared" si="3"/>
        <v>該当</v>
      </c>
      <c r="H12" s="112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7">
        <f t="shared" si="23"/>
        <v>236.7666667</v>
      </c>
      <c r="J12" s="1128">
        <f t="shared" si="23"/>
        <v>0</v>
      </c>
      <c r="K12" s="214"/>
      <c r="L12" s="242" t="str">
        <f t="array" ref="L12">IFERROR(INDEX('💻シート作成'!$D$6:$D999, MATCH(M12, '💻シート作成'!$E$6:$E999, 0)), "")</f>
        <v>1月</v>
      </c>
      <c r="M12" s="1013" t="str">
        <f>IFERROR(__xludf.DUMMYFUNCTION("""COMPUTED_VALUE"""),"④R9_1月報")</f>
        <v>④R9_1月報</v>
      </c>
      <c r="N12" s="214"/>
      <c r="O12" s="1141">
        <v>9.0</v>
      </c>
      <c r="P12" s="1149"/>
      <c r="Q12" s="1131">
        <f>IFERROR(__xludf.DUMMYFUNCTION("""COMPUTED_VALUE"""),1722.0)</f>
        <v>1722</v>
      </c>
      <c r="R12" s="519" t="str">
        <f>IFERROR(__xludf.DUMMYFUNCTION("""COMPUTED_VALUE"""),"ポールニ")</f>
        <v>ポールニ</v>
      </c>
      <c r="S12" s="995" t="str">
        <f>IFERROR(__xludf.DUMMYFUNCTION("""COMPUTED_VALUE"""),"ポールニ")</f>
        <v>ポールニ</v>
      </c>
      <c r="T12" s="995" t="str">
        <f>IFERROR(__xludf.DUMMYFUNCTION("""COMPUTED_VALUE"""),"時給")</f>
        <v>時給</v>
      </c>
      <c r="U12" s="1133">
        <f>IFERROR(__xludf.DUMMYFUNCTION("""COMPUTED_VALUE"""),4.0)</f>
        <v>4</v>
      </c>
      <c r="V12" s="242">
        <f t="shared" si="5"/>
        <v>1</v>
      </c>
      <c r="W12" s="1134">
        <f>IFERROR(__xludf.DUMMYFUNCTION("""COMPUTED_VALUE"""),13.0)</f>
        <v>13</v>
      </c>
      <c r="X12" s="242">
        <f>IFERROR(__xludf.DUMMYFUNCTION("""COMPUTED_VALUE"""),0.0)</f>
        <v>0</v>
      </c>
      <c r="Y12" s="214"/>
      <c r="Z12" s="214"/>
      <c r="AA12" s="1131">
        <f>IFERROR(__xludf.DUMMYFUNCTION("""COMPUTED_VALUE"""),1733.0)</f>
        <v>1733</v>
      </c>
      <c r="AB12" s="519" t="str">
        <f>IFERROR(__xludf.DUMMYFUNCTION("""COMPUTED_VALUE"""),"シワンティ")</f>
        <v>シワンティ</v>
      </c>
      <c r="AC12" s="995" t="str">
        <f>IFERROR(__xludf.DUMMYFUNCTION("""COMPUTED_VALUE"""),"メイド")</f>
        <v>メイド</v>
      </c>
      <c r="AD12" s="995" t="str">
        <f>IFERROR(__xludf.DUMMYFUNCTION("""COMPUTED_VALUE"""),"歩+時")</f>
        <v>歩+時</v>
      </c>
      <c r="AE12" s="1133">
        <f>IFERROR(__xludf.DUMMYFUNCTION("""COMPUTED_VALUE"""),26.0)</f>
        <v>26</v>
      </c>
      <c r="AF12" s="242">
        <f t="shared" si="6"/>
        <v>2</v>
      </c>
      <c r="AG12" s="1136">
        <f>IFERROR(__xludf.DUMMYFUNCTION("""COMPUTED_VALUE"""),129.96666666666667)</f>
        <v>129.9666667</v>
      </c>
      <c r="AH12" s="242">
        <f>IFERROR(__xludf.DUMMYFUNCTION("""COMPUTED_VALUE"""),328.0)</f>
        <v>328</v>
      </c>
      <c r="AI12" s="214"/>
      <c r="AJ12" s="214"/>
      <c r="AK12" s="1131">
        <f>IFERROR(__xludf.DUMMYFUNCTION("""COMPUTED_VALUE"""),1679.0)</f>
        <v>1679</v>
      </c>
      <c r="AL12" s="519" t="str">
        <f>IFERROR(__xludf.DUMMYFUNCTION("""COMPUTED_VALUE"""),"熊本")</f>
        <v>熊本</v>
      </c>
      <c r="AM12" s="995" t="str">
        <f>IFERROR(__xludf.DUMMYFUNCTION("""COMPUTED_VALUE"""),"メイド")</f>
        <v>メイド</v>
      </c>
      <c r="AN12" s="995" t="str">
        <f>IFERROR(__xludf.DUMMYFUNCTION("""COMPUTED_VALUE"""),"時給")</f>
        <v>時給</v>
      </c>
      <c r="AO12" s="1133">
        <f>IFERROR(__xludf.DUMMYFUNCTION("""COMPUTED_VALUE"""),13.0)</f>
        <v>13</v>
      </c>
      <c r="AP12" s="242">
        <f t="shared" si="7"/>
        <v>0</v>
      </c>
      <c r="AQ12" s="1136">
        <f>IFERROR(__xludf.DUMMYFUNCTION("""COMPUTED_VALUE"""),84.23333333333333)</f>
        <v>84.23333333</v>
      </c>
      <c r="AR12" s="242">
        <f>IFERROR(__xludf.DUMMYFUNCTION("""COMPUTED_VALUE"""),0.0)</f>
        <v>0</v>
      </c>
      <c r="AS12" s="237"/>
      <c r="AT12" s="214"/>
      <c r="AU12" s="1138"/>
      <c r="AV12" s="1143"/>
      <c r="AW12" s="1144"/>
      <c r="AX12" s="1144"/>
      <c r="AY12" s="1145"/>
      <c r="AZ12" s="1140">
        <f t="shared" si="8"/>
        <v>0</v>
      </c>
      <c r="BA12" s="1146"/>
      <c r="BB12" s="1140"/>
      <c r="BC12" s="214"/>
      <c r="BD12" s="214"/>
      <c r="BE12" s="1131"/>
      <c r="BF12" s="169"/>
      <c r="BG12" s="995"/>
      <c r="BH12" s="995"/>
      <c r="BI12" s="1133"/>
      <c r="BJ12" s="242">
        <f t="shared" si="9"/>
        <v>0</v>
      </c>
      <c r="BK12" s="1136"/>
      <c r="BL12" s="242"/>
      <c r="BM12" s="214"/>
      <c r="BN12" s="214"/>
      <c r="BO12" s="1131"/>
      <c r="BP12" s="169"/>
      <c r="BQ12" s="995"/>
      <c r="BR12" s="995"/>
      <c r="BS12" s="1133"/>
      <c r="BT12" s="242">
        <f t="shared" si="10"/>
        <v>0</v>
      </c>
      <c r="BU12" s="1136"/>
      <c r="BV12" s="242"/>
      <c r="BW12" s="237"/>
      <c r="BX12" s="214"/>
      <c r="BY12" s="1131"/>
      <c r="BZ12" s="169"/>
      <c r="CA12" s="995"/>
      <c r="CB12" s="995"/>
      <c r="CC12" s="1133"/>
      <c r="CD12" s="242">
        <f t="shared" si="11"/>
        <v>0</v>
      </c>
      <c r="CE12" s="1136"/>
      <c r="CF12" s="242"/>
      <c r="CG12" s="214"/>
      <c r="CH12" s="214"/>
      <c r="CI12" s="1131"/>
      <c r="CJ12" s="169"/>
      <c r="CK12" s="995"/>
      <c r="CL12" s="995"/>
      <c r="CM12" s="1133"/>
      <c r="CN12" s="242">
        <f t="shared" si="12"/>
        <v>0</v>
      </c>
      <c r="CO12" s="1136"/>
      <c r="CP12" s="242"/>
      <c r="CQ12" s="214"/>
      <c r="CR12" s="214"/>
      <c r="CS12" s="1131"/>
      <c r="CT12" s="169"/>
      <c r="CU12" s="995"/>
      <c r="CV12" s="995"/>
      <c r="CW12" s="1133"/>
      <c r="CX12" s="242">
        <f t="shared" si="13"/>
        <v>0</v>
      </c>
      <c r="CY12" s="1136"/>
      <c r="CZ12" s="242"/>
      <c r="DA12" s="237"/>
      <c r="DB12" s="214"/>
      <c r="DC12" s="1131"/>
      <c r="DD12" s="169"/>
      <c r="DE12" s="995"/>
      <c r="DF12" s="995"/>
      <c r="DG12" s="1133"/>
      <c r="DH12" s="242">
        <f t="shared" si="14"/>
        <v>0</v>
      </c>
      <c r="DI12" s="1136"/>
      <c r="DJ12" s="242"/>
      <c r="DK12" s="214"/>
      <c r="DL12" s="214"/>
      <c r="DM12" s="1131"/>
      <c r="DN12" s="169"/>
      <c r="DO12" s="995"/>
      <c r="DP12" s="995"/>
      <c r="DQ12" s="1133"/>
      <c r="DR12" s="242">
        <f t="shared" si="15"/>
        <v>0</v>
      </c>
      <c r="DS12" s="1136"/>
      <c r="DT12" s="242"/>
      <c r="DU12" s="214"/>
      <c r="DV12" s="214"/>
      <c r="DW12" s="1131"/>
      <c r="DX12" s="169"/>
      <c r="DY12" s="995"/>
      <c r="DZ12" s="995"/>
      <c r="EA12" s="1133"/>
      <c r="EB12" s="242">
        <f t="shared" si="16"/>
        <v>0</v>
      </c>
      <c r="EC12" s="1136"/>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22">
        <v>1688.0</v>
      </c>
      <c r="C13" s="1123" t="s">
        <v>505</v>
      </c>
      <c r="D13" s="1124" t="s">
        <v>89</v>
      </c>
      <c r="E13" s="1124" t="s">
        <v>1002</v>
      </c>
      <c r="F13" s="1125">
        <f t="shared" si="2"/>
        <v>47</v>
      </c>
      <c r="G13" s="1126" t="str">
        <f t="shared" si="3"/>
        <v>該当</v>
      </c>
      <c r="H13" s="112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7">
        <f t="shared" si="24"/>
        <v>293.6333333</v>
      </c>
      <c r="J13" s="1128">
        <f t="shared" si="24"/>
        <v>0</v>
      </c>
      <c r="K13" s="214"/>
      <c r="L13" s="242" t="str">
        <f t="array" ref="L13">IFERROR(INDEX('💻シート作成'!$D$6:$D999, MATCH(M13, '💻シート作成'!$E$6:$E999, 0)), "")</f>
        <v>12月</v>
      </c>
      <c r="M13" s="1013" t="str">
        <f>IFERROR(__xludf.DUMMYFUNCTION("""COMPUTED_VALUE"""),"①R8_12集計")</f>
        <v>①R8_12集計</v>
      </c>
      <c r="N13" s="214"/>
      <c r="O13" s="1141">
        <v>10.0</v>
      </c>
      <c r="P13" s="1130"/>
      <c r="Q13" s="1131">
        <f>IFERROR(__xludf.DUMMYFUNCTION("""COMPUTED_VALUE"""),1723.0)</f>
        <v>1723</v>
      </c>
      <c r="R13" s="519" t="str">
        <f>IFERROR(__xludf.DUMMYFUNCTION("""COMPUTED_VALUE"""),"テレシータ")</f>
        <v>テレシータ</v>
      </c>
      <c r="S13" s="995" t="str">
        <f>IFERROR(__xludf.DUMMYFUNCTION("""COMPUTED_VALUE"""),"テレシータ")</f>
        <v>テレシータ</v>
      </c>
      <c r="T13" s="995" t="str">
        <f>IFERROR(__xludf.DUMMYFUNCTION("""COMPUTED_VALUE"""),"")</f>
        <v/>
      </c>
      <c r="U13" s="1133">
        <f>IFERROR(__xludf.DUMMYFUNCTION("""COMPUTED_VALUE"""),0.0)</f>
        <v>0</v>
      </c>
      <c r="V13" s="242">
        <f t="shared" si="5"/>
        <v>0</v>
      </c>
      <c r="W13" s="1134">
        <f>IFERROR(__xludf.DUMMYFUNCTION("""COMPUTED_VALUE"""),0.0)</f>
        <v>0</v>
      </c>
      <c r="X13" s="242">
        <f>IFERROR(__xludf.DUMMYFUNCTION("""COMPUTED_VALUE"""),0.0)</f>
        <v>0</v>
      </c>
      <c r="Y13" s="214"/>
      <c r="Z13" s="214"/>
      <c r="AA13" s="1131">
        <f>IFERROR(__xludf.DUMMYFUNCTION("""COMPUTED_VALUE"""),1744.0)</f>
        <v>1744</v>
      </c>
      <c r="AB13" s="519" t="str">
        <f>IFERROR(__xludf.DUMMYFUNCTION("""COMPUTED_VALUE"""),"アサンジャ")</f>
        <v>アサンジャ</v>
      </c>
      <c r="AC13" s="995" t="str">
        <f>IFERROR(__xludf.DUMMYFUNCTION("""COMPUTED_VALUE"""),"メイド")</f>
        <v>メイド</v>
      </c>
      <c r="AD13" s="995" t="str">
        <f>IFERROR(__xludf.DUMMYFUNCTION("""COMPUTED_VALUE"""),"時給")</f>
        <v>時給</v>
      </c>
      <c r="AE13" s="1133">
        <f>IFERROR(__xludf.DUMMYFUNCTION("""COMPUTED_VALUE"""),25.0)</f>
        <v>25</v>
      </c>
      <c r="AF13" s="242">
        <f t="shared" si="6"/>
        <v>0</v>
      </c>
      <c r="AG13" s="1136">
        <f>IFERROR(__xludf.DUMMYFUNCTION("""COMPUTED_VALUE"""),138.33333333333334)</f>
        <v>138.3333333</v>
      </c>
      <c r="AH13" s="242">
        <f>IFERROR(__xludf.DUMMYFUNCTION("""COMPUTED_VALUE"""),0.0)</f>
        <v>0</v>
      </c>
      <c r="AI13" s="214"/>
      <c r="AJ13" s="214"/>
      <c r="AK13" s="1131">
        <f>IFERROR(__xludf.DUMMYFUNCTION("""COMPUTED_VALUE"""),1688.0)</f>
        <v>1688</v>
      </c>
      <c r="AL13" s="519" t="str">
        <f>IFERROR(__xludf.DUMMYFUNCTION("""COMPUTED_VALUE"""),"ランテ")</f>
        <v>ランテ</v>
      </c>
      <c r="AM13" s="995" t="str">
        <f>IFERROR(__xludf.DUMMYFUNCTION("""COMPUTED_VALUE"""),"メイド")</f>
        <v>メイド</v>
      </c>
      <c r="AN13" s="995" t="str">
        <f>IFERROR(__xludf.DUMMYFUNCTION("""COMPUTED_VALUE"""),"時給")</f>
        <v>時給</v>
      </c>
      <c r="AO13" s="1133">
        <f>IFERROR(__xludf.DUMMYFUNCTION("""COMPUTED_VALUE"""),13.0)</f>
        <v>13</v>
      </c>
      <c r="AP13" s="242">
        <f t="shared" si="7"/>
        <v>0</v>
      </c>
      <c r="AQ13" s="1136">
        <f>IFERROR(__xludf.DUMMYFUNCTION("""COMPUTED_VALUE"""),82.86666666666666)</f>
        <v>82.86666667</v>
      </c>
      <c r="AR13" s="242">
        <f>IFERROR(__xludf.DUMMYFUNCTION("""COMPUTED_VALUE"""),0.0)</f>
        <v>0</v>
      </c>
      <c r="AS13" s="237"/>
      <c r="AT13" s="214"/>
      <c r="AU13" s="1138"/>
      <c r="AV13" s="1143"/>
      <c r="AW13" s="1144"/>
      <c r="AX13" s="1144"/>
      <c r="AY13" s="1145"/>
      <c r="AZ13" s="1140">
        <f t="shared" si="8"/>
        <v>0</v>
      </c>
      <c r="BA13" s="1146"/>
      <c r="BB13" s="1140"/>
      <c r="BC13" s="214"/>
      <c r="BD13" s="214"/>
      <c r="BE13" s="1131"/>
      <c r="BF13" s="169"/>
      <c r="BG13" s="995"/>
      <c r="BH13" s="995"/>
      <c r="BI13" s="1133"/>
      <c r="BJ13" s="242">
        <f t="shared" si="9"/>
        <v>0</v>
      </c>
      <c r="BK13" s="1136"/>
      <c r="BL13" s="242"/>
      <c r="BM13" s="214"/>
      <c r="BN13" s="214"/>
      <c r="BO13" s="1131"/>
      <c r="BP13" s="169"/>
      <c r="BQ13" s="995"/>
      <c r="BR13" s="995"/>
      <c r="BS13" s="1133"/>
      <c r="BT13" s="242">
        <f t="shared" si="10"/>
        <v>0</v>
      </c>
      <c r="BU13" s="1136"/>
      <c r="BV13" s="242"/>
      <c r="BW13" s="237"/>
      <c r="BX13" s="214"/>
      <c r="BY13" s="1131"/>
      <c r="BZ13" s="169"/>
      <c r="CA13" s="995"/>
      <c r="CB13" s="995"/>
      <c r="CC13" s="1133"/>
      <c r="CD13" s="242">
        <f t="shared" si="11"/>
        <v>0</v>
      </c>
      <c r="CE13" s="1136"/>
      <c r="CF13" s="242"/>
      <c r="CG13" s="214"/>
      <c r="CH13" s="214"/>
      <c r="CI13" s="1131"/>
      <c r="CJ13" s="169"/>
      <c r="CK13" s="995"/>
      <c r="CL13" s="995"/>
      <c r="CM13" s="1133"/>
      <c r="CN13" s="242">
        <f t="shared" si="12"/>
        <v>0</v>
      </c>
      <c r="CO13" s="1136"/>
      <c r="CP13" s="242"/>
      <c r="CQ13" s="214"/>
      <c r="CR13" s="214"/>
      <c r="CS13" s="1131"/>
      <c r="CT13" s="169"/>
      <c r="CU13" s="995"/>
      <c r="CV13" s="995"/>
      <c r="CW13" s="1133"/>
      <c r="CX13" s="242">
        <f t="shared" si="13"/>
        <v>0</v>
      </c>
      <c r="CY13" s="1136"/>
      <c r="CZ13" s="242"/>
      <c r="DA13" s="237"/>
      <c r="DB13" s="214"/>
      <c r="DC13" s="1131"/>
      <c r="DD13" s="169"/>
      <c r="DE13" s="995"/>
      <c r="DF13" s="995"/>
      <c r="DG13" s="1133"/>
      <c r="DH13" s="242">
        <f t="shared" si="14"/>
        <v>0</v>
      </c>
      <c r="DI13" s="1136"/>
      <c r="DJ13" s="242"/>
      <c r="DK13" s="214"/>
      <c r="DL13" s="214"/>
      <c r="DM13" s="1131"/>
      <c r="DN13" s="169"/>
      <c r="DO13" s="995"/>
      <c r="DP13" s="995"/>
      <c r="DQ13" s="1133"/>
      <c r="DR13" s="242">
        <f t="shared" si="15"/>
        <v>0</v>
      </c>
      <c r="DS13" s="1136"/>
      <c r="DT13" s="242"/>
      <c r="DU13" s="214"/>
      <c r="DV13" s="214"/>
      <c r="DW13" s="1131"/>
      <c r="DX13" s="169"/>
      <c r="DY13" s="995"/>
      <c r="DZ13" s="995"/>
      <c r="EA13" s="1133"/>
      <c r="EB13" s="242">
        <f t="shared" si="16"/>
        <v>0</v>
      </c>
      <c r="EC13" s="1136"/>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22">
        <v>1702.0</v>
      </c>
      <c r="C14" s="1123" t="s">
        <v>507</v>
      </c>
      <c r="D14" s="1124" t="s">
        <v>89</v>
      </c>
      <c r="E14" s="1124" t="s">
        <v>1002</v>
      </c>
      <c r="F14" s="1125">
        <f t="shared" si="2"/>
        <v>31</v>
      </c>
      <c r="G14" s="1126" t="str">
        <f t="shared" si="3"/>
        <v>非該当</v>
      </c>
      <c r="H14" s="112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27">
        <f t="shared" si="25"/>
        <v>156.5333333</v>
      </c>
      <c r="J14" s="1128">
        <f t="shared" si="25"/>
        <v>0</v>
      </c>
      <c r="K14" s="214"/>
      <c r="L14" s="242" t="str">
        <f t="array" ref="L14">IFERROR(INDEX('💻シート作成'!$D$6:$D999, MATCH(M14, '💻シート作成'!$E$6:$E999, 0)), "")</f>
        <v>12月</v>
      </c>
      <c r="M14" s="1013" t="str">
        <f>IFERROR(__xludf.DUMMYFUNCTION("""COMPUTED_VALUE"""),"②R8_12シフト")</f>
        <v>②R8_12シフト</v>
      </c>
      <c r="N14" s="214"/>
      <c r="O14" s="1141">
        <v>11.0</v>
      </c>
      <c r="P14" s="1130"/>
      <c r="Q14" s="1131">
        <f>IFERROR(__xludf.DUMMYFUNCTION("""COMPUTED_VALUE"""),1733.0)</f>
        <v>1733</v>
      </c>
      <c r="R14" s="519" t="str">
        <f>IFERROR(__xludf.DUMMYFUNCTION("""COMPUTED_VALUE"""),"シワンティ")</f>
        <v>シワンティ</v>
      </c>
      <c r="S14" s="995" t="str">
        <f>IFERROR(__xludf.DUMMYFUNCTION("""COMPUTED_VALUE"""),"シワンティ")</f>
        <v>シワンティ</v>
      </c>
      <c r="T14" s="995" t="str">
        <f>IFERROR(__xludf.DUMMYFUNCTION("""COMPUTED_VALUE"""),"歩+時")</f>
        <v>歩+時</v>
      </c>
      <c r="U14" s="1133">
        <f>IFERROR(__xludf.DUMMYFUNCTION("""COMPUTED_VALUE"""),20.0)</f>
        <v>20</v>
      </c>
      <c r="V14" s="242">
        <f t="shared" si="5"/>
        <v>0</v>
      </c>
      <c r="W14" s="1134">
        <f>IFERROR(__xludf.DUMMYFUNCTION("""COMPUTED_VALUE"""),75.7)</f>
        <v>75.7</v>
      </c>
      <c r="X14" s="242">
        <f>IFERROR(__xludf.DUMMYFUNCTION("""COMPUTED_VALUE"""),213.0)</f>
        <v>213</v>
      </c>
      <c r="Y14" s="214"/>
      <c r="Z14" s="214"/>
      <c r="AA14" s="1131">
        <f>IFERROR(__xludf.DUMMYFUNCTION("""COMPUTED_VALUE"""),1753.0)</f>
        <v>1753</v>
      </c>
      <c r="AB14" s="519" t="str">
        <f>IFERROR(__xludf.DUMMYFUNCTION("""COMPUTED_VALUE"""),"サイトウ")</f>
        <v>サイトウ</v>
      </c>
      <c r="AC14" s="995" t="str">
        <f>IFERROR(__xludf.DUMMYFUNCTION("""COMPUTED_VALUE"""),"チェッカー")</f>
        <v>チェッカー</v>
      </c>
      <c r="AD14" s="995" t="str">
        <f>IFERROR(__xludf.DUMMYFUNCTION("""COMPUTED_VALUE"""),"時給")</f>
        <v>時給</v>
      </c>
      <c r="AE14" s="1133">
        <f>IFERROR(__xludf.DUMMYFUNCTION("""COMPUTED_VALUE"""),13.0)</f>
        <v>13</v>
      </c>
      <c r="AF14" s="242">
        <f t="shared" si="6"/>
        <v>1</v>
      </c>
      <c r="AG14" s="1136">
        <f>IFERROR(__xludf.DUMMYFUNCTION("""COMPUTED_VALUE"""),84.88333333333334)</f>
        <v>84.88333333</v>
      </c>
      <c r="AH14" s="242">
        <f>IFERROR(__xludf.DUMMYFUNCTION("""COMPUTED_VALUE"""),0.0)</f>
        <v>0</v>
      </c>
      <c r="AI14" s="214"/>
      <c r="AJ14" s="214"/>
      <c r="AK14" s="1131">
        <f>IFERROR(__xludf.DUMMYFUNCTION("""COMPUTED_VALUE"""),1702.0)</f>
        <v>1702</v>
      </c>
      <c r="AL14" s="519" t="str">
        <f>IFERROR(__xludf.DUMMYFUNCTION("""COMPUTED_VALUE"""),"井崎")</f>
        <v>井崎</v>
      </c>
      <c r="AM14" s="995" t="str">
        <f>IFERROR(__xludf.DUMMYFUNCTION("""COMPUTED_VALUE"""),"メイド")</f>
        <v>メイド</v>
      </c>
      <c r="AN14" s="995" t="str">
        <f>IFERROR(__xludf.DUMMYFUNCTION("""COMPUTED_VALUE"""),"時給")</f>
        <v>時給</v>
      </c>
      <c r="AO14" s="1133">
        <f>IFERROR(__xludf.DUMMYFUNCTION("""COMPUTED_VALUE"""),8.0)</f>
        <v>8</v>
      </c>
      <c r="AP14" s="242">
        <f t="shared" si="7"/>
        <v>1</v>
      </c>
      <c r="AQ14" s="1136">
        <f>IFERROR(__xludf.DUMMYFUNCTION("""COMPUTED_VALUE"""),40.36666666666667)</f>
        <v>40.36666667</v>
      </c>
      <c r="AR14" s="242">
        <f>IFERROR(__xludf.DUMMYFUNCTION("""COMPUTED_VALUE"""),0.0)</f>
        <v>0</v>
      </c>
      <c r="AS14" s="237"/>
      <c r="AT14" s="214"/>
      <c r="AU14" s="1138"/>
      <c r="AV14" s="1143"/>
      <c r="AW14" s="1144"/>
      <c r="AX14" s="1144"/>
      <c r="AY14" s="1145"/>
      <c r="AZ14" s="1140">
        <f t="shared" si="8"/>
        <v>0</v>
      </c>
      <c r="BA14" s="1146"/>
      <c r="BB14" s="1140"/>
      <c r="BC14" s="214"/>
      <c r="BD14" s="214"/>
      <c r="BE14" s="1131"/>
      <c r="BF14" s="169"/>
      <c r="BG14" s="995"/>
      <c r="BH14" s="995"/>
      <c r="BI14" s="1133"/>
      <c r="BJ14" s="242">
        <f t="shared" si="9"/>
        <v>0</v>
      </c>
      <c r="BK14" s="1136"/>
      <c r="BL14" s="242"/>
      <c r="BM14" s="214"/>
      <c r="BN14" s="214"/>
      <c r="BO14" s="1131"/>
      <c r="BP14" s="169"/>
      <c r="BQ14" s="995"/>
      <c r="BR14" s="995"/>
      <c r="BS14" s="1133"/>
      <c r="BT14" s="242">
        <f t="shared" si="10"/>
        <v>0</v>
      </c>
      <c r="BU14" s="1136"/>
      <c r="BV14" s="242"/>
      <c r="BW14" s="237"/>
      <c r="BX14" s="214"/>
      <c r="BY14" s="1131"/>
      <c r="BZ14" s="169"/>
      <c r="CA14" s="995"/>
      <c r="CB14" s="995"/>
      <c r="CC14" s="1133"/>
      <c r="CD14" s="242">
        <f t="shared" si="11"/>
        <v>0</v>
      </c>
      <c r="CE14" s="1136"/>
      <c r="CF14" s="242"/>
      <c r="CG14" s="214"/>
      <c r="CH14" s="214"/>
      <c r="CI14" s="1131"/>
      <c r="CJ14" s="169"/>
      <c r="CK14" s="995"/>
      <c r="CL14" s="995"/>
      <c r="CM14" s="1133"/>
      <c r="CN14" s="242">
        <f t="shared" si="12"/>
        <v>0</v>
      </c>
      <c r="CO14" s="1136"/>
      <c r="CP14" s="242"/>
      <c r="CQ14" s="214"/>
      <c r="CR14" s="214"/>
      <c r="CS14" s="1131"/>
      <c r="CT14" s="169"/>
      <c r="CU14" s="995"/>
      <c r="CV14" s="995"/>
      <c r="CW14" s="1133"/>
      <c r="CX14" s="242">
        <f t="shared" si="13"/>
        <v>0</v>
      </c>
      <c r="CY14" s="1136"/>
      <c r="CZ14" s="242"/>
      <c r="DA14" s="237"/>
      <c r="DB14" s="214"/>
      <c r="DC14" s="1131"/>
      <c r="DD14" s="169"/>
      <c r="DE14" s="995"/>
      <c r="DF14" s="995"/>
      <c r="DG14" s="1133"/>
      <c r="DH14" s="242">
        <f t="shared" si="14"/>
        <v>0</v>
      </c>
      <c r="DI14" s="1136"/>
      <c r="DJ14" s="242"/>
      <c r="DK14" s="214"/>
      <c r="DL14" s="214"/>
      <c r="DM14" s="1131"/>
      <c r="DN14" s="169"/>
      <c r="DO14" s="995"/>
      <c r="DP14" s="995"/>
      <c r="DQ14" s="1133"/>
      <c r="DR14" s="242">
        <f t="shared" si="15"/>
        <v>0</v>
      </c>
      <c r="DS14" s="1136"/>
      <c r="DT14" s="242"/>
      <c r="DU14" s="214"/>
      <c r="DV14" s="214"/>
      <c r="DW14" s="1131"/>
      <c r="DX14" s="169"/>
      <c r="DY14" s="995"/>
      <c r="DZ14" s="995"/>
      <c r="EA14" s="1133"/>
      <c r="EB14" s="242">
        <f t="shared" si="16"/>
        <v>0</v>
      </c>
      <c r="EC14" s="1136"/>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22">
        <v>1714.0</v>
      </c>
      <c r="C15" s="1123" t="s">
        <v>205</v>
      </c>
      <c r="D15" s="1124" t="s">
        <v>89</v>
      </c>
      <c r="E15" s="1124" t="s">
        <v>1064</v>
      </c>
      <c r="F15" s="1125">
        <f t="shared" si="2"/>
        <v>57</v>
      </c>
      <c r="G15" s="1126" t="str">
        <f t="shared" si="3"/>
        <v>該当</v>
      </c>
      <c r="H15" s="112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7">
        <f t="shared" si="26"/>
        <v>299.15</v>
      </c>
      <c r="J15" s="1128">
        <f t="shared" si="26"/>
        <v>921</v>
      </c>
      <c r="K15" s="214"/>
      <c r="L15" s="242" t="str">
        <f t="array" ref="L15">IFERROR(INDEX('💻シート作成'!$D$6:$D999, MATCH(M15, '💻シート作成'!$E$6:$E999, 0)), "")</f>
        <v>12月</v>
      </c>
      <c r="M15" s="1013" t="str">
        <f>IFERROR(__xludf.DUMMYFUNCTION("""COMPUTED_VALUE"""),"③R8_12日報")</f>
        <v>③R8_12日報</v>
      </c>
      <c r="N15" s="214"/>
      <c r="O15" s="1141">
        <v>12.0</v>
      </c>
      <c r="P15" s="1130"/>
      <c r="Q15" s="1131">
        <f>IFERROR(__xludf.DUMMYFUNCTION("""COMPUTED_VALUE"""),1742.0)</f>
        <v>1742</v>
      </c>
      <c r="R15" s="519" t="str">
        <f>IFERROR(__xludf.DUMMYFUNCTION("""COMPUTED_VALUE"""),"クシャニ")</f>
        <v>クシャニ</v>
      </c>
      <c r="S15" s="995" t="str">
        <f>IFERROR(__xludf.DUMMYFUNCTION("""COMPUTED_VALUE"""),"クシャニ")</f>
        <v>クシャニ</v>
      </c>
      <c r="T15" s="995" t="str">
        <f>IFERROR(__xludf.DUMMYFUNCTION("""COMPUTED_VALUE"""),"")</f>
        <v/>
      </c>
      <c r="U15" s="1133">
        <f>IFERROR(__xludf.DUMMYFUNCTION("""COMPUTED_VALUE"""),0.0)</f>
        <v>0</v>
      </c>
      <c r="V15" s="242">
        <f t="shared" si="5"/>
        <v>0</v>
      </c>
      <c r="W15" s="1134">
        <f>IFERROR(__xludf.DUMMYFUNCTION("""COMPUTED_VALUE"""),0.0)</f>
        <v>0</v>
      </c>
      <c r="X15" s="242">
        <f>IFERROR(__xludf.DUMMYFUNCTION("""COMPUTED_VALUE"""),0.0)</f>
        <v>0</v>
      </c>
      <c r="Y15" s="214"/>
      <c r="Z15" s="214"/>
      <c r="AA15" s="1131">
        <f>IFERROR(__xludf.DUMMYFUNCTION("""COMPUTED_VALUE"""),1762.0)</f>
        <v>1762</v>
      </c>
      <c r="AB15" s="519" t="str">
        <f>IFERROR(__xludf.DUMMYFUNCTION("""COMPUTED_VALUE"""),"アヌダ")</f>
        <v>アヌダ</v>
      </c>
      <c r="AC15" s="995" t="str">
        <f>IFERROR(__xludf.DUMMYFUNCTION("""COMPUTED_VALUE"""),"メイド")</f>
        <v>メイド</v>
      </c>
      <c r="AD15" s="995" t="str">
        <f>IFERROR(__xludf.DUMMYFUNCTION("""COMPUTED_VALUE"""),"時給")</f>
        <v>時給</v>
      </c>
      <c r="AE15" s="1133">
        <f>IFERROR(__xludf.DUMMYFUNCTION("""COMPUTED_VALUE"""),26.0)</f>
        <v>26</v>
      </c>
      <c r="AF15" s="242">
        <f t="shared" si="6"/>
        <v>1</v>
      </c>
      <c r="AG15" s="1136">
        <f>IFERROR(__xludf.DUMMYFUNCTION("""COMPUTED_VALUE"""),173.46666666666667)</f>
        <v>173.4666667</v>
      </c>
      <c r="AH15" s="242">
        <f>IFERROR(__xludf.DUMMYFUNCTION("""COMPUTED_VALUE"""),0.0)</f>
        <v>0</v>
      </c>
      <c r="AI15" s="214"/>
      <c r="AJ15" s="214"/>
      <c r="AK15" s="1131">
        <f>IFERROR(__xludf.DUMMYFUNCTION("""COMPUTED_VALUE"""),1714.0)</f>
        <v>1714</v>
      </c>
      <c r="AL15" s="519" t="str">
        <f>IFERROR(__xludf.DUMMYFUNCTION("""COMPUTED_VALUE"""),"サロメ")</f>
        <v>サロメ</v>
      </c>
      <c r="AM15" s="995" t="str">
        <f>IFERROR(__xludf.DUMMYFUNCTION("""COMPUTED_VALUE"""),"メイド")</f>
        <v>メイド</v>
      </c>
      <c r="AN15" s="995" t="str">
        <f>IFERROR(__xludf.DUMMYFUNCTION("""COMPUTED_VALUE"""),"歩+時")</f>
        <v>歩+時</v>
      </c>
      <c r="AO15" s="1133">
        <f>IFERROR(__xludf.DUMMYFUNCTION("""COMPUTED_VALUE"""),17.0)</f>
        <v>17</v>
      </c>
      <c r="AP15" s="242">
        <f t="shared" si="7"/>
        <v>0</v>
      </c>
      <c r="AQ15" s="1136">
        <f>IFERROR(__xludf.DUMMYFUNCTION("""COMPUTED_VALUE"""),77.0)</f>
        <v>77</v>
      </c>
      <c r="AR15" s="242">
        <f>IFERROR(__xludf.DUMMYFUNCTION("""COMPUTED_VALUE"""),292.0)</f>
        <v>292</v>
      </c>
      <c r="AS15" s="237"/>
      <c r="AT15" s="214"/>
      <c r="AU15" s="1138"/>
      <c r="AV15" s="1143"/>
      <c r="AW15" s="1144"/>
      <c r="AX15" s="1144"/>
      <c r="AY15" s="1145"/>
      <c r="AZ15" s="1140">
        <f t="shared" si="8"/>
        <v>0</v>
      </c>
      <c r="BA15" s="1146"/>
      <c r="BB15" s="1140"/>
      <c r="BC15" s="214"/>
      <c r="BD15" s="214"/>
      <c r="BE15" s="1131"/>
      <c r="BF15" s="169"/>
      <c r="BG15" s="995"/>
      <c r="BH15" s="995"/>
      <c r="BI15" s="1133"/>
      <c r="BJ15" s="242">
        <f t="shared" si="9"/>
        <v>0</v>
      </c>
      <c r="BK15" s="1136"/>
      <c r="BL15" s="242"/>
      <c r="BM15" s="214"/>
      <c r="BN15" s="214"/>
      <c r="BO15" s="1131"/>
      <c r="BP15" s="169"/>
      <c r="BQ15" s="995"/>
      <c r="BR15" s="995"/>
      <c r="BS15" s="1133"/>
      <c r="BT15" s="242">
        <f t="shared" si="10"/>
        <v>0</v>
      </c>
      <c r="BU15" s="1136"/>
      <c r="BV15" s="242"/>
      <c r="BW15" s="237"/>
      <c r="BX15" s="214"/>
      <c r="BY15" s="1131"/>
      <c r="BZ15" s="169"/>
      <c r="CA15" s="995"/>
      <c r="CB15" s="995"/>
      <c r="CC15" s="1133"/>
      <c r="CD15" s="242">
        <f t="shared" si="11"/>
        <v>0</v>
      </c>
      <c r="CE15" s="1136"/>
      <c r="CF15" s="242"/>
      <c r="CG15" s="214"/>
      <c r="CH15" s="214"/>
      <c r="CI15" s="1131"/>
      <c r="CJ15" s="169"/>
      <c r="CK15" s="995"/>
      <c r="CL15" s="995"/>
      <c r="CM15" s="1133"/>
      <c r="CN15" s="242">
        <f t="shared" si="12"/>
        <v>0</v>
      </c>
      <c r="CO15" s="1136"/>
      <c r="CP15" s="242"/>
      <c r="CQ15" s="214"/>
      <c r="CR15" s="214"/>
      <c r="CS15" s="1131"/>
      <c r="CT15" s="169"/>
      <c r="CU15" s="995"/>
      <c r="CV15" s="995"/>
      <c r="CW15" s="1133"/>
      <c r="CX15" s="242">
        <f t="shared" si="13"/>
        <v>0</v>
      </c>
      <c r="CY15" s="1136"/>
      <c r="CZ15" s="242"/>
      <c r="DA15" s="237"/>
      <c r="DB15" s="214"/>
      <c r="DC15" s="1131"/>
      <c r="DD15" s="169"/>
      <c r="DE15" s="995"/>
      <c r="DF15" s="995"/>
      <c r="DG15" s="1133"/>
      <c r="DH15" s="242">
        <f t="shared" si="14"/>
        <v>0</v>
      </c>
      <c r="DI15" s="1136"/>
      <c r="DJ15" s="242"/>
      <c r="DK15" s="214"/>
      <c r="DL15" s="214"/>
      <c r="DM15" s="1131"/>
      <c r="DN15" s="169"/>
      <c r="DO15" s="995"/>
      <c r="DP15" s="995"/>
      <c r="DQ15" s="1133"/>
      <c r="DR15" s="242">
        <f t="shared" si="15"/>
        <v>0</v>
      </c>
      <c r="DS15" s="1136"/>
      <c r="DT15" s="242"/>
      <c r="DU15" s="214"/>
      <c r="DV15" s="214"/>
      <c r="DW15" s="1131"/>
      <c r="DX15" s="169"/>
      <c r="DY15" s="995"/>
      <c r="DZ15" s="995"/>
      <c r="EA15" s="1133"/>
      <c r="EB15" s="242">
        <f t="shared" si="16"/>
        <v>0</v>
      </c>
      <c r="EC15" s="1136"/>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22">
        <v>1722.0</v>
      </c>
      <c r="C16" s="1150" t="s">
        <v>182</v>
      </c>
      <c r="D16" s="1124" t="s">
        <v>89</v>
      </c>
      <c r="E16" s="1124" t="s">
        <v>1002</v>
      </c>
      <c r="F16" s="1125">
        <f t="shared" si="2"/>
        <v>11</v>
      </c>
      <c r="G16" s="1126" t="str">
        <f t="shared" si="3"/>
        <v>非該当</v>
      </c>
      <c r="H16" s="112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7">
        <f t="shared" si="27"/>
        <v>43.85</v>
      </c>
      <c r="J16" s="1128">
        <f t="shared" si="27"/>
        <v>0</v>
      </c>
      <c r="K16" s="214"/>
      <c r="L16" s="242" t="str">
        <f t="array" ref="L16">IFERROR(INDEX('💻シート作成'!$D$6:$D999, MATCH(M16, '💻シート作成'!$E$6:$E999, 0)), "")</f>
        <v>12月</v>
      </c>
      <c r="M16" s="1024" t="str">
        <f>IFERROR(__xludf.DUMMYFUNCTION("""COMPUTED_VALUE"""),"④R8_12月報")</f>
        <v>④R8_12月報</v>
      </c>
      <c r="N16" s="214"/>
      <c r="O16" s="1151">
        <v>1.0</v>
      </c>
      <c r="P16" s="1130"/>
      <c r="Q16" s="1131">
        <f>IFERROR(__xludf.DUMMYFUNCTION("""COMPUTED_VALUE"""),1744.0)</f>
        <v>1744</v>
      </c>
      <c r="R16" s="519" t="str">
        <f>IFERROR(__xludf.DUMMYFUNCTION("""COMPUTED_VALUE"""),"アサンジャ")</f>
        <v>アサンジャ</v>
      </c>
      <c r="S16" s="995" t="str">
        <f>IFERROR(__xludf.DUMMYFUNCTION("""COMPUTED_VALUE"""),"アサンジャ")</f>
        <v>アサンジャ</v>
      </c>
      <c r="T16" s="995" t="str">
        <f>IFERROR(__xludf.DUMMYFUNCTION("""COMPUTED_VALUE"""),"時給")</f>
        <v>時給</v>
      </c>
      <c r="U16" s="1133">
        <f>IFERROR(__xludf.DUMMYFUNCTION("""COMPUTED_VALUE"""),20.0)</f>
        <v>20</v>
      </c>
      <c r="V16" s="242">
        <f t="shared" si="5"/>
        <v>1</v>
      </c>
      <c r="W16" s="1134">
        <f>IFERROR(__xludf.DUMMYFUNCTION("""COMPUTED_VALUE"""),89.9)</f>
        <v>89.9</v>
      </c>
      <c r="X16" s="242">
        <f>IFERROR(__xludf.DUMMYFUNCTION("""COMPUTED_VALUE"""),0.0)</f>
        <v>0</v>
      </c>
      <c r="Y16" s="214"/>
      <c r="Z16" s="214"/>
      <c r="AA16" s="1131">
        <f>IFERROR(__xludf.DUMMYFUNCTION("""COMPUTED_VALUE"""),1763.0)</f>
        <v>1763</v>
      </c>
      <c r="AB16" s="519" t="str">
        <f>IFERROR(__xludf.DUMMYFUNCTION("""COMPUTED_VALUE"""),"黒田")</f>
        <v>黒田</v>
      </c>
      <c r="AC16" s="995" t="str">
        <f>IFERROR(__xludf.DUMMYFUNCTION("""COMPUTED_VALUE"""),"メイド")</f>
        <v>メイド</v>
      </c>
      <c r="AD16" s="995" t="str">
        <f>IFERROR(__xludf.DUMMYFUNCTION("""COMPUTED_VALUE"""),"時給")</f>
        <v>時給</v>
      </c>
      <c r="AE16" s="1133">
        <f>IFERROR(__xludf.DUMMYFUNCTION("""COMPUTED_VALUE"""),15.0)</f>
        <v>15</v>
      </c>
      <c r="AF16" s="242">
        <f t="shared" si="6"/>
        <v>0</v>
      </c>
      <c r="AG16" s="1136">
        <f>IFERROR(__xludf.DUMMYFUNCTION("""COMPUTED_VALUE"""),84.08333333333333)</f>
        <v>84.08333333</v>
      </c>
      <c r="AH16" s="242">
        <f>IFERROR(__xludf.DUMMYFUNCTION("""COMPUTED_VALUE"""),0.0)</f>
        <v>0</v>
      </c>
      <c r="AI16" s="214"/>
      <c r="AJ16" s="214"/>
      <c r="AK16" s="1131">
        <f>IFERROR(__xludf.DUMMYFUNCTION("""COMPUTED_VALUE"""),1722.0)</f>
        <v>1722</v>
      </c>
      <c r="AL16" s="519" t="str">
        <f>IFERROR(__xludf.DUMMYFUNCTION("""COMPUTED_VALUE"""),"ポールニ")</f>
        <v>ポールニ</v>
      </c>
      <c r="AM16" s="995" t="str">
        <f>IFERROR(__xludf.DUMMYFUNCTION("""COMPUTED_VALUE"""),"メイド")</f>
        <v>メイド</v>
      </c>
      <c r="AN16" s="995" t="str">
        <f>IFERROR(__xludf.DUMMYFUNCTION("""COMPUTED_VALUE"""),"時給")</f>
        <v>時給</v>
      </c>
      <c r="AO16" s="1133">
        <f>IFERROR(__xludf.DUMMYFUNCTION("""COMPUTED_VALUE"""),4.0)</f>
        <v>4</v>
      </c>
      <c r="AP16" s="242">
        <f t="shared" si="7"/>
        <v>1</v>
      </c>
      <c r="AQ16" s="1136">
        <f>IFERROR(__xludf.DUMMYFUNCTION("""COMPUTED_VALUE"""),13.65)</f>
        <v>13.65</v>
      </c>
      <c r="AR16" s="242">
        <f>IFERROR(__xludf.DUMMYFUNCTION("""COMPUTED_VALUE"""),0.0)</f>
        <v>0</v>
      </c>
      <c r="AS16" s="237"/>
      <c r="AT16" s="214"/>
      <c r="AU16" s="1138"/>
      <c r="AV16" s="1143"/>
      <c r="AW16" s="1144"/>
      <c r="AX16" s="1144"/>
      <c r="AY16" s="1145"/>
      <c r="AZ16" s="1140">
        <f t="shared" si="8"/>
        <v>0</v>
      </c>
      <c r="BA16" s="1146"/>
      <c r="BB16" s="1140"/>
      <c r="BC16" s="214"/>
      <c r="BD16" s="214"/>
      <c r="BE16" s="1131"/>
      <c r="BF16" s="169"/>
      <c r="BG16" s="995"/>
      <c r="BH16" s="995"/>
      <c r="BI16" s="1133"/>
      <c r="BJ16" s="242">
        <f t="shared" si="9"/>
        <v>0</v>
      </c>
      <c r="BK16" s="1136"/>
      <c r="BL16" s="242"/>
      <c r="BM16" s="214"/>
      <c r="BN16" s="214"/>
      <c r="BO16" s="1131"/>
      <c r="BP16" s="169"/>
      <c r="BQ16" s="995"/>
      <c r="BR16" s="995"/>
      <c r="BS16" s="1133"/>
      <c r="BT16" s="242">
        <f t="shared" si="10"/>
        <v>0</v>
      </c>
      <c r="BU16" s="1136"/>
      <c r="BV16" s="242"/>
      <c r="BW16" s="237"/>
      <c r="BX16" s="214"/>
      <c r="BY16" s="1131"/>
      <c r="BZ16" s="169"/>
      <c r="CA16" s="995"/>
      <c r="CB16" s="995"/>
      <c r="CC16" s="1133"/>
      <c r="CD16" s="242">
        <f t="shared" si="11"/>
        <v>0</v>
      </c>
      <c r="CE16" s="1136"/>
      <c r="CF16" s="242"/>
      <c r="CG16" s="214"/>
      <c r="CH16" s="214"/>
      <c r="CI16" s="1131"/>
      <c r="CJ16" s="169"/>
      <c r="CK16" s="995"/>
      <c r="CL16" s="995"/>
      <c r="CM16" s="1133"/>
      <c r="CN16" s="242">
        <f t="shared" si="12"/>
        <v>0</v>
      </c>
      <c r="CO16" s="1136"/>
      <c r="CP16" s="242"/>
      <c r="CQ16" s="214"/>
      <c r="CR16" s="214"/>
      <c r="CS16" s="1131"/>
      <c r="CT16" s="169"/>
      <c r="CU16" s="995"/>
      <c r="CV16" s="995"/>
      <c r="CW16" s="1133"/>
      <c r="CX16" s="242">
        <f t="shared" si="13"/>
        <v>0</v>
      </c>
      <c r="CY16" s="1136"/>
      <c r="CZ16" s="242"/>
      <c r="DA16" s="237"/>
      <c r="DB16" s="214"/>
      <c r="DC16" s="1131"/>
      <c r="DD16" s="169"/>
      <c r="DE16" s="995"/>
      <c r="DF16" s="995"/>
      <c r="DG16" s="1133"/>
      <c r="DH16" s="242">
        <f t="shared" si="14"/>
        <v>0</v>
      </c>
      <c r="DI16" s="1136"/>
      <c r="DJ16" s="242"/>
      <c r="DK16" s="214"/>
      <c r="DL16" s="214"/>
      <c r="DM16" s="1131"/>
      <c r="DN16" s="169"/>
      <c r="DO16" s="995"/>
      <c r="DP16" s="995"/>
      <c r="DQ16" s="1133"/>
      <c r="DR16" s="242">
        <f t="shared" si="15"/>
        <v>0</v>
      </c>
      <c r="DS16" s="1136"/>
      <c r="DT16" s="242"/>
      <c r="DU16" s="214"/>
      <c r="DV16" s="214"/>
      <c r="DW16" s="1131"/>
      <c r="DX16" s="169"/>
      <c r="DY16" s="995"/>
      <c r="DZ16" s="995"/>
      <c r="EA16" s="1133"/>
      <c r="EB16" s="242">
        <f t="shared" si="16"/>
        <v>0</v>
      </c>
      <c r="EC16" s="1136"/>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22">
        <v>1733.0</v>
      </c>
      <c r="C17" s="1150" t="s">
        <v>191</v>
      </c>
      <c r="D17" s="1124" t="s">
        <v>89</v>
      </c>
      <c r="E17" s="1124" t="s">
        <v>1065</v>
      </c>
      <c r="F17" s="1125">
        <f t="shared" si="2"/>
        <v>54</v>
      </c>
      <c r="G17" s="1126" t="str">
        <f t="shared" si="3"/>
        <v>非該当</v>
      </c>
      <c r="H17" s="112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5</v>
      </c>
      <c r="I17" s="1127">
        <f t="shared" si="28"/>
        <v>239.9333333</v>
      </c>
      <c r="J17" s="1128">
        <f t="shared" si="28"/>
        <v>620</v>
      </c>
      <c r="K17" s="214"/>
      <c r="L17" s="242" t="str">
        <f t="array" ref="L17">IFERROR(INDEX('💻シート作成'!$D$6:$D999, MATCH(M17, '💻シート作成'!$E$6:$E999, 0)), "")</f>
        <v>11月</v>
      </c>
      <c r="M17" s="1024" t="str">
        <f>IFERROR(__xludf.DUMMYFUNCTION("""COMPUTED_VALUE"""),"①R8_11集計")</f>
        <v>①R8_11集計</v>
      </c>
      <c r="N17" s="214"/>
      <c r="O17" s="1087"/>
      <c r="P17" s="1152"/>
      <c r="Q17" s="1131">
        <f>IFERROR(__xludf.DUMMYFUNCTION("""COMPUTED_VALUE"""),1745.0)</f>
        <v>1745</v>
      </c>
      <c r="R17" s="1153" t="str">
        <f>IFERROR(__xludf.DUMMYFUNCTION("""COMPUTED_VALUE"""),"ジャヤニ")</f>
        <v>ジャヤニ</v>
      </c>
      <c r="S17" s="242" t="str">
        <f>IFERROR(__xludf.DUMMYFUNCTION("""COMPUTED_VALUE"""),"ジャヤニ")</f>
        <v>ジャヤニ</v>
      </c>
      <c r="T17" s="242" t="str">
        <f>IFERROR(__xludf.DUMMYFUNCTION("""COMPUTED_VALUE"""),"")</f>
        <v/>
      </c>
      <c r="U17" s="1133">
        <f>IFERROR(__xludf.DUMMYFUNCTION("""COMPUTED_VALUE"""),0.0)</f>
        <v>0</v>
      </c>
      <c r="V17" s="242">
        <f t="shared" si="5"/>
        <v>0</v>
      </c>
      <c r="W17" s="1134">
        <f>IFERROR(__xludf.DUMMYFUNCTION("""COMPUTED_VALUE"""),0.0)</f>
        <v>0</v>
      </c>
      <c r="X17" s="242">
        <f>IFERROR(__xludf.DUMMYFUNCTION("""COMPUTED_VALUE"""),0.0)</f>
        <v>0</v>
      </c>
      <c r="Y17" s="214"/>
      <c r="Z17" s="214"/>
      <c r="AA17" s="1131">
        <f>IFERROR(__xludf.DUMMYFUNCTION("""COMPUTED_VALUE"""),1764.0)</f>
        <v>1764</v>
      </c>
      <c r="AB17" s="1153" t="str">
        <f>IFERROR(__xludf.DUMMYFUNCTION("""COMPUTED_VALUE"""),"カゲ")</f>
        <v>カゲ</v>
      </c>
      <c r="AC17" s="242" t="str">
        <f>IFERROR(__xludf.DUMMYFUNCTION("""COMPUTED_VALUE"""),"メイド")</f>
        <v>メイド</v>
      </c>
      <c r="AD17" s="242" t="str">
        <f>IFERROR(__xludf.DUMMYFUNCTION("""COMPUTED_VALUE"""),"時給")</f>
        <v>時給</v>
      </c>
      <c r="AE17" s="1133">
        <f>IFERROR(__xludf.DUMMYFUNCTION("""COMPUTED_VALUE"""),13.0)</f>
        <v>13</v>
      </c>
      <c r="AF17" s="242">
        <f t="shared" si="6"/>
        <v>2</v>
      </c>
      <c r="AG17" s="1136">
        <f>IFERROR(__xludf.DUMMYFUNCTION("""COMPUTED_VALUE"""),65.18333333333334)</f>
        <v>65.18333333</v>
      </c>
      <c r="AH17" s="242">
        <f>IFERROR(__xludf.DUMMYFUNCTION("""COMPUTED_VALUE"""),0.0)</f>
        <v>0</v>
      </c>
      <c r="AI17" s="214"/>
      <c r="AJ17" s="214"/>
      <c r="AK17" s="1131">
        <f>IFERROR(__xludf.DUMMYFUNCTION("""COMPUTED_VALUE"""),1733.0)</f>
        <v>1733</v>
      </c>
      <c r="AL17" s="1153" t="str">
        <f>IFERROR(__xludf.DUMMYFUNCTION("""COMPUTED_VALUE"""),"シワンティ")</f>
        <v>シワンティ</v>
      </c>
      <c r="AM17" s="242" t="str">
        <f>IFERROR(__xludf.DUMMYFUNCTION("""COMPUTED_VALUE"""),"メイド")</f>
        <v>メイド</v>
      </c>
      <c r="AN17" s="242" t="str">
        <f>IFERROR(__xludf.DUMMYFUNCTION("""COMPUTED_VALUE"""),"歩合")</f>
        <v>歩合</v>
      </c>
      <c r="AO17" s="1133">
        <f>IFERROR(__xludf.DUMMYFUNCTION("""COMPUTED_VALUE"""),8.0)</f>
        <v>8</v>
      </c>
      <c r="AP17" s="242">
        <f t="shared" si="7"/>
        <v>3</v>
      </c>
      <c r="AQ17" s="1136">
        <f>IFERROR(__xludf.DUMMYFUNCTION("""COMPUTED_VALUE"""),34.266666666666666)</f>
        <v>34.26666667</v>
      </c>
      <c r="AR17" s="242">
        <f>IFERROR(__xludf.DUMMYFUNCTION("""COMPUTED_VALUE"""),79.0)</f>
        <v>79</v>
      </c>
      <c r="AS17" s="237"/>
      <c r="AT17" s="214"/>
      <c r="AU17" s="1138"/>
      <c r="AV17" s="1154"/>
      <c r="AW17" s="1140"/>
      <c r="AX17" s="1140"/>
      <c r="AY17" s="1145"/>
      <c r="AZ17" s="1140">
        <f t="shared" si="8"/>
        <v>0</v>
      </c>
      <c r="BA17" s="1146"/>
      <c r="BB17" s="1140"/>
      <c r="BC17" s="214"/>
      <c r="BD17" s="214"/>
      <c r="BE17" s="1131"/>
      <c r="BF17" s="190"/>
      <c r="BG17" s="242"/>
      <c r="BH17" s="242"/>
      <c r="BI17" s="1133"/>
      <c r="BJ17" s="242">
        <f t="shared" si="9"/>
        <v>0</v>
      </c>
      <c r="BK17" s="1136"/>
      <c r="BL17" s="242"/>
      <c r="BM17" s="214"/>
      <c r="BN17" s="214"/>
      <c r="BO17" s="1131"/>
      <c r="BP17" s="190"/>
      <c r="BQ17" s="242"/>
      <c r="BR17" s="242"/>
      <c r="BS17" s="1133"/>
      <c r="BT17" s="242">
        <f t="shared" si="10"/>
        <v>0</v>
      </c>
      <c r="BU17" s="1136"/>
      <c r="BV17" s="242"/>
      <c r="BW17" s="237"/>
      <c r="BX17" s="214"/>
      <c r="BY17" s="1131"/>
      <c r="BZ17" s="190"/>
      <c r="CA17" s="242"/>
      <c r="CB17" s="242"/>
      <c r="CC17" s="1133"/>
      <c r="CD17" s="242">
        <f t="shared" si="11"/>
        <v>0</v>
      </c>
      <c r="CE17" s="1136"/>
      <c r="CF17" s="242"/>
      <c r="CG17" s="214"/>
      <c r="CH17" s="214"/>
      <c r="CI17" s="1131"/>
      <c r="CJ17" s="190"/>
      <c r="CK17" s="242"/>
      <c r="CL17" s="242"/>
      <c r="CM17" s="1133"/>
      <c r="CN17" s="242">
        <f t="shared" si="12"/>
        <v>0</v>
      </c>
      <c r="CO17" s="1136"/>
      <c r="CP17" s="242"/>
      <c r="CQ17" s="214"/>
      <c r="CR17" s="214"/>
      <c r="CS17" s="1131"/>
      <c r="CT17" s="190"/>
      <c r="CU17" s="242"/>
      <c r="CV17" s="242"/>
      <c r="CW17" s="1133"/>
      <c r="CX17" s="242">
        <f t="shared" si="13"/>
        <v>0</v>
      </c>
      <c r="CY17" s="1136"/>
      <c r="CZ17" s="242"/>
      <c r="DA17" s="237"/>
      <c r="DB17" s="214"/>
      <c r="DC17" s="1131"/>
      <c r="DD17" s="190"/>
      <c r="DE17" s="242"/>
      <c r="DF17" s="242"/>
      <c r="DG17" s="1133"/>
      <c r="DH17" s="242">
        <f t="shared" si="14"/>
        <v>0</v>
      </c>
      <c r="DI17" s="1136"/>
      <c r="DJ17" s="242"/>
      <c r="DK17" s="214"/>
      <c r="DL17" s="214"/>
      <c r="DM17" s="1131"/>
      <c r="DN17" s="190"/>
      <c r="DO17" s="242"/>
      <c r="DP17" s="242"/>
      <c r="DQ17" s="1133"/>
      <c r="DR17" s="242">
        <f t="shared" si="15"/>
        <v>0</v>
      </c>
      <c r="DS17" s="1136"/>
      <c r="DT17" s="242"/>
      <c r="DU17" s="214"/>
      <c r="DV17" s="214"/>
      <c r="DW17" s="1131"/>
      <c r="DX17" s="190"/>
      <c r="DY17" s="242"/>
      <c r="DZ17" s="242"/>
      <c r="EA17" s="1133"/>
      <c r="EB17" s="242">
        <f t="shared" si="16"/>
        <v>0</v>
      </c>
      <c r="EC17" s="1136"/>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22">
        <v>1744.0</v>
      </c>
      <c r="C18" s="1150" t="s">
        <v>171</v>
      </c>
      <c r="D18" s="1124" t="s">
        <v>89</v>
      </c>
      <c r="E18" s="1124" t="s">
        <v>1002</v>
      </c>
      <c r="F18" s="1125">
        <f t="shared" si="2"/>
        <v>56</v>
      </c>
      <c r="G18" s="1126" t="str">
        <f t="shared" si="3"/>
        <v>非該当</v>
      </c>
      <c r="H18" s="112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27">
        <f t="shared" si="29"/>
        <v>283</v>
      </c>
      <c r="J18" s="1128">
        <f t="shared" si="29"/>
        <v>0</v>
      </c>
      <c r="K18" s="214"/>
      <c r="L18" s="242" t="str">
        <f t="array" ref="L18">IFERROR(INDEX('💻シート作成'!$D$6:$D999, MATCH(M18, '💻シート作成'!$E$6:$E999, 0)), "")</f>
        <v>11月</v>
      </c>
      <c r="M18" s="1013" t="str">
        <f>IFERROR(__xludf.DUMMYFUNCTION("""COMPUTED_VALUE"""),"②R8_11シフト")</f>
        <v>②R8_11シフト</v>
      </c>
      <c r="N18" s="214"/>
      <c r="O18" s="1087"/>
      <c r="P18" s="1152"/>
      <c r="Q18" s="1131">
        <f>IFERROR(__xludf.DUMMYFUNCTION("""COMPUTED_VALUE"""),1752.0)</f>
        <v>1752</v>
      </c>
      <c r="R18" s="1153" t="str">
        <f>IFERROR(__xludf.DUMMYFUNCTION("""COMPUTED_VALUE"""),"山下")</f>
        <v>山下</v>
      </c>
      <c r="S18" s="242" t="str">
        <f>IFERROR(__xludf.DUMMYFUNCTION("""COMPUTED_VALUE"""),"ヤマシタ")</f>
        <v>ヤマシタ</v>
      </c>
      <c r="T18" s="242" t="str">
        <f>IFERROR(__xludf.DUMMYFUNCTION("""COMPUTED_VALUE"""),"")</f>
        <v/>
      </c>
      <c r="U18" s="1133">
        <f>IFERROR(__xludf.DUMMYFUNCTION("""COMPUTED_VALUE"""),0.0)</f>
        <v>0</v>
      </c>
      <c r="V18" s="242">
        <f t="shared" si="5"/>
        <v>0</v>
      </c>
      <c r="W18" s="1134">
        <f>IFERROR(__xludf.DUMMYFUNCTION("""COMPUTED_VALUE"""),0.0)</f>
        <v>0</v>
      </c>
      <c r="X18" s="242">
        <f>IFERROR(__xludf.DUMMYFUNCTION("""COMPUTED_VALUE"""),0.0)</f>
        <v>0</v>
      </c>
      <c r="Y18" s="214"/>
      <c r="Z18" s="214"/>
      <c r="AA18" s="1131">
        <f>IFERROR(__xludf.DUMMYFUNCTION("""COMPUTED_VALUE"""),1793.0)</f>
        <v>1793</v>
      </c>
      <c r="AB18" s="1153" t="str">
        <f>IFERROR(__xludf.DUMMYFUNCTION("""COMPUTED_VALUE"""),"ファティマ")</f>
        <v>ファティマ</v>
      </c>
      <c r="AC18" s="242" t="str">
        <f>IFERROR(__xludf.DUMMYFUNCTION("""COMPUTED_VALUE"""),"メイド")</f>
        <v>メイド</v>
      </c>
      <c r="AD18" s="242" t="str">
        <f>IFERROR(__xludf.DUMMYFUNCTION("""COMPUTED_VALUE"""),"時給")</f>
        <v>時給</v>
      </c>
      <c r="AE18" s="1133">
        <f>IFERROR(__xludf.DUMMYFUNCTION("""COMPUTED_VALUE"""),7.0)</f>
        <v>7</v>
      </c>
      <c r="AF18" s="242">
        <f t="shared" si="6"/>
        <v>0</v>
      </c>
      <c r="AG18" s="1136">
        <f>IFERROR(__xludf.DUMMYFUNCTION("""COMPUTED_VALUE"""),42.9)</f>
        <v>42.9</v>
      </c>
      <c r="AH18" s="242">
        <f>IFERROR(__xludf.DUMMYFUNCTION("""COMPUTED_VALUE"""),0.0)</f>
        <v>0</v>
      </c>
      <c r="AI18" s="214"/>
      <c r="AJ18" s="214"/>
      <c r="AK18" s="1131">
        <f>IFERROR(__xludf.DUMMYFUNCTION("""COMPUTED_VALUE"""),1744.0)</f>
        <v>1744</v>
      </c>
      <c r="AL18" s="1153" t="str">
        <f>IFERROR(__xludf.DUMMYFUNCTION("""COMPUTED_VALUE"""),"アサンジャ")</f>
        <v>アサンジャ</v>
      </c>
      <c r="AM18" s="242" t="str">
        <f>IFERROR(__xludf.DUMMYFUNCTION("""COMPUTED_VALUE"""),"メイド")</f>
        <v>メイド</v>
      </c>
      <c r="AN18" s="242" t="str">
        <f>IFERROR(__xludf.DUMMYFUNCTION("""COMPUTED_VALUE"""),"時給")</f>
        <v>時給</v>
      </c>
      <c r="AO18" s="1133">
        <f>IFERROR(__xludf.DUMMYFUNCTION("""COMPUTED_VALUE"""),11.0)</f>
        <v>11</v>
      </c>
      <c r="AP18" s="242">
        <f t="shared" si="7"/>
        <v>0</v>
      </c>
      <c r="AQ18" s="1136">
        <f>IFERROR(__xludf.DUMMYFUNCTION("""COMPUTED_VALUE"""),54.766666666666666)</f>
        <v>54.76666667</v>
      </c>
      <c r="AR18" s="242">
        <f>IFERROR(__xludf.DUMMYFUNCTION("""COMPUTED_VALUE"""),0.0)</f>
        <v>0</v>
      </c>
      <c r="AS18" s="237"/>
      <c r="AT18" s="214"/>
      <c r="AU18" s="1138"/>
      <c r="AV18" s="1154"/>
      <c r="AW18" s="1140"/>
      <c r="AX18" s="1140"/>
      <c r="AY18" s="1145"/>
      <c r="AZ18" s="1140">
        <f t="shared" si="8"/>
        <v>0</v>
      </c>
      <c r="BA18" s="1146"/>
      <c r="BB18" s="1140"/>
      <c r="BC18" s="214"/>
      <c r="BD18" s="214"/>
      <c r="BE18" s="1131"/>
      <c r="BF18" s="190"/>
      <c r="BG18" s="242"/>
      <c r="BH18" s="242"/>
      <c r="BI18" s="1133"/>
      <c r="BJ18" s="242">
        <f t="shared" si="9"/>
        <v>0</v>
      </c>
      <c r="BK18" s="1136"/>
      <c r="BL18" s="242"/>
      <c r="BM18" s="214"/>
      <c r="BN18" s="214"/>
      <c r="BO18" s="1131"/>
      <c r="BP18" s="190"/>
      <c r="BQ18" s="242"/>
      <c r="BR18" s="242"/>
      <c r="BS18" s="1133"/>
      <c r="BT18" s="242">
        <f t="shared" si="10"/>
        <v>0</v>
      </c>
      <c r="BU18" s="1136"/>
      <c r="BV18" s="242"/>
      <c r="BW18" s="237"/>
      <c r="BX18" s="214"/>
      <c r="BY18" s="1131"/>
      <c r="BZ18" s="190"/>
      <c r="CA18" s="242"/>
      <c r="CB18" s="242"/>
      <c r="CC18" s="1133"/>
      <c r="CD18" s="242">
        <f t="shared" si="11"/>
        <v>0</v>
      </c>
      <c r="CE18" s="1136"/>
      <c r="CF18" s="242"/>
      <c r="CG18" s="214"/>
      <c r="CH18" s="214"/>
      <c r="CI18" s="1131"/>
      <c r="CJ18" s="190"/>
      <c r="CK18" s="242"/>
      <c r="CL18" s="242"/>
      <c r="CM18" s="1133"/>
      <c r="CN18" s="242">
        <f t="shared" si="12"/>
        <v>0</v>
      </c>
      <c r="CO18" s="1136"/>
      <c r="CP18" s="242"/>
      <c r="CQ18" s="214"/>
      <c r="CR18" s="214"/>
      <c r="CS18" s="1131"/>
      <c r="CT18" s="190"/>
      <c r="CU18" s="242"/>
      <c r="CV18" s="242"/>
      <c r="CW18" s="1133"/>
      <c r="CX18" s="242">
        <f t="shared" si="13"/>
        <v>0</v>
      </c>
      <c r="CY18" s="1136"/>
      <c r="CZ18" s="242"/>
      <c r="DA18" s="237"/>
      <c r="DB18" s="214"/>
      <c r="DC18" s="1131"/>
      <c r="DD18" s="190"/>
      <c r="DE18" s="242"/>
      <c r="DF18" s="242"/>
      <c r="DG18" s="1133"/>
      <c r="DH18" s="242">
        <f t="shared" si="14"/>
        <v>0</v>
      </c>
      <c r="DI18" s="1136"/>
      <c r="DJ18" s="242"/>
      <c r="DK18" s="214"/>
      <c r="DL18" s="214"/>
      <c r="DM18" s="1131"/>
      <c r="DN18" s="190"/>
      <c r="DO18" s="242"/>
      <c r="DP18" s="242"/>
      <c r="DQ18" s="1133"/>
      <c r="DR18" s="242">
        <f t="shared" si="15"/>
        <v>0</v>
      </c>
      <c r="DS18" s="1136"/>
      <c r="DT18" s="242"/>
      <c r="DU18" s="214"/>
      <c r="DV18" s="214"/>
      <c r="DW18" s="1131"/>
      <c r="DX18" s="190"/>
      <c r="DY18" s="242"/>
      <c r="DZ18" s="242"/>
      <c r="EA18" s="1133"/>
      <c r="EB18" s="242">
        <f t="shared" si="16"/>
        <v>0</v>
      </c>
      <c r="EC18" s="1136"/>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22">
        <v>1762.0</v>
      </c>
      <c r="C19" s="1150" t="s">
        <v>200</v>
      </c>
      <c r="D19" s="1124" t="s">
        <v>89</v>
      </c>
      <c r="E19" s="1124" t="s">
        <v>1002</v>
      </c>
      <c r="F19" s="1125">
        <f t="shared" si="2"/>
        <v>71</v>
      </c>
      <c r="G19" s="1126" t="str">
        <f t="shared" si="3"/>
        <v>非該当</v>
      </c>
      <c r="H19" s="112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27">
        <f t="shared" si="30"/>
        <v>411.65</v>
      </c>
      <c r="J19" s="1128">
        <f t="shared" si="30"/>
        <v>0</v>
      </c>
      <c r="K19" s="214"/>
      <c r="L19" s="242" t="str">
        <f t="array" ref="L19">IFERROR(INDEX('💻シート作成'!$D$6:$D999, MATCH(M19, '💻シート作成'!$E$6:$E999, 0)), "")</f>
        <v>11月</v>
      </c>
      <c r="M19" s="1013" t="str">
        <f>IFERROR(__xludf.DUMMYFUNCTION("""COMPUTED_VALUE"""),"③R8_11日報")</f>
        <v>③R8_11日報</v>
      </c>
      <c r="N19" s="214"/>
      <c r="O19" s="1087"/>
      <c r="P19" s="1152"/>
      <c r="Q19" s="1131">
        <f>IFERROR(__xludf.DUMMYFUNCTION("""COMPUTED_VALUE"""),1753.0)</f>
        <v>1753</v>
      </c>
      <c r="R19" s="1153" t="str">
        <f>IFERROR(__xludf.DUMMYFUNCTION("""COMPUTED_VALUE"""),"サイトウ")</f>
        <v>サイトウ</v>
      </c>
      <c r="S19" s="242" t="str">
        <f>IFERROR(__xludf.DUMMYFUNCTION("""COMPUTED_VALUE"""),"サイトウ")</f>
        <v>サイトウ</v>
      </c>
      <c r="T19" s="242" t="str">
        <f>IFERROR(__xludf.DUMMYFUNCTION("""COMPUTED_VALUE"""),"時給")</f>
        <v>時給</v>
      </c>
      <c r="U19" s="1133">
        <f>IFERROR(__xludf.DUMMYFUNCTION("""COMPUTED_VALUE"""),22.0)</f>
        <v>22</v>
      </c>
      <c r="V19" s="242">
        <f t="shared" si="5"/>
        <v>0</v>
      </c>
      <c r="W19" s="1134">
        <f>IFERROR(__xludf.DUMMYFUNCTION("""COMPUTED_VALUE"""),149.1)</f>
        <v>149.1</v>
      </c>
      <c r="X19" s="242">
        <f>IFERROR(__xludf.DUMMYFUNCTION("""COMPUTED_VALUE"""),0.0)</f>
        <v>0</v>
      </c>
      <c r="Y19" s="214"/>
      <c r="Z19" s="214"/>
      <c r="AA19" s="1131">
        <f>IFERROR(__xludf.DUMMYFUNCTION("""COMPUTED_VALUE"""),1795.0)</f>
        <v>1795</v>
      </c>
      <c r="AB19" s="1153" t="str">
        <f>IFERROR(__xludf.DUMMYFUNCTION("""COMPUTED_VALUE"""),"ゲラ")</f>
        <v>ゲラ</v>
      </c>
      <c r="AC19" s="242" t="str">
        <f>IFERROR(__xludf.DUMMYFUNCTION("""COMPUTED_VALUE"""),"メイド")</f>
        <v>メイド</v>
      </c>
      <c r="AD19" s="242" t="str">
        <f>IFERROR(__xludf.DUMMYFUNCTION("""COMPUTED_VALUE"""),"歩+時")</f>
        <v>歩+時</v>
      </c>
      <c r="AE19" s="1133">
        <f>IFERROR(__xludf.DUMMYFUNCTION("""COMPUTED_VALUE"""),12.0)</f>
        <v>12</v>
      </c>
      <c r="AF19" s="242">
        <f t="shared" si="6"/>
        <v>3</v>
      </c>
      <c r="AG19" s="1136">
        <f>IFERROR(__xludf.DUMMYFUNCTION("""COMPUTED_VALUE"""),47.28333333333333)</f>
        <v>47.28333333</v>
      </c>
      <c r="AH19" s="242">
        <f>IFERROR(__xludf.DUMMYFUNCTION("""COMPUTED_VALUE"""),111.0)</f>
        <v>111</v>
      </c>
      <c r="AI19" s="214"/>
      <c r="AJ19" s="214"/>
      <c r="AK19" s="1131">
        <f>IFERROR(__xludf.DUMMYFUNCTION("""COMPUTED_VALUE"""),1762.0)</f>
        <v>1762</v>
      </c>
      <c r="AL19" s="1153" t="str">
        <f>IFERROR(__xludf.DUMMYFUNCTION("""COMPUTED_VALUE"""),"アヌダ")</f>
        <v>アヌダ</v>
      </c>
      <c r="AM19" s="242" t="str">
        <f>IFERROR(__xludf.DUMMYFUNCTION("""COMPUTED_VALUE"""),"メイド")</f>
        <v>メイド</v>
      </c>
      <c r="AN19" s="242" t="str">
        <f>IFERROR(__xludf.DUMMYFUNCTION("""COMPUTED_VALUE"""),"時給")</f>
        <v>時給</v>
      </c>
      <c r="AO19" s="1133">
        <f>IFERROR(__xludf.DUMMYFUNCTION("""COMPUTED_VALUE"""),22.0)</f>
        <v>22</v>
      </c>
      <c r="AP19" s="242">
        <f t="shared" si="7"/>
        <v>0</v>
      </c>
      <c r="AQ19" s="1136">
        <f>IFERROR(__xludf.DUMMYFUNCTION("""COMPUTED_VALUE"""),121.58333333333333)</f>
        <v>121.5833333</v>
      </c>
      <c r="AR19" s="242">
        <f>IFERROR(__xludf.DUMMYFUNCTION("""COMPUTED_VALUE"""),0.0)</f>
        <v>0</v>
      </c>
      <c r="AS19" s="237"/>
      <c r="AT19" s="214"/>
      <c r="AU19" s="1138"/>
      <c r="AV19" s="1154"/>
      <c r="AW19" s="1140"/>
      <c r="AX19" s="1140"/>
      <c r="AY19" s="1145"/>
      <c r="AZ19" s="1140">
        <f t="shared" si="8"/>
        <v>0</v>
      </c>
      <c r="BA19" s="1146"/>
      <c r="BB19" s="1140"/>
      <c r="BC19" s="214"/>
      <c r="BD19" s="214"/>
      <c r="BE19" s="1131"/>
      <c r="BF19" s="190"/>
      <c r="BG19" s="242"/>
      <c r="BH19" s="242"/>
      <c r="BI19" s="1133"/>
      <c r="BJ19" s="242">
        <f t="shared" si="9"/>
        <v>0</v>
      </c>
      <c r="BK19" s="1136"/>
      <c r="BL19" s="242"/>
      <c r="BM19" s="214"/>
      <c r="BN19" s="214"/>
      <c r="BO19" s="1131"/>
      <c r="BP19" s="190"/>
      <c r="BQ19" s="242"/>
      <c r="BR19" s="242"/>
      <c r="BS19" s="1133"/>
      <c r="BT19" s="242">
        <f t="shared" si="10"/>
        <v>0</v>
      </c>
      <c r="BU19" s="1136"/>
      <c r="BV19" s="242"/>
      <c r="BW19" s="237"/>
      <c r="BX19" s="214"/>
      <c r="BY19" s="1131"/>
      <c r="BZ19" s="190"/>
      <c r="CA19" s="242"/>
      <c r="CB19" s="242"/>
      <c r="CC19" s="1133"/>
      <c r="CD19" s="242">
        <f t="shared" si="11"/>
        <v>0</v>
      </c>
      <c r="CE19" s="1136"/>
      <c r="CF19" s="242"/>
      <c r="CG19" s="214"/>
      <c r="CH19" s="214"/>
      <c r="CI19" s="1131"/>
      <c r="CJ19" s="190"/>
      <c r="CK19" s="242"/>
      <c r="CL19" s="242"/>
      <c r="CM19" s="1133"/>
      <c r="CN19" s="242">
        <f t="shared" si="12"/>
        <v>0</v>
      </c>
      <c r="CO19" s="1136"/>
      <c r="CP19" s="242"/>
      <c r="CQ19" s="214"/>
      <c r="CR19" s="214"/>
      <c r="CS19" s="1131"/>
      <c r="CT19" s="190"/>
      <c r="CU19" s="242"/>
      <c r="CV19" s="242"/>
      <c r="CW19" s="1133"/>
      <c r="CX19" s="242">
        <f t="shared" si="13"/>
        <v>0</v>
      </c>
      <c r="CY19" s="1136"/>
      <c r="CZ19" s="242"/>
      <c r="DA19" s="237"/>
      <c r="DB19" s="214"/>
      <c r="DC19" s="1131"/>
      <c r="DD19" s="190"/>
      <c r="DE19" s="242"/>
      <c r="DF19" s="242"/>
      <c r="DG19" s="1133"/>
      <c r="DH19" s="242">
        <f t="shared" si="14"/>
        <v>0</v>
      </c>
      <c r="DI19" s="1136"/>
      <c r="DJ19" s="242"/>
      <c r="DK19" s="214"/>
      <c r="DL19" s="214"/>
      <c r="DM19" s="1131"/>
      <c r="DN19" s="190"/>
      <c r="DO19" s="242"/>
      <c r="DP19" s="242"/>
      <c r="DQ19" s="1133"/>
      <c r="DR19" s="242">
        <f t="shared" si="15"/>
        <v>0</v>
      </c>
      <c r="DS19" s="1136"/>
      <c r="DT19" s="242"/>
      <c r="DU19" s="214"/>
      <c r="DV19" s="214"/>
      <c r="DW19" s="1131"/>
      <c r="DX19" s="190"/>
      <c r="DY19" s="242"/>
      <c r="DZ19" s="242"/>
      <c r="EA19" s="1133"/>
      <c r="EB19" s="242">
        <f t="shared" si="16"/>
        <v>0</v>
      </c>
      <c r="EC19" s="1136"/>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22">
        <v>1763.0</v>
      </c>
      <c r="C20" s="1150" t="s">
        <v>128</v>
      </c>
      <c r="D20" s="1124" t="s">
        <v>89</v>
      </c>
      <c r="E20" s="1124" t="s">
        <v>1002</v>
      </c>
      <c r="F20" s="1125">
        <f t="shared" si="2"/>
        <v>44</v>
      </c>
      <c r="G20" s="1126" t="str">
        <f t="shared" si="3"/>
        <v>該当</v>
      </c>
      <c r="H20" s="112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7">
        <f t="shared" si="31"/>
        <v>255.6666667</v>
      </c>
      <c r="J20" s="1128">
        <f t="shared" si="31"/>
        <v>0</v>
      </c>
      <c r="K20" s="214"/>
      <c r="L20" s="242" t="str">
        <f t="array" ref="L20">IFERROR(INDEX('💻シート作成'!$D$6:$D999, MATCH(M20, '💻シート作成'!$E$6:$E999, 0)), "")</f>
        <v>11月</v>
      </c>
      <c r="M20" s="1013" t="str">
        <f>IFERROR(__xludf.DUMMYFUNCTION("""COMPUTED_VALUE"""),"④R8_11月報")</f>
        <v>④R8_11月報</v>
      </c>
      <c r="N20" s="214"/>
      <c r="O20" s="1087"/>
      <c r="P20" s="1152"/>
      <c r="Q20" s="1131">
        <f>IFERROR(__xludf.DUMMYFUNCTION("""COMPUTED_VALUE"""),1762.0)</f>
        <v>1762</v>
      </c>
      <c r="R20" s="1153" t="str">
        <f>IFERROR(__xludf.DUMMYFUNCTION("""COMPUTED_VALUE"""),"アヌダ")</f>
        <v>アヌダ</v>
      </c>
      <c r="S20" s="242" t="str">
        <f>IFERROR(__xludf.DUMMYFUNCTION("""COMPUTED_VALUE"""),"アヌダ")</f>
        <v>アヌダ</v>
      </c>
      <c r="T20" s="242" t="str">
        <f>IFERROR(__xludf.DUMMYFUNCTION("""COMPUTED_VALUE"""),"時給")</f>
        <v>時給</v>
      </c>
      <c r="U20" s="1133">
        <f>IFERROR(__xludf.DUMMYFUNCTION("""COMPUTED_VALUE"""),23.0)</f>
        <v>23</v>
      </c>
      <c r="V20" s="242">
        <f t="shared" si="5"/>
        <v>0</v>
      </c>
      <c r="W20" s="1134">
        <f>IFERROR(__xludf.DUMMYFUNCTION("""COMPUTED_VALUE"""),116.6)</f>
        <v>116.6</v>
      </c>
      <c r="X20" s="242">
        <f>IFERROR(__xludf.DUMMYFUNCTION("""COMPUTED_VALUE"""),0.0)</f>
        <v>0</v>
      </c>
      <c r="Y20" s="214"/>
      <c r="Z20" s="214"/>
      <c r="AA20" s="1131">
        <f>IFERROR(__xludf.DUMMYFUNCTION("""COMPUTED_VALUE"""),2039.0)</f>
        <v>2039</v>
      </c>
      <c r="AB20" s="1153" t="str">
        <f>IFERROR(__xludf.DUMMYFUNCTION("""COMPUTED_VALUE"""),"ラキブ")</f>
        <v>ラキブ</v>
      </c>
      <c r="AC20" s="242" t="str">
        <f>IFERROR(__xludf.DUMMYFUNCTION("""COMPUTED_VALUE"""),"メイド")</f>
        <v>メイド</v>
      </c>
      <c r="AD20" s="242" t="str">
        <f>IFERROR(__xludf.DUMMYFUNCTION("""COMPUTED_VALUE"""),"")</f>
        <v/>
      </c>
      <c r="AE20" s="1133">
        <f>IFERROR(__xludf.DUMMYFUNCTION("""COMPUTED_VALUE"""),0.0)</f>
        <v>0</v>
      </c>
      <c r="AF20" s="242">
        <f t="shared" si="6"/>
        <v>0</v>
      </c>
      <c r="AG20" s="1136">
        <f>IFERROR(__xludf.DUMMYFUNCTION("""COMPUTED_VALUE"""),0.0)</f>
        <v>0</v>
      </c>
      <c r="AH20" s="242">
        <f>IFERROR(__xludf.DUMMYFUNCTION("""COMPUTED_VALUE"""),0.0)</f>
        <v>0</v>
      </c>
      <c r="AI20" s="214"/>
      <c r="AJ20" s="214"/>
      <c r="AK20" s="1131">
        <f>IFERROR(__xludf.DUMMYFUNCTION("""COMPUTED_VALUE"""),1763.0)</f>
        <v>1763</v>
      </c>
      <c r="AL20" s="1153" t="str">
        <f>IFERROR(__xludf.DUMMYFUNCTION("""COMPUTED_VALUE"""),"黒田")</f>
        <v>黒田</v>
      </c>
      <c r="AM20" s="242" t="str">
        <f>IFERROR(__xludf.DUMMYFUNCTION("""COMPUTED_VALUE"""),"メイド")</f>
        <v>メイド</v>
      </c>
      <c r="AN20" s="242" t="str">
        <f>IFERROR(__xludf.DUMMYFUNCTION("""COMPUTED_VALUE"""),"時給")</f>
        <v>時給</v>
      </c>
      <c r="AO20" s="1133">
        <f>IFERROR(__xludf.DUMMYFUNCTION("""COMPUTED_VALUE"""),13.0)</f>
        <v>13</v>
      </c>
      <c r="AP20" s="242">
        <f t="shared" si="7"/>
        <v>0</v>
      </c>
      <c r="AQ20" s="1136">
        <f>IFERROR(__xludf.DUMMYFUNCTION("""COMPUTED_VALUE"""),76.88333333333334)</f>
        <v>76.88333333</v>
      </c>
      <c r="AR20" s="242">
        <f>IFERROR(__xludf.DUMMYFUNCTION("""COMPUTED_VALUE"""),0.0)</f>
        <v>0</v>
      </c>
      <c r="AS20" s="237"/>
      <c r="AT20" s="214"/>
      <c r="AU20" s="1138"/>
      <c r="AV20" s="1154"/>
      <c r="AW20" s="1140"/>
      <c r="AX20" s="1140"/>
      <c r="AY20" s="1145"/>
      <c r="AZ20" s="1140">
        <f t="shared" si="8"/>
        <v>0</v>
      </c>
      <c r="BA20" s="1146"/>
      <c r="BB20" s="1140"/>
      <c r="BC20" s="214"/>
      <c r="BD20" s="214"/>
      <c r="BE20" s="1131"/>
      <c r="BF20" s="190"/>
      <c r="BG20" s="242"/>
      <c r="BH20" s="242"/>
      <c r="BI20" s="1133"/>
      <c r="BJ20" s="242">
        <f t="shared" si="9"/>
        <v>0</v>
      </c>
      <c r="BK20" s="1136"/>
      <c r="BL20" s="242"/>
      <c r="BM20" s="214"/>
      <c r="BN20" s="214"/>
      <c r="BO20" s="1131"/>
      <c r="BP20" s="190"/>
      <c r="BQ20" s="242"/>
      <c r="BR20" s="242"/>
      <c r="BS20" s="1133"/>
      <c r="BT20" s="242">
        <f t="shared" si="10"/>
        <v>0</v>
      </c>
      <c r="BU20" s="1136"/>
      <c r="BV20" s="242"/>
      <c r="BW20" s="237"/>
      <c r="BX20" s="214"/>
      <c r="BY20" s="1131"/>
      <c r="BZ20" s="190"/>
      <c r="CA20" s="242"/>
      <c r="CB20" s="242"/>
      <c r="CC20" s="1133"/>
      <c r="CD20" s="242">
        <f t="shared" si="11"/>
        <v>0</v>
      </c>
      <c r="CE20" s="1136"/>
      <c r="CF20" s="242"/>
      <c r="CG20" s="214"/>
      <c r="CH20" s="214"/>
      <c r="CI20" s="1131"/>
      <c r="CJ20" s="190"/>
      <c r="CK20" s="242"/>
      <c r="CL20" s="242"/>
      <c r="CM20" s="1133"/>
      <c r="CN20" s="242">
        <f t="shared" si="12"/>
        <v>0</v>
      </c>
      <c r="CO20" s="1136"/>
      <c r="CP20" s="242"/>
      <c r="CQ20" s="214"/>
      <c r="CR20" s="214"/>
      <c r="CS20" s="1131"/>
      <c r="CT20" s="190"/>
      <c r="CU20" s="242"/>
      <c r="CV20" s="242"/>
      <c r="CW20" s="1133"/>
      <c r="CX20" s="242">
        <f t="shared" si="13"/>
        <v>0</v>
      </c>
      <c r="CY20" s="1136"/>
      <c r="CZ20" s="242"/>
      <c r="DA20" s="237"/>
      <c r="DB20" s="214"/>
      <c r="DC20" s="1131"/>
      <c r="DD20" s="190"/>
      <c r="DE20" s="242"/>
      <c r="DF20" s="242"/>
      <c r="DG20" s="1133"/>
      <c r="DH20" s="242">
        <f t="shared" si="14"/>
        <v>0</v>
      </c>
      <c r="DI20" s="1136"/>
      <c r="DJ20" s="242"/>
      <c r="DK20" s="214"/>
      <c r="DL20" s="214"/>
      <c r="DM20" s="1131"/>
      <c r="DN20" s="190"/>
      <c r="DO20" s="242"/>
      <c r="DP20" s="242"/>
      <c r="DQ20" s="1133"/>
      <c r="DR20" s="242">
        <f t="shared" si="15"/>
        <v>0</v>
      </c>
      <c r="DS20" s="1136"/>
      <c r="DT20" s="242"/>
      <c r="DU20" s="214"/>
      <c r="DV20" s="214"/>
      <c r="DW20" s="1131"/>
      <c r="DX20" s="190"/>
      <c r="DY20" s="242"/>
      <c r="DZ20" s="242"/>
      <c r="EA20" s="1133"/>
      <c r="EB20" s="242">
        <f t="shared" si="16"/>
        <v>0</v>
      </c>
      <c r="EC20" s="1136"/>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22">
        <v>1764.0</v>
      </c>
      <c r="C21" s="1150" t="s">
        <v>509</v>
      </c>
      <c r="D21" s="1124" t="s">
        <v>89</v>
      </c>
      <c r="E21" s="1124" t="s">
        <v>1002</v>
      </c>
      <c r="F21" s="1125">
        <f t="shared" si="2"/>
        <v>31</v>
      </c>
      <c r="G21" s="1126" t="str">
        <f t="shared" si="3"/>
        <v>非該当</v>
      </c>
      <c r="H21" s="112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27">
        <f t="shared" si="32"/>
        <v>159.75</v>
      </c>
      <c r="J21" s="1128">
        <f t="shared" si="32"/>
        <v>0</v>
      </c>
      <c r="K21" s="214"/>
      <c r="L21" s="242" t="str">
        <f t="array" ref="L21">IFERROR(INDEX('💻シート作成'!$D$6:$D999, MATCH(M21, '💻シート作成'!$E$6:$E999, 0)), "")</f>
        <v>10月</v>
      </c>
      <c r="M21" s="1013" t="str">
        <f>IFERROR(__xludf.DUMMYFUNCTION("""COMPUTED_VALUE"""),"②R8_10シフト")</f>
        <v>②R8_10シフト</v>
      </c>
      <c r="N21" s="214"/>
      <c r="O21" s="1087"/>
      <c r="P21" s="1152"/>
      <c r="Q21" s="1131">
        <f>IFERROR(__xludf.DUMMYFUNCTION("""COMPUTED_VALUE"""),1763.0)</f>
        <v>1763</v>
      </c>
      <c r="R21" s="1153" t="str">
        <f>IFERROR(__xludf.DUMMYFUNCTION("""COMPUTED_VALUE"""),"黒田")</f>
        <v>黒田</v>
      </c>
      <c r="S21" s="242" t="str">
        <f>IFERROR(__xludf.DUMMYFUNCTION("""COMPUTED_VALUE"""),"黒田")</f>
        <v>黒田</v>
      </c>
      <c r="T21" s="242" t="str">
        <f>IFERROR(__xludf.DUMMYFUNCTION("""COMPUTED_VALUE"""),"時給")</f>
        <v>時給</v>
      </c>
      <c r="U21" s="1133">
        <f>IFERROR(__xludf.DUMMYFUNCTION("""COMPUTED_VALUE"""),16.0)</f>
        <v>16</v>
      </c>
      <c r="V21" s="242">
        <f t="shared" si="5"/>
        <v>0</v>
      </c>
      <c r="W21" s="1134">
        <f>IFERROR(__xludf.DUMMYFUNCTION("""COMPUTED_VALUE"""),94.7)</f>
        <v>94.7</v>
      </c>
      <c r="X21" s="242">
        <f>IFERROR(__xludf.DUMMYFUNCTION("""COMPUTED_VALUE"""),0.0)</f>
        <v>0</v>
      </c>
      <c r="Y21" s="214"/>
      <c r="Z21" s="214"/>
      <c r="AA21" s="1131">
        <f>IFERROR(__xludf.DUMMYFUNCTION("""COMPUTED_VALUE"""),2154.0)</f>
        <v>2154</v>
      </c>
      <c r="AB21" s="1153" t="str">
        <f>IFERROR(__xludf.DUMMYFUNCTION("""COMPUTED_VALUE"""),"クマリ")</f>
        <v>クマリ</v>
      </c>
      <c r="AC21" s="242" t="str">
        <f>IFERROR(__xludf.DUMMYFUNCTION("""COMPUTED_VALUE"""),"メイド")</f>
        <v>メイド</v>
      </c>
      <c r="AD21" s="242" t="str">
        <f>IFERROR(__xludf.DUMMYFUNCTION("""COMPUTED_VALUE"""),"時給")</f>
        <v>時給</v>
      </c>
      <c r="AE21" s="1133">
        <f>IFERROR(__xludf.DUMMYFUNCTION("""COMPUTED_VALUE"""),17.0)</f>
        <v>17</v>
      </c>
      <c r="AF21" s="242">
        <f t="shared" si="6"/>
        <v>1</v>
      </c>
      <c r="AG21" s="1136">
        <f>IFERROR(__xludf.DUMMYFUNCTION("""COMPUTED_VALUE"""),105.78333333333333)</f>
        <v>105.7833333</v>
      </c>
      <c r="AH21" s="242">
        <f>IFERROR(__xludf.DUMMYFUNCTION("""COMPUTED_VALUE"""),0.0)</f>
        <v>0</v>
      </c>
      <c r="AI21" s="214"/>
      <c r="AJ21" s="214"/>
      <c r="AK21" s="1131">
        <f>IFERROR(__xludf.DUMMYFUNCTION("""COMPUTED_VALUE"""),1764.0)</f>
        <v>1764</v>
      </c>
      <c r="AL21" s="1153" t="str">
        <f>IFERROR(__xludf.DUMMYFUNCTION("""COMPUTED_VALUE"""),"カゲ")</f>
        <v>カゲ</v>
      </c>
      <c r="AM21" s="242" t="str">
        <f>IFERROR(__xludf.DUMMYFUNCTION("""COMPUTED_VALUE"""),"メイド")</f>
        <v>メイド</v>
      </c>
      <c r="AN21" s="242" t="str">
        <f>IFERROR(__xludf.DUMMYFUNCTION("""COMPUTED_VALUE"""),"時給")</f>
        <v>時給</v>
      </c>
      <c r="AO21" s="1133">
        <f>IFERROR(__xludf.DUMMYFUNCTION("""COMPUTED_VALUE"""),10.0)</f>
        <v>10</v>
      </c>
      <c r="AP21" s="242">
        <f t="shared" si="7"/>
        <v>0</v>
      </c>
      <c r="AQ21" s="1136">
        <f>IFERROR(__xludf.DUMMYFUNCTION("""COMPUTED_VALUE"""),51.166666666666664)</f>
        <v>51.16666667</v>
      </c>
      <c r="AR21" s="242">
        <f>IFERROR(__xludf.DUMMYFUNCTION("""COMPUTED_VALUE"""),0.0)</f>
        <v>0</v>
      </c>
      <c r="AS21" s="237"/>
      <c r="AT21" s="214"/>
      <c r="AU21" s="1138"/>
      <c r="AV21" s="1154"/>
      <c r="AW21" s="1140"/>
      <c r="AX21" s="1140"/>
      <c r="AY21" s="1145"/>
      <c r="AZ21" s="1140">
        <f t="shared" si="8"/>
        <v>0</v>
      </c>
      <c r="BA21" s="1146"/>
      <c r="BB21" s="1140"/>
      <c r="BC21" s="214"/>
      <c r="BD21" s="214"/>
      <c r="BE21" s="1131"/>
      <c r="BF21" s="190"/>
      <c r="BG21" s="242"/>
      <c r="BH21" s="242"/>
      <c r="BI21" s="1133"/>
      <c r="BJ21" s="242">
        <f t="shared" si="9"/>
        <v>0</v>
      </c>
      <c r="BK21" s="1136"/>
      <c r="BL21" s="242"/>
      <c r="BM21" s="214"/>
      <c r="BN21" s="214"/>
      <c r="BO21" s="1131"/>
      <c r="BP21" s="190"/>
      <c r="BQ21" s="242"/>
      <c r="BR21" s="242"/>
      <c r="BS21" s="1133"/>
      <c r="BT21" s="242">
        <f t="shared" si="10"/>
        <v>0</v>
      </c>
      <c r="BU21" s="1136"/>
      <c r="BV21" s="242"/>
      <c r="BW21" s="237"/>
      <c r="BX21" s="214"/>
      <c r="BY21" s="1131"/>
      <c r="BZ21" s="190"/>
      <c r="CA21" s="242"/>
      <c r="CB21" s="242"/>
      <c r="CC21" s="1133"/>
      <c r="CD21" s="242">
        <f t="shared" si="11"/>
        <v>0</v>
      </c>
      <c r="CE21" s="1136"/>
      <c r="CF21" s="242"/>
      <c r="CG21" s="214"/>
      <c r="CH21" s="214"/>
      <c r="CI21" s="1131"/>
      <c r="CJ21" s="190"/>
      <c r="CK21" s="242"/>
      <c r="CL21" s="242"/>
      <c r="CM21" s="1133"/>
      <c r="CN21" s="242">
        <f t="shared" si="12"/>
        <v>0</v>
      </c>
      <c r="CO21" s="1136"/>
      <c r="CP21" s="242"/>
      <c r="CQ21" s="214"/>
      <c r="CR21" s="214"/>
      <c r="CS21" s="1131"/>
      <c r="CT21" s="190"/>
      <c r="CU21" s="242"/>
      <c r="CV21" s="242"/>
      <c r="CW21" s="1133"/>
      <c r="CX21" s="242">
        <f t="shared" si="13"/>
        <v>0</v>
      </c>
      <c r="CY21" s="1136"/>
      <c r="CZ21" s="242"/>
      <c r="DA21" s="237"/>
      <c r="DB21" s="214"/>
      <c r="DC21" s="1131"/>
      <c r="DD21" s="190"/>
      <c r="DE21" s="242"/>
      <c r="DF21" s="242"/>
      <c r="DG21" s="1133"/>
      <c r="DH21" s="242">
        <f t="shared" si="14"/>
        <v>0</v>
      </c>
      <c r="DI21" s="1136"/>
      <c r="DJ21" s="242"/>
      <c r="DK21" s="214"/>
      <c r="DL21" s="214"/>
      <c r="DM21" s="1131"/>
      <c r="DN21" s="190"/>
      <c r="DO21" s="242"/>
      <c r="DP21" s="242"/>
      <c r="DQ21" s="1133"/>
      <c r="DR21" s="242">
        <f t="shared" si="15"/>
        <v>0</v>
      </c>
      <c r="DS21" s="1136"/>
      <c r="DT21" s="242"/>
      <c r="DU21" s="214"/>
      <c r="DV21" s="214"/>
      <c r="DW21" s="1131"/>
      <c r="DX21" s="190"/>
      <c r="DY21" s="242"/>
      <c r="DZ21" s="242"/>
      <c r="EA21" s="1133"/>
      <c r="EB21" s="242">
        <f t="shared" si="16"/>
        <v>0</v>
      </c>
      <c r="EC21" s="1136"/>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22">
        <v>1793.0</v>
      </c>
      <c r="C22" s="1150" t="s">
        <v>510</v>
      </c>
      <c r="D22" s="1124" t="s">
        <v>89</v>
      </c>
      <c r="E22" s="1124" t="s">
        <v>1002</v>
      </c>
      <c r="F22" s="1125">
        <f t="shared" si="2"/>
        <v>21</v>
      </c>
      <c r="G22" s="1126" t="str">
        <f t="shared" si="3"/>
        <v>該当</v>
      </c>
      <c r="H22" s="112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7">
        <f t="shared" si="33"/>
        <v>124.1</v>
      </c>
      <c r="J22" s="1128">
        <f t="shared" si="33"/>
        <v>0</v>
      </c>
      <c r="K22" s="214"/>
      <c r="L22" s="242" t="str">
        <f t="array" ref="L22">IFERROR(INDEX('💻シート作成'!$D$6:$D999, MATCH(M22, '💻シート作成'!$E$6:$E999, 0)), "")</f>
        <v>10月</v>
      </c>
      <c r="M22" s="1013" t="str">
        <f>IFERROR(__xludf.DUMMYFUNCTION("""COMPUTED_VALUE"""),"③R8_10日報")</f>
        <v>③R8_10日報</v>
      </c>
      <c r="N22" s="214"/>
      <c r="O22" s="1087"/>
      <c r="P22" s="1152"/>
      <c r="Q22" s="1131">
        <f>IFERROR(__xludf.DUMMYFUNCTION("""COMPUTED_VALUE"""),1764.0)</f>
        <v>1764</v>
      </c>
      <c r="R22" s="1153" t="str">
        <f>IFERROR(__xludf.DUMMYFUNCTION("""COMPUTED_VALUE"""),"カゲ")</f>
        <v>カゲ</v>
      </c>
      <c r="S22" s="242" t="str">
        <f>IFERROR(__xludf.DUMMYFUNCTION("""COMPUTED_VALUE"""),"カゲ")</f>
        <v>カゲ</v>
      </c>
      <c r="T22" s="242" t="str">
        <f>IFERROR(__xludf.DUMMYFUNCTION("""COMPUTED_VALUE"""),"時給")</f>
        <v>時給</v>
      </c>
      <c r="U22" s="1133">
        <f>IFERROR(__xludf.DUMMYFUNCTION("""COMPUTED_VALUE"""),8.0)</f>
        <v>8</v>
      </c>
      <c r="V22" s="242">
        <f t="shared" si="5"/>
        <v>1</v>
      </c>
      <c r="W22" s="1134">
        <f>IFERROR(__xludf.DUMMYFUNCTION("""COMPUTED_VALUE"""),43.4)</f>
        <v>43.4</v>
      </c>
      <c r="X22" s="242">
        <f>IFERROR(__xludf.DUMMYFUNCTION("""COMPUTED_VALUE"""),0.0)</f>
        <v>0</v>
      </c>
      <c r="Y22" s="214"/>
      <c r="Z22" s="214"/>
      <c r="AA22" s="1131">
        <f>IFERROR(__xludf.DUMMYFUNCTION("""COMPUTED_VALUE"""),2172.0)</f>
        <v>2172</v>
      </c>
      <c r="AB22" s="1153" t="str">
        <f>IFERROR(__xludf.DUMMYFUNCTION("""COMPUTED_VALUE"""),"アミン")</f>
        <v>アミン</v>
      </c>
      <c r="AC22" s="242" t="str">
        <f>IFERROR(__xludf.DUMMYFUNCTION("""COMPUTED_VALUE"""),"メイド")</f>
        <v>メイド</v>
      </c>
      <c r="AD22" s="242" t="str">
        <f>IFERROR(__xludf.DUMMYFUNCTION("""COMPUTED_VALUE"""),"歩+時")</f>
        <v>歩+時</v>
      </c>
      <c r="AE22" s="1133">
        <f>IFERROR(__xludf.DUMMYFUNCTION("""COMPUTED_VALUE"""),8.0)</f>
        <v>8</v>
      </c>
      <c r="AF22" s="242">
        <f t="shared" si="6"/>
        <v>1</v>
      </c>
      <c r="AG22" s="1136">
        <f>IFERROR(__xludf.DUMMYFUNCTION("""COMPUTED_VALUE"""),28.616666666666667)</f>
        <v>28.61666667</v>
      </c>
      <c r="AH22" s="242">
        <f>IFERROR(__xludf.DUMMYFUNCTION("""COMPUTED_VALUE"""),40.0)</f>
        <v>40</v>
      </c>
      <c r="AI22" s="214"/>
      <c r="AJ22" s="214"/>
      <c r="AK22" s="1131">
        <f>IFERROR(__xludf.DUMMYFUNCTION("""COMPUTED_VALUE"""),1793.0)</f>
        <v>1793</v>
      </c>
      <c r="AL22" s="1153" t="str">
        <f>IFERROR(__xludf.DUMMYFUNCTION("""COMPUTED_VALUE"""),"ファティマ")</f>
        <v>ファティマ</v>
      </c>
      <c r="AM22" s="242" t="str">
        <f>IFERROR(__xludf.DUMMYFUNCTION("""COMPUTED_VALUE"""),"メイド")</f>
        <v>メイド</v>
      </c>
      <c r="AN22" s="242" t="str">
        <f>IFERROR(__xludf.DUMMYFUNCTION("""COMPUTED_VALUE"""),"時給")</f>
        <v>時給</v>
      </c>
      <c r="AO22" s="1133">
        <f>IFERROR(__xludf.DUMMYFUNCTION("""COMPUTED_VALUE"""),8.0)</f>
        <v>8</v>
      </c>
      <c r="AP22" s="242">
        <f t="shared" si="7"/>
        <v>0</v>
      </c>
      <c r="AQ22" s="1136">
        <f>IFERROR(__xludf.DUMMYFUNCTION("""COMPUTED_VALUE"""),45.9)</f>
        <v>45.9</v>
      </c>
      <c r="AR22" s="242">
        <f>IFERROR(__xludf.DUMMYFUNCTION("""COMPUTED_VALUE"""),0.0)</f>
        <v>0</v>
      </c>
      <c r="AS22" s="237"/>
      <c r="AT22" s="214"/>
      <c r="AU22" s="1138"/>
      <c r="AV22" s="1154"/>
      <c r="AW22" s="1140"/>
      <c r="AX22" s="1140"/>
      <c r="AY22" s="1145"/>
      <c r="AZ22" s="1140">
        <f t="shared" si="8"/>
        <v>0</v>
      </c>
      <c r="BA22" s="1146"/>
      <c r="BB22" s="1140"/>
      <c r="BC22" s="214"/>
      <c r="BD22" s="214"/>
      <c r="BE22" s="1131"/>
      <c r="BF22" s="190"/>
      <c r="BG22" s="242"/>
      <c r="BH22" s="242"/>
      <c r="BI22" s="1133"/>
      <c r="BJ22" s="242">
        <f t="shared" si="9"/>
        <v>0</v>
      </c>
      <c r="BK22" s="1136"/>
      <c r="BL22" s="242"/>
      <c r="BM22" s="214"/>
      <c r="BN22" s="214"/>
      <c r="BO22" s="1131"/>
      <c r="BP22" s="190"/>
      <c r="BQ22" s="242"/>
      <c r="BR22" s="242"/>
      <c r="BS22" s="1133"/>
      <c r="BT22" s="242">
        <f t="shared" si="10"/>
        <v>0</v>
      </c>
      <c r="BU22" s="1136"/>
      <c r="BV22" s="242"/>
      <c r="BW22" s="237"/>
      <c r="BX22" s="214"/>
      <c r="BY22" s="1131"/>
      <c r="BZ22" s="190"/>
      <c r="CA22" s="242"/>
      <c r="CB22" s="242"/>
      <c r="CC22" s="1133"/>
      <c r="CD22" s="242">
        <f t="shared" si="11"/>
        <v>0</v>
      </c>
      <c r="CE22" s="1136"/>
      <c r="CF22" s="242"/>
      <c r="CG22" s="214"/>
      <c r="CH22" s="214"/>
      <c r="CI22" s="1131"/>
      <c r="CJ22" s="190"/>
      <c r="CK22" s="242"/>
      <c r="CL22" s="242"/>
      <c r="CM22" s="1133"/>
      <c r="CN22" s="242">
        <f t="shared" si="12"/>
        <v>0</v>
      </c>
      <c r="CO22" s="1136"/>
      <c r="CP22" s="242"/>
      <c r="CQ22" s="214"/>
      <c r="CR22" s="214"/>
      <c r="CS22" s="1131"/>
      <c r="CT22" s="190"/>
      <c r="CU22" s="242"/>
      <c r="CV22" s="242"/>
      <c r="CW22" s="1133"/>
      <c r="CX22" s="242">
        <f t="shared" si="13"/>
        <v>0</v>
      </c>
      <c r="CY22" s="1136"/>
      <c r="CZ22" s="242"/>
      <c r="DA22" s="237"/>
      <c r="DB22" s="214"/>
      <c r="DC22" s="1131"/>
      <c r="DD22" s="190"/>
      <c r="DE22" s="242"/>
      <c r="DF22" s="242"/>
      <c r="DG22" s="1133"/>
      <c r="DH22" s="242">
        <f t="shared" si="14"/>
        <v>0</v>
      </c>
      <c r="DI22" s="1136"/>
      <c r="DJ22" s="242"/>
      <c r="DK22" s="214"/>
      <c r="DL22" s="214"/>
      <c r="DM22" s="1131"/>
      <c r="DN22" s="190"/>
      <c r="DO22" s="242"/>
      <c r="DP22" s="242"/>
      <c r="DQ22" s="1133"/>
      <c r="DR22" s="242">
        <f t="shared" si="15"/>
        <v>0</v>
      </c>
      <c r="DS22" s="1136"/>
      <c r="DT22" s="242"/>
      <c r="DU22" s="214"/>
      <c r="DV22" s="214"/>
      <c r="DW22" s="1131"/>
      <c r="DX22" s="190"/>
      <c r="DY22" s="242"/>
      <c r="DZ22" s="242"/>
      <c r="EA22" s="1133"/>
      <c r="EB22" s="242">
        <f t="shared" si="16"/>
        <v>0</v>
      </c>
      <c r="EC22" s="1136"/>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22">
        <v>1795.0</v>
      </c>
      <c r="C23" s="1150" t="s">
        <v>511</v>
      </c>
      <c r="D23" s="1124" t="s">
        <v>89</v>
      </c>
      <c r="E23" s="1124" t="s">
        <v>1065</v>
      </c>
      <c r="F23" s="1125">
        <f t="shared" si="2"/>
        <v>35</v>
      </c>
      <c r="G23" s="1126" t="str">
        <f t="shared" si="3"/>
        <v>非該当</v>
      </c>
      <c r="H23" s="112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9</v>
      </c>
      <c r="I23" s="1127">
        <f t="shared" si="34"/>
        <v>163.1333333</v>
      </c>
      <c r="J23" s="1128">
        <f t="shared" si="34"/>
        <v>357</v>
      </c>
      <c r="K23" s="214"/>
      <c r="L23" s="242" t="str">
        <f t="array" ref="L23">IFERROR(INDEX('💻シート作成'!$D$6:$D999, MATCH(M23, '💻シート作成'!$E$6:$E999, 0)), "")</f>
        <v>10月</v>
      </c>
      <c r="M23" s="1024" t="str">
        <f>IFERROR(__xludf.DUMMYFUNCTION("""COMPUTED_VALUE"""),"④R8_10月報")</f>
        <v>④R8_10月報</v>
      </c>
      <c r="N23" s="214"/>
      <c r="O23" s="1087"/>
      <c r="P23" s="214"/>
      <c r="Q23" s="1131">
        <f>IFERROR(__xludf.DUMMYFUNCTION("""COMPUTED_VALUE"""),1793.0)</f>
        <v>1793</v>
      </c>
      <c r="R23" s="1153" t="str">
        <f>IFERROR(__xludf.DUMMYFUNCTION("""COMPUTED_VALUE"""),"ファティマ")</f>
        <v>ファティマ</v>
      </c>
      <c r="S23" s="242"/>
      <c r="T23" s="242" t="str">
        <f>IFERROR(__xludf.DUMMYFUNCTION("""COMPUTED_VALUE"""),"時給")</f>
        <v>時給</v>
      </c>
      <c r="U23" s="1133">
        <f>IFERROR(__xludf.DUMMYFUNCTION("""COMPUTED_VALUE"""),6.0)</f>
        <v>6</v>
      </c>
      <c r="V23" s="242">
        <f t="shared" si="5"/>
        <v>0</v>
      </c>
      <c r="W23" s="1134">
        <f>IFERROR(__xludf.DUMMYFUNCTION("""COMPUTED_VALUE"""),35.3)</f>
        <v>35.3</v>
      </c>
      <c r="X23" s="242">
        <f>IFERROR(__xludf.DUMMYFUNCTION("""COMPUTED_VALUE"""),0.0)</f>
        <v>0</v>
      </c>
      <c r="Y23" s="214"/>
      <c r="Z23" s="214"/>
      <c r="AA23" s="1131">
        <f>IFERROR(__xludf.DUMMYFUNCTION("""COMPUTED_VALUE"""),2175.0)</f>
        <v>2175</v>
      </c>
      <c r="AB23" s="1153" t="str">
        <f>IFERROR(__xludf.DUMMYFUNCTION("""COMPUTED_VALUE"""),"ジョティ")</f>
        <v>ジョティ</v>
      </c>
      <c r="AC23" s="242" t="str">
        <f>IFERROR(__xludf.DUMMYFUNCTION("""COMPUTED_VALUE"""),"メイド")</f>
        <v>メイド</v>
      </c>
      <c r="AD23" s="242" t="str">
        <f>IFERROR(__xludf.DUMMYFUNCTION("""COMPUTED_VALUE"""),"時給")</f>
        <v>時給</v>
      </c>
      <c r="AE23" s="1133">
        <f>IFERROR(__xludf.DUMMYFUNCTION("""COMPUTED_VALUE"""),16.0)</f>
        <v>16</v>
      </c>
      <c r="AF23" s="242">
        <f t="shared" si="6"/>
        <v>1</v>
      </c>
      <c r="AG23" s="1136">
        <f>IFERROR(__xludf.DUMMYFUNCTION("""COMPUTED_VALUE"""),99.83333333333333)</f>
        <v>99.83333333</v>
      </c>
      <c r="AH23" s="242">
        <f>IFERROR(__xludf.DUMMYFUNCTION("""COMPUTED_VALUE"""),0.0)</f>
        <v>0</v>
      </c>
      <c r="AI23" s="214"/>
      <c r="AJ23" s="214"/>
      <c r="AK23" s="1131">
        <f>IFERROR(__xludf.DUMMYFUNCTION("""COMPUTED_VALUE"""),1795.0)</f>
        <v>1795</v>
      </c>
      <c r="AL23" s="1153" t="str">
        <f>IFERROR(__xludf.DUMMYFUNCTION("""COMPUTED_VALUE"""),"ゲラ")</f>
        <v>ゲラ</v>
      </c>
      <c r="AM23" s="242" t="str">
        <f>IFERROR(__xludf.DUMMYFUNCTION("""COMPUTED_VALUE"""),"メイド")</f>
        <v>メイド</v>
      </c>
      <c r="AN23" s="242" t="str">
        <f>IFERROR(__xludf.DUMMYFUNCTION("""COMPUTED_VALUE"""),"歩合")</f>
        <v>歩合</v>
      </c>
      <c r="AO23" s="1133">
        <f>IFERROR(__xludf.DUMMYFUNCTION("""COMPUTED_VALUE"""),10.0)</f>
        <v>10</v>
      </c>
      <c r="AP23" s="242">
        <f t="shared" si="7"/>
        <v>2</v>
      </c>
      <c r="AQ23" s="1136">
        <f>IFERROR(__xludf.DUMMYFUNCTION("""COMPUTED_VALUE"""),53.85)</f>
        <v>53.85</v>
      </c>
      <c r="AR23" s="242">
        <f>IFERROR(__xludf.DUMMYFUNCTION("""COMPUTED_VALUE"""),111.0)</f>
        <v>111</v>
      </c>
      <c r="AS23" s="237"/>
      <c r="AT23" s="214"/>
      <c r="AU23" s="1138"/>
      <c r="AV23" s="1154"/>
      <c r="AW23" s="1140"/>
      <c r="AX23" s="1140"/>
      <c r="AY23" s="1145"/>
      <c r="AZ23" s="1140">
        <f t="shared" si="8"/>
        <v>0</v>
      </c>
      <c r="BA23" s="1146"/>
      <c r="BB23" s="1140"/>
      <c r="BC23" s="214"/>
      <c r="BD23" s="214"/>
      <c r="BE23" s="1131"/>
      <c r="BF23" s="190"/>
      <c r="BG23" s="242"/>
      <c r="BH23" s="242"/>
      <c r="BI23" s="1133"/>
      <c r="BJ23" s="242">
        <f t="shared" si="9"/>
        <v>0</v>
      </c>
      <c r="BK23" s="1136"/>
      <c r="BL23" s="242"/>
      <c r="BM23" s="214"/>
      <c r="BN23" s="214"/>
      <c r="BO23" s="1131"/>
      <c r="BP23" s="190"/>
      <c r="BQ23" s="242"/>
      <c r="BR23" s="242"/>
      <c r="BS23" s="1133"/>
      <c r="BT23" s="242">
        <f t="shared" si="10"/>
        <v>0</v>
      </c>
      <c r="BU23" s="1136"/>
      <c r="BV23" s="242"/>
      <c r="BW23" s="237"/>
      <c r="BX23" s="214"/>
      <c r="BY23" s="1131"/>
      <c r="BZ23" s="190"/>
      <c r="CA23" s="242"/>
      <c r="CB23" s="242"/>
      <c r="CC23" s="1133"/>
      <c r="CD23" s="242">
        <f t="shared" si="11"/>
        <v>0</v>
      </c>
      <c r="CE23" s="1136"/>
      <c r="CF23" s="242"/>
      <c r="CG23" s="214"/>
      <c r="CH23" s="214"/>
      <c r="CI23" s="1131"/>
      <c r="CJ23" s="190"/>
      <c r="CK23" s="242"/>
      <c r="CL23" s="242"/>
      <c r="CM23" s="1133"/>
      <c r="CN23" s="242">
        <f t="shared" si="12"/>
        <v>0</v>
      </c>
      <c r="CO23" s="1136"/>
      <c r="CP23" s="242"/>
      <c r="CQ23" s="214"/>
      <c r="CR23" s="214"/>
      <c r="CS23" s="1131"/>
      <c r="CT23" s="190"/>
      <c r="CU23" s="242"/>
      <c r="CV23" s="242"/>
      <c r="CW23" s="1133"/>
      <c r="CX23" s="242">
        <f t="shared" si="13"/>
        <v>0</v>
      </c>
      <c r="CY23" s="1136"/>
      <c r="CZ23" s="242"/>
      <c r="DA23" s="237"/>
      <c r="DB23" s="214"/>
      <c r="DC23" s="1131"/>
      <c r="DD23" s="190"/>
      <c r="DE23" s="242"/>
      <c r="DF23" s="242"/>
      <c r="DG23" s="1133"/>
      <c r="DH23" s="242">
        <f t="shared" si="14"/>
        <v>0</v>
      </c>
      <c r="DI23" s="1136"/>
      <c r="DJ23" s="242"/>
      <c r="DK23" s="214"/>
      <c r="DL23" s="214"/>
      <c r="DM23" s="1131"/>
      <c r="DN23" s="190"/>
      <c r="DO23" s="242"/>
      <c r="DP23" s="242"/>
      <c r="DQ23" s="1133"/>
      <c r="DR23" s="242">
        <f t="shared" si="15"/>
        <v>0</v>
      </c>
      <c r="DS23" s="1136"/>
      <c r="DT23" s="242"/>
      <c r="DU23" s="214"/>
      <c r="DV23" s="214"/>
      <c r="DW23" s="1131"/>
      <c r="DX23" s="190"/>
      <c r="DY23" s="242"/>
      <c r="DZ23" s="242"/>
      <c r="EA23" s="1133"/>
      <c r="EB23" s="242">
        <f t="shared" si="16"/>
        <v>0</v>
      </c>
      <c r="EC23" s="1136"/>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22">
        <v>2154.0</v>
      </c>
      <c r="C24" s="1150" t="s">
        <v>513</v>
      </c>
      <c r="D24" s="1124" t="s">
        <v>89</v>
      </c>
      <c r="E24" s="1124" t="s">
        <v>1002</v>
      </c>
      <c r="F24" s="1125">
        <f t="shared" si="2"/>
        <v>50</v>
      </c>
      <c r="G24" s="1126" t="str">
        <f t="shared" si="3"/>
        <v>非該当</v>
      </c>
      <c r="H24" s="112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27">
        <f t="shared" si="35"/>
        <v>299.1333333</v>
      </c>
      <c r="J24" s="1128">
        <f t="shared" si="35"/>
        <v>35</v>
      </c>
      <c r="K24" s="214"/>
      <c r="L24" s="242" t="str">
        <f t="array" ref="L24">IFERROR(INDEX('💻シート作成'!$D$6:$D999, MATCH(M24, '💻シート作成'!$E$6:$E999, 0)), "")</f>
        <v>9月</v>
      </c>
      <c r="M24" s="1024" t="str">
        <f>IFERROR(__xludf.DUMMYFUNCTION("""COMPUTED_VALUE"""),"①R8_9集計")</f>
        <v>①R8_9集計</v>
      </c>
      <c r="N24" s="214"/>
      <c r="O24" s="1087"/>
      <c r="P24" s="214"/>
      <c r="Q24" s="1131">
        <f>IFERROR(__xludf.DUMMYFUNCTION("""COMPUTED_VALUE"""),1795.0)</f>
        <v>1795</v>
      </c>
      <c r="R24" s="1153" t="str">
        <f>IFERROR(__xludf.DUMMYFUNCTION("""COMPUTED_VALUE"""),"ゲラ")</f>
        <v>ゲラ</v>
      </c>
      <c r="S24" s="242"/>
      <c r="T24" s="242" t="str">
        <f>IFERROR(__xludf.DUMMYFUNCTION("""COMPUTED_VALUE"""),"歩合")</f>
        <v>歩合</v>
      </c>
      <c r="U24" s="1133">
        <f>IFERROR(__xludf.DUMMYFUNCTION("""COMPUTED_VALUE"""),13.0)</f>
        <v>13</v>
      </c>
      <c r="V24" s="242">
        <f t="shared" si="5"/>
        <v>4</v>
      </c>
      <c r="W24" s="1134">
        <f>IFERROR(__xludf.DUMMYFUNCTION("""COMPUTED_VALUE"""),62.0)</f>
        <v>62</v>
      </c>
      <c r="X24" s="242">
        <f>IFERROR(__xludf.DUMMYFUNCTION("""COMPUTED_VALUE"""),135.0)</f>
        <v>135</v>
      </c>
      <c r="Y24" s="214"/>
      <c r="Z24" s="214"/>
      <c r="AA24" s="1131">
        <f>IFERROR(__xludf.DUMMYFUNCTION("""COMPUTED_VALUE"""),2198.0)</f>
        <v>2198</v>
      </c>
      <c r="AB24" s="1153" t="str">
        <f>IFERROR(__xludf.DUMMYFUNCTION("""COMPUTED_VALUE"""),"イムラン")</f>
        <v>イムラン</v>
      </c>
      <c r="AC24" s="242" t="str">
        <f>IFERROR(__xludf.DUMMYFUNCTION("""COMPUTED_VALUE"""),"メイド")</f>
        <v>メイド</v>
      </c>
      <c r="AD24" s="242" t="str">
        <f>IFERROR(__xludf.DUMMYFUNCTION("""COMPUTED_VALUE"""),"")</f>
        <v/>
      </c>
      <c r="AE24" s="1133">
        <f>IFERROR(__xludf.DUMMYFUNCTION("""COMPUTED_VALUE"""),0.0)</f>
        <v>0</v>
      </c>
      <c r="AF24" s="242">
        <f t="shared" si="6"/>
        <v>2</v>
      </c>
      <c r="AG24" s="1136">
        <f>IFERROR(__xludf.DUMMYFUNCTION("""COMPUTED_VALUE"""),0.0)</f>
        <v>0</v>
      </c>
      <c r="AH24" s="242">
        <f>IFERROR(__xludf.DUMMYFUNCTION("""COMPUTED_VALUE"""),0.0)</f>
        <v>0</v>
      </c>
      <c r="AI24" s="214"/>
      <c r="AJ24" s="214"/>
      <c r="AK24" s="1131">
        <f>IFERROR(__xludf.DUMMYFUNCTION("""COMPUTED_VALUE"""),2154.0)</f>
        <v>2154</v>
      </c>
      <c r="AL24" s="1153" t="str">
        <f>IFERROR(__xludf.DUMMYFUNCTION("""COMPUTED_VALUE"""),"クマリ")</f>
        <v>クマリ</v>
      </c>
      <c r="AM24" s="242" t="str">
        <f>IFERROR(__xludf.DUMMYFUNCTION("""COMPUTED_VALUE"""),"メイド")</f>
        <v>メイド</v>
      </c>
      <c r="AN24" s="242" t="str">
        <f>IFERROR(__xludf.DUMMYFUNCTION("""COMPUTED_VALUE"""),"時給")</f>
        <v>時給</v>
      </c>
      <c r="AO24" s="1133">
        <f>IFERROR(__xludf.DUMMYFUNCTION("""COMPUTED_VALUE"""),16.0)</f>
        <v>16</v>
      </c>
      <c r="AP24" s="242">
        <f t="shared" si="7"/>
        <v>0</v>
      </c>
      <c r="AQ24" s="1136">
        <f>IFERROR(__xludf.DUMMYFUNCTION("""COMPUTED_VALUE"""),95.85)</f>
        <v>95.85</v>
      </c>
      <c r="AR24" s="242">
        <f>IFERROR(__xludf.DUMMYFUNCTION("""COMPUTED_VALUE"""),0.0)</f>
        <v>0</v>
      </c>
      <c r="AS24" s="237"/>
      <c r="AT24" s="214"/>
      <c r="AU24" s="1138"/>
      <c r="AV24" s="1154"/>
      <c r="AW24" s="1140"/>
      <c r="AX24" s="1140"/>
      <c r="AY24" s="1145"/>
      <c r="AZ24" s="1140">
        <f t="shared" si="8"/>
        <v>0</v>
      </c>
      <c r="BA24" s="1146"/>
      <c r="BB24" s="1140"/>
      <c r="BC24" s="214"/>
      <c r="BD24" s="214"/>
      <c r="BE24" s="1131"/>
      <c r="BF24" s="190"/>
      <c r="BG24" s="242"/>
      <c r="BH24" s="242"/>
      <c r="BI24" s="1133"/>
      <c r="BJ24" s="242">
        <f t="shared" si="9"/>
        <v>0</v>
      </c>
      <c r="BK24" s="1136"/>
      <c r="BL24" s="242"/>
      <c r="BM24" s="214"/>
      <c r="BN24" s="214"/>
      <c r="BO24" s="1131"/>
      <c r="BP24" s="190"/>
      <c r="BQ24" s="242"/>
      <c r="BR24" s="242"/>
      <c r="BS24" s="1133"/>
      <c r="BT24" s="242">
        <f t="shared" si="10"/>
        <v>0</v>
      </c>
      <c r="BU24" s="1136"/>
      <c r="BV24" s="242"/>
      <c r="BW24" s="237"/>
      <c r="BX24" s="214"/>
      <c r="BY24" s="1131"/>
      <c r="BZ24" s="190"/>
      <c r="CA24" s="242"/>
      <c r="CB24" s="242"/>
      <c r="CC24" s="1133"/>
      <c r="CD24" s="242">
        <f t="shared" si="11"/>
        <v>0</v>
      </c>
      <c r="CE24" s="1136"/>
      <c r="CF24" s="242"/>
      <c r="CG24" s="214"/>
      <c r="CH24" s="214"/>
      <c r="CI24" s="1131"/>
      <c r="CJ24" s="190"/>
      <c r="CK24" s="242"/>
      <c r="CL24" s="242"/>
      <c r="CM24" s="1133"/>
      <c r="CN24" s="242">
        <f t="shared" si="12"/>
        <v>0</v>
      </c>
      <c r="CO24" s="1136"/>
      <c r="CP24" s="242"/>
      <c r="CQ24" s="214"/>
      <c r="CR24" s="214"/>
      <c r="CS24" s="1131"/>
      <c r="CT24" s="190"/>
      <c r="CU24" s="242"/>
      <c r="CV24" s="242"/>
      <c r="CW24" s="1133"/>
      <c r="CX24" s="242">
        <f t="shared" si="13"/>
        <v>0</v>
      </c>
      <c r="CY24" s="1136"/>
      <c r="CZ24" s="242"/>
      <c r="DA24" s="237"/>
      <c r="DB24" s="214"/>
      <c r="DC24" s="1131"/>
      <c r="DD24" s="190"/>
      <c r="DE24" s="242"/>
      <c r="DF24" s="242"/>
      <c r="DG24" s="1133"/>
      <c r="DH24" s="242">
        <f t="shared" si="14"/>
        <v>0</v>
      </c>
      <c r="DI24" s="1136"/>
      <c r="DJ24" s="242"/>
      <c r="DK24" s="214"/>
      <c r="DL24" s="214"/>
      <c r="DM24" s="1131"/>
      <c r="DN24" s="190"/>
      <c r="DO24" s="242"/>
      <c r="DP24" s="242"/>
      <c r="DQ24" s="1133"/>
      <c r="DR24" s="242">
        <f t="shared" si="15"/>
        <v>0</v>
      </c>
      <c r="DS24" s="1136"/>
      <c r="DT24" s="242"/>
      <c r="DU24" s="214"/>
      <c r="DV24" s="214"/>
      <c r="DW24" s="1131"/>
      <c r="DX24" s="190"/>
      <c r="DY24" s="242"/>
      <c r="DZ24" s="242"/>
      <c r="EA24" s="1133"/>
      <c r="EB24" s="242">
        <f t="shared" si="16"/>
        <v>0</v>
      </c>
      <c r="EC24" s="1136"/>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22">
        <v>2175.0</v>
      </c>
      <c r="C25" s="1150" t="s">
        <v>512</v>
      </c>
      <c r="D25" s="1124" t="s">
        <v>89</v>
      </c>
      <c r="E25" s="1124" t="s">
        <v>1002</v>
      </c>
      <c r="F25" s="1125">
        <f t="shared" si="2"/>
        <v>45</v>
      </c>
      <c r="G25" s="1126" t="str">
        <f t="shared" si="3"/>
        <v>非該当</v>
      </c>
      <c r="H25" s="112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3</v>
      </c>
      <c r="I25" s="1127">
        <f t="shared" si="36"/>
        <v>269.9333333</v>
      </c>
      <c r="J25" s="1128">
        <f t="shared" si="36"/>
        <v>36</v>
      </c>
      <c r="K25" s="214"/>
      <c r="L25" s="242" t="str">
        <f t="array" ref="L25">IFERROR(INDEX('💻シート作成'!$D$6:$D999, MATCH(M25, '💻シート作成'!$E$6:$E999, 0)), "")</f>
        <v>9月</v>
      </c>
      <c r="M25" s="1013" t="str">
        <f>IFERROR(__xludf.DUMMYFUNCTION("""COMPUTED_VALUE"""),"②R8_9シフト")</f>
        <v>②R8_9シフト</v>
      </c>
      <c r="N25" s="214"/>
      <c r="O25" s="1087"/>
      <c r="P25" s="214"/>
      <c r="Q25" s="1131">
        <f>IFERROR(__xludf.DUMMYFUNCTION("""COMPUTED_VALUE"""),2032.0)</f>
        <v>2032</v>
      </c>
      <c r="R25" s="1153" t="str">
        <f>IFERROR(__xludf.DUMMYFUNCTION("""COMPUTED_VALUE"""),"アムリタ")</f>
        <v>アムリタ</v>
      </c>
      <c r="S25" s="242"/>
      <c r="T25" s="242" t="str">
        <f>IFERROR(__xludf.DUMMYFUNCTION("""COMPUTED_VALUE"""),"時給")</f>
        <v>時給</v>
      </c>
      <c r="U25" s="1133">
        <f>IFERROR(__xludf.DUMMYFUNCTION("""COMPUTED_VALUE"""),21.0)</f>
        <v>21</v>
      </c>
      <c r="V25" s="242">
        <f t="shared" si="5"/>
        <v>1</v>
      </c>
      <c r="W25" s="1134">
        <f>IFERROR(__xludf.DUMMYFUNCTION("""COMPUTED_VALUE"""),92.9)</f>
        <v>92.9</v>
      </c>
      <c r="X25" s="242">
        <f>IFERROR(__xludf.DUMMYFUNCTION("""COMPUTED_VALUE"""),0.0)</f>
        <v>0</v>
      </c>
      <c r="Y25" s="214"/>
      <c r="Z25" s="214"/>
      <c r="AA25" s="1131">
        <f>IFERROR(__xludf.DUMMYFUNCTION("""COMPUTED_VALUE"""),2217.0)</f>
        <v>2217</v>
      </c>
      <c r="AB25" s="1153" t="str">
        <f>IFERROR(__xludf.DUMMYFUNCTION("""COMPUTED_VALUE"""),"トンメ")</f>
        <v>トンメ</v>
      </c>
      <c r="AC25" s="242" t="str">
        <f>IFERROR(__xludf.DUMMYFUNCTION("""COMPUTED_VALUE"""),"メイド")</f>
        <v>メイド</v>
      </c>
      <c r="AD25" s="242" t="str">
        <f>IFERROR(__xludf.DUMMYFUNCTION("""COMPUTED_VALUE"""),"歩+時")</f>
        <v>歩+時</v>
      </c>
      <c r="AE25" s="1133">
        <f>IFERROR(__xludf.DUMMYFUNCTION("""COMPUTED_VALUE"""),22.0)</f>
        <v>22</v>
      </c>
      <c r="AF25" s="242">
        <f t="shared" si="6"/>
        <v>5</v>
      </c>
      <c r="AG25" s="1136">
        <f>IFERROR(__xludf.DUMMYFUNCTION("""COMPUTED_VALUE"""),72.85)</f>
        <v>72.85</v>
      </c>
      <c r="AH25" s="242">
        <f>IFERROR(__xludf.DUMMYFUNCTION("""COMPUTED_VALUE"""),256.0)</f>
        <v>256</v>
      </c>
      <c r="AI25" s="214"/>
      <c r="AJ25" s="214"/>
      <c r="AK25" s="1131">
        <f>IFERROR(__xludf.DUMMYFUNCTION("""COMPUTED_VALUE"""),2175.0)</f>
        <v>2175</v>
      </c>
      <c r="AL25" s="1153" t="str">
        <f>IFERROR(__xludf.DUMMYFUNCTION("""COMPUTED_VALUE"""),"ジョティ")</f>
        <v>ジョティ</v>
      </c>
      <c r="AM25" s="242" t="str">
        <f>IFERROR(__xludf.DUMMYFUNCTION("""COMPUTED_VALUE"""),"メイド")</f>
        <v>メイド</v>
      </c>
      <c r="AN25" s="242" t="str">
        <f>IFERROR(__xludf.DUMMYFUNCTION("""COMPUTED_VALUE"""),"時給")</f>
        <v>時給</v>
      </c>
      <c r="AO25" s="1133">
        <f>IFERROR(__xludf.DUMMYFUNCTION("""COMPUTED_VALUE"""),15.0)</f>
        <v>15</v>
      </c>
      <c r="AP25" s="242">
        <f t="shared" si="7"/>
        <v>1</v>
      </c>
      <c r="AQ25" s="1136">
        <f>IFERROR(__xludf.DUMMYFUNCTION("""COMPUTED_VALUE"""),90.4)</f>
        <v>90.4</v>
      </c>
      <c r="AR25" s="242">
        <f>IFERROR(__xludf.DUMMYFUNCTION("""COMPUTED_VALUE"""),0.0)</f>
        <v>0</v>
      </c>
      <c r="AS25" s="237"/>
      <c r="AT25" s="214"/>
      <c r="AU25" s="1138"/>
      <c r="AV25" s="1154"/>
      <c r="AW25" s="1140"/>
      <c r="AX25" s="1140"/>
      <c r="AY25" s="1145"/>
      <c r="AZ25" s="1140">
        <f t="shared" si="8"/>
        <v>0</v>
      </c>
      <c r="BA25" s="1146"/>
      <c r="BB25" s="1140"/>
      <c r="BC25" s="214"/>
      <c r="BD25" s="214"/>
      <c r="BE25" s="1131"/>
      <c r="BF25" s="190"/>
      <c r="BG25" s="242"/>
      <c r="BH25" s="242"/>
      <c r="BI25" s="1133"/>
      <c r="BJ25" s="242">
        <f t="shared" si="9"/>
        <v>0</v>
      </c>
      <c r="BK25" s="1136"/>
      <c r="BL25" s="242"/>
      <c r="BM25" s="214"/>
      <c r="BN25" s="214"/>
      <c r="BO25" s="1131"/>
      <c r="BP25" s="190"/>
      <c r="BQ25" s="242"/>
      <c r="BR25" s="242"/>
      <c r="BS25" s="1133"/>
      <c r="BT25" s="242">
        <f t="shared" si="10"/>
        <v>0</v>
      </c>
      <c r="BU25" s="1136"/>
      <c r="BV25" s="242"/>
      <c r="BW25" s="237"/>
      <c r="BX25" s="214"/>
      <c r="BY25" s="1131"/>
      <c r="BZ25" s="190"/>
      <c r="CA25" s="242"/>
      <c r="CB25" s="242"/>
      <c r="CC25" s="1133"/>
      <c r="CD25" s="242">
        <f t="shared" si="11"/>
        <v>0</v>
      </c>
      <c r="CE25" s="1136"/>
      <c r="CF25" s="242"/>
      <c r="CG25" s="214"/>
      <c r="CH25" s="214"/>
      <c r="CI25" s="1131"/>
      <c r="CJ25" s="190"/>
      <c r="CK25" s="242"/>
      <c r="CL25" s="242"/>
      <c r="CM25" s="1133"/>
      <c r="CN25" s="242">
        <f t="shared" si="12"/>
        <v>0</v>
      </c>
      <c r="CO25" s="1136"/>
      <c r="CP25" s="242"/>
      <c r="CQ25" s="214"/>
      <c r="CR25" s="214"/>
      <c r="CS25" s="1131"/>
      <c r="CT25" s="190"/>
      <c r="CU25" s="242"/>
      <c r="CV25" s="242"/>
      <c r="CW25" s="1133"/>
      <c r="CX25" s="242">
        <f t="shared" si="13"/>
        <v>0</v>
      </c>
      <c r="CY25" s="1136"/>
      <c r="CZ25" s="242"/>
      <c r="DA25" s="237"/>
      <c r="DB25" s="214"/>
      <c r="DC25" s="1131"/>
      <c r="DD25" s="190"/>
      <c r="DE25" s="242"/>
      <c r="DF25" s="242"/>
      <c r="DG25" s="1133"/>
      <c r="DH25" s="242">
        <f t="shared" si="14"/>
        <v>0</v>
      </c>
      <c r="DI25" s="1136"/>
      <c r="DJ25" s="242"/>
      <c r="DK25" s="214"/>
      <c r="DL25" s="214"/>
      <c r="DM25" s="1131"/>
      <c r="DN25" s="190"/>
      <c r="DO25" s="242"/>
      <c r="DP25" s="242"/>
      <c r="DQ25" s="1133"/>
      <c r="DR25" s="242">
        <f t="shared" si="15"/>
        <v>0</v>
      </c>
      <c r="DS25" s="1136"/>
      <c r="DT25" s="242"/>
      <c r="DU25" s="214"/>
      <c r="DV25" s="214"/>
      <c r="DW25" s="1131"/>
      <c r="DX25" s="190"/>
      <c r="DY25" s="242"/>
      <c r="DZ25" s="242"/>
      <c r="EA25" s="1133"/>
      <c r="EB25" s="242">
        <f t="shared" si="16"/>
        <v>0</v>
      </c>
      <c r="EC25" s="1136"/>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22">
        <v>2217.0</v>
      </c>
      <c r="C26" s="1150" t="s">
        <v>110</v>
      </c>
      <c r="D26" s="1124" t="s">
        <v>89</v>
      </c>
      <c r="E26" s="1124" t="s">
        <v>1064</v>
      </c>
      <c r="F26" s="1125">
        <f t="shared" si="2"/>
        <v>60</v>
      </c>
      <c r="G26" s="1126" t="str">
        <f t="shared" si="3"/>
        <v>非該当</v>
      </c>
      <c r="H26" s="112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10</v>
      </c>
      <c r="I26" s="1127">
        <f t="shared" si="37"/>
        <v>233.2833333</v>
      </c>
      <c r="J26" s="1128">
        <f t="shared" si="37"/>
        <v>686</v>
      </c>
      <c r="K26" s="214"/>
      <c r="L26" s="242" t="str">
        <f t="array" ref="L26">IFERROR(INDEX('💻シート作成'!$D$6:$D999, MATCH(M26, '💻シート作成'!$E$6:$E999, 0)), "")</f>
        <v>9月</v>
      </c>
      <c r="M26" s="1013" t="str">
        <f>IFERROR(__xludf.DUMMYFUNCTION("""COMPUTED_VALUE"""),"③R8_9日報")</f>
        <v>③R8_9日報</v>
      </c>
      <c r="N26" s="214"/>
      <c r="O26" s="1087"/>
      <c r="P26" s="214"/>
      <c r="Q26" s="1131">
        <f>IFERROR(__xludf.DUMMYFUNCTION("""COMPUTED_VALUE"""),2039.0)</f>
        <v>2039</v>
      </c>
      <c r="R26" s="1153" t="str">
        <f>IFERROR(__xludf.DUMMYFUNCTION("""COMPUTED_VALUE"""),"ラキブ")</f>
        <v>ラキブ</v>
      </c>
      <c r="S26" s="242"/>
      <c r="T26" s="242" t="str">
        <f>IFERROR(__xludf.DUMMYFUNCTION("""COMPUTED_VALUE"""),"時給")</f>
        <v>時給</v>
      </c>
      <c r="U26" s="1133">
        <f>IFERROR(__xludf.DUMMYFUNCTION("""COMPUTED_VALUE"""),4.0)</f>
        <v>4</v>
      </c>
      <c r="V26" s="242">
        <f t="shared" si="5"/>
        <v>2</v>
      </c>
      <c r="W26" s="1134">
        <f>IFERROR(__xludf.DUMMYFUNCTION("""COMPUTED_VALUE"""),12.6)</f>
        <v>12.6</v>
      </c>
      <c r="X26" s="242">
        <f>IFERROR(__xludf.DUMMYFUNCTION("""COMPUTED_VALUE"""),0.0)</f>
        <v>0</v>
      </c>
      <c r="Y26" s="214"/>
      <c r="Z26" s="214"/>
      <c r="AA26" s="1131">
        <f>IFERROR(__xludf.DUMMYFUNCTION("""COMPUTED_VALUE"""),2218.0)</f>
        <v>2218</v>
      </c>
      <c r="AB26" s="1153" t="str">
        <f>IFERROR(__xludf.DUMMYFUNCTION("""COMPUTED_VALUE"""),"ズバエル")</f>
        <v>ズバエル</v>
      </c>
      <c r="AC26" s="242" t="str">
        <f>IFERROR(__xludf.DUMMYFUNCTION("""COMPUTED_VALUE"""),"メイド")</f>
        <v>メイド</v>
      </c>
      <c r="AD26" s="242" t="str">
        <f>IFERROR(__xludf.DUMMYFUNCTION("""COMPUTED_VALUE"""),"時給")</f>
        <v>時給</v>
      </c>
      <c r="AE26" s="1133">
        <f>IFERROR(__xludf.DUMMYFUNCTION("""COMPUTED_VALUE"""),21.0)</f>
        <v>21</v>
      </c>
      <c r="AF26" s="242">
        <f t="shared" si="6"/>
        <v>3</v>
      </c>
      <c r="AG26" s="1136">
        <f>IFERROR(__xludf.DUMMYFUNCTION("""COMPUTED_VALUE"""),112.18333333333334)</f>
        <v>112.1833333</v>
      </c>
      <c r="AH26" s="242">
        <f>IFERROR(__xludf.DUMMYFUNCTION("""COMPUTED_VALUE"""),0.0)</f>
        <v>0</v>
      </c>
      <c r="AI26" s="214"/>
      <c r="AJ26" s="214"/>
      <c r="AK26" s="1131">
        <f>IFERROR(__xludf.DUMMYFUNCTION("""COMPUTED_VALUE"""),2217.0)</f>
        <v>2217</v>
      </c>
      <c r="AL26" s="1153" t="str">
        <f>IFERROR(__xludf.DUMMYFUNCTION("""COMPUTED_VALUE"""),"トンメ")</f>
        <v>トンメ</v>
      </c>
      <c r="AM26" s="242" t="str">
        <f>IFERROR(__xludf.DUMMYFUNCTION("""COMPUTED_VALUE"""),"メイド")</f>
        <v>メイド</v>
      </c>
      <c r="AN26" s="242" t="str">
        <f>IFERROR(__xludf.DUMMYFUNCTION("""COMPUTED_VALUE"""),"歩+時")</f>
        <v>歩+時</v>
      </c>
      <c r="AO26" s="1133">
        <f>IFERROR(__xludf.DUMMYFUNCTION("""COMPUTED_VALUE"""),18.0)</f>
        <v>18</v>
      </c>
      <c r="AP26" s="242">
        <f t="shared" si="7"/>
        <v>4</v>
      </c>
      <c r="AQ26" s="1136">
        <f>IFERROR(__xludf.DUMMYFUNCTION("""COMPUTED_VALUE"""),72.53333333333333)</f>
        <v>72.53333333</v>
      </c>
      <c r="AR26" s="242">
        <f>IFERROR(__xludf.DUMMYFUNCTION("""COMPUTED_VALUE"""),188.0)</f>
        <v>188</v>
      </c>
      <c r="AS26" s="237"/>
      <c r="AT26" s="214"/>
      <c r="AU26" s="1138"/>
      <c r="AV26" s="1154"/>
      <c r="AW26" s="1140"/>
      <c r="AX26" s="1140"/>
      <c r="AY26" s="1145"/>
      <c r="AZ26" s="1140">
        <f t="shared" si="8"/>
        <v>0</v>
      </c>
      <c r="BA26" s="1146"/>
      <c r="BB26" s="1140"/>
      <c r="BC26" s="214"/>
      <c r="BD26" s="214"/>
      <c r="BE26" s="1131"/>
      <c r="BF26" s="190"/>
      <c r="BG26" s="242"/>
      <c r="BH26" s="242"/>
      <c r="BI26" s="1133"/>
      <c r="BJ26" s="242">
        <f t="shared" si="9"/>
        <v>0</v>
      </c>
      <c r="BK26" s="1136"/>
      <c r="BL26" s="242"/>
      <c r="BM26" s="214"/>
      <c r="BN26" s="214"/>
      <c r="BO26" s="1131"/>
      <c r="BP26" s="190"/>
      <c r="BQ26" s="242"/>
      <c r="BR26" s="242"/>
      <c r="BS26" s="1133"/>
      <c r="BT26" s="242">
        <f t="shared" si="10"/>
        <v>0</v>
      </c>
      <c r="BU26" s="1136"/>
      <c r="BV26" s="242"/>
      <c r="BW26" s="237"/>
      <c r="BX26" s="214"/>
      <c r="BY26" s="1131"/>
      <c r="BZ26" s="190"/>
      <c r="CA26" s="242"/>
      <c r="CB26" s="242"/>
      <c r="CC26" s="1133"/>
      <c r="CD26" s="242">
        <f t="shared" si="11"/>
        <v>0</v>
      </c>
      <c r="CE26" s="1136"/>
      <c r="CF26" s="242"/>
      <c r="CG26" s="214"/>
      <c r="CH26" s="214"/>
      <c r="CI26" s="1131"/>
      <c r="CJ26" s="190"/>
      <c r="CK26" s="242"/>
      <c r="CL26" s="242"/>
      <c r="CM26" s="1133"/>
      <c r="CN26" s="242">
        <f t="shared" si="12"/>
        <v>0</v>
      </c>
      <c r="CO26" s="1136"/>
      <c r="CP26" s="242"/>
      <c r="CQ26" s="214"/>
      <c r="CR26" s="214"/>
      <c r="CS26" s="1131"/>
      <c r="CT26" s="190"/>
      <c r="CU26" s="242"/>
      <c r="CV26" s="242"/>
      <c r="CW26" s="1133"/>
      <c r="CX26" s="242">
        <f t="shared" si="13"/>
        <v>0</v>
      </c>
      <c r="CY26" s="1136"/>
      <c r="CZ26" s="242"/>
      <c r="DA26" s="237"/>
      <c r="DB26" s="214"/>
      <c r="DC26" s="1131"/>
      <c r="DD26" s="190"/>
      <c r="DE26" s="242"/>
      <c r="DF26" s="242"/>
      <c r="DG26" s="1133"/>
      <c r="DH26" s="242">
        <f t="shared" si="14"/>
        <v>0</v>
      </c>
      <c r="DI26" s="1136"/>
      <c r="DJ26" s="242"/>
      <c r="DK26" s="214"/>
      <c r="DL26" s="214"/>
      <c r="DM26" s="1131"/>
      <c r="DN26" s="190"/>
      <c r="DO26" s="242"/>
      <c r="DP26" s="242"/>
      <c r="DQ26" s="1133"/>
      <c r="DR26" s="242">
        <f t="shared" si="15"/>
        <v>0</v>
      </c>
      <c r="DS26" s="1136"/>
      <c r="DT26" s="242"/>
      <c r="DU26" s="214"/>
      <c r="DV26" s="214"/>
      <c r="DW26" s="1131"/>
      <c r="DX26" s="190"/>
      <c r="DY26" s="242"/>
      <c r="DZ26" s="242"/>
      <c r="EA26" s="1133"/>
      <c r="EB26" s="242">
        <f t="shared" si="16"/>
        <v>0</v>
      </c>
      <c r="EC26" s="1136"/>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22">
        <v>2218.0</v>
      </c>
      <c r="C27" s="1150" t="s">
        <v>196</v>
      </c>
      <c r="D27" s="1124" t="s">
        <v>89</v>
      </c>
      <c r="E27" s="1124" t="s">
        <v>1064</v>
      </c>
      <c r="F27" s="1125">
        <f t="shared" si="2"/>
        <v>51</v>
      </c>
      <c r="G27" s="1126" t="str">
        <f t="shared" si="3"/>
        <v>非該当</v>
      </c>
      <c r="H27" s="112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10</v>
      </c>
      <c r="I27" s="1127">
        <f t="shared" si="38"/>
        <v>245.5833333</v>
      </c>
      <c r="J27" s="1128">
        <f t="shared" si="38"/>
        <v>107</v>
      </c>
      <c r="K27" s="214"/>
      <c r="L27" s="242" t="str">
        <f t="array" ref="L27">IFERROR(INDEX('💻シート作成'!$D$6:$D999, MATCH(M27, '💻シート作成'!$E$6:$E999, 0)), "")</f>
        <v>9月</v>
      </c>
      <c r="M27" s="1013" t="str">
        <f>IFERROR(__xludf.DUMMYFUNCTION("""COMPUTED_VALUE"""),"④R8_9月報")</f>
        <v>④R8_9月報</v>
      </c>
      <c r="N27" s="214"/>
      <c r="O27" s="1087"/>
      <c r="P27" s="214"/>
      <c r="Q27" s="1131">
        <f>IFERROR(__xludf.DUMMYFUNCTION("""COMPUTED_VALUE"""),2040.0)</f>
        <v>2040</v>
      </c>
      <c r="R27" s="1153" t="str">
        <f>IFERROR(__xludf.DUMMYFUNCTION("""COMPUTED_VALUE"""),"アジズル")</f>
        <v>アジズル</v>
      </c>
      <c r="S27" s="242"/>
      <c r="T27" s="242" t="str">
        <f>IFERROR(__xludf.DUMMYFUNCTION("""COMPUTED_VALUE"""),"")</f>
        <v/>
      </c>
      <c r="U27" s="1133">
        <f>IFERROR(__xludf.DUMMYFUNCTION("""COMPUTED_VALUE"""),0.0)</f>
        <v>0</v>
      </c>
      <c r="V27" s="242">
        <f t="shared" si="5"/>
        <v>0</v>
      </c>
      <c r="W27" s="1134">
        <f>IFERROR(__xludf.DUMMYFUNCTION("""COMPUTED_VALUE"""),0.0)</f>
        <v>0</v>
      </c>
      <c r="X27" s="242">
        <f>IFERROR(__xludf.DUMMYFUNCTION("""COMPUTED_VALUE"""),0.0)</f>
        <v>0</v>
      </c>
      <c r="Y27" s="214"/>
      <c r="Z27" s="214"/>
      <c r="AA27" s="1131">
        <f>IFERROR(__xludf.DUMMYFUNCTION("""COMPUTED_VALUE"""),2234.0)</f>
        <v>2234</v>
      </c>
      <c r="AB27" s="1153" t="str">
        <f>IFERROR(__xludf.DUMMYFUNCTION("""COMPUTED_VALUE"""),"クエン")</f>
        <v>クエン</v>
      </c>
      <c r="AC27" s="242" t="str">
        <f>IFERROR(__xludf.DUMMYFUNCTION("""COMPUTED_VALUE"""),"メイド")</f>
        <v>メイド</v>
      </c>
      <c r="AD27" s="242" t="str">
        <f>IFERROR(__xludf.DUMMYFUNCTION("""COMPUTED_VALUE"""),"時給")</f>
        <v>時給</v>
      </c>
      <c r="AE27" s="1133">
        <f>IFERROR(__xludf.DUMMYFUNCTION("""COMPUTED_VALUE"""),11.0)</f>
        <v>11</v>
      </c>
      <c r="AF27" s="242">
        <f t="shared" si="6"/>
        <v>0</v>
      </c>
      <c r="AG27" s="1136">
        <f>IFERROR(__xludf.DUMMYFUNCTION("""COMPUTED_VALUE"""),45.61666666666667)</f>
        <v>45.61666667</v>
      </c>
      <c r="AH27" s="242">
        <f>IFERROR(__xludf.DUMMYFUNCTION("""COMPUTED_VALUE"""),0.0)</f>
        <v>0</v>
      </c>
      <c r="AI27" s="214"/>
      <c r="AJ27" s="214"/>
      <c r="AK27" s="1131">
        <f>IFERROR(__xludf.DUMMYFUNCTION("""COMPUTED_VALUE"""),2218.0)</f>
        <v>2218</v>
      </c>
      <c r="AL27" s="1153" t="str">
        <f>IFERROR(__xludf.DUMMYFUNCTION("""COMPUTED_VALUE"""),"ズバエル")</f>
        <v>ズバエル</v>
      </c>
      <c r="AM27" s="242" t="str">
        <f>IFERROR(__xludf.DUMMYFUNCTION("""COMPUTED_VALUE"""),"メイド")</f>
        <v>メイド</v>
      </c>
      <c r="AN27" s="242" t="str">
        <f>IFERROR(__xludf.DUMMYFUNCTION("""COMPUTED_VALUE"""),"歩+時")</f>
        <v>歩+時</v>
      </c>
      <c r="AO27" s="1133">
        <f>IFERROR(__xludf.DUMMYFUNCTION("""COMPUTED_VALUE"""),11.0)</f>
        <v>11</v>
      </c>
      <c r="AP27" s="242">
        <f t="shared" si="7"/>
        <v>4</v>
      </c>
      <c r="AQ27" s="1136">
        <f>IFERROR(__xludf.DUMMYFUNCTION("""COMPUTED_VALUE"""),46.7)</f>
        <v>46.7</v>
      </c>
      <c r="AR27" s="242">
        <f>IFERROR(__xludf.DUMMYFUNCTION("""COMPUTED_VALUE"""),64.0)</f>
        <v>64</v>
      </c>
      <c r="AS27" s="237"/>
      <c r="AT27" s="214"/>
      <c r="AU27" s="1138"/>
      <c r="AV27" s="1154"/>
      <c r="AW27" s="1140"/>
      <c r="AX27" s="1140"/>
      <c r="AY27" s="1145"/>
      <c r="AZ27" s="1140">
        <f t="shared" si="8"/>
        <v>0</v>
      </c>
      <c r="BA27" s="1146"/>
      <c r="BB27" s="1140"/>
      <c r="BC27" s="214"/>
      <c r="BD27" s="214"/>
      <c r="BE27" s="1131"/>
      <c r="BF27" s="190"/>
      <c r="BG27" s="242"/>
      <c r="BH27" s="242"/>
      <c r="BI27" s="1133"/>
      <c r="BJ27" s="242">
        <f t="shared" si="9"/>
        <v>0</v>
      </c>
      <c r="BK27" s="1136"/>
      <c r="BL27" s="242"/>
      <c r="BM27" s="214"/>
      <c r="BN27" s="214"/>
      <c r="BO27" s="1131"/>
      <c r="BP27" s="190"/>
      <c r="BQ27" s="242"/>
      <c r="BR27" s="242"/>
      <c r="BS27" s="1133"/>
      <c r="BT27" s="242">
        <f t="shared" si="10"/>
        <v>0</v>
      </c>
      <c r="BU27" s="1136"/>
      <c r="BV27" s="242"/>
      <c r="BW27" s="237"/>
      <c r="BX27" s="214"/>
      <c r="BY27" s="1131"/>
      <c r="BZ27" s="190"/>
      <c r="CA27" s="242"/>
      <c r="CB27" s="242"/>
      <c r="CC27" s="1133"/>
      <c r="CD27" s="242">
        <f t="shared" si="11"/>
        <v>0</v>
      </c>
      <c r="CE27" s="1136"/>
      <c r="CF27" s="242"/>
      <c r="CG27" s="214"/>
      <c r="CH27" s="214"/>
      <c r="CI27" s="1131"/>
      <c r="CJ27" s="190"/>
      <c r="CK27" s="242"/>
      <c r="CL27" s="242"/>
      <c r="CM27" s="1133"/>
      <c r="CN27" s="242">
        <f t="shared" si="12"/>
        <v>0</v>
      </c>
      <c r="CO27" s="1136"/>
      <c r="CP27" s="242"/>
      <c r="CQ27" s="214"/>
      <c r="CR27" s="214"/>
      <c r="CS27" s="1131"/>
      <c r="CT27" s="190"/>
      <c r="CU27" s="242"/>
      <c r="CV27" s="242"/>
      <c r="CW27" s="1133"/>
      <c r="CX27" s="242">
        <f t="shared" si="13"/>
        <v>0</v>
      </c>
      <c r="CY27" s="1136"/>
      <c r="CZ27" s="242"/>
      <c r="DA27" s="237"/>
      <c r="DB27" s="214"/>
      <c r="DC27" s="1131"/>
      <c r="DD27" s="190"/>
      <c r="DE27" s="242"/>
      <c r="DF27" s="242"/>
      <c r="DG27" s="1133"/>
      <c r="DH27" s="242">
        <f t="shared" si="14"/>
        <v>0</v>
      </c>
      <c r="DI27" s="1136"/>
      <c r="DJ27" s="242"/>
      <c r="DK27" s="214"/>
      <c r="DL27" s="214"/>
      <c r="DM27" s="1131"/>
      <c r="DN27" s="190"/>
      <c r="DO27" s="242"/>
      <c r="DP27" s="242"/>
      <c r="DQ27" s="1133"/>
      <c r="DR27" s="242">
        <f t="shared" si="15"/>
        <v>0</v>
      </c>
      <c r="DS27" s="1136"/>
      <c r="DT27" s="242"/>
      <c r="DU27" s="214"/>
      <c r="DV27" s="214"/>
      <c r="DW27" s="1131"/>
      <c r="DX27" s="190"/>
      <c r="DY27" s="242"/>
      <c r="DZ27" s="242"/>
      <c r="EA27" s="1133"/>
      <c r="EB27" s="242">
        <f t="shared" si="16"/>
        <v>0</v>
      </c>
      <c r="EC27" s="1136"/>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22">
        <v>2236.0</v>
      </c>
      <c r="C28" s="1150" t="s">
        <v>515</v>
      </c>
      <c r="D28" s="1124" t="s">
        <v>89</v>
      </c>
      <c r="E28" s="1124" t="s">
        <v>1002</v>
      </c>
      <c r="F28" s="1125">
        <f t="shared" si="2"/>
        <v>26</v>
      </c>
      <c r="G28" s="1126" t="str">
        <f t="shared" si="3"/>
        <v>非該当</v>
      </c>
      <c r="H28" s="112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27">
        <f t="shared" si="39"/>
        <v>147.3666667</v>
      </c>
      <c r="J28" s="1128">
        <f t="shared" si="39"/>
        <v>0</v>
      </c>
      <c r="K28" s="214"/>
      <c r="L28" s="242" t="str">
        <f t="array" ref="L28">IFERROR(INDEX('💻シート作成'!$D$6:$D999, MATCH(M28, '💻シート作成'!$E$6:$E999, 0)), "")</f>
        <v>8月</v>
      </c>
      <c r="M28" s="1013" t="str">
        <f>IFERROR(__xludf.DUMMYFUNCTION("""COMPUTED_VALUE"""),"①R8_8集計")</f>
        <v>①R8_8集計</v>
      </c>
      <c r="N28" s="214"/>
      <c r="O28" s="1087"/>
      <c r="P28" s="214"/>
      <c r="Q28" s="1131">
        <f>IFERROR(__xludf.DUMMYFUNCTION("""COMPUTED_VALUE"""),2081.0)</f>
        <v>2081</v>
      </c>
      <c r="R28" s="1153" t="str">
        <f>IFERROR(__xludf.DUMMYFUNCTION("""COMPUTED_VALUE"""),"サパナ")</f>
        <v>サパナ</v>
      </c>
      <c r="S28" s="242"/>
      <c r="T28" s="242" t="str">
        <f>IFERROR(__xludf.DUMMYFUNCTION("""COMPUTED_VALUE"""),"時給")</f>
        <v>時給</v>
      </c>
      <c r="U28" s="1133">
        <f>IFERROR(__xludf.DUMMYFUNCTION("""COMPUTED_VALUE"""),9.0)</f>
        <v>9</v>
      </c>
      <c r="V28" s="242">
        <f t="shared" si="5"/>
        <v>2</v>
      </c>
      <c r="W28" s="1134">
        <f>IFERROR(__xludf.DUMMYFUNCTION("""COMPUTED_VALUE"""),39.9)</f>
        <v>39.9</v>
      </c>
      <c r="X28" s="242">
        <f>IFERROR(__xludf.DUMMYFUNCTION("""COMPUTED_VALUE"""),0.0)</f>
        <v>0</v>
      </c>
      <c r="Y28" s="214"/>
      <c r="Z28" s="214"/>
      <c r="AA28" s="1131">
        <f>IFERROR(__xludf.DUMMYFUNCTION("""COMPUTED_VALUE"""),2236.0)</f>
        <v>2236</v>
      </c>
      <c r="AB28" s="1153" t="str">
        <f>IFERROR(__xludf.DUMMYFUNCTION("""COMPUTED_VALUE"""),"アナリン")</f>
        <v>アナリン</v>
      </c>
      <c r="AC28" s="242" t="str">
        <f>IFERROR(__xludf.DUMMYFUNCTION("""COMPUTED_VALUE"""),"メイド")</f>
        <v>メイド</v>
      </c>
      <c r="AD28" s="242" t="str">
        <f>IFERROR(__xludf.DUMMYFUNCTION("""COMPUTED_VALUE"""),"時給")</f>
        <v>時給</v>
      </c>
      <c r="AE28" s="1133">
        <f>IFERROR(__xludf.DUMMYFUNCTION("""COMPUTED_VALUE"""),12.0)</f>
        <v>12</v>
      </c>
      <c r="AF28" s="242">
        <f t="shared" si="6"/>
        <v>5</v>
      </c>
      <c r="AG28" s="1136">
        <f>IFERROR(__xludf.DUMMYFUNCTION("""COMPUTED_VALUE"""),67.95)</f>
        <v>67.95</v>
      </c>
      <c r="AH28" s="242">
        <f>IFERROR(__xludf.DUMMYFUNCTION("""COMPUTED_VALUE"""),0.0)</f>
        <v>0</v>
      </c>
      <c r="AI28" s="214"/>
      <c r="AJ28" s="214"/>
      <c r="AK28" s="1131">
        <f>IFERROR(__xludf.DUMMYFUNCTION("""COMPUTED_VALUE"""),2236.0)</f>
        <v>2236</v>
      </c>
      <c r="AL28" s="1153" t="str">
        <f>IFERROR(__xludf.DUMMYFUNCTION("""COMPUTED_VALUE"""),"アナリン")</f>
        <v>アナリン</v>
      </c>
      <c r="AM28" s="242" t="str">
        <f>IFERROR(__xludf.DUMMYFUNCTION("""COMPUTED_VALUE"""),"メイド")</f>
        <v>メイド</v>
      </c>
      <c r="AN28" s="242" t="str">
        <f>IFERROR(__xludf.DUMMYFUNCTION("""COMPUTED_VALUE"""),"時給")</f>
        <v>時給</v>
      </c>
      <c r="AO28" s="1133">
        <f>IFERROR(__xludf.DUMMYFUNCTION("""COMPUTED_VALUE"""),9.0)</f>
        <v>9</v>
      </c>
      <c r="AP28" s="242">
        <f t="shared" si="7"/>
        <v>2</v>
      </c>
      <c r="AQ28" s="1136">
        <f>IFERROR(__xludf.DUMMYFUNCTION("""COMPUTED_VALUE"""),49.31666666666667)</f>
        <v>49.31666667</v>
      </c>
      <c r="AR28" s="242">
        <f>IFERROR(__xludf.DUMMYFUNCTION("""COMPUTED_VALUE"""),0.0)</f>
        <v>0</v>
      </c>
      <c r="AS28" s="237"/>
      <c r="AT28" s="214"/>
      <c r="AU28" s="1138"/>
      <c r="AV28" s="1154"/>
      <c r="AW28" s="1140"/>
      <c r="AX28" s="1140"/>
      <c r="AY28" s="1145"/>
      <c r="AZ28" s="1140">
        <f t="shared" si="8"/>
        <v>0</v>
      </c>
      <c r="BA28" s="1146"/>
      <c r="BB28" s="1140"/>
      <c r="BC28" s="214"/>
      <c r="BD28" s="214"/>
      <c r="BE28" s="1131"/>
      <c r="BF28" s="190"/>
      <c r="BG28" s="242"/>
      <c r="BH28" s="242"/>
      <c r="BI28" s="1133"/>
      <c r="BJ28" s="242">
        <f t="shared" si="9"/>
        <v>0</v>
      </c>
      <c r="BK28" s="1136"/>
      <c r="BL28" s="242"/>
      <c r="BM28" s="214"/>
      <c r="BN28" s="214"/>
      <c r="BO28" s="1131"/>
      <c r="BP28" s="190"/>
      <c r="BQ28" s="242"/>
      <c r="BR28" s="242"/>
      <c r="BS28" s="1133"/>
      <c r="BT28" s="242">
        <f t="shared" si="10"/>
        <v>0</v>
      </c>
      <c r="BU28" s="1136"/>
      <c r="BV28" s="242"/>
      <c r="BW28" s="237"/>
      <c r="BX28" s="214"/>
      <c r="BY28" s="1131"/>
      <c r="BZ28" s="190"/>
      <c r="CA28" s="242"/>
      <c r="CB28" s="242"/>
      <c r="CC28" s="1133"/>
      <c r="CD28" s="242">
        <f t="shared" si="11"/>
        <v>0</v>
      </c>
      <c r="CE28" s="1136"/>
      <c r="CF28" s="242"/>
      <c r="CG28" s="214"/>
      <c r="CH28" s="214"/>
      <c r="CI28" s="1131"/>
      <c r="CJ28" s="190"/>
      <c r="CK28" s="242"/>
      <c r="CL28" s="242"/>
      <c r="CM28" s="1133"/>
      <c r="CN28" s="242">
        <f t="shared" si="12"/>
        <v>0</v>
      </c>
      <c r="CO28" s="1136"/>
      <c r="CP28" s="242"/>
      <c r="CQ28" s="214"/>
      <c r="CR28" s="214"/>
      <c r="CS28" s="1131"/>
      <c r="CT28" s="190"/>
      <c r="CU28" s="242"/>
      <c r="CV28" s="242"/>
      <c r="CW28" s="1133"/>
      <c r="CX28" s="242">
        <f t="shared" si="13"/>
        <v>0</v>
      </c>
      <c r="CY28" s="1136"/>
      <c r="CZ28" s="242"/>
      <c r="DA28" s="237"/>
      <c r="DB28" s="214"/>
      <c r="DC28" s="1131"/>
      <c r="DD28" s="190"/>
      <c r="DE28" s="242"/>
      <c r="DF28" s="242"/>
      <c r="DG28" s="1133"/>
      <c r="DH28" s="242">
        <f t="shared" si="14"/>
        <v>0</v>
      </c>
      <c r="DI28" s="1136"/>
      <c r="DJ28" s="242"/>
      <c r="DK28" s="214"/>
      <c r="DL28" s="214"/>
      <c r="DM28" s="1131"/>
      <c r="DN28" s="190"/>
      <c r="DO28" s="242"/>
      <c r="DP28" s="242"/>
      <c r="DQ28" s="1133"/>
      <c r="DR28" s="242">
        <f t="shared" si="15"/>
        <v>0</v>
      </c>
      <c r="DS28" s="1136"/>
      <c r="DT28" s="242"/>
      <c r="DU28" s="214"/>
      <c r="DV28" s="214"/>
      <c r="DW28" s="1131"/>
      <c r="DX28" s="190"/>
      <c r="DY28" s="242"/>
      <c r="DZ28" s="242"/>
      <c r="EA28" s="1133"/>
      <c r="EB28" s="242">
        <f t="shared" si="16"/>
        <v>0</v>
      </c>
      <c r="EC28" s="1136"/>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22">
        <v>2268.0</v>
      </c>
      <c r="C29" s="1150" t="s">
        <v>516</v>
      </c>
      <c r="D29" s="1124" t="s">
        <v>89</v>
      </c>
      <c r="E29" s="1124" t="s">
        <v>1002</v>
      </c>
      <c r="F29" s="1125">
        <f t="shared" si="2"/>
        <v>60</v>
      </c>
      <c r="G29" s="1126" t="str">
        <f t="shared" si="3"/>
        <v>該当</v>
      </c>
      <c r="H29" s="112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7">
        <f t="shared" si="40"/>
        <v>384.3333333</v>
      </c>
      <c r="J29" s="1128">
        <f t="shared" si="40"/>
        <v>0</v>
      </c>
      <c r="K29" s="214"/>
      <c r="L29" s="242" t="str">
        <f t="array" ref="L29">IFERROR(INDEX('💻シート作成'!$D$6:$D999, MATCH(M29, '💻シート作成'!$E$6:$E999, 0)), "")</f>
        <v>8月</v>
      </c>
      <c r="M29" s="1013" t="str">
        <f>IFERROR(__xludf.DUMMYFUNCTION("""COMPUTED_VALUE"""),"②R8_8シフト")</f>
        <v>②R8_8シフト</v>
      </c>
      <c r="N29" s="214"/>
      <c r="O29" s="1087"/>
      <c r="P29" s="214"/>
      <c r="Q29" s="1131">
        <f>IFERROR(__xludf.DUMMYFUNCTION("""COMPUTED_VALUE"""),2082.0)</f>
        <v>2082</v>
      </c>
      <c r="R29" s="1153" t="str">
        <f>IFERROR(__xludf.DUMMYFUNCTION("""COMPUTED_VALUE"""),"サルミラ")</f>
        <v>サルミラ</v>
      </c>
      <c r="S29" s="242"/>
      <c r="T29" s="242" t="str">
        <f>IFERROR(__xludf.DUMMYFUNCTION("""COMPUTED_VALUE"""),"時給")</f>
        <v>時給</v>
      </c>
      <c r="U29" s="1133">
        <f>IFERROR(__xludf.DUMMYFUNCTION("""COMPUTED_VALUE"""),22.0)</f>
        <v>22</v>
      </c>
      <c r="V29" s="242">
        <f t="shared" si="5"/>
        <v>1</v>
      </c>
      <c r="W29" s="1134">
        <f>IFERROR(__xludf.DUMMYFUNCTION("""COMPUTED_VALUE"""),106.7)</f>
        <v>106.7</v>
      </c>
      <c r="X29" s="242">
        <f>IFERROR(__xludf.DUMMYFUNCTION("""COMPUTED_VALUE"""),0.0)</f>
        <v>0</v>
      </c>
      <c r="Y29" s="214"/>
      <c r="Z29" s="214"/>
      <c r="AA29" s="1131">
        <f>IFERROR(__xludf.DUMMYFUNCTION("""COMPUTED_VALUE"""),2239.0)</f>
        <v>2239</v>
      </c>
      <c r="AB29" s="1153" t="str">
        <f>IFERROR(__xludf.DUMMYFUNCTION("""COMPUTED_VALUE"""),"タルハ")</f>
        <v>タルハ</v>
      </c>
      <c r="AC29" s="242" t="str">
        <f>IFERROR(__xludf.DUMMYFUNCTION("""COMPUTED_VALUE"""),"メイド")</f>
        <v>メイド</v>
      </c>
      <c r="AD29" s="242" t="str">
        <f>IFERROR(__xludf.DUMMYFUNCTION("""COMPUTED_VALUE"""),"")</f>
        <v/>
      </c>
      <c r="AE29" s="1133">
        <f>IFERROR(__xludf.DUMMYFUNCTION("""COMPUTED_VALUE"""),0.0)</f>
        <v>0</v>
      </c>
      <c r="AF29" s="242">
        <f t="shared" si="6"/>
        <v>0</v>
      </c>
      <c r="AG29" s="1136">
        <f>IFERROR(__xludf.DUMMYFUNCTION("""COMPUTED_VALUE"""),0.0)</f>
        <v>0</v>
      </c>
      <c r="AH29" s="242">
        <f>IFERROR(__xludf.DUMMYFUNCTION("""COMPUTED_VALUE"""),0.0)</f>
        <v>0</v>
      </c>
      <c r="AI29" s="214"/>
      <c r="AJ29" s="214"/>
      <c r="AK29" s="1131">
        <f>IFERROR(__xludf.DUMMYFUNCTION("""COMPUTED_VALUE"""),2268.0)</f>
        <v>2268</v>
      </c>
      <c r="AL29" s="1153" t="str">
        <f>IFERROR(__xludf.DUMMYFUNCTION("""COMPUTED_VALUE"""),"阿部")</f>
        <v>阿部</v>
      </c>
      <c r="AM29" s="242" t="str">
        <f>IFERROR(__xludf.DUMMYFUNCTION("""COMPUTED_VALUE"""),"メイド")</f>
        <v>メイド</v>
      </c>
      <c r="AN29" s="242" t="str">
        <f>IFERROR(__xludf.DUMMYFUNCTION("""COMPUTED_VALUE"""),"時給")</f>
        <v>時給</v>
      </c>
      <c r="AO29" s="1133">
        <f>IFERROR(__xludf.DUMMYFUNCTION("""COMPUTED_VALUE"""),18.0)</f>
        <v>18</v>
      </c>
      <c r="AP29" s="242">
        <f t="shared" si="7"/>
        <v>0</v>
      </c>
      <c r="AQ29" s="1136">
        <f>IFERROR(__xludf.DUMMYFUNCTION("""COMPUTED_VALUE"""),115.81666666666666)</f>
        <v>115.8166667</v>
      </c>
      <c r="AR29" s="242">
        <f>IFERROR(__xludf.DUMMYFUNCTION("""COMPUTED_VALUE"""),0.0)</f>
        <v>0</v>
      </c>
      <c r="AS29" s="237"/>
      <c r="AT29" s="214"/>
      <c r="AU29" s="1138"/>
      <c r="AV29" s="1154"/>
      <c r="AW29" s="1140"/>
      <c r="AX29" s="1140"/>
      <c r="AY29" s="1145"/>
      <c r="AZ29" s="1140">
        <f t="shared" si="8"/>
        <v>0</v>
      </c>
      <c r="BA29" s="1146"/>
      <c r="BB29" s="1140"/>
      <c r="BC29" s="214"/>
      <c r="BD29" s="214"/>
      <c r="BE29" s="1131"/>
      <c r="BF29" s="190"/>
      <c r="BG29" s="242"/>
      <c r="BH29" s="242"/>
      <c r="BI29" s="1133"/>
      <c r="BJ29" s="242">
        <f t="shared" si="9"/>
        <v>0</v>
      </c>
      <c r="BK29" s="1136"/>
      <c r="BL29" s="242"/>
      <c r="BM29" s="214"/>
      <c r="BN29" s="214"/>
      <c r="BO29" s="1131"/>
      <c r="BP29" s="190"/>
      <c r="BQ29" s="242"/>
      <c r="BR29" s="242"/>
      <c r="BS29" s="1133"/>
      <c r="BT29" s="242">
        <f t="shared" si="10"/>
        <v>0</v>
      </c>
      <c r="BU29" s="1136"/>
      <c r="BV29" s="242"/>
      <c r="BW29" s="237"/>
      <c r="BX29" s="214"/>
      <c r="BY29" s="1131"/>
      <c r="BZ29" s="190"/>
      <c r="CA29" s="242"/>
      <c r="CB29" s="242"/>
      <c r="CC29" s="1133"/>
      <c r="CD29" s="242">
        <f t="shared" si="11"/>
        <v>0</v>
      </c>
      <c r="CE29" s="1136"/>
      <c r="CF29" s="242"/>
      <c r="CG29" s="214"/>
      <c r="CH29" s="214"/>
      <c r="CI29" s="1131"/>
      <c r="CJ29" s="190"/>
      <c r="CK29" s="242"/>
      <c r="CL29" s="242"/>
      <c r="CM29" s="1133"/>
      <c r="CN29" s="242">
        <f t="shared" si="12"/>
        <v>0</v>
      </c>
      <c r="CO29" s="1136"/>
      <c r="CP29" s="242"/>
      <c r="CQ29" s="214"/>
      <c r="CR29" s="214"/>
      <c r="CS29" s="1131"/>
      <c r="CT29" s="190"/>
      <c r="CU29" s="242"/>
      <c r="CV29" s="242"/>
      <c r="CW29" s="1133"/>
      <c r="CX29" s="242">
        <f t="shared" si="13"/>
        <v>0</v>
      </c>
      <c r="CY29" s="1136"/>
      <c r="CZ29" s="242"/>
      <c r="DA29" s="237"/>
      <c r="DB29" s="214"/>
      <c r="DC29" s="1131"/>
      <c r="DD29" s="190"/>
      <c r="DE29" s="242"/>
      <c r="DF29" s="242"/>
      <c r="DG29" s="1133"/>
      <c r="DH29" s="242">
        <f t="shared" si="14"/>
        <v>0</v>
      </c>
      <c r="DI29" s="1136"/>
      <c r="DJ29" s="242"/>
      <c r="DK29" s="214"/>
      <c r="DL29" s="214"/>
      <c r="DM29" s="1131"/>
      <c r="DN29" s="190"/>
      <c r="DO29" s="242"/>
      <c r="DP29" s="242"/>
      <c r="DQ29" s="1133"/>
      <c r="DR29" s="242">
        <f t="shared" si="15"/>
        <v>0</v>
      </c>
      <c r="DS29" s="1136"/>
      <c r="DT29" s="242"/>
      <c r="DU29" s="214"/>
      <c r="DV29" s="214"/>
      <c r="DW29" s="1131"/>
      <c r="DX29" s="190"/>
      <c r="DY29" s="242"/>
      <c r="DZ29" s="242"/>
      <c r="EA29" s="1133"/>
      <c r="EB29" s="242">
        <f t="shared" si="16"/>
        <v>0</v>
      </c>
      <c r="EC29" s="1136"/>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22">
        <v>2326.0</v>
      </c>
      <c r="C30" s="1150" t="s">
        <v>517</v>
      </c>
      <c r="D30" s="1124" t="s">
        <v>89</v>
      </c>
      <c r="E30" s="1124" t="s">
        <v>1002</v>
      </c>
      <c r="F30" s="1125">
        <f t="shared" si="2"/>
        <v>54</v>
      </c>
      <c r="G30" s="1126" t="str">
        <f t="shared" si="3"/>
        <v>非該当</v>
      </c>
      <c r="H30" s="112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7">
        <f t="shared" si="41"/>
        <v>335.2666667</v>
      </c>
      <c r="J30" s="1128">
        <f t="shared" si="41"/>
        <v>0</v>
      </c>
      <c r="K30" s="214"/>
      <c r="L30" s="242" t="str">
        <f t="array" ref="L30">IFERROR(INDEX('💻シート作成'!$D$6:$D999, MATCH(M30, '💻シート作成'!$E$6:$E999, 0)), "")</f>
        <v>8月</v>
      </c>
      <c r="M30" s="1013" t="str">
        <f>IFERROR(__xludf.DUMMYFUNCTION("""COMPUTED_VALUE"""),"③R8_8日報")</f>
        <v>③R8_8日報</v>
      </c>
      <c r="N30" s="214"/>
      <c r="O30" s="1087"/>
      <c r="P30" s="214"/>
      <c r="Q30" s="1131">
        <f>IFERROR(__xludf.DUMMYFUNCTION("""COMPUTED_VALUE"""),2083.0)</f>
        <v>2083</v>
      </c>
      <c r="R30" s="1153" t="str">
        <f>IFERROR(__xludf.DUMMYFUNCTION("""COMPUTED_VALUE"""),"アリサ")</f>
        <v>アリサ</v>
      </c>
      <c r="S30" s="242"/>
      <c r="T30" s="242" t="str">
        <f>IFERROR(__xludf.DUMMYFUNCTION("""COMPUTED_VALUE"""),"時給")</f>
        <v>時給</v>
      </c>
      <c r="U30" s="1133">
        <f>IFERROR(__xludf.DUMMYFUNCTION("""COMPUTED_VALUE"""),22.0)</f>
        <v>22</v>
      </c>
      <c r="V30" s="242">
        <f t="shared" si="5"/>
        <v>1</v>
      </c>
      <c r="W30" s="1134">
        <f>IFERROR(__xludf.DUMMYFUNCTION("""COMPUTED_VALUE"""),104.3)</f>
        <v>104.3</v>
      </c>
      <c r="X30" s="242">
        <f>IFERROR(__xludf.DUMMYFUNCTION("""COMPUTED_VALUE"""),0.0)</f>
        <v>0</v>
      </c>
      <c r="Y30" s="214"/>
      <c r="Z30" s="214"/>
      <c r="AA30" s="1131">
        <f>IFERROR(__xludf.DUMMYFUNCTION("""COMPUTED_VALUE"""),2244.0)</f>
        <v>2244</v>
      </c>
      <c r="AB30" s="1153" t="str">
        <f>IFERROR(__xludf.DUMMYFUNCTION("""COMPUTED_VALUE"""),"山本")</f>
        <v>山本</v>
      </c>
      <c r="AC30" s="242" t="str">
        <f>IFERROR(__xludf.DUMMYFUNCTION("""COMPUTED_VALUE"""),"チェッカー")</f>
        <v>チェッカー</v>
      </c>
      <c r="AD30" s="242" t="str">
        <f>IFERROR(__xludf.DUMMYFUNCTION("""COMPUTED_VALUE"""),"時給")</f>
        <v>時給</v>
      </c>
      <c r="AE30" s="1133">
        <f>IFERROR(__xludf.DUMMYFUNCTION("""COMPUTED_VALUE"""),12.0)</f>
        <v>12</v>
      </c>
      <c r="AF30" s="242">
        <f t="shared" si="6"/>
        <v>4</v>
      </c>
      <c r="AG30" s="1136">
        <f>IFERROR(__xludf.DUMMYFUNCTION("""COMPUTED_VALUE"""),73.48333333333333)</f>
        <v>73.48333333</v>
      </c>
      <c r="AH30" s="242">
        <f>IFERROR(__xludf.DUMMYFUNCTION("""COMPUTED_VALUE"""),0.0)</f>
        <v>0</v>
      </c>
      <c r="AI30" s="214"/>
      <c r="AJ30" s="214"/>
      <c r="AK30" s="1131">
        <f>IFERROR(__xludf.DUMMYFUNCTION("""COMPUTED_VALUE"""),2326.0)</f>
        <v>2326</v>
      </c>
      <c r="AL30" s="1153" t="str">
        <f>IFERROR(__xludf.DUMMYFUNCTION("""COMPUTED_VALUE"""),"プラティマ")</f>
        <v>プラティマ</v>
      </c>
      <c r="AM30" s="242" t="str">
        <f>IFERROR(__xludf.DUMMYFUNCTION("""COMPUTED_VALUE"""),"メイド")</f>
        <v>メイド</v>
      </c>
      <c r="AN30" s="242" t="str">
        <f>IFERROR(__xludf.DUMMYFUNCTION("""COMPUTED_VALUE"""),"時給")</f>
        <v>時給</v>
      </c>
      <c r="AO30" s="1133">
        <f>IFERROR(__xludf.DUMMYFUNCTION("""COMPUTED_VALUE"""),15.0)</f>
        <v>15</v>
      </c>
      <c r="AP30" s="242">
        <f t="shared" si="7"/>
        <v>0</v>
      </c>
      <c r="AQ30" s="1136">
        <f>IFERROR(__xludf.DUMMYFUNCTION("""COMPUTED_VALUE"""),97.78333333333333)</f>
        <v>97.78333333</v>
      </c>
      <c r="AR30" s="242">
        <f>IFERROR(__xludf.DUMMYFUNCTION("""COMPUTED_VALUE"""),0.0)</f>
        <v>0</v>
      </c>
      <c r="AS30" s="237"/>
      <c r="AT30" s="214"/>
      <c r="AU30" s="1138"/>
      <c r="AV30" s="1154"/>
      <c r="AW30" s="1140"/>
      <c r="AX30" s="1140"/>
      <c r="AY30" s="1145"/>
      <c r="AZ30" s="1140">
        <f t="shared" si="8"/>
        <v>0</v>
      </c>
      <c r="BA30" s="1146"/>
      <c r="BB30" s="1140"/>
      <c r="BC30" s="214"/>
      <c r="BD30" s="214"/>
      <c r="BE30" s="1131"/>
      <c r="BF30" s="190"/>
      <c r="BG30" s="242"/>
      <c r="BH30" s="242"/>
      <c r="BI30" s="1133"/>
      <c r="BJ30" s="242">
        <f t="shared" si="9"/>
        <v>0</v>
      </c>
      <c r="BK30" s="1136"/>
      <c r="BL30" s="242"/>
      <c r="BM30" s="214"/>
      <c r="BN30" s="214"/>
      <c r="BO30" s="1131"/>
      <c r="BP30" s="190"/>
      <c r="BQ30" s="242"/>
      <c r="BR30" s="242"/>
      <c r="BS30" s="1133"/>
      <c r="BT30" s="242">
        <f t="shared" si="10"/>
        <v>0</v>
      </c>
      <c r="BU30" s="1136"/>
      <c r="BV30" s="242"/>
      <c r="BW30" s="237"/>
      <c r="BX30" s="214"/>
      <c r="BY30" s="1131"/>
      <c r="BZ30" s="190"/>
      <c r="CA30" s="242"/>
      <c r="CB30" s="242"/>
      <c r="CC30" s="1133"/>
      <c r="CD30" s="242">
        <f t="shared" si="11"/>
        <v>0</v>
      </c>
      <c r="CE30" s="1136"/>
      <c r="CF30" s="242"/>
      <c r="CG30" s="214"/>
      <c r="CH30" s="214"/>
      <c r="CI30" s="1131"/>
      <c r="CJ30" s="190"/>
      <c r="CK30" s="242"/>
      <c r="CL30" s="242"/>
      <c r="CM30" s="1133"/>
      <c r="CN30" s="242">
        <f t="shared" si="12"/>
        <v>0</v>
      </c>
      <c r="CO30" s="1136"/>
      <c r="CP30" s="242"/>
      <c r="CQ30" s="214"/>
      <c r="CR30" s="214"/>
      <c r="CS30" s="1131"/>
      <c r="CT30" s="190"/>
      <c r="CU30" s="242"/>
      <c r="CV30" s="242"/>
      <c r="CW30" s="1133"/>
      <c r="CX30" s="242">
        <f t="shared" si="13"/>
        <v>0</v>
      </c>
      <c r="CY30" s="1136"/>
      <c r="CZ30" s="242"/>
      <c r="DA30" s="237"/>
      <c r="DB30" s="214"/>
      <c r="DC30" s="1131"/>
      <c r="DD30" s="190"/>
      <c r="DE30" s="242"/>
      <c r="DF30" s="242"/>
      <c r="DG30" s="1133"/>
      <c r="DH30" s="242">
        <f t="shared" si="14"/>
        <v>0</v>
      </c>
      <c r="DI30" s="1136"/>
      <c r="DJ30" s="242"/>
      <c r="DK30" s="214"/>
      <c r="DL30" s="214"/>
      <c r="DM30" s="1131"/>
      <c r="DN30" s="190"/>
      <c r="DO30" s="242"/>
      <c r="DP30" s="242"/>
      <c r="DQ30" s="1133"/>
      <c r="DR30" s="242">
        <f t="shared" si="15"/>
        <v>0</v>
      </c>
      <c r="DS30" s="1136"/>
      <c r="DT30" s="242"/>
      <c r="DU30" s="214"/>
      <c r="DV30" s="214"/>
      <c r="DW30" s="1131"/>
      <c r="DX30" s="190"/>
      <c r="DY30" s="242"/>
      <c r="DZ30" s="242"/>
      <c r="EA30" s="1133"/>
      <c r="EB30" s="242">
        <f t="shared" si="16"/>
        <v>0</v>
      </c>
      <c r="EC30" s="1136"/>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22">
        <v>2329.0</v>
      </c>
      <c r="C31" s="1150" t="s">
        <v>518</v>
      </c>
      <c r="D31" s="1124" t="s">
        <v>89</v>
      </c>
      <c r="E31" s="1124" t="s">
        <v>1002</v>
      </c>
      <c r="F31" s="1125">
        <f t="shared" si="2"/>
        <v>41</v>
      </c>
      <c r="G31" s="1126" t="str">
        <f t="shared" si="3"/>
        <v>該当</v>
      </c>
      <c r="H31" s="112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7">
        <f t="shared" si="42"/>
        <v>238.8833333</v>
      </c>
      <c r="J31" s="1128">
        <f t="shared" si="42"/>
        <v>0</v>
      </c>
      <c r="K31" s="214"/>
      <c r="L31" s="242" t="str">
        <f t="array" ref="L31">IFERROR(INDEX('💻シート作成'!$D$6:$D999, MATCH(M31, '💻シート作成'!$E$6:$E999, 0)), "")</f>
        <v>8月</v>
      </c>
      <c r="M31" s="1013" t="str">
        <f>IFERROR(__xludf.DUMMYFUNCTION("""COMPUTED_VALUE"""),"④R8_8月報")</f>
        <v>④R8_8月報</v>
      </c>
      <c r="N31" s="214"/>
      <c r="O31" s="1087"/>
      <c r="P31" s="214"/>
      <c r="Q31" s="1131">
        <f>IFERROR(__xludf.DUMMYFUNCTION("""COMPUTED_VALUE"""),2107.0)</f>
        <v>2107</v>
      </c>
      <c r="R31" s="1153" t="str">
        <f>IFERROR(__xludf.DUMMYFUNCTION("""COMPUTED_VALUE"""),"ダハル")</f>
        <v>ダハル</v>
      </c>
      <c r="S31" s="242"/>
      <c r="T31" s="242" t="str">
        <f>IFERROR(__xludf.DUMMYFUNCTION("""COMPUTED_VALUE"""),"")</f>
        <v/>
      </c>
      <c r="U31" s="1133">
        <f>IFERROR(__xludf.DUMMYFUNCTION("""COMPUTED_VALUE"""),0.0)</f>
        <v>0</v>
      </c>
      <c r="V31" s="242">
        <f t="shared" si="5"/>
        <v>1</v>
      </c>
      <c r="W31" s="1134">
        <f>IFERROR(__xludf.DUMMYFUNCTION("""COMPUTED_VALUE"""),0.0)</f>
        <v>0</v>
      </c>
      <c r="X31" s="242">
        <f>IFERROR(__xludf.DUMMYFUNCTION("""COMPUTED_VALUE"""),0.0)</f>
        <v>0</v>
      </c>
      <c r="Y31" s="214"/>
      <c r="Z31" s="214"/>
      <c r="AA31" s="1131">
        <f>IFERROR(__xludf.DUMMYFUNCTION("""COMPUTED_VALUE"""),2254.0)</f>
        <v>2254</v>
      </c>
      <c r="AB31" s="1153" t="str">
        <f>IFERROR(__xludf.DUMMYFUNCTION("""COMPUTED_VALUE"""),"栗田")</f>
        <v>栗田</v>
      </c>
      <c r="AC31" s="242" t="str">
        <f>IFERROR(__xludf.DUMMYFUNCTION("""COMPUTED_VALUE"""),"チェッカー")</f>
        <v>チェッカー</v>
      </c>
      <c r="AD31" s="242" t="str">
        <f>IFERROR(__xludf.DUMMYFUNCTION("""COMPUTED_VALUE"""),"時給")</f>
        <v>時給</v>
      </c>
      <c r="AE31" s="1133">
        <f>IFERROR(__xludf.DUMMYFUNCTION("""COMPUTED_VALUE"""),6.0)</f>
        <v>6</v>
      </c>
      <c r="AF31" s="242">
        <f t="shared" si="6"/>
        <v>2</v>
      </c>
      <c r="AG31" s="1136">
        <f>IFERROR(__xludf.DUMMYFUNCTION("""COMPUTED_VALUE"""),28.433333333333334)</f>
        <v>28.43333333</v>
      </c>
      <c r="AH31" s="242">
        <f>IFERROR(__xludf.DUMMYFUNCTION("""COMPUTED_VALUE"""),0.0)</f>
        <v>0</v>
      </c>
      <c r="AI31" s="214"/>
      <c r="AJ31" s="214"/>
      <c r="AK31" s="1131">
        <f>IFERROR(__xludf.DUMMYFUNCTION("""COMPUTED_VALUE"""),2329.0)</f>
        <v>2329</v>
      </c>
      <c r="AL31" s="1153" t="str">
        <f>IFERROR(__xludf.DUMMYFUNCTION("""COMPUTED_VALUE"""),"木戸")</f>
        <v>木戸</v>
      </c>
      <c r="AM31" s="242" t="str">
        <f>IFERROR(__xludf.DUMMYFUNCTION("""COMPUTED_VALUE"""),"メイド")</f>
        <v>メイド</v>
      </c>
      <c r="AN31" s="242" t="str">
        <f>IFERROR(__xludf.DUMMYFUNCTION("""COMPUTED_VALUE"""),"時給")</f>
        <v>時給</v>
      </c>
      <c r="AO31" s="1133">
        <f>IFERROR(__xludf.DUMMYFUNCTION("""COMPUTED_VALUE"""),12.0)</f>
        <v>12</v>
      </c>
      <c r="AP31" s="242">
        <f t="shared" si="7"/>
        <v>0</v>
      </c>
      <c r="AQ31" s="1136">
        <f>IFERROR(__xludf.DUMMYFUNCTION("""COMPUTED_VALUE"""),74.61666666666666)</f>
        <v>74.61666667</v>
      </c>
      <c r="AR31" s="242">
        <f>IFERROR(__xludf.DUMMYFUNCTION("""COMPUTED_VALUE"""),0.0)</f>
        <v>0</v>
      </c>
      <c r="AS31" s="237"/>
      <c r="AT31" s="214"/>
      <c r="AU31" s="1138"/>
      <c r="AV31" s="1154"/>
      <c r="AW31" s="1140"/>
      <c r="AX31" s="1140"/>
      <c r="AY31" s="1145"/>
      <c r="AZ31" s="1140">
        <f t="shared" si="8"/>
        <v>0</v>
      </c>
      <c r="BA31" s="1146"/>
      <c r="BB31" s="1140"/>
      <c r="BC31" s="214"/>
      <c r="BD31" s="214"/>
      <c r="BE31" s="1131"/>
      <c r="BF31" s="190"/>
      <c r="BG31" s="242"/>
      <c r="BH31" s="242"/>
      <c r="BI31" s="1133"/>
      <c r="BJ31" s="242">
        <f t="shared" si="9"/>
        <v>0</v>
      </c>
      <c r="BK31" s="1136"/>
      <c r="BL31" s="242"/>
      <c r="BM31" s="214"/>
      <c r="BN31" s="214"/>
      <c r="BO31" s="1131"/>
      <c r="BP31" s="190"/>
      <c r="BQ31" s="242"/>
      <c r="BR31" s="242"/>
      <c r="BS31" s="1133"/>
      <c r="BT31" s="242">
        <f t="shared" si="10"/>
        <v>0</v>
      </c>
      <c r="BU31" s="1136"/>
      <c r="BV31" s="242"/>
      <c r="BW31" s="237"/>
      <c r="BX31" s="214"/>
      <c r="BY31" s="1131"/>
      <c r="BZ31" s="190"/>
      <c r="CA31" s="242"/>
      <c r="CB31" s="242"/>
      <c r="CC31" s="1133"/>
      <c r="CD31" s="242">
        <f t="shared" si="11"/>
        <v>0</v>
      </c>
      <c r="CE31" s="1136"/>
      <c r="CF31" s="242"/>
      <c r="CG31" s="214"/>
      <c r="CH31" s="214"/>
      <c r="CI31" s="1131"/>
      <c r="CJ31" s="190"/>
      <c r="CK31" s="242"/>
      <c r="CL31" s="242"/>
      <c r="CM31" s="1133"/>
      <c r="CN31" s="242">
        <f t="shared" si="12"/>
        <v>0</v>
      </c>
      <c r="CO31" s="1136"/>
      <c r="CP31" s="242"/>
      <c r="CQ31" s="214"/>
      <c r="CR31" s="214"/>
      <c r="CS31" s="1131"/>
      <c r="CT31" s="190"/>
      <c r="CU31" s="242"/>
      <c r="CV31" s="242"/>
      <c r="CW31" s="1133"/>
      <c r="CX31" s="242">
        <f t="shared" si="13"/>
        <v>0</v>
      </c>
      <c r="CY31" s="1136"/>
      <c r="CZ31" s="242"/>
      <c r="DA31" s="237"/>
      <c r="DB31" s="214"/>
      <c r="DC31" s="1131"/>
      <c r="DD31" s="190"/>
      <c r="DE31" s="242"/>
      <c r="DF31" s="242"/>
      <c r="DG31" s="1133"/>
      <c r="DH31" s="242">
        <f t="shared" si="14"/>
        <v>0</v>
      </c>
      <c r="DI31" s="1136"/>
      <c r="DJ31" s="242"/>
      <c r="DK31" s="214"/>
      <c r="DL31" s="214"/>
      <c r="DM31" s="1131"/>
      <c r="DN31" s="190"/>
      <c r="DO31" s="242"/>
      <c r="DP31" s="242"/>
      <c r="DQ31" s="1133"/>
      <c r="DR31" s="242">
        <f t="shared" si="15"/>
        <v>0</v>
      </c>
      <c r="DS31" s="1136"/>
      <c r="DT31" s="242"/>
      <c r="DU31" s="214"/>
      <c r="DV31" s="214"/>
      <c r="DW31" s="1131"/>
      <c r="DX31" s="190"/>
      <c r="DY31" s="242"/>
      <c r="DZ31" s="242"/>
      <c r="EA31" s="1133"/>
      <c r="EB31" s="242">
        <f t="shared" si="16"/>
        <v>0</v>
      </c>
      <c r="EC31" s="1136"/>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22">
        <v>2334.0</v>
      </c>
      <c r="C32" s="1150" t="s">
        <v>176</v>
      </c>
      <c r="D32" s="1124" t="s">
        <v>89</v>
      </c>
      <c r="E32" s="1124" t="s">
        <v>1065</v>
      </c>
      <c r="F32" s="1125">
        <f t="shared" si="2"/>
        <v>42</v>
      </c>
      <c r="G32" s="1126" t="str">
        <f t="shared" si="3"/>
        <v>非該当</v>
      </c>
      <c r="H32" s="112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27">
        <f t="shared" si="43"/>
        <v>207.5</v>
      </c>
      <c r="J32" s="1128">
        <f t="shared" si="43"/>
        <v>413</v>
      </c>
      <c r="K32" s="214"/>
      <c r="L32" s="242" t="str">
        <f t="array" ref="L32">IFERROR(INDEX('💻シート作成'!$D$6:$D999, MATCH(M32, '💻シート作成'!$E$6:$E999, 0)), "")</f>
        <v>7月</v>
      </c>
      <c r="M32" s="1013" t="str">
        <f>IFERROR(__xludf.DUMMYFUNCTION("""COMPUTED_VALUE"""),"①R8_7集計")</f>
        <v>①R8_7集計</v>
      </c>
      <c r="N32" s="214"/>
      <c r="O32" s="1087"/>
      <c r="P32" s="214"/>
      <c r="Q32" s="1131">
        <f>IFERROR(__xludf.DUMMYFUNCTION("""COMPUTED_VALUE"""),2154.0)</f>
        <v>2154</v>
      </c>
      <c r="R32" s="1153" t="str">
        <f>IFERROR(__xludf.DUMMYFUNCTION("""COMPUTED_VALUE"""),"クマリ")</f>
        <v>クマリ</v>
      </c>
      <c r="S32" s="242"/>
      <c r="T32" s="242" t="str">
        <f>IFERROR(__xludf.DUMMYFUNCTION("""COMPUTED_VALUE"""),"歩+時")</f>
        <v>歩+時</v>
      </c>
      <c r="U32" s="1133">
        <f>IFERROR(__xludf.DUMMYFUNCTION("""COMPUTED_VALUE"""),17.0)</f>
        <v>17</v>
      </c>
      <c r="V32" s="242">
        <f t="shared" si="5"/>
        <v>0</v>
      </c>
      <c r="W32" s="1134">
        <f>IFERROR(__xludf.DUMMYFUNCTION("""COMPUTED_VALUE"""),97.5)</f>
        <v>97.5</v>
      </c>
      <c r="X32" s="242">
        <f>IFERROR(__xludf.DUMMYFUNCTION("""COMPUTED_VALUE"""),35.0)</f>
        <v>35</v>
      </c>
      <c r="Y32" s="214"/>
      <c r="Z32" s="214"/>
      <c r="AA32" s="1131">
        <f>IFERROR(__xludf.DUMMYFUNCTION("""COMPUTED_VALUE"""),2268.0)</f>
        <v>2268</v>
      </c>
      <c r="AB32" s="1153" t="str">
        <f>IFERROR(__xludf.DUMMYFUNCTION("""COMPUTED_VALUE"""),"阿部")</f>
        <v>阿部</v>
      </c>
      <c r="AC32" s="242" t="str">
        <f>IFERROR(__xludf.DUMMYFUNCTION("""COMPUTED_VALUE"""),"メイド")</f>
        <v>メイド</v>
      </c>
      <c r="AD32" s="242" t="str">
        <f>IFERROR(__xludf.DUMMYFUNCTION("""COMPUTED_VALUE"""),"時給")</f>
        <v>時給</v>
      </c>
      <c r="AE32" s="1133">
        <f>IFERROR(__xludf.DUMMYFUNCTION("""COMPUTED_VALUE"""),22.0)</f>
        <v>22</v>
      </c>
      <c r="AF32" s="242">
        <f t="shared" si="6"/>
        <v>0</v>
      </c>
      <c r="AG32" s="1136">
        <f>IFERROR(__xludf.DUMMYFUNCTION("""COMPUTED_VALUE"""),138.41666666666666)</f>
        <v>138.4166667</v>
      </c>
      <c r="AH32" s="242">
        <f>IFERROR(__xludf.DUMMYFUNCTION("""COMPUTED_VALUE"""),0.0)</f>
        <v>0</v>
      </c>
      <c r="AI32" s="214"/>
      <c r="AJ32" s="214"/>
      <c r="AK32" s="1131">
        <f>IFERROR(__xludf.DUMMYFUNCTION("""COMPUTED_VALUE"""),2334.0)</f>
        <v>2334</v>
      </c>
      <c r="AL32" s="1153" t="str">
        <f>IFERROR(__xludf.DUMMYFUNCTION("""COMPUTED_VALUE"""),"ダリア")</f>
        <v>ダリア</v>
      </c>
      <c r="AM32" s="242" t="str">
        <f>IFERROR(__xludf.DUMMYFUNCTION("""COMPUTED_VALUE"""),"メイド")</f>
        <v>メイド</v>
      </c>
      <c r="AN32" s="242" t="str">
        <f>IFERROR(__xludf.DUMMYFUNCTION("""COMPUTED_VALUE"""),"歩合")</f>
        <v>歩合</v>
      </c>
      <c r="AO32" s="1133">
        <f>IFERROR(__xludf.DUMMYFUNCTION("""COMPUTED_VALUE"""),10.0)</f>
        <v>10</v>
      </c>
      <c r="AP32" s="242">
        <f t="shared" si="7"/>
        <v>0</v>
      </c>
      <c r="AQ32" s="1136">
        <f>IFERROR(__xludf.DUMMYFUNCTION("""COMPUTED_VALUE"""),46.21666666666667)</f>
        <v>46.21666667</v>
      </c>
      <c r="AR32" s="242">
        <f>IFERROR(__xludf.DUMMYFUNCTION("""COMPUTED_VALUE"""),181.0)</f>
        <v>181</v>
      </c>
      <c r="AS32" s="237"/>
      <c r="AT32" s="214"/>
      <c r="AU32" s="1138"/>
      <c r="AV32" s="1154"/>
      <c r="AW32" s="1140"/>
      <c r="AX32" s="1140"/>
      <c r="AY32" s="1145"/>
      <c r="AZ32" s="1140">
        <f t="shared" si="8"/>
        <v>0</v>
      </c>
      <c r="BA32" s="1146"/>
      <c r="BB32" s="1140"/>
      <c r="BC32" s="214"/>
      <c r="BD32" s="214"/>
      <c r="BE32" s="1131"/>
      <c r="BF32" s="190"/>
      <c r="BG32" s="242"/>
      <c r="BH32" s="242"/>
      <c r="BI32" s="1133"/>
      <c r="BJ32" s="242">
        <f t="shared" si="9"/>
        <v>0</v>
      </c>
      <c r="BK32" s="1136"/>
      <c r="BL32" s="242"/>
      <c r="BM32" s="214"/>
      <c r="BN32" s="214"/>
      <c r="BO32" s="1131"/>
      <c r="BP32" s="190"/>
      <c r="BQ32" s="242"/>
      <c r="BR32" s="242"/>
      <c r="BS32" s="1133"/>
      <c r="BT32" s="242">
        <f t="shared" si="10"/>
        <v>0</v>
      </c>
      <c r="BU32" s="1136"/>
      <c r="BV32" s="242"/>
      <c r="BW32" s="237"/>
      <c r="BX32" s="214"/>
      <c r="BY32" s="1131"/>
      <c r="BZ32" s="190"/>
      <c r="CA32" s="242"/>
      <c r="CB32" s="242"/>
      <c r="CC32" s="1133"/>
      <c r="CD32" s="242">
        <f t="shared" si="11"/>
        <v>0</v>
      </c>
      <c r="CE32" s="1136"/>
      <c r="CF32" s="242"/>
      <c r="CG32" s="214"/>
      <c r="CH32" s="214"/>
      <c r="CI32" s="1131"/>
      <c r="CJ32" s="190"/>
      <c r="CK32" s="242"/>
      <c r="CL32" s="242"/>
      <c r="CM32" s="1133"/>
      <c r="CN32" s="242">
        <f t="shared" si="12"/>
        <v>0</v>
      </c>
      <c r="CO32" s="1136"/>
      <c r="CP32" s="242"/>
      <c r="CQ32" s="214"/>
      <c r="CR32" s="214"/>
      <c r="CS32" s="1131"/>
      <c r="CT32" s="190"/>
      <c r="CU32" s="242"/>
      <c r="CV32" s="242"/>
      <c r="CW32" s="1133"/>
      <c r="CX32" s="242">
        <f t="shared" si="13"/>
        <v>0</v>
      </c>
      <c r="CY32" s="1136"/>
      <c r="CZ32" s="242"/>
      <c r="DA32" s="237"/>
      <c r="DB32" s="214"/>
      <c r="DC32" s="1131"/>
      <c r="DD32" s="190"/>
      <c r="DE32" s="242"/>
      <c r="DF32" s="242"/>
      <c r="DG32" s="1133"/>
      <c r="DH32" s="242">
        <f t="shared" si="14"/>
        <v>0</v>
      </c>
      <c r="DI32" s="1136"/>
      <c r="DJ32" s="242"/>
      <c r="DK32" s="214"/>
      <c r="DL32" s="214"/>
      <c r="DM32" s="1131"/>
      <c r="DN32" s="190"/>
      <c r="DO32" s="242"/>
      <c r="DP32" s="242"/>
      <c r="DQ32" s="1133"/>
      <c r="DR32" s="242">
        <f t="shared" si="15"/>
        <v>0</v>
      </c>
      <c r="DS32" s="1136"/>
      <c r="DT32" s="242"/>
      <c r="DU32" s="214"/>
      <c r="DV32" s="214"/>
      <c r="DW32" s="1131"/>
      <c r="DX32" s="190"/>
      <c r="DY32" s="242"/>
      <c r="DZ32" s="242"/>
      <c r="EA32" s="1133"/>
      <c r="EB32" s="242">
        <f t="shared" si="16"/>
        <v>0</v>
      </c>
      <c r="EC32" s="1136"/>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22">
        <v>2336.0</v>
      </c>
      <c r="C33" s="1150" t="s">
        <v>519</v>
      </c>
      <c r="D33" s="1124" t="s">
        <v>89</v>
      </c>
      <c r="E33" s="1124" t="s">
        <v>1002</v>
      </c>
      <c r="F33" s="1125">
        <f t="shared" si="2"/>
        <v>47</v>
      </c>
      <c r="G33" s="1126" t="str">
        <f t="shared" si="3"/>
        <v>非該当</v>
      </c>
      <c r="H33" s="112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27">
        <f t="shared" si="44"/>
        <v>168.5833333</v>
      </c>
      <c r="J33" s="1128">
        <f t="shared" si="44"/>
        <v>0</v>
      </c>
      <c r="K33" s="214"/>
      <c r="L33" s="242" t="str">
        <f t="array" ref="L33">IFERROR(INDEX('💻シート作成'!$D$6:$D999, MATCH(M33, '💻シート作成'!$E$6:$E999, 0)), "")</f>
        <v>7月</v>
      </c>
      <c r="M33" s="1013" t="str">
        <f>IFERROR(__xludf.DUMMYFUNCTION("""COMPUTED_VALUE"""),"②R8_7シフト")</f>
        <v>②R8_7シフト</v>
      </c>
      <c r="N33" s="214"/>
      <c r="O33" s="1087"/>
      <c r="P33" s="214"/>
      <c r="Q33" s="1131">
        <f>IFERROR(__xludf.DUMMYFUNCTION("""COMPUTED_VALUE"""),2170.0)</f>
        <v>2170</v>
      </c>
      <c r="R33" s="1153" t="str">
        <f>IFERROR(__xludf.DUMMYFUNCTION("""COMPUTED_VALUE"""),"マリア")</f>
        <v>マリア</v>
      </c>
      <c r="S33" s="242"/>
      <c r="T33" s="242" t="str">
        <f>IFERROR(__xludf.DUMMYFUNCTION("""COMPUTED_VALUE"""),"")</f>
        <v/>
      </c>
      <c r="U33" s="1133">
        <f>IFERROR(__xludf.DUMMYFUNCTION("""COMPUTED_VALUE"""),0.0)</f>
        <v>0</v>
      </c>
      <c r="V33" s="242">
        <f t="shared" si="5"/>
        <v>0</v>
      </c>
      <c r="W33" s="1134">
        <f>IFERROR(__xludf.DUMMYFUNCTION("""COMPUTED_VALUE"""),0.0)</f>
        <v>0</v>
      </c>
      <c r="X33" s="242">
        <f>IFERROR(__xludf.DUMMYFUNCTION("""COMPUTED_VALUE"""),0.0)</f>
        <v>0</v>
      </c>
      <c r="Y33" s="214"/>
      <c r="Z33" s="214"/>
      <c r="AA33" s="1131">
        <f>IFERROR(__xludf.DUMMYFUNCTION("""COMPUTED_VALUE"""),2270.0)</f>
        <v>2270</v>
      </c>
      <c r="AB33" s="1153" t="str">
        <f>IFERROR(__xludf.DUMMYFUNCTION("""COMPUTED_VALUE"""),"本村")</f>
        <v>本村</v>
      </c>
      <c r="AC33" s="242" t="str">
        <f>IFERROR(__xludf.DUMMYFUNCTION("""COMPUTED_VALUE"""),"チェッカー")</f>
        <v>チェッカー</v>
      </c>
      <c r="AD33" s="242" t="str">
        <f>IFERROR(__xludf.DUMMYFUNCTION("""COMPUTED_VALUE"""),"時給")</f>
        <v>時給</v>
      </c>
      <c r="AE33" s="1133">
        <f>IFERROR(__xludf.DUMMYFUNCTION("""COMPUTED_VALUE"""),21.0)</f>
        <v>21</v>
      </c>
      <c r="AF33" s="242">
        <f t="shared" si="6"/>
        <v>0</v>
      </c>
      <c r="AG33" s="1136">
        <f>IFERROR(__xludf.DUMMYFUNCTION("""COMPUTED_VALUE"""),146.8)</f>
        <v>146.8</v>
      </c>
      <c r="AH33" s="242">
        <f>IFERROR(__xludf.DUMMYFUNCTION("""COMPUTED_VALUE"""),0.0)</f>
        <v>0</v>
      </c>
      <c r="AI33" s="214"/>
      <c r="AJ33" s="214"/>
      <c r="AK33" s="1131">
        <f>IFERROR(__xludf.DUMMYFUNCTION("""COMPUTED_VALUE"""),2336.0)</f>
        <v>2336</v>
      </c>
      <c r="AL33" s="1153" t="str">
        <f>IFERROR(__xludf.DUMMYFUNCTION("""COMPUTED_VALUE"""),"アカシュ")</f>
        <v>アカシュ</v>
      </c>
      <c r="AM33" s="242" t="str">
        <f>IFERROR(__xludf.DUMMYFUNCTION("""COMPUTED_VALUE"""),"メイド")</f>
        <v>メイド</v>
      </c>
      <c r="AN33" s="242" t="str">
        <f>IFERROR(__xludf.DUMMYFUNCTION("""COMPUTED_VALUE"""),"時給")</f>
        <v>時給</v>
      </c>
      <c r="AO33" s="1133">
        <f>IFERROR(__xludf.DUMMYFUNCTION("""COMPUTED_VALUE"""),14.0)</f>
        <v>14</v>
      </c>
      <c r="AP33" s="242">
        <f t="shared" si="7"/>
        <v>1</v>
      </c>
      <c r="AQ33" s="1136">
        <f>IFERROR(__xludf.DUMMYFUNCTION("""COMPUTED_VALUE"""),45.53333333333333)</f>
        <v>45.53333333</v>
      </c>
      <c r="AR33" s="242">
        <f>IFERROR(__xludf.DUMMYFUNCTION("""COMPUTED_VALUE"""),0.0)</f>
        <v>0</v>
      </c>
      <c r="AS33" s="237"/>
      <c r="AT33" s="214"/>
      <c r="AU33" s="1138"/>
      <c r="AV33" s="1154"/>
      <c r="AW33" s="1140"/>
      <c r="AX33" s="1140"/>
      <c r="AY33" s="1145"/>
      <c r="AZ33" s="1140">
        <f t="shared" si="8"/>
        <v>0</v>
      </c>
      <c r="BA33" s="1146"/>
      <c r="BB33" s="1140"/>
      <c r="BC33" s="214"/>
      <c r="BD33" s="214"/>
      <c r="BE33" s="1131"/>
      <c r="BF33" s="190"/>
      <c r="BG33" s="242"/>
      <c r="BH33" s="242"/>
      <c r="BI33" s="1133"/>
      <c r="BJ33" s="242">
        <f t="shared" si="9"/>
        <v>0</v>
      </c>
      <c r="BK33" s="1136"/>
      <c r="BL33" s="242"/>
      <c r="BM33" s="214"/>
      <c r="BN33" s="214"/>
      <c r="BO33" s="1131"/>
      <c r="BP33" s="190"/>
      <c r="BQ33" s="242"/>
      <c r="BR33" s="242"/>
      <c r="BS33" s="1133"/>
      <c r="BT33" s="242">
        <f t="shared" si="10"/>
        <v>0</v>
      </c>
      <c r="BU33" s="1136"/>
      <c r="BV33" s="242"/>
      <c r="BW33" s="237"/>
      <c r="BX33" s="214"/>
      <c r="BY33" s="1131"/>
      <c r="BZ33" s="190"/>
      <c r="CA33" s="242"/>
      <c r="CB33" s="242"/>
      <c r="CC33" s="1133"/>
      <c r="CD33" s="242">
        <f t="shared" si="11"/>
        <v>0</v>
      </c>
      <c r="CE33" s="1136"/>
      <c r="CF33" s="242"/>
      <c r="CG33" s="214"/>
      <c r="CH33" s="214"/>
      <c r="CI33" s="1131"/>
      <c r="CJ33" s="190"/>
      <c r="CK33" s="242"/>
      <c r="CL33" s="242"/>
      <c r="CM33" s="1133"/>
      <c r="CN33" s="242">
        <f t="shared" si="12"/>
        <v>0</v>
      </c>
      <c r="CO33" s="1136"/>
      <c r="CP33" s="242"/>
      <c r="CQ33" s="214"/>
      <c r="CR33" s="214"/>
      <c r="CS33" s="1131"/>
      <c r="CT33" s="190"/>
      <c r="CU33" s="242"/>
      <c r="CV33" s="242"/>
      <c r="CW33" s="1133"/>
      <c r="CX33" s="242">
        <f t="shared" si="13"/>
        <v>0</v>
      </c>
      <c r="CY33" s="1136"/>
      <c r="CZ33" s="242"/>
      <c r="DA33" s="237"/>
      <c r="DB33" s="214"/>
      <c r="DC33" s="1131"/>
      <c r="DD33" s="190"/>
      <c r="DE33" s="242"/>
      <c r="DF33" s="242"/>
      <c r="DG33" s="1133"/>
      <c r="DH33" s="242">
        <f t="shared" si="14"/>
        <v>0</v>
      </c>
      <c r="DI33" s="1136"/>
      <c r="DJ33" s="242"/>
      <c r="DK33" s="214"/>
      <c r="DL33" s="214"/>
      <c r="DM33" s="1131"/>
      <c r="DN33" s="190"/>
      <c r="DO33" s="242"/>
      <c r="DP33" s="242"/>
      <c r="DQ33" s="1133"/>
      <c r="DR33" s="242">
        <f t="shared" si="15"/>
        <v>0</v>
      </c>
      <c r="DS33" s="1136"/>
      <c r="DT33" s="242"/>
      <c r="DU33" s="214"/>
      <c r="DV33" s="214"/>
      <c r="DW33" s="1131"/>
      <c r="DX33" s="190"/>
      <c r="DY33" s="242"/>
      <c r="DZ33" s="242"/>
      <c r="EA33" s="1133"/>
      <c r="EB33" s="242">
        <f t="shared" si="16"/>
        <v>0</v>
      </c>
      <c r="EC33" s="1136"/>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22">
        <v>2337.0</v>
      </c>
      <c r="C34" s="1150" t="s">
        <v>520</v>
      </c>
      <c r="D34" s="1124" t="s">
        <v>89</v>
      </c>
      <c r="E34" s="1124" t="s">
        <v>1002</v>
      </c>
      <c r="F34" s="1125">
        <f t="shared" si="2"/>
        <v>60</v>
      </c>
      <c r="G34" s="1126" t="str">
        <f t="shared" si="3"/>
        <v>非該当</v>
      </c>
      <c r="H34" s="112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7">
        <f t="shared" si="45"/>
        <v>365.5333333</v>
      </c>
      <c r="J34" s="1128">
        <f t="shared" si="45"/>
        <v>0</v>
      </c>
      <c r="K34" s="214"/>
      <c r="L34" s="242" t="str">
        <f t="array" ref="L34">IFERROR(INDEX('💻シート作成'!$D$6:$D999, MATCH(M34, '💻シート作成'!$E$6:$E999, 0)), "")</f>
        <v>7月</v>
      </c>
      <c r="M34" s="1013" t="str">
        <f>IFERROR(__xludf.DUMMYFUNCTION("""COMPUTED_VALUE"""),"③R8_7日報")</f>
        <v>③R8_7日報</v>
      </c>
      <c r="N34" s="214"/>
      <c r="O34" s="1087"/>
      <c r="P34" s="214"/>
      <c r="Q34" s="1131">
        <f>IFERROR(__xludf.DUMMYFUNCTION("""COMPUTED_VALUE"""),2172.0)</f>
        <v>2172</v>
      </c>
      <c r="R34" s="1153" t="str">
        <f>IFERROR(__xludf.DUMMYFUNCTION("""COMPUTED_VALUE"""),"アミン")</f>
        <v>アミン</v>
      </c>
      <c r="S34" s="242"/>
      <c r="T34" s="242" t="str">
        <f>IFERROR(__xludf.DUMMYFUNCTION("""COMPUTED_VALUE"""),"時給")</f>
        <v>時給</v>
      </c>
      <c r="U34" s="1133">
        <f>IFERROR(__xludf.DUMMYFUNCTION("""COMPUTED_VALUE"""),16.0)</f>
        <v>16</v>
      </c>
      <c r="V34" s="242">
        <f t="shared" si="5"/>
        <v>3</v>
      </c>
      <c r="W34" s="1134">
        <f>IFERROR(__xludf.DUMMYFUNCTION("""COMPUTED_VALUE"""),84.2)</f>
        <v>84.2</v>
      </c>
      <c r="X34" s="242">
        <f>IFERROR(__xludf.DUMMYFUNCTION("""COMPUTED_VALUE"""),0.0)</f>
        <v>0</v>
      </c>
      <c r="Y34" s="214"/>
      <c r="Z34" s="214"/>
      <c r="AA34" s="1131">
        <f>IFERROR(__xludf.DUMMYFUNCTION("""COMPUTED_VALUE"""),2292.0)</f>
        <v>2292</v>
      </c>
      <c r="AB34" s="1153" t="str">
        <f>IFERROR(__xludf.DUMMYFUNCTION("""COMPUTED_VALUE"""),"アイン")</f>
        <v>アイン</v>
      </c>
      <c r="AC34" s="242" t="str">
        <f>IFERROR(__xludf.DUMMYFUNCTION("""COMPUTED_VALUE"""),"メイド")</f>
        <v>メイド</v>
      </c>
      <c r="AD34" s="242" t="str">
        <f>IFERROR(__xludf.DUMMYFUNCTION("""COMPUTED_VALUE"""),"")</f>
        <v/>
      </c>
      <c r="AE34" s="1133">
        <f>IFERROR(__xludf.DUMMYFUNCTION("""COMPUTED_VALUE"""),0.0)</f>
        <v>0</v>
      </c>
      <c r="AF34" s="242">
        <f t="shared" si="6"/>
        <v>0</v>
      </c>
      <c r="AG34" s="1136">
        <f>IFERROR(__xludf.DUMMYFUNCTION("""COMPUTED_VALUE"""),0.0)</f>
        <v>0</v>
      </c>
      <c r="AH34" s="242">
        <f>IFERROR(__xludf.DUMMYFUNCTION("""COMPUTED_VALUE"""),0.0)</f>
        <v>0</v>
      </c>
      <c r="AI34" s="214"/>
      <c r="AJ34" s="214"/>
      <c r="AK34" s="1131">
        <f>IFERROR(__xludf.DUMMYFUNCTION("""COMPUTED_VALUE"""),2337.0)</f>
        <v>2337</v>
      </c>
      <c r="AL34" s="1153" t="str">
        <f>IFERROR(__xludf.DUMMYFUNCTION("""COMPUTED_VALUE"""),"ムナ")</f>
        <v>ムナ</v>
      </c>
      <c r="AM34" s="242" t="str">
        <f>IFERROR(__xludf.DUMMYFUNCTION("""COMPUTED_VALUE"""),"メイド")</f>
        <v>メイド</v>
      </c>
      <c r="AN34" s="242" t="str">
        <f>IFERROR(__xludf.DUMMYFUNCTION("""COMPUTED_VALUE"""),"時給")</f>
        <v>時給</v>
      </c>
      <c r="AO34" s="1133">
        <f>IFERROR(__xludf.DUMMYFUNCTION("""COMPUTED_VALUE"""),17.0)</f>
        <v>17</v>
      </c>
      <c r="AP34" s="242">
        <f t="shared" si="7"/>
        <v>1</v>
      </c>
      <c r="AQ34" s="1136">
        <f>IFERROR(__xludf.DUMMYFUNCTION("""COMPUTED_VALUE"""),102.65)</f>
        <v>102.65</v>
      </c>
      <c r="AR34" s="242">
        <f>IFERROR(__xludf.DUMMYFUNCTION("""COMPUTED_VALUE"""),0.0)</f>
        <v>0</v>
      </c>
      <c r="AS34" s="237"/>
      <c r="AT34" s="214"/>
      <c r="AU34" s="1138"/>
      <c r="AV34" s="1154"/>
      <c r="AW34" s="1140"/>
      <c r="AX34" s="1140"/>
      <c r="AY34" s="1145"/>
      <c r="AZ34" s="1140">
        <f t="shared" si="8"/>
        <v>0</v>
      </c>
      <c r="BA34" s="1146"/>
      <c r="BB34" s="1140"/>
      <c r="BC34" s="214"/>
      <c r="BD34" s="214"/>
      <c r="BE34" s="1131"/>
      <c r="BF34" s="190"/>
      <c r="BG34" s="242"/>
      <c r="BH34" s="242"/>
      <c r="BI34" s="1133"/>
      <c r="BJ34" s="242">
        <f t="shared" si="9"/>
        <v>0</v>
      </c>
      <c r="BK34" s="1136"/>
      <c r="BL34" s="242"/>
      <c r="BM34" s="214"/>
      <c r="BN34" s="214"/>
      <c r="BO34" s="1131"/>
      <c r="BP34" s="190"/>
      <c r="BQ34" s="242"/>
      <c r="BR34" s="242"/>
      <c r="BS34" s="1133"/>
      <c r="BT34" s="242">
        <f t="shared" si="10"/>
        <v>0</v>
      </c>
      <c r="BU34" s="1136"/>
      <c r="BV34" s="242"/>
      <c r="BW34" s="237"/>
      <c r="BX34" s="214"/>
      <c r="BY34" s="1131"/>
      <c r="BZ34" s="190"/>
      <c r="CA34" s="242"/>
      <c r="CB34" s="242"/>
      <c r="CC34" s="1133"/>
      <c r="CD34" s="242">
        <f t="shared" si="11"/>
        <v>0</v>
      </c>
      <c r="CE34" s="1136"/>
      <c r="CF34" s="242"/>
      <c r="CG34" s="214"/>
      <c r="CH34" s="214"/>
      <c r="CI34" s="1131"/>
      <c r="CJ34" s="190"/>
      <c r="CK34" s="242"/>
      <c r="CL34" s="242"/>
      <c r="CM34" s="1133"/>
      <c r="CN34" s="242">
        <f t="shared" si="12"/>
        <v>0</v>
      </c>
      <c r="CO34" s="1136"/>
      <c r="CP34" s="242"/>
      <c r="CQ34" s="214"/>
      <c r="CR34" s="214"/>
      <c r="CS34" s="1131"/>
      <c r="CT34" s="190"/>
      <c r="CU34" s="242"/>
      <c r="CV34" s="242"/>
      <c r="CW34" s="1133"/>
      <c r="CX34" s="242">
        <f t="shared" si="13"/>
        <v>0</v>
      </c>
      <c r="CY34" s="1136"/>
      <c r="CZ34" s="242"/>
      <c r="DA34" s="237"/>
      <c r="DB34" s="214"/>
      <c r="DC34" s="1131"/>
      <c r="DD34" s="190"/>
      <c r="DE34" s="242"/>
      <c r="DF34" s="242"/>
      <c r="DG34" s="1133"/>
      <c r="DH34" s="242">
        <f t="shared" si="14"/>
        <v>0</v>
      </c>
      <c r="DI34" s="1136"/>
      <c r="DJ34" s="242"/>
      <c r="DK34" s="214"/>
      <c r="DL34" s="214"/>
      <c r="DM34" s="1131"/>
      <c r="DN34" s="190"/>
      <c r="DO34" s="242"/>
      <c r="DP34" s="242"/>
      <c r="DQ34" s="1133"/>
      <c r="DR34" s="242">
        <f t="shared" si="15"/>
        <v>0</v>
      </c>
      <c r="DS34" s="1136"/>
      <c r="DT34" s="242"/>
      <c r="DU34" s="214"/>
      <c r="DV34" s="214"/>
      <c r="DW34" s="1131"/>
      <c r="DX34" s="190"/>
      <c r="DY34" s="242"/>
      <c r="DZ34" s="242"/>
      <c r="EA34" s="1133"/>
      <c r="EB34" s="242">
        <f t="shared" si="16"/>
        <v>0</v>
      </c>
      <c r="EC34" s="1136"/>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22">
        <v>2363.0</v>
      </c>
      <c r="C35" s="1150" t="s">
        <v>186</v>
      </c>
      <c r="D35" s="1124" t="s">
        <v>89</v>
      </c>
      <c r="E35" s="1124" t="s">
        <v>1064</v>
      </c>
      <c r="F35" s="1125">
        <f t="shared" si="2"/>
        <v>32</v>
      </c>
      <c r="G35" s="1126" t="str">
        <f t="shared" si="3"/>
        <v>非該当</v>
      </c>
      <c r="H35" s="112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27">
        <f t="shared" si="46"/>
        <v>143.2666667</v>
      </c>
      <c r="J35" s="1128">
        <f t="shared" si="46"/>
        <v>80</v>
      </c>
      <c r="K35" s="214"/>
      <c r="L35" s="242" t="str">
        <f t="array" ref="L35">IFERROR(INDEX('💻シート作成'!$D$6:$D999, MATCH(M35, '💻シート作成'!$E$6:$E999, 0)), "")</f>
        <v>7月</v>
      </c>
      <c r="M35" s="1013" t="str">
        <f>IFERROR(__xludf.DUMMYFUNCTION("""COMPUTED_VALUE"""),"④R8_7月報")</f>
        <v>④R8_7月報</v>
      </c>
      <c r="N35" s="214"/>
      <c r="O35" s="1087"/>
      <c r="P35" s="214"/>
      <c r="Q35" s="1131">
        <f>IFERROR(__xludf.DUMMYFUNCTION("""COMPUTED_VALUE"""),2175.0)</f>
        <v>2175</v>
      </c>
      <c r="R35" s="1153" t="str">
        <f>IFERROR(__xludf.DUMMYFUNCTION("""COMPUTED_VALUE"""),"ジョティ")</f>
        <v>ジョティ</v>
      </c>
      <c r="S35" s="242"/>
      <c r="T35" s="242" t="str">
        <f>IFERROR(__xludf.DUMMYFUNCTION("""COMPUTED_VALUE"""),"歩+時")</f>
        <v>歩+時</v>
      </c>
      <c r="U35" s="1133">
        <f>IFERROR(__xludf.DUMMYFUNCTION("""COMPUTED_VALUE"""),14.0)</f>
        <v>14</v>
      </c>
      <c r="V35" s="242">
        <f t="shared" si="5"/>
        <v>1</v>
      </c>
      <c r="W35" s="1134">
        <f>IFERROR(__xludf.DUMMYFUNCTION("""COMPUTED_VALUE"""),79.7)</f>
        <v>79.7</v>
      </c>
      <c r="X35" s="242">
        <f>IFERROR(__xludf.DUMMYFUNCTION("""COMPUTED_VALUE"""),36.0)</f>
        <v>36</v>
      </c>
      <c r="Y35" s="214"/>
      <c r="Z35" s="214"/>
      <c r="AA35" s="1131">
        <f>IFERROR(__xludf.DUMMYFUNCTION("""COMPUTED_VALUE"""),2326.0)</f>
        <v>2326</v>
      </c>
      <c r="AB35" s="1153" t="str">
        <f>IFERROR(__xludf.DUMMYFUNCTION("""COMPUTED_VALUE"""),"プラティマ")</f>
        <v>プラティマ</v>
      </c>
      <c r="AC35" s="242" t="str">
        <f>IFERROR(__xludf.DUMMYFUNCTION("""COMPUTED_VALUE"""),"メイド")</f>
        <v>メイド</v>
      </c>
      <c r="AD35" s="242" t="str">
        <f>IFERROR(__xludf.DUMMYFUNCTION("""COMPUTED_VALUE"""),"時給")</f>
        <v>時給</v>
      </c>
      <c r="AE35" s="1133">
        <f>IFERROR(__xludf.DUMMYFUNCTION("""COMPUTED_VALUE"""),21.0)</f>
        <v>21</v>
      </c>
      <c r="AF35" s="242">
        <f t="shared" si="6"/>
        <v>0</v>
      </c>
      <c r="AG35" s="1136">
        <f>IFERROR(__xludf.DUMMYFUNCTION("""COMPUTED_VALUE"""),129.88333333333333)</f>
        <v>129.8833333</v>
      </c>
      <c r="AH35" s="242">
        <f>IFERROR(__xludf.DUMMYFUNCTION("""COMPUTED_VALUE"""),0.0)</f>
        <v>0</v>
      </c>
      <c r="AI35" s="214"/>
      <c r="AJ35" s="214"/>
      <c r="AK35" s="1131">
        <f>IFERROR(__xludf.DUMMYFUNCTION("""COMPUTED_VALUE"""),2363.0)</f>
        <v>2363</v>
      </c>
      <c r="AL35" s="1153" t="str">
        <f>IFERROR(__xludf.DUMMYFUNCTION("""COMPUTED_VALUE"""),"クマル")</f>
        <v>クマル</v>
      </c>
      <c r="AM35" s="242" t="str">
        <f>IFERROR(__xludf.DUMMYFUNCTION("""COMPUTED_VALUE"""),"メイド")</f>
        <v>メイド</v>
      </c>
      <c r="AN35" s="242" t="str">
        <f>IFERROR(__xludf.DUMMYFUNCTION("""COMPUTED_VALUE"""),"歩+時")</f>
        <v>歩+時</v>
      </c>
      <c r="AO35" s="1133">
        <f>IFERROR(__xludf.DUMMYFUNCTION("""COMPUTED_VALUE"""),7.0)</f>
        <v>7</v>
      </c>
      <c r="AP35" s="242">
        <f t="shared" si="7"/>
        <v>2</v>
      </c>
      <c r="AQ35" s="1136">
        <f>IFERROR(__xludf.DUMMYFUNCTION("""COMPUTED_VALUE"""),31.6)</f>
        <v>31.6</v>
      </c>
      <c r="AR35" s="242">
        <f>IFERROR(__xludf.DUMMYFUNCTION("""COMPUTED_VALUE"""),80.0)</f>
        <v>80</v>
      </c>
      <c r="AS35" s="237"/>
      <c r="AT35" s="214"/>
      <c r="AU35" s="1138"/>
      <c r="AV35" s="1154"/>
      <c r="AW35" s="1140"/>
      <c r="AX35" s="1140"/>
      <c r="AY35" s="1145"/>
      <c r="AZ35" s="1140">
        <f t="shared" si="8"/>
        <v>0</v>
      </c>
      <c r="BA35" s="1146"/>
      <c r="BB35" s="1140"/>
      <c r="BC35" s="214"/>
      <c r="BD35" s="214"/>
      <c r="BE35" s="1131"/>
      <c r="BF35" s="190"/>
      <c r="BG35" s="242"/>
      <c r="BH35" s="242"/>
      <c r="BI35" s="1133"/>
      <c r="BJ35" s="242">
        <f t="shared" si="9"/>
        <v>0</v>
      </c>
      <c r="BK35" s="1136"/>
      <c r="BL35" s="242"/>
      <c r="BM35" s="214"/>
      <c r="BN35" s="214"/>
      <c r="BO35" s="1131"/>
      <c r="BP35" s="190"/>
      <c r="BQ35" s="242"/>
      <c r="BR35" s="242"/>
      <c r="BS35" s="1133"/>
      <c r="BT35" s="242">
        <f t="shared" si="10"/>
        <v>0</v>
      </c>
      <c r="BU35" s="1136"/>
      <c r="BV35" s="242"/>
      <c r="BW35" s="237"/>
      <c r="BX35" s="214"/>
      <c r="BY35" s="1131"/>
      <c r="BZ35" s="190"/>
      <c r="CA35" s="242"/>
      <c r="CB35" s="242"/>
      <c r="CC35" s="1133"/>
      <c r="CD35" s="242">
        <f t="shared" si="11"/>
        <v>0</v>
      </c>
      <c r="CE35" s="1136"/>
      <c r="CF35" s="242"/>
      <c r="CG35" s="214"/>
      <c r="CH35" s="214"/>
      <c r="CI35" s="1131"/>
      <c r="CJ35" s="190"/>
      <c r="CK35" s="242"/>
      <c r="CL35" s="242"/>
      <c r="CM35" s="1133"/>
      <c r="CN35" s="242">
        <f t="shared" si="12"/>
        <v>0</v>
      </c>
      <c r="CO35" s="1136"/>
      <c r="CP35" s="242"/>
      <c r="CQ35" s="214"/>
      <c r="CR35" s="214"/>
      <c r="CS35" s="1131"/>
      <c r="CT35" s="190"/>
      <c r="CU35" s="242"/>
      <c r="CV35" s="242"/>
      <c r="CW35" s="1133"/>
      <c r="CX35" s="242">
        <f t="shared" si="13"/>
        <v>0</v>
      </c>
      <c r="CY35" s="1136"/>
      <c r="CZ35" s="242"/>
      <c r="DA35" s="237"/>
      <c r="DB35" s="214"/>
      <c r="DC35" s="1131"/>
      <c r="DD35" s="190"/>
      <c r="DE35" s="242"/>
      <c r="DF35" s="242"/>
      <c r="DG35" s="1133"/>
      <c r="DH35" s="242">
        <f t="shared" si="14"/>
        <v>0</v>
      </c>
      <c r="DI35" s="1136"/>
      <c r="DJ35" s="242"/>
      <c r="DK35" s="214"/>
      <c r="DL35" s="214"/>
      <c r="DM35" s="1131"/>
      <c r="DN35" s="190"/>
      <c r="DO35" s="242"/>
      <c r="DP35" s="242"/>
      <c r="DQ35" s="1133"/>
      <c r="DR35" s="242">
        <f t="shared" si="15"/>
        <v>0</v>
      </c>
      <c r="DS35" s="1136"/>
      <c r="DT35" s="242"/>
      <c r="DU35" s="214"/>
      <c r="DV35" s="214"/>
      <c r="DW35" s="1131"/>
      <c r="DX35" s="190"/>
      <c r="DY35" s="242"/>
      <c r="DZ35" s="242"/>
      <c r="EA35" s="1133"/>
      <c r="EB35" s="242">
        <f t="shared" si="16"/>
        <v>0</v>
      </c>
      <c r="EC35" s="1136"/>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22">
        <v>2372.0</v>
      </c>
      <c r="C36" s="1150" t="s">
        <v>522</v>
      </c>
      <c r="D36" s="1124" t="s">
        <v>89</v>
      </c>
      <c r="E36" s="1124" t="s">
        <v>1002</v>
      </c>
      <c r="F36" s="1125">
        <f t="shared" si="2"/>
        <v>32</v>
      </c>
      <c r="G36" s="1126" t="str">
        <f t="shared" si="3"/>
        <v>非該当</v>
      </c>
      <c r="H36" s="112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27">
        <f t="shared" si="47"/>
        <v>199.9</v>
      </c>
      <c r="J36" s="1128">
        <f t="shared" si="47"/>
        <v>0</v>
      </c>
      <c r="K36" s="214"/>
      <c r="L36" s="242" t="str">
        <f t="array" ref="L36">IFERROR(INDEX('💻シート作成'!$D$6:$D999, MATCH(M36, '💻シート作成'!$E$6:$E999, 0)), "")</f>
        <v>6月</v>
      </c>
      <c r="M36" s="1013" t="str">
        <f>IFERROR(__xludf.DUMMYFUNCTION("""COMPUTED_VALUE"""),"①R8_6集計")</f>
        <v>①R8_6集計</v>
      </c>
      <c r="N36" s="214"/>
      <c r="O36" s="1087"/>
      <c r="P36" s="214"/>
      <c r="Q36" s="1131">
        <f>IFERROR(__xludf.DUMMYFUNCTION("""COMPUTED_VALUE"""),2189.0)</f>
        <v>2189</v>
      </c>
      <c r="R36" s="1153" t="str">
        <f>IFERROR(__xludf.DUMMYFUNCTION("""COMPUTED_VALUE"""),"サムドゥニ")</f>
        <v>サムドゥニ</v>
      </c>
      <c r="S36" s="242"/>
      <c r="T36" s="242" t="str">
        <f>IFERROR(__xludf.DUMMYFUNCTION("""COMPUTED_VALUE"""),"")</f>
        <v/>
      </c>
      <c r="U36" s="1133">
        <f>IFERROR(__xludf.DUMMYFUNCTION("""COMPUTED_VALUE"""),0.0)</f>
        <v>0</v>
      </c>
      <c r="V36" s="242">
        <f t="shared" si="5"/>
        <v>0</v>
      </c>
      <c r="W36" s="1134">
        <f>IFERROR(__xludf.DUMMYFUNCTION("""COMPUTED_VALUE"""),0.0)</f>
        <v>0</v>
      </c>
      <c r="X36" s="242">
        <f>IFERROR(__xludf.DUMMYFUNCTION("""COMPUTED_VALUE"""),0.0)</f>
        <v>0</v>
      </c>
      <c r="Y36" s="214"/>
      <c r="Z36" s="214"/>
      <c r="AA36" s="1131">
        <f>IFERROR(__xludf.DUMMYFUNCTION("""COMPUTED_VALUE"""),2329.0)</f>
        <v>2329</v>
      </c>
      <c r="AB36" s="1153" t="str">
        <f>IFERROR(__xludf.DUMMYFUNCTION("""COMPUTED_VALUE"""),"木戸")</f>
        <v>木戸</v>
      </c>
      <c r="AC36" s="242" t="str">
        <f>IFERROR(__xludf.DUMMYFUNCTION("""COMPUTED_VALUE"""),"メイド")</f>
        <v>メイド</v>
      </c>
      <c r="AD36" s="242" t="str">
        <f>IFERROR(__xludf.DUMMYFUNCTION("""COMPUTED_VALUE"""),"時給")</f>
        <v>時給</v>
      </c>
      <c r="AE36" s="1133">
        <f>IFERROR(__xludf.DUMMYFUNCTION("""COMPUTED_VALUE"""),14.0)</f>
        <v>14</v>
      </c>
      <c r="AF36" s="242">
        <f t="shared" si="6"/>
        <v>0</v>
      </c>
      <c r="AG36" s="1136">
        <f>IFERROR(__xludf.DUMMYFUNCTION("""COMPUTED_VALUE"""),77.16666666666667)</f>
        <v>77.16666667</v>
      </c>
      <c r="AH36" s="242">
        <f>IFERROR(__xludf.DUMMYFUNCTION("""COMPUTED_VALUE"""),0.0)</f>
        <v>0</v>
      </c>
      <c r="AI36" s="214"/>
      <c r="AJ36" s="214"/>
      <c r="AK36" s="1131">
        <f>IFERROR(__xludf.DUMMYFUNCTION("""COMPUTED_VALUE"""),2372.0)</f>
        <v>2372</v>
      </c>
      <c r="AL36" s="1153" t="str">
        <f>IFERROR(__xludf.DUMMYFUNCTION("""COMPUTED_VALUE"""),"ペロ")</f>
        <v>ペロ</v>
      </c>
      <c r="AM36" s="242" t="str">
        <f>IFERROR(__xludf.DUMMYFUNCTION("""COMPUTED_VALUE"""),"メイド")</f>
        <v>メイド</v>
      </c>
      <c r="AN36" s="242" t="str">
        <f>IFERROR(__xludf.DUMMYFUNCTION("""COMPUTED_VALUE"""),"時給")</f>
        <v>時給</v>
      </c>
      <c r="AO36" s="1133">
        <f>IFERROR(__xludf.DUMMYFUNCTION("""COMPUTED_VALUE"""),14.0)</f>
        <v>14</v>
      </c>
      <c r="AP36" s="242">
        <f t="shared" si="7"/>
        <v>1</v>
      </c>
      <c r="AQ36" s="1136">
        <f>IFERROR(__xludf.DUMMYFUNCTION("""COMPUTED_VALUE"""),87.11666666666666)</f>
        <v>87.11666667</v>
      </c>
      <c r="AR36" s="242">
        <f>IFERROR(__xludf.DUMMYFUNCTION("""COMPUTED_VALUE"""),0.0)</f>
        <v>0</v>
      </c>
      <c r="AS36" s="237"/>
      <c r="AT36" s="214"/>
      <c r="AU36" s="1138"/>
      <c r="AV36" s="1154"/>
      <c r="AW36" s="1140"/>
      <c r="AX36" s="1140"/>
      <c r="AY36" s="1145"/>
      <c r="AZ36" s="1140">
        <f t="shared" si="8"/>
        <v>0</v>
      </c>
      <c r="BA36" s="1146"/>
      <c r="BB36" s="1140"/>
      <c r="BC36" s="214"/>
      <c r="BD36" s="214"/>
      <c r="BE36" s="1131"/>
      <c r="BF36" s="190"/>
      <c r="BG36" s="242"/>
      <c r="BH36" s="242"/>
      <c r="BI36" s="1133"/>
      <c r="BJ36" s="242">
        <f t="shared" si="9"/>
        <v>0</v>
      </c>
      <c r="BK36" s="1136"/>
      <c r="BL36" s="242"/>
      <c r="BM36" s="214"/>
      <c r="BN36" s="214"/>
      <c r="BO36" s="1131"/>
      <c r="BP36" s="190"/>
      <c r="BQ36" s="242"/>
      <c r="BR36" s="242"/>
      <c r="BS36" s="1133"/>
      <c r="BT36" s="242">
        <f t="shared" si="10"/>
        <v>0</v>
      </c>
      <c r="BU36" s="1136"/>
      <c r="BV36" s="242"/>
      <c r="BW36" s="237"/>
      <c r="BX36" s="214"/>
      <c r="BY36" s="1131"/>
      <c r="BZ36" s="190"/>
      <c r="CA36" s="242"/>
      <c r="CB36" s="242"/>
      <c r="CC36" s="1133"/>
      <c r="CD36" s="242">
        <f t="shared" si="11"/>
        <v>0</v>
      </c>
      <c r="CE36" s="1136"/>
      <c r="CF36" s="242"/>
      <c r="CG36" s="214"/>
      <c r="CH36" s="214"/>
      <c r="CI36" s="1131"/>
      <c r="CJ36" s="190"/>
      <c r="CK36" s="242"/>
      <c r="CL36" s="242"/>
      <c r="CM36" s="1133"/>
      <c r="CN36" s="242">
        <f t="shared" si="12"/>
        <v>0</v>
      </c>
      <c r="CO36" s="1136"/>
      <c r="CP36" s="242"/>
      <c r="CQ36" s="214"/>
      <c r="CR36" s="214"/>
      <c r="CS36" s="1131"/>
      <c r="CT36" s="190"/>
      <c r="CU36" s="242"/>
      <c r="CV36" s="242"/>
      <c r="CW36" s="1133"/>
      <c r="CX36" s="242">
        <f t="shared" si="13"/>
        <v>0</v>
      </c>
      <c r="CY36" s="1136"/>
      <c r="CZ36" s="242"/>
      <c r="DA36" s="237"/>
      <c r="DB36" s="214"/>
      <c r="DC36" s="1131"/>
      <c r="DD36" s="190"/>
      <c r="DE36" s="242"/>
      <c r="DF36" s="242"/>
      <c r="DG36" s="1133"/>
      <c r="DH36" s="242">
        <f t="shared" si="14"/>
        <v>0</v>
      </c>
      <c r="DI36" s="1136"/>
      <c r="DJ36" s="242"/>
      <c r="DK36" s="214"/>
      <c r="DL36" s="214"/>
      <c r="DM36" s="1131"/>
      <c r="DN36" s="190"/>
      <c r="DO36" s="242"/>
      <c r="DP36" s="242"/>
      <c r="DQ36" s="1133"/>
      <c r="DR36" s="242">
        <f t="shared" si="15"/>
        <v>0</v>
      </c>
      <c r="DS36" s="1136"/>
      <c r="DT36" s="242"/>
      <c r="DU36" s="214"/>
      <c r="DV36" s="214"/>
      <c r="DW36" s="1131"/>
      <c r="DX36" s="190"/>
      <c r="DY36" s="242"/>
      <c r="DZ36" s="242"/>
      <c r="EA36" s="1133"/>
      <c r="EB36" s="242">
        <f t="shared" si="16"/>
        <v>0</v>
      </c>
      <c r="EC36" s="1136"/>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22">
        <v>2379.0</v>
      </c>
      <c r="C37" s="1150" t="s">
        <v>529</v>
      </c>
      <c r="D37" s="1124" t="s">
        <v>89</v>
      </c>
      <c r="E37" s="1124" t="s">
        <v>1061</v>
      </c>
      <c r="F37" s="1125">
        <f t="shared" si="2"/>
        <v>3</v>
      </c>
      <c r="G37" s="1126" t="str">
        <f t="shared" si="3"/>
        <v>非該当</v>
      </c>
      <c r="H37" s="112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27">
        <f t="shared" si="48"/>
        <v>17.01666667</v>
      </c>
      <c r="J37" s="1128">
        <f t="shared" si="48"/>
        <v>0</v>
      </c>
      <c r="K37" s="214"/>
      <c r="L37" s="242" t="str">
        <f t="array" ref="L37">IFERROR(INDEX('💻シート作成'!$D$6:$D999, MATCH(M37, '💻シート作成'!$E$6:$E999, 0)), "")</f>
        <v>6月</v>
      </c>
      <c r="M37" s="1013" t="str">
        <f>IFERROR(__xludf.DUMMYFUNCTION("""COMPUTED_VALUE"""),"②R8_6シフト")</f>
        <v>②R8_6シフト</v>
      </c>
      <c r="N37" s="214"/>
      <c r="O37" s="1087"/>
      <c r="P37" s="214"/>
      <c r="Q37" s="1131">
        <f>IFERROR(__xludf.DUMMYFUNCTION("""COMPUTED_VALUE"""),2198.0)</f>
        <v>2198</v>
      </c>
      <c r="R37" s="1153" t="str">
        <f>IFERROR(__xludf.DUMMYFUNCTION("""COMPUTED_VALUE"""),"イムラン")</f>
        <v>イムラン</v>
      </c>
      <c r="S37" s="242"/>
      <c r="T37" s="242" t="str">
        <f>IFERROR(__xludf.DUMMYFUNCTION("""COMPUTED_VALUE"""),"歩+時")</f>
        <v>歩+時</v>
      </c>
      <c r="U37" s="1133">
        <f>IFERROR(__xludf.DUMMYFUNCTION("""COMPUTED_VALUE"""),12.0)</f>
        <v>12</v>
      </c>
      <c r="V37" s="242">
        <f t="shared" si="5"/>
        <v>1</v>
      </c>
      <c r="W37" s="1134">
        <f>IFERROR(__xludf.DUMMYFUNCTION("""COMPUTED_VALUE"""),21.8)</f>
        <v>21.8</v>
      </c>
      <c r="X37" s="242">
        <f>IFERROR(__xludf.DUMMYFUNCTION("""COMPUTED_VALUE"""),81.0)</f>
        <v>81</v>
      </c>
      <c r="Y37" s="214"/>
      <c r="Z37" s="214"/>
      <c r="AA37" s="1131">
        <f>IFERROR(__xludf.DUMMYFUNCTION("""COMPUTED_VALUE"""),2333.0)</f>
        <v>2333</v>
      </c>
      <c r="AB37" s="1153" t="str">
        <f>IFERROR(__xludf.DUMMYFUNCTION("""COMPUTED_VALUE"""),"シャウン")</f>
        <v>シャウン</v>
      </c>
      <c r="AC37" s="242" t="str">
        <f>IFERROR(__xludf.DUMMYFUNCTION("""COMPUTED_VALUE"""),"メイド")</f>
        <v>メイド</v>
      </c>
      <c r="AD37" s="242" t="str">
        <f>IFERROR(__xludf.DUMMYFUNCTION("""COMPUTED_VALUE"""),"歩+時")</f>
        <v>歩+時</v>
      </c>
      <c r="AE37" s="1133">
        <f>IFERROR(__xludf.DUMMYFUNCTION("""COMPUTED_VALUE"""),5.0)</f>
        <v>5</v>
      </c>
      <c r="AF37" s="242">
        <f t="shared" si="6"/>
        <v>3</v>
      </c>
      <c r="AG37" s="1136">
        <f>IFERROR(__xludf.DUMMYFUNCTION("""COMPUTED_VALUE"""),26.933333333333334)</f>
        <v>26.93333333</v>
      </c>
      <c r="AH37" s="242">
        <f>IFERROR(__xludf.DUMMYFUNCTION("""COMPUTED_VALUE"""),29.0)</f>
        <v>29</v>
      </c>
      <c r="AI37" s="214"/>
      <c r="AJ37" s="214"/>
      <c r="AK37" s="1131">
        <f>IFERROR(__xludf.DUMMYFUNCTION("""COMPUTED_VALUE"""),2379.0)</f>
        <v>2379</v>
      </c>
      <c r="AL37" s="1153" t="str">
        <f>IFERROR(__xludf.DUMMYFUNCTION("""COMPUTED_VALUE"""),"小野")</f>
        <v>小野</v>
      </c>
      <c r="AM37" s="242" t="str">
        <f>IFERROR(__xludf.DUMMYFUNCTION("""COMPUTED_VALUE"""),"メイド")</f>
        <v>メイド</v>
      </c>
      <c r="AN37" s="242" t="str">
        <f>IFERROR(__xludf.DUMMYFUNCTION("""COMPUTED_VALUE"""),"")</f>
        <v/>
      </c>
      <c r="AO37" s="1133">
        <f>IFERROR(__xludf.DUMMYFUNCTION("""COMPUTED_VALUE"""),0.0)</f>
        <v>0</v>
      </c>
      <c r="AP37" s="242">
        <f t="shared" si="7"/>
        <v>0</v>
      </c>
      <c r="AQ37" s="1136">
        <f>IFERROR(__xludf.DUMMYFUNCTION("""COMPUTED_VALUE"""),0.0)</f>
        <v>0</v>
      </c>
      <c r="AR37" s="242">
        <f>IFERROR(__xludf.DUMMYFUNCTION("""COMPUTED_VALUE"""),0.0)</f>
        <v>0</v>
      </c>
      <c r="AS37" s="237"/>
      <c r="AT37" s="214"/>
      <c r="AU37" s="1138"/>
      <c r="AV37" s="1154"/>
      <c r="AW37" s="1140"/>
      <c r="AX37" s="1140"/>
      <c r="AY37" s="1145"/>
      <c r="AZ37" s="1140">
        <f t="shared" si="8"/>
        <v>0</v>
      </c>
      <c r="BA37" s="1146"/>
      <c r="BB37" s="1140"/>
      <c r="BC37" s="214"/>
      <c r="BD37" s="214"/>
      <c r="BE37" s="1131"/>
      <c r="BF37" s="190"/>
      <c r="BG37" s="242"/>
      <c r="BH37" s="242"/>
      <c r="BI37" s="1133"/>
      <c r="BJ37" s="242">
        <f t="shared" si="9"/>
        <v>0</v>
      </c>
      <c r="BK37" s="1136"/>
      <c r="BL37" s="242"/>
      <c r="BM37" s="214"/>
      <c r="BN37" s="214"/>
      <c r="BO37" s="1131"/>
      <c r="BP37" s="190"/>
      <c r="BQ37" s="242"/>
      <c r="BR37" s="242"/>
      <c r="BS37" s="1133"/>
      <c r="BT37" s="242">
        <f t="shared" si="10"/>
        <v>0</v>
      </c>
      <c r="BU37" s="1136"/>
      <c r="BV37" s="242"/>
      <c r="BW37" s="237"/>
      <c r="BX37" s="214"/>
      <c r="BY37" s="1131"/>
      <c r="BZ37" s="190"/>
      <c r="CA37" s="242"/>
      <c r="CB37" s="242"/>
      <c r="CC37" s="1133"/>
      <c r="CD37" s="242">
        <f t="shared" si="11"/>
        <v>0</v>
      </c>
      <c r="CE37" s="1136"/>
      <c r="CF37" s="242"/>
      <c r="CG37" s="214"/>
      <c r="CH37" s="214"/>
      <c r="CI37" s="1131"/>
      <c r="CJ37" s="190"/>
      <c r="CK37" s="242"/>
      <c r="CL37" s="242"/>
      <c r="CM37" s="1133"/>
      <c r="CN37" s="242">
        <f t="shared" si="12"/>
        <v>0</v>
      </c>
      <c r="CO37" s="1136"/>
      <c r="CP37" s="242"/>
      <c r="CQ37" s="214"/>
      <c r="CR37" s="214"/>
      <c r="CS37" s="1131"/>
      <c r="CT37" s="190"/>
      <c r="CU37" s="242"/>
      <c r="CV37" s="242"/>
      <c r="CW37" s="1133"/>
      <c r="CX37" s="242">
        <f t="shared" si="13"/>
        <v>0</v>
      </c>
      <c r="CY37" s="1136"/>
      <c r="CZ37" s="242"/>
      <c r="DA37" s="237"/>
      <c r="DB37" s="214"/>
      <c r="DC37" s="1131"/>
      <c r="DD37" s="190"/>
      <c r="DE37" s="242"/>
      <c r="DF37" s="242"/>
      <c r="DG37" s="1133"/>
      <c r="DH37" s="242">
        <f t="shared" si="14"/>
        <v>0</v>
      </c>
      <c r="DI37" s="1136"/>
      <c r="DJ37" s="242"/>
      <c r="DK37" s="214"/>
      <c r="DL37" s="214"/>
      <c r="DM37" s="1131"/>
      <c r="DN37" s="190"/>
      <c r="DO37" s="242"/>
      <c r="DP37" s="242"/>
      <c r="DQ37" s="1133"/>
      <c r="DR37" s="242">
        <f t="shared" si="15"/>
        <v>0</v>
      </c>
      <c r="DS37" s="1136"/>
      <c r="DT37" s="242"/>
      <c r="DU37" s="214"/>
      <c r="DV37" s="214"/>
      <c r="DW37" s="1131"/>
      <c r="DX37" s="190"/>
      <c r="DY37" s="242"/>
      <c r="DZ37" s="242"/>
      <c r="EA37" s="1133"/>
      <c r="EB37" s="242">
        <f t="shared" si="16"/>
        <v>0</v>
      </c>
      <c r="EC37" s="1136"/>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24">
        <v>2380.0</v>
      </c>
      <c r="C38" s="1150" t="s">
        <v>523</v>
      </c>
      <c r="D38" s="1124" t="s">
        <v>89</v>
      </c>
      <c r="E38" s="1124" t="s">
        <v>1002</v>
      </c>
      <c r="F38" s="1125">
        <f t="shared" si="2"/>
        <v>39</v>
      </c>
      <c r="G38" s="1126" t="str">
        <f t="shared" si="3"/>
        <v>非該当</v>
      </c>
      <c r="H38" s="112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27">
        <f t="shared" si="49"/>
        <v>243.15</v>
      </c>
      <c r="J38" s="1128">
        <f t="shared" si="49"/>
        <v>0</v>
      </c>
      <c r="K38" s="214"/>
      <c r="L38" s="242" t="str">
        <f t="array" ref="L38">IFERROR(INDEX('💻シート作成'!$D$6:$D999, MATCH(M38, '💻シート作成'!$E$6:$E999, 0)), "")</f>
        <v>6月</v>
      </c>
      <c r="M38" s="1013" t="str">
        <f>IFERROR(__xludf.DUMMYFUNCTION("""COMPUTED_VALUE"""),"③R8_6日報")</f>
        <v>③R8_6日報</v>
      </c>
      <c r="N38" s="214"/>
      <c r="O38" s="1087"/>
      <c r="P38" s="214"/>
      <c r="Q38" s="1131">
        <f>IFERROR(__xludf.DUMMYFUNCTION("""COMPUTED_VALUE"""),2199.0)</f>
        <v>2199</v>
      </c>
      <c r="R38" s="1153" t="str">
        <f>IFERROR(__xludf.DUMMYFUNCTION("""COMPUTED_VALUE"""),"レイマンド")</f>
        <v>レイマンド</v>
      </c>
      <c r="S38" s="242"/>
      <c r="T38" s="242" t="str">
        <f>IFERROR(__xludf.DUMMYFUNCTION("""COMPUTED_VALUE"""),"")</f>
        <v/>
      </c>
      <c r="U38" s="1133">
        <f>IFERROR(__xludf.DUMMYFUNCTION("""COMPUTED_VALUE"""),0.0)</f>
        <v>0</v>
      </c>
      <c r="V38" s="242">
        <f t="shared" si="5"/>
        <v>0</v>
      </c>
      <c r="W38" s="1134">
        <f>IFERROR(__xludf.DUMMYFUNCTION("""COMPUTED_VALUE"""),0.0)</f>
        <v>0</v>
      </c>
      <c r="X38" s="242">
        <f>IFERROR(__xludf.DUMMYFUNCTION("""COMPUTED_VALUE"""),0.0)</f>
        <v>0</v>
      </c>
      <c r="Y38" s="214"/>
      <c r="Z38" s="214"/>
      <c r="AA38" s="1131">
        <f>IFERROR(__xludf.DUMMYFUNCTION("""COMPUTED_VALUE"""),2334.0)</f>
        <v>2334</v>
      </c>
      <c r="AB38" s="1153" t="str">
        <f>IFERROR(__xludf.DUMMYFUNCTION("""COMPUTED_VALUE"""),"ダリア")</f>
        <v>ダリア</v>
      </c>
      <c r="AC38" s="242" t="str">
        <f>IFERROR(__xludf.DUMMYFUNCTION("""COMPUTED_VALUE"""),"メイド")</f>
        <v>メイド</v>
      </c>
      <c r="AD38" s="242" t="str">
        <f>IFERROR(__xludf.DUMMYFUNCTION("""COMPUTED_VALUE"""),"歩合")</f>
        <v>歩合</v>
      </c>
      <c r="AE38" s="1133">
        <f>IFERROR(__xludf.DUMMYFUNCTION("""COMPUTED_VALUE"""),16.0)</f>
        <v>16</v>
      </c>
      <c r="AF38" s="242">
        <f t="shared" si="6"/>
        <v>2</v>
      </c>
      <c r="AG38" s="1136">
        <f>IFERROR(__xludf.DUMMYFUNCTION("""COMPUTED_VALUE"""),69.48333333333333)</f>
        <v>69.48333333</v>
      </c>
      <c r="AH38" s="242">
        <f>IFERROR(__xludf.DUMMYFUNCTION("""COMPUTED_VALUE"""),232.0)</f>
        <v>232</v>
      </c>
      <c r="AI38" s="214"/>
      <c r="AJ38" s="214"/>
      <c r="AK38" s="1131">
        <f>IFERROR(__xludf.DUMMYFUNCTION("""COMPUTED_VALUE"""),2380.0)</f>
        <v>2380</v>
      </c>
      <c r="AL38" s="1153" t="str">
        <f>IFERROR(__xludf.DUMMYFUNCTION("""COMPUTED_VALUE"""),"ラナ")</f>
        <v>ラナ</v>
      </c>
      <c r="AM38" s="242" t="str">
        <f>IFERROR(__xludf.DUMMYFUNCTION("""COMPUTED_VALUE"""),"メイド")</f>
        <v>メイド</v>
      </c>
      <c r="AN38" s="242" t="str">
        <f>IFERROR(__xludf.DUMMYFUNCTION("""COMPUTED_VALUE"""),"時給")</f>
        <v>時給</v>
      </c>
      <c r="AO38" s="1133">
        <f>IFERROR(__xludf.DUMMYFUNCTION("""COMPUTED_VALUE"""),17.0)</f>
        <v>17</v>
      </c>
      <c r="AP38" s="242">
        <f t="shared" si="7"/>
        <v>1</v>
      </c>
      <c r="AQ38" s="1136">
        <f>IFERROR(__xludf.DUMMYFUNCTION("""COMPUTED_VALUE"""),106.76666666666667)</f>
        <v>106.7666667</v>
      </c>
      <c r="AR38" s="242">
        <f>IFERROR(__xludf.DUMMYFUNCTION("""COMPUTED_VALUE"""),0.0)</f>
        <v>0</v>
      </c>
      <c r="AS38" s="237"/>
      <c r="AT38" s="214"/>
      <c r="AU38" s="1138"/>
      <c r="AV38" s="1154"/>
      <c r="AW38" s="1140"/>
      <c r="AX38" s="1140"/>
      <c r="AY38" s="1145"/>
      <c r="AZ38" s="1140">
        <f t="shared" si="8"/>
        <v>0</v>
      </c>
      <c r="BA38" s="1140"/>
      <c r="BB38" s="1140"/>
      <c r="BC38" s="214"/>
      <c r="BD38" s="214"/>
      <c r="BE38" s="1131"/>
      <c r="BF38" s="190"/>
      <c r="BG38" s="242"/>
      <c r="BH38" s="242"/>
      <c r="BI38" s="1133"/>
      <c r="BJ38" s="242">
        <f t="shared" si="9"/>
        <v>0</v>
      </c>
      <c r="BK38" s="242"/>
      <c r="BL38" s="242"/>
      <c r="BM38" s="214"/>
      <c r="BN38" s="214"/>
      <c r="BO38" s="1131"/>
      <c r="BP38" s="190"/>
      <c r="BQ38" s="242"/>
      <c r="BR38" s="242"/>
      <c r="BS38" s="1133"/>
      <c r="BT38" s="242">
        <f t="shared" si="10"/>
        <v>0</v>
      </c>
      <c r="BU38" s="242"/>
      <c r="BV38" s="242"/>
      <c r="BW38" s="237"/>
      <c r="BX38" s="214"/>
      <c r="BY38" s="1131"/>
      <c r="BZ38" s="190"/>
      <c r="CA38" s="242"/>
      <c r="CB38" s="242"/>
      <c r="CC38" s="1133"/>
      <c r="CD38" s="242">
        <f t="shared" si="11"/>
        <v>0</v>
      </c>
      <c r="CE38" s="242"/>
      <c r="CF38" s="242"/>
      <c r="CG38" s="214"/>
      <c r="CH38" s="214"/>
      <c r="CI38" s="1131"/>
      <c r="CJ38" s="190"/>
      <c r="CK38" s="242"/>
      <c r="CL38" s="242"/>
      <c r="CM38" s="1133"/>
      <c r="CN38" s="242">
        <f t="shared" si="12"/>
        <v>0</v>
      </c>
      <c r="CO38" s="242"/>
      <c r="CP38" s="242"/>
      <c r="CQ38" s="214"/>
      <c r="CR38" s="214"/>
      <c r="CS38" s="1131"/>
      <c r="CT38" s="190"/>
      <c r="CU38" s="242"/>
      <c r="CV38" s="242"/>
      <c r="CW38" s="1133"/>
      <c r="CX38" s="242">
        <f t="shared" si="13"/>
        <v>0</v>
      </c>
      <c r="CY38" s="242"/>
      <c r="CZ38" s="242"/>
      <c r="DA38" s="237"/>
      <c r="DB38" s="214"/>
      <c r="DC38" s="1131"/>
      <c r="DD38" s="190"/>
      <c r="DE38" s="242"/>
      <c r="DF38" s="242"/>
      <c r="DG38" s="1133"/>
      <c r="DH38" s="242">
        <f t="shared" si="14"/>
        <v>0</v>
      </c>
      <c r="DI38" s="242"/>
      <c r="DJ38" s="242"/>
      <c r="DK38" s="214"/>
      <c r="DL38" s="214"/>
      <c r="DM38" s="1131"/>
      <c r="DN38" s="190"/>
      <c r="DO38" s="242"/>
      <c r="DP38" s="242"/>
      <c r="DQ38" s="1133"/>
      <c r="DR38" s="242">
        <f t="shared" si="15"/>
        <v>0</v>
      </c>
      <c r="DS38" s="242"/>
      <c r="DT38" s="242"/>
      <c r="DU38" s="214"/>
      <c r="DV38" s="214"/>
      <c r="DW38" s="1131"/>
      <c r="DX38" s="190"/>
      <c r="DY38" s="242"/>
      <c r="DZ38" s="242"/>
      <c r="EA38" s="1133"/>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24">
        <v>2402.0</v>
      </c>
      <c r="C39" s="1150" t="s">
        <v>524</v>
      </c>
      <c r="D39" s="1124" t="s">
        <v>89</v>
      </c>
      <c r="E39" s="1124" t="s">
        <v>1002</v>
      </c>
      <c r="F39" s="1125">
        <f t="shared" si="2"/>
        <v>14</v>
      </c>
      <c r="G39" s="1126" t="str">
        <f t="shared" si="3"/>
        <v>該当</v>
      </c>
      <c r="H39" s="112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7">
        <f t="shared" si="50"/>
        <v>83.81666667</v>
      </c>
      <c r="J39" s="1128">
        <f t="shared" si="50"/>
        <v>0</v>
      </c>
      <c r="K39" s="214"/>
      <c r="L39" s="242" t="str">
        <f t="array" ref="L39">IFERROR(INDEX('💻シート作成'!$D$6:$D999, MATCH(M39, '💻シート作成'!$E$6:$E999, 0)), "")</f>
        <v>6月</v>
      </c>
      <c r="M39" s="1013" t="str">
        <f>IFERROR(__xludf.DUMMYFUNCTION("""COMPUTED_VALUE"""),"④R8_6月報")</f>
        <v>④R8_6月報</v>
      </c>
      <c r="N39" s="214"/>
      <c r="O39" s="1087"/>
      <c r="P39" s="214"/>
      <c r="Q39" s="1131">
        <f>IFERROR(__xludf.DUMMYFUNCTION("""COMPUTED_VALUE"""),2212.0)</f>
        <v>2212</v>
      </c>
      <c r="R39" s="1153" t="str">
        <f>IFERROR(__xludf.DUMMYFUNCTION("""COMPUTED_VALUE"""),"シトミ")</f>
        <v>シトミ</v>
      </c>
      <c r="S39" s="242"/>
      <c r="T39" s="242" t="str">
        <f>IFERROR(__xludf.DUMMYFUNCTION("""COMPUTED_VALUE"""),"")</f>
        <v/>
      </c>
      <c r="U39" s="1133">
        <f>IFERROR(__xludf.DUMMYFUNCTION("""COMPUTED_VALUE"""),0.0)</f>
        <v>0</v>
      </c>
      <c r="V39" s="242">
        <f t="shared" si="5"/>
        <v>0</v>
      </c>
      <c r="W39" s="1134">
        <f>IFERROR(__xludf.DUMMYFUNCTION("""COMPUTED_VALUE"""),0.0)</f>
        <v>0</v>
      </c>
      <c r="X39" s="242">
        <f>IFERROR(__xludf.DUMMYFUNCTION("""COMPUTED_VALUE"""),0.0)</f>
        <v>0</v>
      </c>
      <c r="Y39" s="214"/>
      <c r="Z39" s="214"/>
      <c r="AA39" s="1131">
        <f>IFERROR(__xludf.DUMMYFUNCTION("""COMPUTED_VALUE"""),2336.0)</f>
        <v>2336</v>
      </c>
      <c r="AB39" s="1153" t="str">
        <f>IFERROR(__xludf.DUMMYFUNCTION("""COMPUTED_VALUE"""),"アカシュ")</f>
        <v>アカシュ</v>
      </c>
      <c r="AC39" s="242" t="str">
        <f>IFERROR(__xludf.DUMMYFUNCTION("""COMPUTED_VALUE"""),"メイド")</f>
        <v>メイド</v>
      </c>
      <c r="AD39" s="242" t="str">
        <f>IFERROR(__xludf.DUMMYFUNCTION("""COMPUTED_VALUE"""),"時給")</f>
        <v>時給</v>
      </c>
      <c r="AE39" s="1133">
        <f>IFERROR(__xludf.DUMMYFUNCTION("""COMPUTED_VALUE"""),15.0)</f>
        <v>15</v>
      </c>
      <c r="AF39" s="242">
        <f t="shared" si="6"/>
        <v>5</v>
      </c>
      <c r="AG39" s="1136">
        <f>IFERROR(__xludf.DUMMYFUNCTION("""COMPUTED_VALUE"""),68.55)</f>
        <v>68.55</v>
      </c>
      <c r="AH39" s="242">
        <f>IFERROR(__xludf.DUMMYFUNCTION("""COMPUTED_VALUE"""),0.0)</f>
        <v>0</v>
      </c>
      <c r="AI39" s="214"/>
      <c r="AJ39" s="214"/>
      <c r="AK39" s="1131">
        <f>IFERROR(__xludf.DUMMYFUNCTION("""COMPUTED_VALUE"""),2402.0)</f>
        <v>2402</v>
      </c>
      <c r="AL39" s="1153" t="str">
        <f>IFERROR(__xludf.DUMMYFUNCTION("""COMPUTED_VALUE"""),"西村")</f>
        <v>西村</v>
      </c>
      <c r="AM39" s="242" t="str">
        <f>IFERROR(__xludf.DUMMYFUNCTION("""COMPUTED_VALUE"""),"メイド")</f>
        <v>メイド</v>
      </c>
      <c r="AN39" s="242" t="str">
        <f>IFERROR(__xludf.DUMMYFUNCTION("""COMPUTED_VALUE"""),"時給")</f>
        <v>時給</v>
      </c>
      <c r="AO39" s="1133">
        <f>IFERROR(__xludf.DUMMYFUNCTION("""COMPUTED_VALUE"""),9.0)</f>
        <v>9</v>
      </c>
      <c r="AP39" s="242">
        <f t="shared" si="7"/>
        <v>0</v>
      </c>
      <c r="AQ39" s="1136">
        <f>IFERROR(__xludf.DUMMYFUNCTION("""COMPUTED_VALUE"""),56.43333333333333)</f>
        <v>56.43333333</v>
      </c>
      <c r="AR39" s="242">
        <f>IFERROR(__xludf.DUMMYFUNCTION("""COMPUTED_VALUE"""),0.0)</f>
        <v>0</v>
      </c>
      <c r="AS39" s="237"/>
      <c r="AT39" s="214"/>
      <c r="AU39" s="1138"/>
      <c r="AV39" s="1154"/>
      <c r="AW39" s="1140"/>
      <c r="AX39" s="1140"/>
      <c r="AY39" s="1145"/>
      <c r="AZ39" s="1140">
        <f t="shared" si="8"/>
        <v>0</v>
      </c>
      <c r="BA39" s="1140"/>
      <c r="BB39" s="1140"/>
      <c r="BC39" s="214"/>
      <c r="BD39" s="214"/>
      <c r="BE39" s="1131"/>
      <c r="BF39" s="190"/>
      <c r="BG39" s="242"/>
      <c r="BH39" s="242"/>
      <c r="BI39" s="1133"/>
      <c r="BJ39" s="242">
        <f t="shared" si="9"/>
        <v>0</v>
      </c>
      <c r="BK39" s="242"/>
      <c r="BL39" s="242"/>
      <c r="BM39" s="214"/>
      <c r="BN39" s="214"/>
      <c r="BO39" s="1131"/>
      <c r="BP39" s="190"/>
      <c r="BQ39" s="242"/>
      <c r="BR39" s="242"/>
      <c r="BS39" s="1133"/>
      <c r="BT39" s="242">
        <f t="shared" si="10"/>
        <v>0</v>
      </c>
      <c r="BU39" s="242"/>
      <c r="BV39" s="242"/>
      <c r="BW39" s="237"/>
      <c r="BX39" s="214"/>
      <c r="BY39" s="1131"/>
      <c r="BZ39" s="190"/>
      <c r="CA39" s="242"/>
      <c r="CB39" s="242"/>
      <c r="CC39" s="1133"/>
      <c r="CD39" s="242">
        <f t="shared" si="11"/>
        <v>0</v>
      </c>
      <c r="CE39" s="242"/>
      <c r="CF39" s="242"/>
      <c r="CG39" s="214"/>
      <c r="CH39" s="214"/>
      <c r="CI39" s="1131"/>
      <c r="CJ39" s="190"/>
      <c r="CK39" s="242"/>
      <c r="CL39" s="242"/>
      <c r="CM39" s="1133"/>
      <c r="CN39" s="242">
        <f t="shared" si="12"/>
        <v>0</v>
      </c>
      <c r="CO39" s="242"/>
      <c r="CP39" s="242"/>
      <c r="CQ39" s="214"/>
      <c r="CR39" s="214"/>
      <c r="CS39" s="1131"/>
      <c r="CT39" s="190"/>
      <c r="CU39" s="242"/>
      <c r="CV39" s="242"/>
      <c r="CW39" s="1133"/>
      <c r="CX39" s="242">
        <f t="shared" si="13"/>
        <v>0</v>
      </c>
      <c r="CY39" s="242"/>
      <c r="CZ39" s="242"/>
      <c r="DA39" s="237"/>
      <c r="DB39" s="214"/>
      <c r="DC39" s="1131"/>
      <c r="DD39" s="190"/>
      <c r="DE39" s="242"/>
      <c r="DF39" s="242"/>
      <c r="DG39" s="1133"/>
      <c r="DH39" s="242">
        <f t="shared" si="14"/>
        <v>0</v>
      </c>
      <c r="DI39" s="242"/>
      <c r="DJ39" s="242"/>
      <c r="DK39" s="214"/>
      <c r="DL39" s="214"/>
      <c r="DM39" s="1131"/>
      <c r="DN39" s="190"/>
      <c r="DO39" s="242"/>
      <c r="DP39" s="242"/>
      <c r="DQ39" s="1133"/>
      <c r="DR39" s="242">
        <f t="shared" si="15"/>
        <v>0</v>
      </c>
      <c r="DS39" s="242"/>
      <c r="DT39" s="242"/>
      <c r="DU39" s="214"/>
      <c r="DV39" s="214"/>
      <c r="DW39" s="1131"/>
      <c r="DX39" s="190"/>
      <c r="DY39" s="242"/>
      <c r="DZ39" s="242"/>
      <c r="EA39" s="1133"/>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24">
        <v>2403.0</v>
      </c>
      <c r="C40" s="1150" t="s">
        <v>525</v>
      </c>
      <c r="D40" s="1124" t="s">
        <v>89</v>
      </c>
      <c r="E40" s="1124" t="s">
        <v>1002</v>
      </c>
      <c r="F40" s="1125">
        <f t="shared" si="2"/>
        <v>31</v>
      </c>
      <c r="G40" s="1126" t="str">
        <f t="shared" si="3"/>
        <v>非該当</v>
      </c>
      <c r="H40" s="112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127">
        <f t="shared" si="51"/>
        <v>193.5166667</v>
      </c>
      <c r="J40" s="1128">
        <f t="shared" si="51"/>
        <v>0</v>
      </c>
      <c r="K40" s="214"/>
      <c r="L40" s="242" t="str">
        <f t="array" ref="L40">IFERROR(INDEX('💻シート作成'!$D$6:$D999, MATCH(M40, '💻シート作成'!$E$6:$E999, 0)), "")</f>
        <v>5月</v>
      </c>
      <c r="M40" s="1013" t="str">
        <f>IFERROR(__xludf.DUMMYFUNCTION("""COMPUTED_VALUE"""),"①R8_5集計")</f>
        <v>①R8_5集計</v>
      </c>
      <c r="N40" s="214"/>
      <c r="O40" s="1087"/>
      <c r="P40" s="214"/>
      <c r="Q40" s="1131">
        <f>IFERROR(__xludf.DUMMYFUNCTION("""COMPUTED_VALUE"""),2213.0)</f>
        <v>2213</v>
      </c>
      <c r="R40" s="1153" t="str">
        <f>IFERROR(__xludf.DUMMYFUNCTION("""COMPUTED_VALUE"""),"中坊")</f>
        <v>中坊</v>
      </c>
      <c r="S40" s="242" t="str">
        <f>IFERROR(__xludf.DUMMYFUNCTION("""COMPUTED_VALUE"""),"中坊　真人")</f>
        <v>中坊　真人</v>
      </c>
      <c r="T40" s="242" t="str">
        <f>IFERROR(__xludf.DUMMYFUNCTION("""COMPUTED_VALUE"""),"")</f>
        <v/>
      </c>
      <c r="U40" s="1133">
        <f>IFERROR(__xludf.DUMMYFUNCTION("""COMPUTED_VALUE"""),0.0)</f>
        <v>0</v>
      </c>
      <c r="V40" s="242">
        <f t="shared" si="5"/>
        <v>0</v>
      </c>
      <c r="W40" s="1134">
        <f>IFERROR(__xludf.DUMMYFUNCTION("""COMPUTED_VALUE"""),0.0)</f>
        <v>0</v>
      </c>
      <c r="X40" s="242">
        <f>IFERROR(__xludf.DUMMYFUNCTION("""COMPUTED_VALUE"""),0.0)</f>
        <v>0</v>
      </c>
      <c r="Y40" s="214"/>
      <c r="Z40" s="214"/>
      <c r="AA40" s="1131">
        <f>IFERROR(__xludf.DUMMYFUNCTION("""COMPUTED_VALUE"""),2337.0)</f>
        <v>2337</v>
      </c>
      <c r="AB40" s="1153" t="str">
        <f>IFERROR(__xludf.DUMMYFUNCTION("""COMPUTED_VALUE"""),"ムナ")</f>
        <v>ムナ</v>
      </c>
      <c r="AC40" s="242" t="str">
        <f>IFERROR(__xludf.DUMMYFUNCTION("""COMPUTED_VALUE"""),"メイド")</f>
        <v>メイド</v>
      </c>
      <c r="AD40" s="242" t="str">
        <f>IFERROR(__xludf.DUMMYFUNCTION("""COMPUTED_VALUE"""),"時給")</f>
        <v>時給</v>
      </c>
      <c r="AE40" s="1133">
        <f>IFERROR(__xludf.DUMMYFUNCTION("""COMPUTED_VALUE"""),20.0)</f>
        <v>20</v>
      </c>
      <c r="AF40" s="242">
        <f t="shared" si="6"/>
        <v>0</v>
      </c>
      <c r="AG40" s="1136">
        <f>IFERROR(__xludf.DUMMYFUNCTION("""COMPUTED_VALUE"""),122.58333333333333)</f>
        <v>122.5833333</v>
      </c>
      <c r="AH40" s="242">
        <f>IFERROR(__xludf.DUMMYFUNCTION("""COMPUTED_VALUE"""),0.0)</f>
        <v>0</v>
      </c>
      <c r="AI40" s="214"/>
      <c r="AJ40" s="214"/>
      <c r="AK40" s="1131">
        <f>IFERROR(__xludf.DUMMYFUNCTION("""COMPUTED_VALUE"""),2403.0)</f>
        <v>2403</v>
      </c>
      <c r="AL40" s="1153" t="str">
        <f>IFERROR(__xludf.DUMMYFUNCTION("""COMPUTED_VALUE"""),"シタ")</f>
        <v>シタ</v>
      </c>
      <c r="AM40" s="242" t="str">
        <f>IFERROR(__xludf.DUMMYFUNCTION("""COMPUTED_VALUE"""),"メイド")</f>
        <v>メイド</v>
      </c>
      <c r="AN40" s="242" t="str">
        <f>IFERROR(__xludf.DUMMYFUNCTION("""COMPUTED_VALUE"""),"時給")</f>
        <v>時給</v>
      </c>
      <c r="AO40" s="1133">
        <f>IFERROR(__xludf.DUMMYFUNCTION("""COMPUTED_VALUE"""),17.0)</f>
        <v>17</v>
      </c>
      <c r="AP40" s="242">
        <f t="shared" si="7"/>
        <v>1</v>
      </c>
      <c r="AQ40" s="1136">
        <f>IFERROR(__xludf.DUMMYFUNCTION("""COMPUTED_VALUE"""),108.38333333333334)</f>
        <v>108.3833333</v>
      </c>
      <c r="AR40" s="242">
        <f>IFERROR(__xludf.DUMMYFUNCTION("""COMPUTED_VALUE"""),0.0)</f>
        <v>0</v>
      </c>
      <c r="AS40" s="237"/>
      <c r="AT40" s="214"/>
      <c r="AU40" s="1138"/>
      <c r="AV40" s="1154"/>
      <c r="AW40" s="1140"/>
      <c r="AX40" s="1140"/>
      <c r="AY40" s="1145"/>
      <c r="AZ40" s="1140">
        <f t="shared" si="8"/>
        <v>0</v>
      </c>
      <c r="BA40" s="1140"/>
      <c r="BB40" s="1140"/>
      <c r="BC40" s="214"/>
      <c r="BD40" s="214"/>
      <c r="BE40" s="1131"/>
      <c r="BF40" s="190"/>
      <c r="BG40" s="242"/>
      <c r="BH40" s="242"/>
      <c r="BI40" s="1133"/>
      <c r="BJ40" s="242">
        <f t="shared" si="9"/>
        <v>0</v>
      </c>
      <c r="BK40" s="242"/>
      <c r="BL40" s="242"/>
      <c r="BM40" s="214"/>
      <c r="BN40" s="214"/>
      <c r="BO40" s="1131"/>
      <c r="BP40" s="190"/>
      <c r="BQ40" s="242"/>
      <c r="BR40" s="242"/>
      <c r="BS40" s="1133"/>
      <c r="BT40" s="242">
        <f t="shared" si="10"/>
        <v>0</v>
      </c>
      <c r="BU40" s="242"/>
      <c r="BV40" s="242"/>
      <c r="BW40" s="237"/>
      <c r="BX40" s="214"/>
      <c r="BY40" s="1131"/>
      <c r="BZ40" s="190"/>
      <c r="CA40" s="242"/>
      <c r="CB40" s="242"/>
      <c r="CC40" s="1133"/>
      <c r="CD40" s="242">
        <f t="shared" si="11"/>
        <v>0</v>
      </c>
      <c r="CE40" s="242"/>
      <c r="CF40" s="242"/>
      <c r="CG40" s="214"/>
      <c r="CH40" s="214"/>
      <c r="CI40" s="1131"/>
      <c r="CJ40" s="190"/>
      <c r="CK40" s="242"/>
      <c r="CL40" s="242"/>
      <c r="CM40" s="1133"/>
      <c r="CN40" s="242">
        <f t="shared" si="12"/>
        <v>0</v>
      </c>
      <c r="CO40" s="242"/>
      <c r="CP40" s="242"/>
      <c r="CQ40" s="214"/>
      <c r="CR40" s="214"/>
      <c r="CS40" s="1131"/>
      <c r="CT40" s="190"/>
      <c r="CU40" s="242"/>
      <c r="CV40" s="242"/>
      <c r="CW40" s="1133"/>
      <c r="CX40" s="242">
        <f t="shared" si="13"/>
        <v>0</v>
      </c>
      <c r="CY40" s="242"/>
      <c r="CZ40" s="242"/>
      <c r="DA40" s="237"/>
      <c r="DB40" s="214"/>
      <c r="DC40" s="1131"/>
      <c r="DD40" s="190"/>
      <c r="DE40" s="242"/>
      <c r="DF40" s="242"/>
      <c r="DG40" s="1133"/>
      <c r="DH40" s="242">
        <f t="shared" si="14"/>
        <v>0</v>
      </c>
      <c r="DI40" s="242"/>
      <c r="DJ40" s="242"/>
      <c r="DK40" s="214"/>
      <c r="DL40" s="214"/>
      <c r="DM40" s="1131"/>
      <c r="DN40" s="190"/>
      <c r="DO40" s="242"/>
      <c r="DP40" s="242"/>
      <c r="DQ40" s="1133"/>
      <c r="DR40" s="242">
        <f t="shared" si="15"/>
        <v>0</v>
      </c>
      <c r="DS40" s="242"/>
      <c r="DT40" s="242"/>
      <c r="DU40" s="214"/>
      <c r="DV40" s="214"/>
      <c r="DW40" s="1131"/>
      <c r="DX40" s="190"/>
      <c r="DY40" s="242"/>
      <c r="DZ40" s="242"/>
      <c r="EA40" s="1133"/>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24">
        <v>2409.0</v>
      </c>
      <c r="C41" s="1150" t="s">
        <v>528</v>
      </c>
      <c r="D41" s="1124" t="s">
        <v>89</v>
      </c>
      <c r="E41" s="1124" t="s">
        <v>1002</v>
      </c>
      <c r="F41" s="1125">
        <f t="shared" si="2"/>
        <v>16</v>
      </c>
      <c r="G41" s="1126" t="str">
        <f t="shared" si="3"/>
        <v>該当</v>
      </c>
      <c r="H41" s="112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7">
        <f t="shared" si="52"/>
        <v>93.83333333</v>
      </c>
      <c r="J41" s="1128">
        <f t="shared" si="52"/>
        <v>0</v>
      </c>
      <c r="K41" s="214"/>
      <c r="L41" s="242" t="str">
        <f t="array" ref="L41">IFERROR(INDEX('💻シート作成'!$D$6:$D999, MATCH(M41, '💻シート作成'!$E$6:$E999, 0)), "")</f>
        <v>5月</v>
      </c>
      <c r="M41" s="1013" t="str">
        <f>IFERROR(__xludf.DUMMYFUNCTION("""COMPUTED_VALUE"""),"②R8_5シフト")</f>
        <v>②R8_5シフト</v>
      </c>
      <c r="N41" s="214"/>
      <c r="O41" s="1087"/>
      <c r="P41" s="214"/>
      <c r="Q41" s="1131">
        <f>IFERROR(__xludf.DUMMYFUNCTION("""COMPUTED_VALUE"""),2216.0)</f>
        <v>2216</v>
      </c>
      <c r="R41" s="1153" t="str">
        <f>IFERROR(__xludf.DUMMYFUNCTION("""COMPUTED_VALUE"""),"アプ")</f>
        <v>アプ</v>
      </c>
      <c r="S41" s="242"/>
      <c r="T41" s="242" t="str">
        <f>IFERROR(__xludf.DUMMYFUNCTION("""COMPUTED_VALUE"""),"")</f>
        <v/>
      </c>
      <c r="U41" s="1133">
        <f>IFERROR(__xludf.DUMMYFUNCTION("""COMPUTED_VALUE"""),0.0)</f>
        <v>0</v>
      </c>
      <c r="V41" s="242">
        <f t="shared" si="5"/>
        <v>0</v>
      </c>
      <c r="W41" s="1134">
        <f>IFERROR(__xludf.DUMMYFUNCTION("""COMPUTED_VALUE"""),0.0)</f>
        <v>0</v>
      </c>
      <c r="X41" s="242">
        <f>IFERROR(__xludf.DUMMYFUNCTION("""COMPUTED_VALUE"""),0.0)</f>
        <v>0</v>
      </c>
      <c r="Y41" s="214"/>
      <c r="Z41" s="214"/>
      <c r="AA41" s="1131">
        <f>IFERROR(__xludf.DUMMYFUNCTION("""COMPUTED_VALUE"""),2363.0)</f>
        <v>2363</v>
      </c>
      <c r="AB41" s="1153" t="str">
        <f>IFERROR(__xludf.DUMMYFUNCTION("""COMPUTED_VALUE"""),"クマル")</f>
        <v>クマル</v>
      </c>
      <c r="AC41" s="242" t="str">
        <f>IFERROR(__xludf.DUMMYFUNCTION("""COMPUTED_VALUE"""),"メイド")</f>
        <v>メイド</v>
      </c>
      <c r="AD41" s="242" t="str">
        <f>IFERROR(__xludf.DUMMYFUNCTION("""COMPUTED_VALUE"""),"時給")</f>
        <v>時給</v>
      </c>
      <c r="AE41" s="1133">
        <f>IFERROR(__xludf.DUMMYFUNCTION("""COMPUTED_VALUE"""),18.0)</f>
        <v>18</v>
      </c>
      <c r="AF41" s="242">
        <f t="shared" si="6"/>
        <v>3</v>
      </c>
      <c r="AG41" s="1136">
        <f>IFERROR(__xludf.DUMMYFUNCTION("""COMPUTED_VALUE"""),81.66666666666667)</f>
        <v>81.66666667</v>
      </c>
      <c r="AH41" s="242">
        <f>IFERROR(__xludf.DUMMYFUNCTION("""COMPUTED_VALUE"""),0.0)</f>
        <v>0</v>
      </c>
      <c r="AI41" s="214"/>
      <c r="AJ41" s="214"/>
      <c r="AK41" s="1131">
        <f>IFERROR(__xludf.DUMMYFUNCTION("""COMPUTED_VALUE"""),2409.0)</f>
        <v>2409</v>
      </c>
      <c r="AL41" s="1153" t="str">
        <f>IFERROR(__xludf.DUMMYFUNCTION("""COMPUTED_VALUE"""),"ナロミ")</f>
        <v>ナロミ</v>
      </c>
      <c r="AM41" s="242" t="str">
        <f>IFERROR(__xludf.DUMMYFUNCTION("""COMPUTED_VALUE"""),"メイド")</f>
        <v>メイド</v>
      </c>
      <c r="AN41" s="242" t="str">
        <f>IFERROR(__xludf.DUMMYFUNCTION("""COMPUTED_VALUE"""),"時給")</f>
        <v>時給</v>
      </c>
      <c r="AO41" s="1133">
        <f>IFERROR(__xludf.DUMMYFUNCTION("""COMPUTED_VALUE"""),12.0)</f>
        <v>12</v>
      </c>
      <c r="AP41" s="242">
        <f t="shared" si="7"/>
        <v>0</v>
      </c>
      <c r="AQ41" s="1136">
        <f>IFERROR(__xludf.DUMMYFUNCTION("""COMPUTED_VALUE"""),70.5)</f>
        <v>70.5</v>
      </c>
      <c r="AR41" s="242">
        <f>IFERROR(__xludf.DUMMYFUNCTION("""COMPUTED_VALUE"""),0.0)</f>
        <v>0</v>
      </c>
      <c r="AS41" s="237"/>
      <c r="AT41" s="214"/>
      <c r="AU41" s="1138"/>
      <c r="AV41" s="1154"/>
      <c r="AW41" s="1140"/>
      <c r="AX41" s="1140"/>
      <c r="AY41" s="1145"/>
      <c r="AZ41" s="1140">
        <f t="shared" si="8"/>
        <v>0</v>
      </c>
      <c r="BA41" s="1140"/>
      <c r="BB41" s="1140"/>
      <c r="BC41" s="214"/>
      <c r="BD41" s="214"/>
      <c r="BE41" s="1131"/>
      <c r="BF41" s="190"/>
      <c r="BG41" s="242"/>
      <c r="BH41" s="242"/>
      <c r="BI41" s="1133"/>
      <c r="BJ41" s="242">
        <f t="shared" si="9"/>
        <v>0</v>
      </c>
      <c r="BK41" s="242"/>
      <c r="BL41" s="242"/>
      <c r="BM41" s="214"/>
      <c r="BN41" s="214"/>
      <c r="BO41" s="1131"/>
      <c r="BP41" s="190"/>
      <c r="BQ41" s="242"/>
      <c r="BR41" s="242"/>
      <c r="BS41" s="1133"/>
      <c r="BT41" s="242">
        <f t="shared" si="10"/>
        <v>0</v>
      </c>
      <c r="BU41" s="242"/>
      <c r="BV41" s="242"/>
      <c r="BW41" s="237"/>
      <c r="BX41" s="214"/>
      <c r="BY41" s="1131"/>
      <c r="BZ41" s="190"/>
      <c r="CA41" s="242"/>
      <c r="CB41" s="242"/>
      <c r="CC41" s="1133"/>
      <c r="CD41" s="242">
        <f t="shared" si="11"/>
        <v>0</v>
      </c>
      <c r="CE41" s="242"/>
      <c r="CF41" s="242"/>
      <c r="CG41" s="214"/>
      <c r="CH41" s="214"/>
      <c r="CI41" s="1131"/>
      <c r="CJ41" s="190"/>
      <c r="CK41" s="242"/>
      <c r="CL41" s="242"/>
      <c r="CM41" s="1133"/>
      <c r="CN41" s="242">
        <f t="shared" si="12"/>
        <v>0</v>
      </c>
      <c r="CO41" s="242"/>
      <c r="CP41" s="242"/>
      <c r="CQ41" s="214"/>
      <c r="CR41" s="214"/>
      <c r="CS41" s="1131"/>
      <c r="CT41" s="190"/>
      <c r="CU41" s="242"/>
      <c r="CV41" s="242"/>
      <c r="CW41" s="1133"/>
      <c r="CX41" s="242">
        <f t="shared" si="13"/>
        <v>0</v>
      </c>
      <c r="CY41" s="242"/>
      <c r="CZ41" s="242"/>
      <c r="DA41" s="237"/>
      <c r="DB41" s="214"/>
      <c r="DC41" s="1131"/>
      <c r="DD41" s="190"/>
      <c r="DE41" s="242"/>
      <c r="DF41" s="242"/>
      <c r="DG41" s="1133"/>
      <c r="DH41" s="242">
        <f t="shared" si="14"/>
        <v>0</v>
      </c>
      <c r="DI41" s="242"/>
      <c r="DJ41" s="242"/>
      <c r="DK41" s="214"/>
      <c r="DL41" s="214"/>
      <c r="DM41" s="1131"/>
      <c r="DN41" s="190"/>
      <c r="DO41" s="242"/>
      <c r="DP41" s="242"/>
      <c r="DQ41" s="1133"/>
      <c r="DR41" s="242">
        <f t="shared" si="15"/>
        <v>0</v>
      </c>
      <c r="DS41" s="242"/>
      <c r="DT41" s="242"/>
      <c r="DU41" s="214"/>
      <c r="DV41" s="214"/>
      <c r="DW41" s="1131"/>
      <c r="DX41" s="190"/>
      <c r="DY41" s="242"/>
      <c r="DZ41" s="242"/>
      <c r="EA41" s="1133"/>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24">
        <v>2410.0</v>
      </c>
      <c r="C42" s="1150" t="s">
        <v>657</v>
      </c>
      <c r="D42" s="1124" t="s">
        <v>89</v>
      </c>
      <c r="E42" s="1124" t="s">
        <v>1002</v>
      </c>
      <c r="F42" s="1125">
        <f t="shared" si="2"/>
        <v>18</v>
      </c>
      <c r="G42" s="1126" t="str">
        <f t="shared" si="3"/>
        <v>該当</v>
      </c>
      <c r="H42" s="112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7">
        <f t="shared" si="53"/>
        <v>102.05</v>
      </c>
      <c r="J42" s="1128">
        <f t="shared" si="53"/>
        <v>0</v>
      </c>
      <c r="K42" s="214"/>
      <c r="L42" s="242" t="str">
        <f t="array" ref="L42">IFERROR(INDEX('💻シート作成'!$D$6:$D999, MATCH(M42, '💻シート作成'!$E$6:$E999, 0)), "")</f>
        <v>5月</v>
      </c>
      <c r="M42" s="1013" t="str">
        <f>IFERROR(__xludf.DUMMYFUNCTION("""COMPUTED_VALUE"""),"③R8_5日報")</f>
        <v>③R8_5日報</v>
      </c>
      <c r="N42" s="214"/>
      <c r="O42" s="1087"/>
      <c r="P42" s="214"/>
      <c r="Q42" s="1131">
        <f>IFERROR(__xludf.DUMMYFUNCTION("""COMPUTED_VALUE"""),2217.0)</f>
        <v>2217</v>
      </c>
      <c r="R42" s="1153" t="str">
        <f>IFERROR(__xludf.DUMMYFUNCTION("""COMPUTED_VALUE"""),"トンメ")</f>
        <v>トンメ</v>
      </c>
      <c r="S42" s="242"/>
      <c r="T42" s="242" t="str">
        <f>IFERROR(__xludf.DUMMYFUNCTION("""COMPUTED_VALUE"""),"歩+時")</f>
        <v>歩+時</v>
      </c>
      <c r="U42" s="1133">
        <f>IFERROR(__xludf.DUMMYFUNCTION("""COMPUTED_VALUE"""),20.0)</f>
        <v>20</v>
      </c>
      <c r="V42" s="242">
        <f t="shared" si="5"/>
        <v>1</v>
      </c>
      <c r="W42" s="1134">
        <f>IFERROR(__xludf.DUMMYFUNCTION("""COMPUTED_VALUE"""),87.9)</f>
        <v>87.9</v>
      </c>
      <c r="X42" s="242">
        <f>IFERROR(__xludf.DUMMYFUNCTION("""COMPUTED_VALUE"""),242.0)</f>
        <v>242</v>
      </c>
      <c r="Y42" s="214"/>
      <c r="Z42" s="214"/>
      <c r="AA42" s="1131">
        <f>IFERROR(__xludf.DUMMYFUNCTION("""COMPUTED_VALUE"""),2371.0)</f>
        <v>2371</v>
      </c>
      <c r="AB42" s="1153" t="str">
        <f>IFERROR(__xludf.DUMMYFUNCTION("""COMPUTED_VALUE"""),"毛利")</f>
        <v>毛利</v>
      </c>
      <c r="AC42" s="242" t="str">
        <f>IFERROR(__xludf.DUMMYFUNCTION("""COMPUTED_VALUE"""),"メイド")</f>
        <v>メイド</v>
      </c>
      <c r="AD42" s="242" t="str">
        <f>IFERROR(__xludf.DUMMYFUNCTION("""COMPUTED_VALUE"""),"時給")</f>
        <v>時給</v>
      </c>
      <c r="AE42" s="1133">
        <f>IFERROR(__xludf.DUMMYFUNCTION("""COMPUTED_VALUE"""),8.0)</f>
        <v>8</v>
      </c>
      <c r="AF42" s="242">
        <f t="shared" si="6"/>
        <v>2</v>
      </c>
      <c r="AG42" s="1136">
        <f>IFERROR(__xludf.DUMMYFUNCTION("""COMPUTED_VALUE"""),45.38333333333333)</f>
        <v>45.38333333</v>
      </c>
      <c r="AH42" s="242">
        <f>IFERROR(__xludf.DUMMYFUNCTION("""COMPUTED_VALUE"""),0.0)</f>
        <v>0</v>
      </c>
      <c r="AI42" s="214"/>
      <c r="AJ42" s="214"/>
      <c r="AK42" s="1131">
        <f>IFERROR(__xludf.DUMMYFUNCTION("""COMPUTED_VALUE"""),2410.0)</f>
        <v>2410</v>
      </c>
      <c r="AL42" s="1153" t="str">
        <f>IFERROR(__xludf.DUMMYFUNCTION("""COMPUTED_VALUE"""),"JiJi")</f>
        <v>JiJi</v>
      </c>
      <c r="AM42" s="242" t="str">
        <f>IFERROR(__xludf.DUMMYFUNCTION("""COMPUTED_VALUE"""),"メイド")</f>
        <v>メイド</v>
      </c>
      <c r="AN42" s="242" t="str">
        <f>IFERROR(__xludf.DUMMYFUNCTION("""COMPUTED_VALUE"""),"時給")</f>
        <v>時給</v>
      </c>
      <c r="AO42" s="1133">
        <f>IFERROR(__xludf.DUMMYFUNCTION("""COMPUTED_VALUE"""),15.0)</f>
        <v>15</v>
      </c>
      <c r="AP42" s="242">
        <f t="shared" si="7"/>
        <v>0</v>
      </c>
      <c r="AQ42" s="1136">
        <f>IFERROR(__xludf.DUMMYFUNCTION("""COMPUTED_VALUE"""),84.15)</f>
        <v>84.15</v>
      </c>
      <c r="AR42" s="242">
        <f>IFERROR(__xludf.DUMMYFUNCTION("""COMPUTED_VALUE"""),0.0)</f>
        <v>0</v>
      </c>
      <c r="AS42" s="237"/>
      <c r="AT42" s="214"/>
      <c r="AU42" s="1138"/>
      <c r="AV42" s="1154"/>
      <c r="AW42" s="1140"/>
      <c r="AX42" s="1140"/>
      <c r="AY42" s="1145"/>
      <c r="AZ42" s="1140">
        <f t="shared" si="8"/>
        <v>0</v>
      </c>
      <c r="BA42" s="1140"/>
      <c r="BB42" s="1140"/>
      <c r="BC42" s="214"/>
      <c r="BD42" s="214"/>
      <c r="BE42" s="1131"/>
      <c r="BF42" s="190"/>
      <c r="BG42" s="242"/>
      <c r="BH42" s="242"/>
      <c r="BI42" s="1133"/>
      <c r="BJ42" s="242">
        <f t="shared" si="9"/>
        <v>0</v>
      </c>
      <c r="BK42" s="242"/>
      <c r="BL42" s="242"/>
      <c r="BM42" s="214"/>
      <c r="BN42" s="214"/>
      <c r="BO42" s="1131"/>
      <c r="BP42" s="190"/>
      <c r="BQ42" s="242"/>
      <c r="BR42" s="242"/>
      <c r="BS42" s="1133"/>
      <c r="BT42" s="242">
        <f t="shared" si="10"/>
        <v>0</v>
      </c>
      <c r="BU42" s="242"/>
      <c r="BV42" s="242"/>
      <c r="BW42" s="237"/>
      <c r="BX42" s="214"/>
      <c r="BY42" s="1131"/>
      <c r="BZ42" s="190"/>
      <c r="CA42" s="242"/>
      <c r="CB42" s="242"/>
      <c r="CC42" s="1133"/>
      <c r="CD42" s="242">
        <f t="shared" si="11"/>
        <v>0</v>
      </c>
      <c r="CE42" s="242"/>
      <c r="CF42" s="242"/>
      <c r="CG42" s="214"/>
      <c r="CH42" s="214"/>
      <c r="CI42" s="1131"/>
      <c r="CJ42" s="190"/>
      <c r="CK42" s="242"/>
      <c r="CL42" s="242"/>
      <c r="CM42" s="1133"/>
      <c r="CN42" s="242">
        <f t="shared" si="12"/>
        <v>0</v>
      </c>
      <c r="CO42" s="242"/>
      <c r="CP42" s="242"/>
      <c r="CQ42" s="214"/>
      <c r="CR42" s="214"/>
      <c r="CS42" s="1131"/>
      <c r="CT42" s="190"/>
      <c r="CU42" s="242"/>
      <c r="CV42" s="242"/>
      <c r="CW42" s="1133"/>
      <c r="CX42" s="242">
        <f t="shared" si="13"/>
        <v>0</v>
      </c>
      <c r="CY42" s="242"/>
      <c r="CZ42" s="242"/>
      <c r="DA42" s="237"/>
      <c r="DB42" s="214"/>
      <c r="DC42" s="1131"/>
      <c r="DD42" s="190"/>
      <c r="DE42" s="242"/>
      <c r="DF42" s="242"/>
      <c r="DG42" s="1133"/>
      <c r="DH42" s="242">
        <f t="shared" si="14"/>
        <v>0</v>
      </c>
      <c r="DI42" s="242"/>
      <c r="DJ42" s="242"/>
      <c r="DK42" s="214"/>
      <c r="DL42" s="214"/>
      <c r="DM42" s="1131"/>
      <c r="DN42" s="190"/>
      <c r="DO42" s="242"/>
      <c r="DP42" s="242"/>
      <c r="DQ42" s="1133"/>
      <c r="DR42" s="242">
        <f t="shared" si="15"/>
        <v>0</v>
      </c>
      <c r="DS42" s="242"/>
      <c r="DT42" s="242"/>
      <c r="DU42" s="214"/>
      <c r="DV42" s="214"/>
      <c r="DW42" s="1131"/>
      <c r="DX42" s="190"/>
      <c r="DY42" s="242"/>
      <c r="DZ42" s="242"/>
      <c r="EA42" s="1133"/>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24">
        <v>2414.0</v>
      </c>
      <c r="C43" s="1124" t="s">
        <v>526</v>
      </c>
      <c r="D43" s="1124" t="s">
        <v>89</v>
      </c>
      <c r="E43" s="1124" t="s">
        <v>1002</v>
      </c>
      <c r="F43" s="1125">
        <f t="shared" si="2"/>
        <v>6</v>
      </c>
      <c r="G43" s="1126" t="str">
        <f t="shared" si="3"/>
        <v>非該当</v>
      </c>
      <c r="H43" s="112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27">
        <f t="shared" si="54"/>
        <v>33.7</v>
      </c>
      <c r="J43" s="1128">
        <f t="shared" si="54"/>
        <v>0</v>
      </c>
      <c r="K43" s="214"/>
      <c r="L43" s="242" t="str">
        <f t="array" ref="L43">IFERROR(INDEX('💻シート作成'!$D$6:$D999, MATCH(M43, '💻シート作成'!$E$6:$E999, 0)), "")</f>
        <v>5月</v>
      </c>
      <c r="M43" s="1013" t="str">
        <f>IFERROR(__xludf.DUMMYFUNCTION("""COMPUTED_VALUE"""),"④R8_5月報")</f>
        <v>④R8_5月報</v>
      </c>
      <c r="N43" s="214"/>
      <c r="O43" s="1087"/>
      <c r="P43" s="214"/>
      <c r="Q43" s="1131">
        <f>IFERROR(__xludf.DUMMYFUNCTION("""COMPUTED_VALUE"""),2218.0)</f>
        <v>2218</v>
      </c>
      <c r="R43" s="1153" t="str">
        <f>IFERROR(__xludf.DUMMYFUNCTION("""COMPUTED_VALUE"""),"ズバエル")</f>
        <v>ズバエル</v>
      </c>
      <c r="S43" s="242"/>
      <c r="T43" s="242" t="str">
        <f>IFERROR(__xludf.DUMMYFUNCTION("""COMPUTED_VALUE"""),"歩+時")</f>
        <v>歩+時</v>
      </c>
      <c r="U43" s="1133">
        <f>IFERROR(__xludf.DUMMYFUNCTION("""COMPUTED_VALUE"""),19.0)</f>
        <v>19</v>
      </c>
      <c r="V43" s="242">
        <f t="shared" si="5"/>
        <v>3</v>
      </c>
      <c r="W43" s="1134">
        <f>IFERROR(__xludf.DUMMYFUNCTION("""COMPUTED_VALUE"""),86.7)</f>
        <v>86.7</v>
      </c>
      <c r="X43" s="242">
        <f>IFERROR(__xludf.DUMMYFUNCTION("""COMPUTED_VALUE"""),43.0)</f>
        <v>43</v>
      </c>
      <c r="Y43" s="214"/>
      <c r="Z43" s="214"/>
      <c r="AA43" s="1131">
        <f>IFERROR(__xludf.DUMMYFUNCTION("""COMPUTED_VALUE"""),2372.0)</f>
        <v>2372</v>
      </c>
      <c r="AB43" s="1153" t="str">
        <f>IFERROR(__xludf.DUMMYFUNCTION("""COMPUTED_VALUE"""),"ペロ")</f>
        <v>ペロ</v>
      </c>
      <c r="AC43" s="242" t="str">
        <f>IFERROR(__xludf.DUMMYFUNCTION("""COMPUTED_VALUE"""),"メイド")</f>
        <v>メイド</v>
      </c>
      <c r="AD43" s="242" t="str">
        <f>IFERROR(__xludf.DUMMYFUNCTION("""COMPUTED_VALUE"""),"時給")</f>
        <v>時給</v>
      </c>
      <c r="AE43" s="1133">
        <f>IFERROR(__xludf.DUMMYFUNCTION("""COMPUTED_VALUE"""),18.0)</f>
        <v>18</v>
      </c>
      <c r="AF43" s="242">
        <f t="shared" si="6"/>
        <v>1</v>
      </c>
      <c r="AG43" s="1136">
        <f>IFERROR(__xludf.DUMMYFUNCTION("""COMPUTED_VALUE"""),112.78333333333333)</f>
        <v>112.7833333</v>
      </c>
      <c r="AH43" s="242">
        <f>IFERROR(__xludf.DUMMYFUNCTION("""COMPUTED_VALUE"""),0.0)</f>
        <v>0</v>
      </c>
      <c r="AI43" s="214"/>
      <c r="AJ43" s="214"/>
      <c r="AK43" s="1131">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33">
        <f>IFERROR(__xludf.DUMMYFUNCTION("""COMPUTED_VALUE"""),1.0)</f>
        <v>1</v>
      </c>
      <c r="AP43" s="242">
        <f t="shared" si="7"/>
        <v>2</v>
      </c>
      <c r="AQ43" s="1136">
        <f>IFERROR(__xludf.DUMMYFUNCTION("""COMPUTED_VALUE"""),7.35)</f>
        <v>7.35</v>
      </c>
      <c r="AR43" s="242">
        <f>IFERROR(__xludf.DUMMYFUNCTION("""COMPUTED_VALUE"""),0.0)</f>
        <v>0</v>
      </c>
      <c r="AS43" s="237"/>
      <c r="AT43" s="214"/>
      <c r="AU43" s="1138"/>
      <c r="AV43" s="1154"/>
      <c r="AW43" s="1140"/>
      <c r="AX43" s="1140"/>
      <c r="AY43" s="1145"/>
      <c r="AZ43" s="1140">
        <f t="shared" si="8"/>
        <v>0</v>
      </c>
      <c r="BA43" s="1140"/>
      <c r="BB43" s="1140"/>
      <c r="BC43" s="214"/>
      <c r="BD43" s="214"/>
      <c r="BE43" s="1131"/>
      <c r="BF43" s="190"/>
      <c r="BG43" s="242"/>
      <c r="BH43" s="242"/>
      <c r="BI43" s="1133"/>
      <c r="BJ43" s="242">
        <f t="shared" si="9"/>
        <v>0</v>
      </c>
      <c r="BK43" s="242"/>
      <c r="BL43" s="242"/>
      <c r="BM43" s="214"/>
      <c r="BN43" s="214"/>
      <c r="BO43" s="1131"/>
      <c r="BP43" s="190"/>
      <c r="BQ43" s="242"/>
      <c r="BR43" s="242"/>
      <c r="BS43" s="1133"/>
      <c r="BT43" s="242">
        <f t="shared" si="10"/>
        <v>0</v>
      </c>
      <c r="BU43" s="242"/>
      <c r="BV43" s="242"/>
      <c r="BW43" s="237"/>
      <c r="BX43" s="214"/>
      <c r="BY43" s="1131"/>
      <c r="BZ43" s="190"/>
      <c r="CA43" s="242"/>
      <c r="CB43" s="242"/>
      <c r="CC43" s="1133"/>
      <c r="CD43" s="242">
        <f t="shared" si="11"/>
        <v>0</v>
      </c>
      <c r="CE43" s="242"/>
      <c r="CF43" s="242"/>
      <c r="CG43" s="214"/>
      <c r="CH43" s="214"/>
      <c r="CI43" s="1131"/>
      <c r="CJ43" s="190"/>
      <c r="CK43" s="242"/>
      <c r="CL43" s="242"/>
      <c r="CM43" s="1133"/>
      <c r="CN43" s="242">
        <f t="shared" si="12"/>
        <v>0</v>
      </c>
      <c r="CO43" s="242"/>
      <c r="CP43" s="242"/>
      <c r="CQ43" s="214"/>
      <c r="CR43" s="214"/>
      <c r="CS43" s="1131"/>
      <c r="CT43" s="190"/>
      <c r="CU43" s="242"/>
      <c r="CV43" s="242"/>
      <c r="CW43" s="1133"/>
      <c r="CX43" s="242">
        <f t="shared" si="13"/>
        <v>0</v>
      </c>
      <c r="CY43" s="242"/>
      <c r="CZ43" s="242"/>
      <c r="DA43" s="237"/>
      <c r="DB43" s="214"/>
      <c r="DC43" s="1131"/>
      <c r="DD43" s="190"/>
      <c r="DE43" s="242"/>
      <c r="DF43" s="242"/>
      <c r="DG43" s="1133"/>
      <c r="DH43" s="242">
        <f t="shared" si="14"/>
        <v>0</v>
      </c>
      <c r="DI43" s="242"/>
      <c r="DJ43" s="242"/>
      <c r="DK43" s="214"/>
      <c r="DL43" s="214"/>
      <c r="DM43" s="1131"/>
      <c r="DN43" s="190"/>
      <c r="DO43" s="242"/>
      <c r="DP43" s="242"/>
      <c r="DQ43" s="1133"/>
      <c r="DR43" s="242">
        <f t="shared" si="15"/>
        <v>0</v>
      </c>
      <c r="DS43" s="242"/>
      <c r="DT43" s="242"/>
      <c r="DU43" s="214"/>
      <c r="DV43" s="214"/>
      <c r="DW43" s="1131"/>
      <c r="DX43" s="190"/>
      <c r="DY43" s="242"/>
      <c r="DZ43" s="242"/>
      <c r="EA43" s="1133"/>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24">
        <v>2417.0</v>
      </c>
      <c r="C44" s="1124" t="s">
        <v>530</v>
      </c>
      <c r="D44" s="1124" t="s">
        <v>89</v>
      </c>
      <c r="E44" s="1124" t="s">
        <v>1002</v>
      </c>
      <c r="F44" s="1125">
        <f t="shared" si="2"/>
        <v>15</v>
      </c>
      <c r="G44" s="1126" t="str">
        <f t="shared" si="3"/>
        <v>該当</v>
      </c>
      <c r="H44" s="112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7">
        <f t="shared" si="55"/>
        <v>94.81666667</v>
      </c>
      <c r="J44" s="1128">
        <f t="shared" si="55"/>
        <v>0</v>
      </c>
      <c r="K44" s="214"/>
      <c r="L44" s="242" t="str">
        <f t="array" ref="L44">IFERROR(INDEX('💻シート作成'!$D$6:$D999, MATCH(M44, '💻シート作成'!$E$6:$E999, 0)), "")</f>
        <v>4月</v>
      </c>
      <c r="M44" s="1013" t="str">
        <f>IFERROR(__xludf.DUMMYFUNCTION("""COMPUTED_VALUE"""),"①R8_4集計")</f>
        <v>①R8_4集計</v>
      </c>
      <c r="N44" s="214"/>
      <c r="O44" s="1087"/>
      <c r="P44" s="214"/>
      <c r="Q44" s="1131">
        <f>IFERROR(__xludf.DUMMYFUNCTION("""COMPUTED_VALUE"""),2234.0)</f>
        <v>2234</v>
      </c>
      <c r="R44" s="1153" t="str">
        <f>IFERROR(__xludf.DUMMYFUNCTION("""COMPUTED_VALUE"""),"クエン")</f>
        <v>クエン</v>
      </c>
      <c r="S44" s="242" t="str">
        <f>IFERROR(__xludf.DUMMYFUNCTION("""COMPUTED_VALUE"""),"イマムラ　クエン")</f>
        <v>イマムラ　クエン</v>
      </c>
      <c r="T44" s="242" t="str">
        <f>IFERROR(__xludf.DUMMYFUNCTION("""COMPUTED_VALUE"""),"時給")</f>
        <v>時給</v>
      </c>
      <c r="U44" s="1133">
        <f>IFERROR(__xludf.DUMMYFUNCTION("""COMPUTED_VALUE"""),11.0)</f>
        <v>11</v>
      </c>
      <c r="V44" s="242">
        <f t="shared" si="5"/>
        <v>1</v>
      </c>
      <c r="W44" s="1134">
        <f>IFERROR(__xludf.DUMMYFUNCTION("""COMPUTED_VALUE"""),49.5)</f>
        <v>49.5</v>
      </c>
      <c r="X44" s="242">
        <f>IFERROR(__xludf.DUMMYFUNCTION("""COMPUTED_VALUE"""),0.0)</f>
        <v>0</v>
      </c>
      <c r="Y44" s="214"/>
      <c r="Z44" s="214"/>
      <c r="AA44" s="1131">
        <f>IFERROR(__xludf.DUMMYFUNCTION("""COMPUTED_VALUE"""),2379.0)</f>
        <v>2379</v>
      </c>
      <c r="AB44" s="1153" t="str">
        <f>IFERROR(__xludf.DUMMYFUNCTION("""COMPUTED_VALUE"""),"小野")</f>
        <v>小野</v>
      </c>
      <c r="AC44" s="242" t="str">
        <f>IFERROR(__xludf.DUMMYFUNCTION("""COMPUTED_VALUE"""),"メイド")</f>
        <v>メイド</v>
      </c>
      <c r="AD44" s="242" t="str">
        <f>IFERROR(__xludf.DUMMYFUNCTION("""COMPUTED_VALUE"""),"時給")</f>
        <v>時給</v>
      </c>
      <c r="AE44" s="1133">
        <f>IFERROR(__xludf.DUMMYFUNCTION("""COMPUTED_VALUE"""),3.0)</f>
        <v>3</v>
      </c>
      <c r="AF44" s="242">
        <f t="shared" si="6"/>
        <v>2</v>
      </c>
      <c r="AG44" s="1136">
        <f>IFERROR(__xludf.DUMMYFUNCTION("""COMPUTED_VALUE"""),17.016666666666666)</f>
        <v>17.01666667</v>
      </c>
      <c r="AH44" s="242">
        <f>IFERROR(__xludf.DUMMYFUNCTION("""COMPUTED_VALUE"""),0.0)</f>
        <v>0</v>
      </c>
      <c r="AI44" s="214"/>
      <c r="AJ44" s="214"/>
      <c r="AK44" s="1131">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33">
        <f>IFERROR(__xludf.DUMMYFUNCTION("""COMPUTED_VALUE"""),15.0)</f>
        <v>15</v>
      </c>
      <c r="AP44" s="242">
        <f t="shared" si="7"/>
        <v>0</v>
      </c>
      <c r="AQ44" s="1136">
        <f>IFERROR(__xludf.DUMMYFUNCTION("""COMPUTED_VALUE"""),94.81666666666666)</f>
        <v>94.81666667</v>
      </c>
      <c r="AR44" s="242">
        <f>IFERROR(__xludf.DUMMYFUNCTION("""COMPUTED_VALUE"""),0.0)</f>
        <v>0</v>
      </c>
      <c r="AS44" s="237"/>
      <c r="AT44" s="214"/>
      <c r="AU44" s="1138"/>
      <c r="AV44" s="1154"/>
      <c r="AW44" s="1140"/>
      <c r="AX44" s="1140"/>
      <c r="AY44" s="1145"/>
      <c r="AZ44" s="1140">
        <f t="shared" si="8"/>
        <v>0</v>
      </c>
      <c r="BA44" s="1140"/>
      <c r="BB44" s="1140"/>
      <c r="BC44" s="214"/>
      <c r="BD44" s="214"/>
      <c r="BE44" s="1131"/>
      <c r="BF44" s="190"/>
      <c r="BG44" s="242"/>
      <c r="BH44" s="242"/>
      <c r="BI44" s="1133"/>
      <c r="BJ44" s="242">
        <f t="shared" si="9"/>
        <v>0</v>
      </c>
      <c r="BK44" s="242"/>
      <c r="BL44" s="242"/>
      <c r="BM44" s="214"/>
      <c r="BN44" s="214"/>
      <c r="BO44" s="1131"/>
      <c r="BP44" s="190"/>
      <c r="BQ44" s="242"/>
      <c r="BR44" s="242"/>
      <c r="BS44" s="1133"/>
      <c r="BT44" s="242">
        <f t="shared" si="10"/>
        <v>0</v>
      </c>
      <c r="BU44" s="242"/>
      <c r="BV44" s="242"/>
      <c r="BW44" s="237"/>
      <c r="BX44" s="214"/>
      <c r="BY44" s="1131"/>
      <c r="BZ44" s="190"/>
      <c r="CA44" s="242"/>
      <c r="CB44" s="242"/>
      <c r="CC44" s="1133"/>
      <c r="CD44" s="242">
        <f t="shared" si="11"/>
        <v>0</v>
      </c>
      <c r="CE44" s="242"/>
      <c r="CF44" s="242"/>
      <c r="CG44" s="214"/>
      <c r="CH44" s="214"/>
      <c r="CI44" s="1131"/>
      <c r="CJ44" s="190"/>
      <c r="CK44" s="242"/>
      <c r="CL44" s="242"/>
      <c r="CM44" s="1133"/>
      <c r="CN44" s="242">
        <f t="shared" si="12"/>
        <v>0</v>
      </c>
      <c r="CO44" s="242"/>
      <c r="CP44" s="242"/>
      <c r="CQ44" s="214"/>
      <c r="CR44" s="214"/>
      <c r="CS44" s="1131"/>
      <c r="CT44" s="190"/>
      <c r="CU44" s="242"/>
      <c r="CV44" s="242"/>
      <c r="CW44" s="1133"/>
      <c r="CX44" s="242">
        <f t="shared" si="13"/>
        <v>0</v>
      </c>
      <c r="CY44" s="242"/>
      <c r="CZ44" s="242"/>
      <c r="DA44" s="237"/>
      <c r="DB44" s="214"/>
      <c r="DC44" s="1131"/>
      <c r="DD44" s="190"/>
      <c r="DE44" s="242"/>
      <c r="DF44" s="242"/>
      <c r="DG44" s="1133"/>
      <c r="DH44" s="242">
        <f t="shared" si="14"/>
        <v>0</v>
      </c>
      <c r="DI44" s="242"/>
      <c r="DJ44" s="242"/>
      <c r="DK44" s="214"/>
      <c r="DL44" s="214"/>
      <c r="DM44" s="1131"/>
      <c r="DN44" s="190"/>
      <c r="DO44" s="242"/>
      <c r="DP44" s="242"/>
      <c r="DQ44" s="1133"/>
      <c r="DR44" s="242">
        <f t="shared" si="15"/>
        <v>0</v>
      </c>
      <c r="DS44" s="242"/>
      <c r="DT44" s="242"/>
      <c r="DU44" s="214"/>
      <c r="DV44" s="214"/>
      <c r="DW44" s="1131"/>
      <c r="DX44" s="190"/>
      <c r="DY44" s="242"/>
      <c r="DZ44" s="242"/>
      <c r="EA44" s="1133"/>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24">
        <v>2418.0</v>
      </c>
      <c r="C45" s="1124" t="s">
        <v>532</v>
      </c>
      <c r="D45" s="1124" t="s">
        <v>89</v>
      </c>
      <c r="E45" s="1124" t="s">
        <v>1002</v>
      </c>
      <c r="F45" s="1125">
        <f t="shared" si="2"/>
        <v>8</v>
      </c>
      <c r="G45" s="1126" t="str">
        <f t="shared" si="3"/>
        <v>該当</v>
      </c>
      <c r="H45" s="112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7">
        <f t="shared" si="56"/>
        <v>44.61666667</v>
      </c>
      <c r="J45" s="1128">
        <f t="shared" si="56"/>
        <v>0</v>
      </c>
      <c r="K45" s="214"/>
      <c r="L45" s="242" t="str">
        <f t="array" ref="L45">IFERROR(INDEX('💻シート作成'!$D$6:$D999, MATCH(M45, '💻シート作成'!$E$6:$E999, 0)), "")</f>
        <v>4月</v>
      </c>
      <c r="M45" s="1013" t="str">
        <f>IFERROR(__xludf.DUMMYFUNCTION("""COMPUTED_VALUE"""),"②R8_4シフト")</f>
        <v>②R8_4シフト</v>
      </c>
      <c r="N45" s="214"/>
      <c r="O45" s="1087"/>
      <c r="P45" s="214"/>
      <c r="Q45" s="1131">
        <f>IFERROR(__xludf.DUMMYFUNCTION("""COMPUTED_VALUE"""),2236.0)</f>
        <v>2236</v>
      </c>
      <c r="R45" s="1153" t="str">
        <f>IFERROR(__xludf.DUMMYFUNCTION("""COMPUTED_VALUE"""),"アナリン")</f>
        <v>アナリン</v>
      </c>
      <c r="S45" s="242"/>
      <c r="T45" s="242" t="str">
        <f>IFERROR(__xludf.DUMMYFUNCTION("""COMPUTED_VALUE"""),"時給")</f>
        <v>時給</v>
      </c>
      <c r="U45" s="1133">
        <f>IFERROR(__xludf.DUMMYFUNCTION("""COMPUTED_VALUE"""),5.0)</f>
        <v>5</v>
      </c>
      <c r="V45" s="242">
        <f t="shared" si="5"/>
        <v>1</v>
      </c>
      <c r="W45" s="1134">
        <f>IFERROR(__xludf.DUMMYFUNCTION("""COMPUTED_VALUE"""),30.1)</f>
        <v>30.1</v>
      </c>
      <c r="X45" s="242">
        <f>IFERROR(__xludf.DUMMYFUNCTION("""COMPUTED_VALUE"""),0.0)</f>
        <v>0</v>
      </c>
      <c r="Y45" s="214"/>
      <c r="Z45" s="214"/>
      <c r="AA45" s="1131">
        <f>IFERROR(__xludf.DUMMYFUNCTION("""COMPUTED_VALUE"""),2380.0)</f>
        <v>2380</v>
      </c>
      <c r="AB45" s="1153" t="str">
        <f>IFERROR(__xludf.DUMMYFUNCTION("""COMPUTED_VALUE"""),"ラナ")</f>
        <v>ラナ</v>
      </c>
      <c r="AC45" s="242" t="str">
        <f>IFERROR(__xludf.DUMMYFUNCTION("""COMPUTED_VALUE"""),"メイド")</f>
        <v>メイド</v>
      </c>
      <c r="AD45" s="242" t="str">
        <f>IFERROR(__xludf.DUMMYFUNCTION("""COMPUTED_VALUE"""),"時給")</f>
        <v>時給</v>
      </c>
      <c r="AE45" s="1133">
        <f>IFERROR(__xludf.DUMMYFUNCTION("""COMPUTED_VALUE"""),22.0)</f>
        <v>22</v>
      </c>
      <c r="AF45" s="242">
        <f t="shared" si="6"/>
        <v>0</v>
      </c>
      <c r="AG45" s="1136">
        <f>IFERROR(__xludf.DUMMYFUNCTION("""COMPUTED_VALUE"""),136.38333333333333)</f>
        <v>136.3833333</v>
      </c>
      <c r="AH45" s="242">
        <f>IFERROR(__xludf.DUMMYFUNCTION("""COMPUTED_VALUE"""),0.0)</f>
        <v>0</v>
      </c>
      <c r="AI45" s="214"/>
      <c r="AJ45" s="214"/>
      <c r="AK45" s="1131">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33">
        <f>IFERROR(__xludf.DUMMYFUNCTION("""COMPUTED_VALUE"""),8.0)</f>
        <v>8</v>
      </c>
      <c r="AP45" s="242">
        <f t="shared" si="7"/>
        <v>0</v>
      </c>
      <c r="AQ45" s="1136">
        <f>IFERROR(__xludf.DUMMYFUNCTION("""COMPUTED_VALUE"""),44.61666666666667)</f>
        <v>44.61666667</v>
      </c>
      <c r="AR45" s="242">
        <f>IFERROR(__xludf.DUMMYFUNCTION("""COMPUTED_VALUE"""),0.0)</f>
        <v>0</v>
      </c>
      <c r="AS45" s="237"/>
      <c r="AT45" s="214"/>
      <c r="AU45" s="1138"/>
      <c r="AV45" s="1154"/>
      <c r="AW45" s="1140"/>
      <c r="AX45" s="1140"/>
      <c r="AY45" s="1145"/>
      <c r="AZ45" s="1140">
        <f t="shared" si="8"/>
        <v>0</v>
      </c>
      <c r="BA45" s="1140"/>
      <c r="BB45" s="1140"/>
      <c r="BC45" s="214"/>
      <c r="BD45" s="214"/>
      <c r="BE45" s="1131"/>
      <c r="BF45" s="190"/>
      <c r="BG45" s="242"/>
      <c r="BH45" s="242"/>
      <c r="BI45" s="1133"/>
      <c r="BJ45" s="242">
        <f t="shared" si="9"/>
        <v>0</v>
      </c>
      <c r="BK45" s="242"/>
      <c r="BL45" s="242"/>
      <c r="BM45" s="214"/>
      <c r="BN45" s="214"/>
      <c r="BO45" s="1131"/>
      <c r="BP45" s="190"/>
      <c r="BQ45" s="242"/>
      <c r="BR45" s="242"/>
      <c r="BS45" s="1133"/>
      <c r="BT45" s="242">
        <f t="shared" si="10"/>
        <v>0</v>
      </c>
      <c r="BU45" s="242"/>
      <c r="BV45" s="242"/>
      <c r="BW45" s="237"/>
      <c r="BX45" s="214"/>
      <c r="BY45" s="1131"/>
      <c r="BZ45" s="190"/>
      <c r="CA45" s="242"/>
      <c r="CB45" s="242"/>
      <c r="CC45" s="1133"/>
      <c r="CD45" s="242">
        <f t="shared" si="11"/>
        <v>0</v>
      </c>
      <c r="CE45" s="242"/>
      <c r="CF45" s="242"/>
      <c r="CG45" s="214"/>
      <c r="CH45" s="214"/>
      <c r="CI45" s="1131"/>
      <c r="CJ45" s="190"/>
      <c r="CK45" s="242"/>
      <c r="CL45" s="242"/>
      <c r="CM45" s="1133"/>
      <c r="CN45" s="242">
        <f t="shared" si="12"/>
        <v>0</v>
      </c>
      <c r="CO45" s="242"/>
      <c r="CP45" s="242"/>
      <c r="CQ45" s="214"/>
      <c r="CR45" s="214"/>
      <c r="CS45" s="1131"/>
      <c r="CT45" s="190"/>
      <c r="CU45" s="242"/>
      <c r="CV45" s="242"/>
      <c r="CW45" s="1133"/>
      <c r="CX45" s="242">
        <f t="shared" si="13"/>
        <v>0</v>
      </c>
      <c r="CY45" s="242"/>
      <c r="CZ45" s="242"/>
      <c r="DA45" s="237"/>
      <c r="DB45" s="214"/>
      <c r="DC45" s="1131"/>
      <c r="DD45" s="190"/>
      <c r="DE45" s="242"/>
      <c r="DF45" s="242"/>
      <c r="DG45" s="1133"/>
      <c r="DH45" s="242">
        <f t="shared" si="14"/>
        <v>0</v>
      </c>
      <c r="DI45" s="242"/>
      <c r="DJ45" s="242"/>
      <c r="DK45" s="214"/>
      <c r="DL45" s="214"/>
      <c r="DM45" s="1131"/>
      <c r="DN45" s="190"/>
      <c r="DO45" s="242"/>
      <c r="DP45" s="242"/>
      <c r="DQ45" s="1133"/>
      <c r="DR45" s="242">
        <f t="shared" si="15"/>
        <v>0</v>
      </c>
      <c r="DS45" s="242"/>
      <c r="DT45" s="242"/>
      <c r="DU45" s="214"/>
      <c r="DV45" s="214"/>
      <c r="DW45" s="1131"/>
      <c r="DX45" s="190"/>
      <c r="DY45" s="242"/>
      <c r="DZ45" s="242"/>
      <c r="EA45" s="1133"/>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24"/>
      <c r="C46" s="1124"/>
      <c r="D46" s="1124"/>
      <c r="E46" s="1124" t="s">
        <v>1061</v>
      </c>
      <c r="F46" s="1125">
        <f t="shared" si="2"/>
        <v>0</v>
      </c>
      <c r="G46" s="1126" t="str">
        <f t="shared" si="3"/>
        <v/>
      </c>
      <c r="H46" s="112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7">
        <f t="shared" si="57"/>
        <v>0</v>
      </c>
      <c r="J46" s="1128">
        <f t="shared" si="57"/>
        <v>0</v>
      </c>
      <c r="K46" s="214"/>
      <c r="L46" s="242" t="str">
        <f t="array" ref="L46">IFERROR(INDEX('💻シート作成'!$D$6:$D999, MATCH(M46, '💻シート作成'!$E$6:$E999, 0)), "")</f>
        <v>4月</v>
      </c>
      <c r="M46" s="1013" t="str">
        <f>IFERROR(__xludf.DUMMYFUNCTION("""COMPUTED_VALUE"""),"③R8_4日報")</f>
        <v>③R8_4日報</v>
      </c>
      <c r="N46" s="214"/>
      <c r="O46" s="1087"/>
      <c r="P46" s="214"/>
      <c r="Q46" s="1131">
        <f>IFERROR(__xludf.DUMMYFUNCTION("""COMPUTED_VALUE"""),2239.0)</f>
        <v>2239</v>
      </c>
      <c r="R46" s="1153" t="str">
        <f>IFERROR(__xludf.DUMMYFUNCTION("""COMPUTED_VALUE"""),"タルハ")</f>
        <v>タルハ</v>
      </c>
      <c r="S46" s="242"/>
      <c r="T46" s="242" t="str">
        <f>IFERROR(__xludf.DUMMYFUNCTION("""COMPUTED_VALUE"""),"歩+時")</f>
        <v>歩+時</v>
      </c>
      <c r="U46" s="1133">
        <f>IFERROR(__xludf.DUMMYFUNCTION("""COMPUTED_VALUE"""),5.0)</f>
        <v>5</v>
      </c>
      <c r="V46" s="242">
        <f t="shared" si="5"/>
        <v>3</v>
      </c>
      <c r="W46" s="1134">
        <f>IFERROR(__xludf.DUMMYFUNCTION("""COMPUTED_VALUE"""),0.4)</f>
        <v>0.4</v>
      </c>
      <c r="X46" s="242">
        <f>IFERROR(__xludf.DUMMYFUNCTION("""COMPUTED_VALUE"""),46.0)</f>
        <v>46</v>
      </c>
      <c r="Y46" s="214"/>
      <c r="Z46" s="214"/>
      <c r="AA46" s="1131">
        <f>IFERROR(__xludf.DUMMYFUNCTION("""COMPUTED_VALUE"""),2392.0)</f>
        <v>2392</v>
      </c>
      <c r="AB46" s="1153" t="str">
        <f>IFERROR(__xludf.DUMMYFUNCTION("""COMPUTED_VALUE"""),"中山")</f>
        <v>中山</v>
      </c>
      <c r="AC46" s="242" t="str">
        <f>IFERROR(__xludf.DUMMYFUNCTION("""COMPUTED_VALUE"""),"チェッカー")</f>
        <v>チェッカー</v>
      </c>
      <c r="AD46" s="242" t="str">
        <f>IFERROR(__xludf.DUMMYFUNCTION("""COMPUTED_VALUE"""),"時給")</f>
        <v>時給</v>
      </c>
      <c r="AE46" s="1133">
        <f>IFERROR(__xludf.DUMMYFUNCTION("""COMPUTED_VALUE"""),9.0)</f>
        <v>9</v>
      </c>
      <c r="AF46" s="242">
        <f t="shared" si="6"/>
        <v>0</v>
      </c>
      <c r="AG46" s="1136">
        <f>IFERROR(__xludf.DUMMYFUNCTION("""COMPUTED_VALUE"""),54.15)</f>
        <v>54.15</v>
      </c>
      <c r="AH46" s="242">
        <f>IFERROR(__xludf.DUMMYFUNCTION("""COMPUTED_VALUE"""),0.0)</f>
        <v>0</v>
      </c>
      <c r="AI46" s="214"/>
      <c r="AJ46" s="214"/>
      <c r="AK46" s="1131"/>
      <c r="AL46" s="190"/>
      <c r="AM46" s="242"/>
      <c r="AN46" s="242" t="str">
        <f>IFERROR(__xludf.DUMMYFUNCTION("""COMPUTED_VALUE"""),"")</f>
        <v/>
      </c>
      <c r="AO46" s="1133" t="str">
        <f>IFERROR(__xludf.DUMMYFUNCTION("""COMPUTED_VALUE"""),"")</f>
        <v/>
      </c>
      <c r="AP46" s="242">
        <f t="shared" si="7"/>
        <v>0</v>
      </c>
      <c r="AQ46" s="242" t="str">
        <f>IFERROR(__xludf.DUMMYFUNCTION("""COMPUTED_VALUE"""),"")</f>
        <v/>
      </c>
      <c r="AR46" s="242">
        <f>IFERROR(__xludf.DUMMYFUNCTION("""COMPUTED_VALUE"""),0.0)</f>
        <v>0</v>
      </c>
      <c r="AS46" s="237"/>
      <c r="AT46" s="214"/>
      <c r="AU46" s="1138"/>
      <c r="AV46" s="1154"/>
      <c r="AW46" s="1140"/>
      <c r="AX46" s="1140"/>
      <c r="AY46" s="1145"/>
      <c r="AZ46" s="1140">
        <f t="shared" si="8"/>
        <v>0</v>
      </c>
      <c r="BA46" s="1140"/>
      <c r="BB46" s="1140"/>
      <c r="BC46" s="214"/>
      <c r="BD46" s="214"/>
      <c r="BE46" s="1131"/>
      <c r="BF46" s="190"/>
      <c r="BG46" s="242"/>
      <c r="BH46" s="242"/>
      <c r="BI46" s="1133"/>
      <c r="BJ46" s="242">
        <f t="shared" si="9"/>
        <v>0</v>
      </c>
      <c r="BK46" s="242"/>
      <c r="BL46" s="242"/>
      <c r="BM46" s="214"/>
      <c r="BN46" s="214"/>
      <c r="BO46" s="1131"/>
      <c r="BP46" s="190"/>
      <c r="BQ46" s="242"/>
      <c r="BR46" s="242"/>
      <c r="BS46" s="1133"/>
      <c r="BT46" s="242">
        <f t="shared" si="10"/>
        <v>0</v>
      </c>
      <c r="BU46" s="242"/>
      <c r="BV46" s="242"/>
      <c r="BW46" s="237"/>
      <c r="BX46" s="214"/>
      <c r="BY46" s="1131"/>
      <c r="BZ46" s="190"/>
      <c r="CA46" s="242"/>
      <c r="CB46" s="242"/>
      <c r="CC46" s="1133"/>
      <c r="CD46" s="242">
        <f t="shared" si="11"/>
        <v>0</v>
      </c>
      <c r="CE46" s="242"/>
      <c r="CF46" s="242"/>
      <c r="CG46" s="214"/>
      <c r="CH46" s="214"/>
      <c r="CI46" s="1131"/>
      <c r="CJ46" s="190"/>
      <c r="CK46" s="242"/>
      <c r="CL46" s="242"/>
      <c r="CM46" s="1133"/>
      <c r="CN46" s="242">
        <f t="shared" si="12"/>
        <v>0</v>
      </c>
      <c r="CO46" s="242"/>
      <c r="CP46" s="242"/>
      <c r="CQ46" s="214"/>
      <c r="CR46" s="214"/>
      <c r="CS46" s="1131"/>
      <c r="CT46" s="190"/>
      <c r="CU46" s="242"/>
      <c r="CV46" s="242"/>
      <c r="CW46" s="1133"/>
      <c r="CX46" s="242">
        <f t="shared" si="13"/>
        <v>0</v>
      </c>
      <c r="CY46" s="242"/>
      <c r="CZ46" s="242"/>
      <c r="DA46" s="237"/>
      <c r="DB46" s="214"/>
      <c r="DC46" s="1131"/>
      <c r="DD46" s="190"/>
      <c r="DE46" s="242"/>
      <c r="DF46" s="242"/>
      <c r="DG46" s="1133"/>
      <c r="DH46" s="242">
        <f t="shared" si="14"/>
        <v>0</v>
      </c>
      <c r="DI46" s="242"/>
      <c r="DJ46" s="242"/>
      <c r="DK46" s="214"/>
      <c r="DL46" s="214"/>
      <c r="DM46" s="1131"/>
      <c r="DN46" s="190"/>
      <c r="DO46" s="242"/>
      <c r="DP46" s="242"/>
      <c r="DQ46" s="1133"/>
      <c r="DR46" s="242">
        <f t="shared" si="15"/>
        <v>0</v>
      </c>
      <c r="DS46" s="242"/>
      <c r="DT46" s="242"/>
      <c r="DU46" s="214"/>
      <c r="DV46" s="214"/>
      <c r="DW46" s="1131"/>
      <c r="DX46" s="190"/>
      <c r="DY46" s="242"/>
      <c r="DZ46" s="242"/>
      <c r="EA46" s="1133"/>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24"/>
      <c r="C47" s="1124"/>
      <c r="D47" s="1124"/>
      <c r="E47" s="1124" t="s">
        <v>1061</v>
      </c>
      <c r="F47" s="1125">
        <f t="shared" si="2"/>
        <v>0</v>
      </c>
      <c r="G47" s="1126" t="str">
        <f t="shared" si="3"/>
        <v/>
      </c>
      <c r="H47" s="112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7">
        <f t="shared" si="58"/>
        <v>0</v>
      </c>
      <c r="J47" s="1128">
        <f t="shared" si="58"/>
        <v>0</v>
      </c>
      <c r="K47" s="214"/>
      <c r="L47" s="242" t="str">
        <f t="array" ref="L47">IFERROR(INDEX('💻シート作成'!$D$6:$D999, MATCH(M47, '💻シート作成'!$E$6:$E999, 0)), "")</f>
        <v>4月</v>
      </c>
      <c r="M47" s="1013" t="str">
        <f>IFERROR(__xludf.DUMMYFUNCTION("""COMPUTED_VALUE"""),"④R8_4月報")</f>
        <v>④R8_4月報</v>
      </c>
      <c r="N47" s="214"/>
      <c r="O47" s="1087"/>
      <c r="P47" s="214"/>
      <c r="Q47" s="1131">
        <f>IFERROR(__xludf.DUMMYFUNCTION("""COMPUTED_VALUE"""),2244.0)</f>
        <v>2244</v>
      </c>
      <c r="R47" s="1153" t="str">
        <f>IFERROR(__xludf.DUMMYFUNCTION("""COMPUTED_VALUE"""),"山本")</f>
        <v>山本</v>
      </c>
      <c r="S47" s="242"/>
      <c r="T47" s="242" t="str">
        <f>IFERROR(__xludf.DUMMYFUNCTION("""COMPUTED_VALUE"""),"時給")</f>
        <v>時給</v>
      </c>
      <c r="U47" s="1133">
        <f>IFERROR(__xludf.DUMMYFUNCTION("""COMPUTED_VALUE"""),13.0)</f>
        <v>13</v>
      </c>
      <c r="V47" s="242">
        <f t="shared" si="5"/>
        <v>0</v>
      </c>
      <c r="W47" s="1134">
        <f>IFERROR(__xludf.DUMMYFUNCTION("""COMPUTED_VALUE"""),76.1)</f>
        <v>76.1</v>
      </c>
      <c r="X47" s="242">
        <f>IFERROR(__xludf.DUMMYFUNCTION("""COMPUTED_VALUE"""),0.0)</f>
        <v>0</v>
      </c>
      <c r="Y47" s="214"/>
      <c r="Z47" s="214"/>
      <c r="AA47" s="1131">
        <f>IFERROR(__xludf.DUMMYFUNCTION("""COMPUTED_VALUE"""),2401.0)</f>
        <v>2401</v>
      </c>
      <c r="AB47" s="1153" t="str">
        <f>IFERROR(__xludf.DUMMYFUNCTION("""COMPUTED_VALUE"""),"福原")</f>
        <v>福原</v>
      </c>
      <c r="AC47" s="242" t="str">
        <f>IFERROR(__xludf.DUMMYFUNCTION("""COMPUTED_VALUE"""),"チェッカー")</f>
        <v>チェッカー</v>
      </c>
      <c r="AD47" s="242" t="str">
        <f>IFERROR(__xludf.DUMMYFUNCTION("""COMPUTED_VALUE"""),"時給")</f>
        <v>時給</v>
      </c>
      <c r="AE47" s="1133">
        <f>IFERROR(__xludf.DUMMYFUNCTION("""COMPUTED_VALUE"""),10.0)</f>
        <v>10</v>
      </c>
      <c r="AF47" s="242">
        <f t="shared" si="6"/>
        <v>2</v>
      </c>
      <c r="AG47" s="1136">
        <f>IFERROR(__xludf.DUMMYFUNCTION("""COMPUTED_VALUE"""),60.31666666666667)</f>
        <v>60.31666667</v>
      </c>
      <c r="AH47" s="242">
        <f>IFERROR(__xludf.DUMMYFUNCTION("""COMPUTED_VALUE"""),0.0)</f>
        <v>0</v>
      </c>
      <c r="AI47" s="214"/>
      <c r="AJ47" s="214"/>
      <c r="AK47" s="1131"/>
      <c r="AL47" s="190"/>
      <c r="AM47" s="242"/>
      <c r="AN47" s="242" t="str">
        <f>IFERROR(__xludf.DUMMYFUNCTION("""COMPUTED_VALUE"""),"")</f>
        <v/>
      </c>
      <c r="AO47" s="1133" t="str">
        <f>IFERROR(__xludf.DUMMYFUNCTION("""COMPUTED_VALUE"""),"")</f>
        <v/>
      </c>
      <c r="AP47" s="242">
        <f t="shared" si="7"/>
        <v>0</v>
      </c>
      <c r="AQ47" s="242" t="str">
        <f>IFERROR(__xludf.DUMMYFUNCTION("""COMPUTED_VALUE"""),"")</f>
        <v/>
      </c>
      <c r="AR47" s="242">
        <f>IFERROR(__xludf.DUMMYFUNCTION("""COMPUTED_VALUE"""),0.0)</f>
        <v>0</v>
      </c>
      <c r="AS47" s="237"/>
      <c r="AT47" s="214"/>
      <c r="AU47" s="1138"/>
      <c r="AV47" s="1154"/>
      <c r="AW47" s="1140"/>
      <c r="AX47" s="1140"/>
      <c r="AY47" s="1145"/>
      <c r="AZ47" s="1140">
        <f t="shared" si="8"/>
        <v>0</v>
      </c>
      <c r="BA47" s="1140"/>
      <c r="BB47" s="1140"/>
      <c r="BC47" s="214"/>
      <c r="BD47" s="214"/>
      <c r="BE47" s="1131"/>
      <c r="BF47" s="190"/>
      <c r="BG47" s="242"/>
      <c r="BH47" s="242"/>
      <c r="BI47" s="1133"/>
      <c r="BJ47" s="242">
        <f t="shared" si="9"/>
        <v>0</v>
      </c>
      <c r="BK47" s="242"/>
      <c r="BL47" s="242"/>
      <c r="BM47" s="214"/>
      <c r="BN47" s="214"/>
      <c r="BO47" s="1131"/>
      <c r="BP47" s="190"/>
      <c r="BQ47" s="242"/>
      <c r="BR47" s="242"/>
      <c r="BS47" s="1133"/>
      <c r="BT47" s="242">
        <f t="shared" si="10"/>
        <v>0</v>
      </c>
      <c r="BU47" s="242"/>
      <c r="BV47" s="242"/>
      <c r="BW47" s="237"/>
      <c r="BX47" s="214"/>
      <c r="BY47" s="1131"/>
      <c r="BZ47" s="190"/>
      <c r="CA47" s="242"/>
      <c r="CB47" s="242"/>
      <c r="CC47" s="1133"/>
      <c r="CD47" s="242">
        <f t="shared" si="11"/>
        <v>0</v>
      </c>
      <c r="CE47" s="242"/>
      <c r="CF47" s="242"/>
      <c r="CG47" s="214"/>
      <c r="CH47" s="214"/>
      <c r="CI47" s="1131"/>
      <c r="CJ47" s="190"/>
      <c r="CK47" s="242"/>
      <c r="CL47" s="242"/>
      <c r="CM47" s="1133"/>
      <c r="CN47" s="242">
        <f t="shared" si="12"/>
        <v>0</v>
      </c>
      <c r="CO47" s="242"/>
      <c r="CP47" s="242"/>
      <c r="CQ47" s="214"/>
      <c r="CR47" s="214"/>
      <c r="CS47" s="1131"/>
      <c r="CT47" s="190"/>
      <c r="CU47" s="242"/>
      <c r="CV47" s="242"/>
      <c r="CW47" s="1133"/>
      <c r="CX47" s="242">
        <f t="shared" si="13"/>
        <v>0</v>
      </c>
      <c r="CY47" s="242"/>
      <c r="CZ47" s="242"/>
      <c r="DA47" s="237"/>
      <c r="DB47" s="214"/>
      <c r="DC47" s="1131"/>
      <c r="DD47" s="190"/>
      <c r="DE47" s="242"/>
      <c r="DF47" s="242"/>
      <c r="DG47" s="1133"/>
      <c r="DH47" s="242">
        <f t="shared" si="14"/>
        <v>0</v>
      </c>
      <c r="DI47" s="242"/>
      <c r="DJ47" s="242"/>
      <c r="DK47" s="214"/>
      <c r="DL47" s="214"/>
      <c r="DM47" s="1131"/>
      <c r="DN47" s="190"/>
      <c r="DO47" s="242"/>
      <c r="DP47" s="242"/>
      <c r="DQ47" s="1133"/>
      <c r="DR47" s="242">
        <f t="shared" si="15"/>
        <v>0</v>
      </c>
      <c r="DS47" s="242"/>
      <c r="DT47" s="242"/>
      <c r="DU47" s="214"/>
      <c r="DV47" s="214"/>
      <c r="DW47" s="1131"/>
      <c r="DX47" s="190"/>
      <c r="DY47" s="242"/>
      <c r="DZ47" s="242"/>
      <c r="EA47" s="1133"/>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24"/>
      <c r="C48" s="1124"/>
      <c r="D48" s="1124"/>
      <c r="E48" s="1124" t="s">
        <v>1061</v>
      </c>
      <c r="F48" s="1125">
        <f t="shared" si="2"/>
        <v>0</v>
      </c>
      <c r="G48" s="1126" t="str">
        <f t="shared" si="3"/>
        <v/>
      </c>
      <c r="H48" s="112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7">
        <f t="shared" si="59"/>
        <v>0</v>
      </c>
      <c r="J48" s="1128">
        <f t="shared" si="59"/>
        <v>0</v>
      </c>
      <c r="K48" s="214"/>
      <c r="L48" s="242" t="str">
        <f t="array" ref="L48">IFERROR(INDEX('💻シート作成'!$D$6:$D999, MATCH(M48, '💻シート作成'!$E$6:$E999, 0)), "")</f>
        <v>3月</v>
      </c>
      <c r="M48" s="1013" t="str">
        <f>IFERROR(__xludf.DUMMYFUNCTION("""COMPUTED_VALUE"""),"①R8_3集計")</f>
        <v>①R8_3集計</v>
      </c>
      <c r="N48" s="214"/>
      <c r="O48" s="1087"/>
      <c r="P48" s="214"/>
      <c r="Q48" s="1131">
        <f>IFERROR(__xludf.DUMMYFUNCTION("""COMPUTED_VALUE"""),2254.0)</f>
        <v>2254</v>
      </c>
      <c r="R48" s="1153" t="str">
        <f>IFERROR(__xludf.DUMMYFUNCTION("""COMPUTED_VALUE"""),"栗田")</f>
        <v>栗田</v>
      </c>
      <c r="S48" s="242"/>
      <c r="T48" s="242" t="str">
        <f>IFERROR(__xludf.DUMMYFUNCTION("""COMPUTED_VALUE"""),"時給")</f>
        <v>時給</v>
      </c>
      <c r="U48" s="1133">
        <f>IFERROR(__xludf.DUMMYFUNCTION("""COMPUTED_VALUE"""),7.0)</f>
        <v>7</v>
      </c>
      <c r="V48" s="242">
        <f t="shared" si="5"/>
        <v>1</v>
      </c>
      <c r="W48" s="1134">
        <f>IFERROR(__xludf.DUMMYFUNCTION("""COMPUTED_VALUE"""),30.1)</f>
        <v>30.1</v>
      </c>
      <c r="X48" s="242">
        <f>IFERROR(__xludf.DUMMYFUNCTION("""COMPUTED_VALUE"""),0.0)</f>
        <v>0</v>
      </c>
      <c r="Y48" s="214"/>
      <c r="Z48" s="214"/>
      <c r="AA48" s="1131">
        <f>IFERROR(__xludf.DUMMYFUNCTION("""COMPUTED_VALUE"""),2402.0)</f>
        <v>2402</v>
      </c>
      <c r="AB48" s="1153" t="str">
        <f>IFERROR(__xludf.DUMMYFUNCTION("""COMPUTED_VALUE"""),"西村")</f>
        <v>西村</v>
      </c>
      <c r="AC48" s="242" t="str">
        <f>IFERROR(__xludf.DUMMYFUNCTION("""COMPUTED_VALUE"""),"メイド")</f>
        <v>メイド</v>
      </c>
      <c r="AD48" s="242" t="str">
        <f>IFERROR(__xludf.DUMMYFUNCTION("""COMPUTED_VALUE"""),"時給")</f>
        <v>時給</v>
      </c>
      <c r="AE48" s="1133">
        <f>IFERROR(__xludf.DUMMYFUNCTION("""COMPUTED_VALUE"""),5.0)</f>
        <v>5</v>
      </c>
      <c r="AF48" s="242">
        <f t="shared" si="6"/>
        <v>0</v>
      </c>
      <c r="AG48" s="1136">
        <f>IFERROR(__xludf.DUMMYFUNCTION("""COMPUTED_VALUE"""),27.383333333333333)</f>
        <v>27.38333333</v>
      </c>
      <c r="AH48" s="242">
        <f>IFERROR(__xludf.DUMMYFUNCTION("""COMPUTED_VALUE"""),0.0)</f>
        <v>0</v>
      </c>
      <c r="AI48" s="214"/>
      <c r="AJ48" s="214"/>
      <c r="AK48" s="1131"/>
      <c r="AL48" s="190"/>
      <c r="AM48" s="242"/>
      <c r="AN48" s="242" t="str">
        <f>IFERROR(__xludf.DUMMYFUNCTION("""COMPUTED_VALUE"""),"")</f>
        <v/>
      </c>
      <c r="AO48" s="1133" t="str">
        <f>IFERROR(__xludf.DUMMYFUNCTION("""COMPUTED_VALUE"""),"")</f>
        <v/>
      </c>
      <c r="AP48" s="242">
        <f t="shared" si="7"/>
        <v>0</v>
      </c>
      <c r="AQ48" s="242" t="str">
        <f>IFERROR(__xludf.DUMMYFUNCTION("""COMPUTED_VALUE"""),"")</f>
        <v/>
      </c>
      <c r="AR48" s="242">
        <f>IFERROR(__xludf.DUMMYFUNCTION("""COMPUTED_VALUE"""),0.0)</f>
        <v>0</v>
      </c>
      <c r="AS48" s="237"/>
      <c r="AT48" s="214"/>
      <c r="AU48" s="1138"/>
      <c r="AV48" s="1154"/>
      <c r="AW48" s="1140"/>
      <c r="AX48" s="1140"/>
      <c r="AY48" s="1145"/>
      <c r="AZ48" s="1140">
        <f t="shared" si="8"/>
        <v>0</v>
      </c>
      <c r="BA48" s="1140"/>
      <c r="BB48" s="1140"/>
      <c r="BC48" s="214"/>
      <c r="BD48" s="214"/>
      <c r="BE48" s="1131"/>
      <c r="BF48" s="190"/>
      <c r="BG48" s="242"/>
      <c r="BH48" s="242"/>
      <c r="BI48" s="1133"/>
      <c r="BJ48" s="242">
        <f t="shared" si="9"/>
        <v>0</v>
      </c>
      <c r="BK48" s="242"/>
      <c r="BL48" s="242"/>
      <c r="BM48" s="214"/>
      <c r="BN48" s="214"/>
      <c r="BO48" s="1131"/>
      <c r="BP48" s="190"/>
      <c r="BQ48" s="242"/>
      <c r="BR48" s="242"/>
      <c r="BS48" s="1133"/>
      <c r="BT48" s="242">
        <f t="shared" si="10"/>
        <v>0</v>
      </c>
      <c r="BU48" s="242"/>
      <c r="BV48" s="242"/>
      <c r="BW48" s="237"/>
      <c r="BX48" s="214"/>
      <c r="BY48" s="1131"/>
      <c r="BZ48" s="190"/>
      <c r="CA48" s="242"/>
      <c r="CB48" s="242"/>
      <c r="CC48" s="1133"/>
      <c r="CD48" s="242">
        <f t="shared" si="11"/>
        <v>0</v>
      </c>
      <c r="CE48" s="242"/>
      <c r="CF48" s="242"/>
      <c r="CG48" s="214"/>
      <c r="CH48" s="214"/>
      <c r="CI48" s="1131"/>
      <c r="CJ48" s="190"/>
      <c r="CK48" s="242"/>
      <c r="CL48" s="242"/>
      <c r="CM48" s="1133"/>
      <c r="CN48" s="242">
        <f t="shared" si="12"/>
        <v>0</v>
      </c>
      <c r="CO48" s="242"/>
      <c r="CP48" s="242"/>
      <c r="CQ48" s="214"/>
      <c r="CR48" s="214"/>
      <c r="CS48" s="1131"/>
      <c r="CT48" s="190"/>
      <c r="CU48" s="242"/>
      <c r="CV48" s="242"/>
      <c r="CW48" s="1133"/>
      <c r="CX48" s="242">
        <f t="shared" si="13"/>
        <v>0</v>
      </c>
      <c r="CY48" s="242"/>
      <c r="CZ48" s="242"/>
      <c r="DA48" s="237"/>
      <c r="DB48" s="214"/>
      <c r="DC48" s="1131"/>
      <c r="DD48" s="190"/>
      <c r="DE48" s="242"/>
      <c r="DF48" s="242"/>
      <c r="DG48" s="1133"/>
      <c r="DH48" s="242">
        <f t="shared" si="14"/>
        <v>0</v>
      </c>
      <c r="DI48" s="242"/>
      <c r="DJ48" s="242"/>
      <c r="DK48" s="214"/>
      <c r="DL48" s="214"/>
      <c r="DM48" s="1131"/>
      <c r="DN48" s="190"/>
      <c r="DO48" s="242"/>
      <c r="DP48" s="242"/>
      <c r="DQ48" s="1133"/>
      <c r="DR48" s="242">
        <f t="shared" si="15"/>
        <v>0</v>
      </c>
      <c r="DS48" s="242"/>
      <c r="DT48" s="242"/>
      <c r="DU48" s="214"/>
      <c r="DV48" s="214"/>
      <c r="DW48" s="1131"/>
      <c r="DX48" s="190"/>
      <c r="DY48" s="242"/>
      <c r="DZ48" s="242"/>
      <c r="EA48" s="1133"/>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24"/>
      <c r="C49" s="1124"/>
      <c r="D49" s="1124"/>
      <c r="E49" s="1124" t="s">
        <v>1061</v>
      </c>
      <c r="F49" s="1125">
        <f t="shared" si="2"/>
        <v>0</v>
      </c>
      <c r="G49" s="1126" t="str">
        <f t="shared" si="3"/>
        <v/>
      </c>
      <c r="H49" s="112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7">
        <f t="shared" si="60"/>
        <v>0</v>
      </c>
      <c r="J49" s="1128">
        <f t="shared" si="60"/>
        <v>0</v>
      </c>
      <c r="K49" s="214"/>
      <c r="L49" s="242" t="str">
        <f t="array" ref="L49">IFERROR(INDEX('💻シート作成'!$D$6:$D999, MATCH(M49, '💻シート作成'!$E$6:$E999, 0)), "")</f>
        <v>3月</v>
      </c>
      <c r="M49" s="1013" t="str">
        <f>IFERROR(__xludf.DUMMYFUNCTION("""COMPUTED_VALUE"""),"②R8_3シフト")</f>
        <v>②R8_3シフト</v>
      </c>
      <c r="N49" s="214"/>
      <c r="O49" s="1087"/>
      <c r="P49" s="214"/>
      <c r="Q49" s="1131">
        <f>IFERROR(__xludf.DUMMYFUNCTION("""COMPUTED_VALUE"""),2262.0)</f>
        <v>2262</v>
      </c>
      <c r="R49" s="1153" t="str">
        <f>IFERROR(__xludf.DUMMYFUNCTION("""COMPUTED_VALUE"""),"リチェル")</f>
        <v>リチェル</v>
      </c>
      <c r="S49" s="242"/>
      <c r="T49" s="242" t="str">
        <f>IFERROR(__xludf.DUMMYFUNCTION("""COMPUTED_VALUE"""),"")</f>
        <v/>
      </c>
      <c r="U49" s="1133">
        <f>IFERROR(__xludf.DUMMYFUNCTION("""COMPUTED_VALUE"""),0.0)</f>
        <v>0</v>
      </c>
      <c r="V49" s="242">
        <f t="shared" si="5"/>
        <v>0</v>
      </c>
      <c r="W49" s="1134">
        <f>IFERROR(__xludf.DUMMYFUNCTION("""COMPUTED_VALUE"""),0.0)</f>
        <v>0</v>
      </c>
      <c r="X49" s="242">
        <f>IFERROR(__xludf.DUMMYFUNCTION("""COMPUTED_VALUE"""),0.0)</f>
        <v>0</v>
      </c>
      <c r="Y49" s="214"/>
      <c r="Z49" s="214"/>
      <c r="AA49" s="1131">
        <f>IFERROR(__xludf.DUMMYFUNCTION("""COMPUTED_VALUE"""),2403.0)</f>
        <v>2403</v>
      </c>
      <c r="AB49" s="1153" t="str">
        <f>IFERROR(__xludf.DUMMYFUNCTION("""COMPUTED_VALUE"""),"シタ")</f>
        <v>シタ</v>
      </c>
      <c r="AC49" s="242" t="str">
        <f>IFERROR(__xludf.DUMMYFUNCTION("""COMPUTED_VALUE"""),"メイド")</f>
        <v>メイド</v>
      </c>
      <c r="AD49" s="242" t="str">
        <f>IFERROR(__xludf.DUMMYFUNCTION("""COMPUTED_VALUE"""),"時給")</f>
        <v>時給</v>
      </c>
      <c r="AE49" s="1133">
        <f>IFERROR(__xludf.DUMMYFUNCTION("""COMPUTED_VALUE"""),14.0)</f>
        <v>14</v>
      </c>
      <c r="AF49" s="242">
        <f t="shared" si="6"/>
        <v>0</v>
      </c>
      <c r="AG49" s="1136">
        <f>IFERROR(__xludf.DUMMYFUNCTION("""COMPUTED_VALUE"""),85.13333333333334)</f>
        <v>85.13333333</v>
      </c>
      <c r="AH49" s="242">
        <f>IFERROR(__xludf.DUMMYFUNCTION("""COMPUTED_VALUE"""),0.0)</f>
        <v>0</v>
      </c>
      <c r="AI49" s="214"/>
      <c r="AJ49" s="214"/>
      <c r="AK49" s="1131"/>
      <c r="AL49" s="190"/>
      <c r="AM49" s="242"/>
      <c r="AN49" s="242" t="str">
        <f>IFERROR(__xludf.DUMMYFUNCTION("""COMPUTED_VALUE"""),"")</f>
        <v/>
      </c>
      <c r="AO49" s="1133" t="str">
        <f>IFERROR(__xludf.DUMMYFUNCTION("""COMPUTED_VALUE"""),"")</f>
        <v/>
      </c>
      <c r="AP49" s="242">
        <f t="shared" si="7"/>
        <v>0</v>
      </c>
      <c r="AQ49" s="242" t="str">
        <f>IFERROR(__xludf.DUMMYFUNCTION("""COMPUTED_VALUE"""),"")</f>
        <v/>
      </c>
      <c r="AR49" s="242">
        <f>IFERROR(__xludf.DUMMYFUNCTION("""COMPUTED_VALUE"""),0.0)</f>
        <v>0</v>
      </c>
      <c r="AS49" s="237"/>
      <c r="AT49" s="214"/>
      <c r="AU49" s="1138"/>
      <c r="AV49" s="1154"/>
      <c r="AW49" s="1140"/>
      <c r="AX49" s="1140"/>
      <c r="AY49" s="1145"/>
      <c r="AZ49" s="1140">
        <f t="shared" si="8"/>
        <v>0</v>
      </c>
      <c r="BA49" s="1140"/>
      <c r="BB49" s="1140"/>
      <c r="BC49" s="214"/>
      <c r="BD49" s="214"/>
      <c r="BE49" s="1131"/>
      <c r="BF49" s="190"/>
      <c r="BG49" s="242"/>
      <c r="BH49" s="242"/>
      <c r="BI49" s="1133"/>
      <c r="BJ49" s="242">
        <f t="shared" si="9"/>
        <v>0</v>
      </c>
      <c r="BK49" s="242"/>
      <c r="BL49" s="242"/>
      <c r="BM49" s="214"/>
      <c r="BN49" s="214"/>
      <c r="BO49" s="1131"/>
      <c r="BP49" s="190"/>
      <c r="BQ49" s="242"/>
      <c r="BR49" s="242"/>
      <c r="BS49" s="1133"/>
      <c r="BT49" s="242">
        <f t="shared" si="10"/>
        <v>0</v>
      </c>
      <c r="BU49" s="242"/>
      <c r="BV49" s="242"/>
      <c r="BW49" s="237"/>
      <c r="BX49" s="214"/>
      <c r="BY49" s="1131"/>
      <c r="BZ49" s="190"/>
      <c r="CA49" s="242"/>
      <c r="CB49" s="242"/>
      <c r="CC49" s="1133"/>
      <c r="CD49" s="242">
        <f t="shared" si="11"/>
        <v>0</v>
      </c>
      <c r="CE49" s="242"/>
      <c r="CF49" s="242"/>
      <c r="CG49" s="214"/>
      <c r="CH49" s="214"/>
      <c r="CI49" s="1131"/>
      <c r="CJ49" s="190"/>
      <c r="CK49" s="242"/>
      <c r="CL49" s="242"/>
      <c r="CM49" s="1133"/>
      <c r="CN49" s="242">
        <f t="shared" si="12"/>
        <v>0</v>
      </c>
      <c r="CO49" s="242"/>
      <c r="CP49" s="242"/>
      <c r="CQ49" s="214"/>
      <c r="CR49" s="214"/>
      <c r="CS49" s="1131"/>
      <c r="CT49" s="190"/>
      <c r="CU49" s="242"/>
      <c r="CV49" s="242"/>
      <c r="CW49" s="1133"/>
      <c r="CX49" s="242">
        <f t="shared" si="13"/>
        <v>0</v>
      </c>
      <c r="CY49" s="242"/>
      <c r="CZ49" s="242"/>
      <c r="DA49" s="237"/>
      <c r="DB49" s="214"/>
      <c r="DC49" s="1131"/>
      <c r="DD49" s="190"/>
      <c r="DE49" s="242"/>
      <c r="DF49" s="242"/>
      <c r="DG49" s="1133"/>
      <c r="DH49" s="242">
        <f t="shared" si="14"/>
        <v>0</v>
      </c>
      <c r="DI49" s="242"/>
      <c r="DJ49" s="242"/>
      <c r="DK49" s="214"/>
      <c r="DL49" s="214"/>
      <c r="DM49" s="1131"/>
      <c r="DN49" s="190"/>
      <c r="DO49" s="242"/>
      <c r="DP49" s="242"/>
      <c r="DQ49" s="1133"/>
      <c r="DR49" s="242">
        <f t="shared" si="15"/>
        <v>0</v>
      </c>
      <c r="DS49" s="242"/>
      <c r="DT49" s="242"/>
      <c r="DU49" s="214"/>
      <c r="DV49" s="214"/>
      <c r="DW49" s="1131"/>
      <c r="DX49" s="190"/>
      <c r="DY49" s="242"/>
      <c r="DZ49" s="242"/>
      <c r="EA49" s="1133"/>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24"/>
      <c r="C50" s="1124"/>
      <c r="D50" s="1124"/>
      <c r="E50" s="1124" t="s">
        <v>1061</v>
      </c>
      <c r="F50" s="1125">
        <f t="shared" si="2"/>
        <v>0</v>
      </c>
      <c r="G50" s="1126" t="str">
        <f t="shared" si="3"/>
        <v/>
      </c>
      <c r="H50" s="112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7">
        <f t="shared" si="61"/>
        <v>0</v>
      </c>
      <c r="J50" s="1128">
        <f t="shared" si="61"/>
        <v>0</v>
      </c>
      <c r="K50" s="214"/>
      <c r="L50" s="242" t="str">
        <f t="array" ref="L50">IFERROR(INDEX('💻シート作成'!$D$6:$D999, MATCH(M50, '💻シート作成'!$E$6:$E999, 0)), "")</f>
        <v>3月</v>
      </c>
      <c r="M50" s="1013" t="str">
        <f>IFERROR(__xludf.DUMMYFUNCTION("""COMPUTED_VALUE"""),"③R8_3日報")</f>
        <v>③R8_3日報</v>
      </c>
      <c r="N50" s="214"/>
      <c r="O50" s="1087"/>
      <c r="P50" s="214"/>
      <c r="Q50" s="1131">
        <f>IFERROR(__xludf.DUMMYFUNCTION("""COMPUTED_VALUE"""),2268.0)</f>
        <v>2268</v>
      </c>
      <c r="R50" s="1153" t="str">
        <f>IFERROR(__xludf.DUMMYFUNCTION("""COMPUTED_VALUE"""),"阿部")</f>
        <v>阿部</v>
      </c>
      <c r="S50" s="242"/>
      <c r="T50" s="242" t="str">
        <f>IFERROR(__xludf.DUMMYFUNCTION("""COMPUTED_VALUE"""),"時給")</f>
        <v>時給</v>
      </c>
      <c r="U50" s="1133">
        <f>IFERROR(__xludf.DUMMYFUNCTION("""COMPUTED_VALUE"""),20.0)</f>
        <v>20</v>
      </c>
      <c r="V50" s="242">
        <f t="shared" si="5"/>
        <v>0</v>
      </c>
      <c r="W50" s="1134">
        <f>IFERROR(__xludf.DUMMYFUNCTION("""COMPUTED_VALUE"""),130.1)</f>
        <v>130.1</v>
      </c>
      <c r="X50" s="242">
        <f>IFERROR(__xludf.DUMMYFUNCTION("""COMPUTED_VALUE"""),0.0)</f>
        <v>0</v>
      </c>
      <c r="Y50" s="214"/>
      <c r="Z50" s="214"/>
      <c r="AA50" s="1131">
        <f>IFERROR(__xludf.DUMMYFUNCTION("""COMPUTED_VALUE"""),2409.0)</f>
        <v>2409</v>
      </c>
      <c r="AB50" s="1153" t="str">
        <f>IFERROR(__xludf.DUMMYFUNCTION("""COMPUTED_VALUE"""),"ナロミ")</f>
        <v>ナロミ</v>
      </c>
      <c r="AC50" s="242" t="str">
        <f>IFERROR(__xludf.DUMMYFUNCTION("""COMPUTED_VALUE"""),"メイド")</f>
        <v>メイド</v>
      </c>
      <c r="AD50" s="242" t="str">
        <f>IFERROR(__xludf.DUMMYFUNCTION("""COMPUTED_VALUE"""),"時給")</f>
        <v>時給</v>
      </c>
      <c r="AE50" s="1133">
        <f>IFERROR(__xludf.DUMMYFUNCTION("""COMPUTED_VALUE"""),4.0)</f>
        <v>4</v>
      </c>
      <c r="AF50" s="242">
        <f t="shared" si="6"/>
        <v>0</v>
      </c>
      <c r="AG50" s="1136">
        <f>IFERROR(__xludf.DUMMYFUNCTION("""COMPUTED_VALUE"""),23.333333333333332)</f>
        <v>23.33333333</v>
      </c>
      <c r="AH50" s="242">
        <f>IFERROR(__xludf.DUMMYFUNCTION("""COMPUTED_VALUE"""),0.0)</f>
        <v>0</v>
      </c>
      <c r="AI50" s="214"/>
      <c r="AJ50" s="214"/>
      <c r="AK50" s="1131"/>
      <c r="AL50" s="190"/>
      <c r="AM50" s="242"/>
      <c r="AN50" s="242" t="str">
        <f>IFERROR(__xludf.DUMMYFUNCTION("""COMPUTED_VALUE"""),"")</f>
        <v/>
      </c>
      <c r="AO50" s="1133" t="str">
        <f>IFERROR(__xludf.DUMMYFUNCTION("""COMPUTED_VALUE"""),"")</f>
        <v/>
      </c>
      <c r="AP50" s="242">
        <f t="shared" si="7"/>
        <v>0</v>
      </c>
      <c r="AQ50" s="242" t="str">
        <f>IFERROR(__xludf.DUMMYFUNCTION("""COMPUTED_VALUE"""),"")</f>
        <v/>
      </c>
      <c r="AR50" s="242">
        <f>IFERROR(__xludf.DUMMYFUNCTION("""COMPUTED_VALUE"""),0.0)</f>
        <v>0</v>
      </c>
      <c r="AS50" s="237"/>
      <c r="AT50" s="214"/>
      <c r="AU50" s="1138"/>
      <c r="AV50" s="1154"/>
      <c r="AW50" s="1140"/>
      <c r="AX50" s="1140"/>
      <c r="AY50" s="1145"/>
      <c r="AZ50" s="1140">
        <f t="shared" si="8"/>
        <v>0</v>
      </c>
      <c r="BA50" s="1140"/>
      <c r="BB50" s="1140"/>
      <c r="BC50" s="214"/>
      <c r="BD50" s="214"/>
      <c r="BE50" s="1131"/>
      <c r="BF50" s="190"/>
      <c r="BG50" s="242"/>
      <c r="BH50" s="242"/>
      <c r="BI50" s="1133"/>
      <c r="BJ50" s="242">
        <f t="shared" si="9"/>
        <v>0</v>
      </c>
      <c r="BK50" s="242"/>
      <c r="BL50" s="242"/>
      <c r="BM50" s="214"/>
      <c r="BN50" s="214"/>
      <c r="BO50" s="1131"/>
      <c r="BP50" s="190"/>
      <c r="BQ50" s="242"/>
      <c r="BR50" s="242"/>
      <c r="BS50" s="1133"/>
      <c r="BT50" s="242">
        <f t="shared" si="10"/>
        <v>0</v>
      </c>
      <c r="BU50" s="242"/>
      <c r="BV50" s="242"/>
      <c r="BW50" s="237"/>
      <c r="BX50" s="214"/>
      <c r="BY50" s="1131"/>
      <c r="BZ50" s="190"/>
      <c r="CA50" s="242"/>
      <c r="CB50" s="242"/>
      <c r="CC50" s="1133"/>
      <c r="CD50" s="242">
        <f t="shared" si="11"/>
        <v>0</v>
      </c>
      <c r="CE50" s="242"/>
      <c r="CF50" s="242"/>
      <c r="CG50" s="214"/>
      <c r="CH50" s="214"/>
      <c r="CI50" s="1131"/>
      <c r="CJ50" s="190"/>
      <c r="CK50" s="242"/>
      <c r="CL50" s="242"/>
      <c r="CM50" s="1133"/>
      <c r="CN50" s="242">
        <f t="shared" si="12"/>
        <v>0</v>
      </c>
      <c r="CO50" s="242"/>
      <c r="CP50" s="242"/>
      <c r="CQ50" s="214"/>
      <c r="CR50" s="214"/>
      <c r="CS50" s="1131"/>
      <c r="CT50" s="190"/>
      <c r="CU50" s="242"/>
      <c r="CV50" s="242"/>
      <c r="CW50" s="1133"/>
      <c r="CX50" s="242">
        <f t="shared" si="13"/>
        <v>0</v>
      </c>
      <c r="CY50" s="242"/>
      <c r="CZ50" s="242"/>
      <c r="DA50" s="237"/>
      <c r="DB50" s="214"/>
      <c r="DC50" s="1131"/>
      <c r="DD50" s="190"/>
      <c r="DE50" s="242"/>
      <c r="DF50" s="242"/>
      <c r="DG50" s="1133"/>
      <c r="DH50" s="242">
        <f t="shared" si="14"/>
        <v>0</v>
      </c>
      <c r="DI50" s="242"/>
      <c r="DJ50" s="242"/>
      <c r="DK50" s="214"/>
      <c r="DL50" s="214"/>
      <c r="DM50" s="1131"/>
      <c r="DN50" s="190"/>
      <c r="DO50" s="242"/>
      <c r="DP50" s="242"/>
      <c r="DQ50" s="1133"/>
      <c r="DR50" s="242">
        <f t="shared" si="15"/>
        <v>0</v>
      </c>
      <c r="DS50" s="242"/>
      <c r="DT50" s="242"/>
      <c r="DU50" s="214"/>
      <c r="DV50" s="214"/>
      <c r="DW50" s="1131"/>
      <c r="DX50" s="190"/>
      <c r="DY50" s="242"/>
      <c r="DZ50" s="242"/>
      <c r="EA50" s="1133"/>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24"/>
      <c r="C51" s="1124"/>
      <c r="D51" s="1124"/>
      <c r="E51" s="1124" t="s">
        <v>1061</v>
      </c>
      <c r="F51" s="1125">
        <f t="shared" si="2"/>
        <v>0</v>
      </c>
      <c r="G51" s="1126" t="str">
        <f t="shared" si="3"/>
        <v/>
      </c>
      <c r="H51" s="112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7">
        <f t="shared" si="62"/>
        <v>0</v>
      </c>
      <c r="J51" s="1128">
        <f t="shared" si="62"/>
        <v>0</v>
      </c>
      <c r="K51" s="214"/>
      <c r="L51" s="242" t="str">
        <f t="array" ref="L51">IFERROR(INDEX('💻シート作成'!$D$6:$D999, MATCH(M51, '💻シート作成'!$E$6:$E999, 0)), "")</f>
        <v>3月</v>
      </c>
      <c r="M51" s="1013" t="str">
        <f>IFERROR(__xludf.DUMMYFUNCTION("""COMPUTED_VALUE"""),"④R8_3月報")</f>
        <v>④R8_3月報</v>
      </c>
      <c r="N51" s="214"/>
      <c r="O51" s="1087"/>
      <c r="P51" s="214"/>
      <c r="Q51" s="1131">
        <f>IFERROR(__xludf.DUMMYFUNCTION("""COMPUTED_VALUE"""),2270.0)</f>
        <v>2270</v>
      </c>
      <c r="R51" s="1153" t="str">
        <f>IFERROR(__xludf.DUMMYFUNCTION("""COMPUTED_VALUE"""),"本村")</f>
        <v>本村</v>
      </c>
      <c r="S51" s="242"/>
      <c r="T51" s="242" t="str">
        <f>IFERROR(__xludf.DUMMYFUNCTION("""COMPUTED_VALUE"""),"時給")</f>
        <v>時給</v>
      </c>
      <c r="U51" s="1133">
        <f>IFERROR(__xludf.DUMMYFUNCTION("""COMPUTED_VALUE"""),19.0)</f>
        <v>19</v>
      </c>
      <c r="V51" s="242">
        <f t="shared" si="5"/>
        <v>1</v>
      </c>
      <c r="W51" s="1134">
        <f>IFERROR(__xludf.DUMMYFUNCTION("""COMPUTED_VALUE"""),128.0)</f>
        <v>128</v>
      </c>
      <c r="X51" s="242">
        <f>IFERROR(__xludf.DUMMYFUNCTION("""COMPUTED_VALUE"""),0.0)</f>
        <v>0</v>
      </c>
      <c r="Y51" s="214"/>
      <c r="Z51" s="214"/>
      <c r="AA51" s="1131">
        <f>IFERROR(__xludf.DUMMYFUNCTION("""COMPUTED_VALUE"""),2410.0)</f>
        <v>2410</v>
      </c>
      <c r="AB51" s="1153" t="str">
        <f>IFERROR(__xludf.DUMMYFUNCTION("""COMPUTED_VALUE"""),"JiJi")</f>
        <v>JiJi</v>
      </c>
      <c r="AC51" s="242" t="str">
        <f>IFERROR(__xludf.DUMMYFUNCTION("""COMPUTED_VALUE"""),"メイド")</f>
        <v>メイド</v>
      </c>
      <c r="AD51" s="242" t="str">
        <f>IFERROR(__xludf.DUMMYFUNCTION("""COMPUTED_VALUE"""),"時給")</f>
        <v>時給</v>
      </c>
      <c r="AE51" s="1133">
        <f>IFERROR(__xludf.DUMMYFUNCTION("""COMPUTED_VALUE"""),3.0)</f>
        <v>3</v>
      </c>
      <c r="AF51" s="242">
        <f t="shared" si="6"/>
        <v>0</v>
      </c>
      <c r="AG51" s="1136">
        <f>IFERROR(__xludf.DUMMYFUNCTION("""COMPUTED_VALUE"""),17.9)</f>
        <v>17.9</v>
      </c>
      <c r="AH51" s="242">
        <f>IFERROR(__xludf.DUMMYFUNCTION("""COMPUTED_VALUE"""),0.0)</f>
        <v>0</v>
      </c>
      <c r="AI51" s="214"/>
      <c r="AJ51" s="214"/>
      <c r="AK51" s="1131"/>
      <c r="AL51" s="190"/>
      <c r="AM51" s="242"/>
      <c r="AN51" s="242" t="str">
        <f>IFERROR(__xludf.DUMMYFUNCTION("""COMPUTED_VALUE"""),"")</f>
        <v/>
      </c>
      <c r="AO51" s="1133" t="str">
        <f>IFERROR(__xludf.DUMMYFUNCTION("""COMPUTED_VALUE"""),"")</f>
        <v/>
      </c>
      <c r="AP51" s="242">
        <f t="shared" si="7"/>
        <v>0</v>
      </c>
      <c r="AQ51" s="242" t="str">
        <f>IFERROR(__xludf.DUMMYFUNCTION("""COMPUTED_VALUE"""),"")</f>
        <v/>
      </c>
      <c r="AR51" s="242">
        <f>IFERROR(__xludf.DUMMYFUNCTION("""COMPUTED_VALUE"""),0.0)</f>
        <v>0</v>
      </c>
      <c r="AS51" s="237"/>
      <c r="AT51" s="214"/>
      <c r="AU51" s="1138"/>
      <c r="AV51" s="1154"/>
      <c r="AW51" s="1140"/>
      <c r="AX51" s="1140"/>
      <c r="AY51" s="1145"/>
      <c r="AZ51" s="1140">
        <f t="shared" si="8"/>
        <v>0</v>
      </c>
      <c r="BA51" s="1140"/>
      <c r="BB51" s="1140"/>
      <c r="BC51" s="214"/>
      <c r="BD51" s="214"/>
      <c r="BE51" s="1131"/>
      <c r="BF51" s="190"/>
      <c r="BG51" s="242"/>
      <c r="BH51" s="242"/>
      <c r="BI51" s="1133"/>
      <c r="BJ51" s="242">
        <f t="shared" si="9"/>
        <v>0</v>
      </c>
      <c r="BK51" s="242"/>
      <c r="BL51" s="242"/>
      <c r="BM51" s="214"/>
      <c r="BN51" s="214"/>
      <c r="BO51" s="1131"/>
      <c r="BP51" s="190"/>
      <c r="BQ51" s="242"/>
      <c r="BR51" s="242"/>
      <c r="BS51" s="1133"/>
      <c r="BT51" s="242">
        <f t="shared" si="10"/>
        <v>0</v>
      </c>
      <c r="BU51" s="242"/>
      <c r="BV51" s="242"/>
      <c r="BW51" s="237"/>
      <c r="BX51" s="214"/>
      <c r="BY51" s="1131"/>
      <c r="BZ51" s="190"/>
      <c r="CA51" s="242"/>
      <c r="CB51" s="242"/>
      <c r="CC51" s="1133"/>
      <c r="CD51" s="242">
        <f t="shared" si="11"/>
        <v>0</v>
      </c>
      <c r="CE51" s="242"/>
      <c r="CF51" s="242"/>
      <c r="CG51" s="214"/>
      <c r="CH51" s="214"/>
      <c r="CI51" s="1131"/>
      <c r="CJ51" s="190"/>
      <c r="CK51" s="242"/>
      <c r="CL51" s="242"/>
      <c r="CM51" s="1133"/>
      <c r="CN51" s="242">
        <f t="shared" si="12"/>
        <v>0</v>
      </c>
      <c r="CO51" s="242"/>
      <c r="CP51" s="242"/>
      <c r="CQ51" s="214"/>
      <c r="CR51" s="214"/>
      <c r="CS51" s="1131"/>
      <c r="CT51" s="190"/>
      <c r="CU51" s="242"/>
      <c r="CV51" s="242"/>
      <c r="CW51" s="1133"/>
      <c r="CX51" s="242">
        <f t="shared" si="13"/>
        <v>0</v>
      </c>
      <c r="CY51" s="242"/>
      <c r="CZ51" s="242"/>
      <c r="DA51" s="237"/>
      <c r="DB51" s="214"/>
      <c r="DC51" s="1131"/>
      <c r="DD51" s="190"/>
      <c r="DE51" s="242"/>
      <c r="DF51" s="242"/>
      <c r="DG51" s="1133"/>
      <c r="DH51" s="242">
        <f t="shared" si="14"/>
        <v>0</v>
      </c>
      <c r="DI51" s="242"/>
      <c r="DJ51" s="242"/>
      <c r="DK51" s="214"/>
      <c r="DL51" s="214"/>
      <c r="DM51" s="1131"/>
      <c r="DN51" s="190"/>
      <c r="DO51" s="242"/>
      <c r="DP51" s="242"/>
      <c r="DQ51" s="1133"/>
      <c r="DR51" s="242">
        <f t="shared" si="15"/>
        <v>0</v>
      </c>
      <c r="DS51" s="242"/>
      <c r="DT51" s="242"/>
      <c r="DU51" s="214"/>
      <c r="DV51" s="214"/>
      <c r="DW51" s="1131"/>
      <c r="DX51" s="190"/>
      <c r="DY51" s="242"/>
      <c r="DZ51" s="242"/>
      <c r="EA51" s="1133"/>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24"/>
      <c r="C52" s="1124"/>
      <c r="D52" s="1124"/>
      <c r="E52" s="1124" t="s">
        <v>1061</v>
      </c>
      <c r="F52" s="1125">
        <f t="shared" si="2"/>
        <v>0</v>
      </c>
      <c r="G52" s="1126" t="str">
        <f t="shared" si="3"/>
        <v/>
      </c>
      <c r="H52" s="112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7">
        <f t="shared" si="63"/>
        <v>0</v>
      </c>
      <c r="J52" s="1128">
        <f t="shared" si="63"/>
        <v>0</v>
      </c>
      <c r="K52" s="214"/>
      <c r="L52" s="242" t="str">
        <f t="array" ref="L52">IFERROR(INDEX('💻シート作成'!$D$6:$D999, MATCH(M52, '💻シート作成'!$E$6:$E999, 0)), "")</f>
        <v>2月</v>
      </c>
      <c r="M52" s="1013" t="str">
        <f>IFERROR(__xludf.DUMMYFUNCTION("""COMPUTED_VALUE"""),"①R8_2集計")</f>
        <v>①R8_2集計</v>
      </c>
      <c r="N52" s="214"/>
      <c r="O52" s="1087"/>
      <c r="P52" s="214"/>
      <c r="Q52" s="1131">
        <f>IFERROR(__xludf.DUMMYFUNCTION("""COMPUTED_VALUE"""),2277.0)</f>
        <v>2277</v>
      </c>
      <c r="R52" s="1153" t="str">
        <f>IFERROR(__xludf.DUMMYFUNCTION("""COMPUTED_VALUE"""),"ヨギ")</f>
        <v>ヨギ</v>
      </c>
      <c r="S52" s="242" t="str">
        <f>IFERROR(__xludf.DUMMYFUNCTION("""COMPUTED_VALUE"""),"山川　海生")</f>
        <v>山川　海生</v>
      </c>
      <c r="T52" s="242" t="str">
        <f>IFERROR(__xludf.DUMMYFUNCTION("""COMPUTED_VALUE"""),"")</f>
        <v/>
      </c>
      <c r="U52" s="1133">
        <f>IFERROR(__xludf.DUMMYFUNCTION("""COMPUTED_VALUE"""),0.0)</f>
        <v>0</v>
      </c>
      <c r="V52" s="242">
        <f t="shared" si="5"/>
        <v>0</v>
      </c>
      <c r="W52" s="1134">
        <f>IFERROR(__xludf.DUMMYFUNCTION("""COMPUTED_VALUE"""),0.0)</f>
        <v>0</v>
      </c>
      <c r="X52" s="242">
        <f>IFERROR(__xludf.DUMMYFUNCTION("""COMPUTED_VALUE"""),0.0)</f>
        <v>0</v>
      </c>
      <c r="Y52" s="214"/>
      <c r="Z52" s="214"/>
      <c r="AA52" s="1131">
        <f>IFERROR(__xludf.DUMMYFUNCTION("""COMPUTED_VALUE"""),2411.0)</f>
        <v>2411</v>
      </c>
      <c r="AB52" s="1153" t="str">
        <f>IFERROR(__xludf.DUMMYFUNCTION("""COMPUTED_VALUE"""),"吉野")</f>
        <v>吉野</v>
      </c>
      <c r="AC52" s="242" t="str">
        <f>IFERROR(__xludf.DUMMYFUNCTION("""COMPUTED_VALUE"""),"メイド")</f>
        <v>メイド</v>
      </c>
      <c r="AD52" s="242" t="str">
        <f>IFERROR(__xludf.DUMMYFUNCTION("""COMPUTED_VALUE"""),"時給")</f>
        <v>時給</v>
      </c>
      <c r="AE52" s="1133">
        <f>IFERROR(__xludf.DUMMYFUNCTION("""COMPUTED_VALUE"""),7.0)</f>
        <v>7</v>
      </c>
      <c r="AF52" s="242">
        <f t="shared" si="6"/>
        <v>0</v>
      </c>
      <c r="AG52" s="1136">
        <f>IFERROR(__xludf.DUMMYFUNCTION("""COMPUTED_VALUE"""),40.5)</f>
        <v>40.5</v>
      </c>
      <c r="AH52" s="242">
        <f>IFERROR(__xludf.DUMMYFUNCTION("""COMPUTED_VALUE"""),0.0)</f>
        <v>0</v>
      </c>
      <c r="AI52" s="214"/>
      <c r="AJ52" s="214"/>
      <c r="AK52" s="1131"/>
      <c r="AL52" s="190"/>
      <c r="AM52" s="242"/>
      <c r="AN52" s="242" t="str">
        <f>IFERROR(__xludf.DUMMYFUNCTION("""COMPUTED_VALUE"""),"")</f>
        <v/>
      </c>
      <c r="AO52" s="1133" t="str">
        <f>IFERROR(__xludf.DUMMYFUNCTION("""COMPUTED_VALUE"""),"")</f>
        <v/>
      </c>
      <c r="AP52" s="242">
        <f t="shared" si="7"/>
        <v>0</v>
      </c>
      <c r="AQ52" s="242" t="str">
        <f>IFERROR(__xludf.DUMMYFUNCTION("""COMPUTED_VALUE"""),"")</f>
        <v/>
      </c>
      <c r="AR52" s="242">
        <f>IFERROR(__xludf.DUMMYFUNCTION("""COMPUTED_VALUE"""),0.0)</f>
        <v>0</v>
      </c>
      <c r="AS52" s="237"/>
      <c r="AT52" s="214"/>
      <c r="AU52" s="1138"/>
      <c r="AV52" s="1154"/>
      <c r="AW52" s="1140"/>
      <c r="AX52" s="1140"/>
      <c r="AY52" s="1145"/>
      <c r="AZ52" s="1140">
        <f t="shared" si="8"/>
        <v>0</v>
      </c>
      <c r="BA52" s="1140"/>
      <c r="BB52" s="1140"/>
      <c r="BC52" s="214"/>
      <c r="BD52" s="214"/>
      <c r="BE52" s="1131"/>
      <c r="BF52" s="190"/>
      <c r="BG52" s="242"/>
      <c r="BH52" s="242"/>
      <c r="BI52" s="1133"/>
      <c r="BJ52" s="242">
        <f t="shared" si="9"/>
        <v>0</v>
      </c>
      <c r="BK52" s="242"/>
      <c r="BL52" s="242"/>
      <c r="BM52" s="214"/>
      <c r="BN52" s="214"/>
      <c r="BO52" s="1131"/>
      <c r="BP52" s="190"/>
      <c r="BQ52" s="242"/>
      <c r="BR52" s="242"/>
      <c r="BS52" s="1133"/>
      <c r="BT52" s="242">
        <f t="shared" si="10"/>
        <v>0</v>
      </c>
      <c r="BU52" s="242"/>
      <c r="BV52" s="242"/>
      <c r="BW52" s="237"/>
      <c r="BX52" s="214"/>
      <c r="BY52" s="1131"/>
      <c r="BZ52" s="190"/>
      <c r="CA52" s="242"/>
      <c r="CB52" s="242"/>
      <c r="CC52" s="1133"/>
      <c r="CD52" s="242">
        <f t="shared" si="11"/>
        <v>0</v>
      </c>
      <c r="CE52" s="242"/>
      <c r="CF52" s="242"/>
      <c r="CG52" s="214"/>
      <c r="CH52" s="214"/>
      <c r="CI52" s="1131"/>
      <c r="CJ52" s="190"/>
      <c r="CK52" s="242"/>
      <c r="CL52" s="242"/>
      <c r="CM52" s="1133"/>
      <c r="CN52" s="242">
        <f t="shared" si="12"/>
        <v>0</v>
      </c>
      <c r="CO52" s="242"/>
      <c r="CP52" s="242"/>
      <c r="CQ52" s="214"/>
      <c r="CR52" s="214"/>
      <c r="CS52" s="1131"/>
      <c r="CT52" s="190"/>
      <c r="CU52" s="242"/>
      <c r="CV52" s="242"/>
      <c r="CW52" s="1133"/>
      <c r="CX52" s="242">
        <f t="shared" si="13"/>
        <v>0</v>
      </c>
      <c r="CY52" s="242"/>
      <c r="CZ52" s="242"/>
      <c r="DA52" s="237"/>
      <c r="DB52" s="214"/>
      <c r="DC52" s="1131"/>
      <c r="DD52" s="190"/>
      <c r="DE52" s="242"/>
      <c r="DF52" s="242"/>
      <c r="DG52" s="1133"/>
      <c r="DH52" s="242">
        <f t="shared" si="14"/>
        <v>0</v>
      </c>
      <c r="DI52" s="242"/>
      <c r="DJ52" s="242"/>
      <c r="DK52" s="214"/>
      <c r="DL52" s="214"/>
      <c r="DM52" s="1131"/>
      <c r="DN52" s="190"/>
      <c r="DO52" s="242"/>
      <c r="DP52" s="242"/>
      <c r="DQ52" s="1133"/>
      <c r="DR52" s="242">
        <f t="shared" si="15"/>
        <v>0</v>
      </c>
      <c r="DS52" s="242"/>
      <c r="DT52" s="242"/>
      <c r="DU52" s="214"/>
      <c r="DV52" s="214"/>
      <c r="DW52" s="1131"/>
      <c r="DX52" s="190"/>
      <c r="DY52" s="242"/>
      <c r="DZ52" s="242"/>
      <c r="EA52" s="1133"/>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24"/>
      <c r="C53" s="1124"/>
      <c r="D53" s="1124"/>
      <c r="E53" s="1124" t="s">
        <v>1061</v>
      </c>
      <c r="F53" s="1125">
        <f t="shared" si="2"/>
        <v>0</v>
      </c>
      <c r="G53" s="1126" t="str">
        <f t="shared" si="3"/>
        <v/>
      </c>
      <c r="H53" s="112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7">
        <f t="shared" si="64"/>
        <v>0</v>
      </c>
      <c r="J53" s="1128">
        <f t="shared" si="64"/>
        <v>0</v>
      </c>
      <c r="K53" s="214"/>
      <c r="L53" s="242" t="str">
        <f t="array" ref="L53">IFERROR(INDEX('💻シート作成'!$D$6:$D999, MATCH(M53, '💻シート作成'!$E$6:$E999, 0)), "")</f>
        <v>2月</v>
      </c>
      <c r="M53" s="1013" t="str">
        <f>IFERROR(__xludf.DUMMYFUNCTION("""COMPUTED_VALUE"""),"②R8_2シフト")</f>
        <v>②R8_2シフト</v>
      </c>
      <c r="N53" s="214"/>
      <c r="O53" s="1087"/>
      <c r="P53" s="214"/>
      <c r="Q53" s="1131">
        <f>IFERROR(__xludf.DUMMYFUNCTION("""COMPUTED_VALUE"""),2292.0)</f>
        <v>2292</v>
      </c>
      <c r="R53" s="1153" t="str">
        <f>IFERROR(__xludf.DUMMYFUNCTION("""COMPUTED_VALUE"""),"アイン")</f>
        <v>アイン</v>
      </c>
      <c r="S53" s="242"/>
      <c r="T53" s="242" t="str">
        <f>IFERROR(__xludf.DUMMYFUNCTION("""COMPUTED_VALUE"""),"")</f>
        <v/>
      </c>
      <c r="U53" s="1133">
        <f>IFERROR(__xludf.DUMMYFUNCTION("""COMPUTED_VALUE"""),0.0)</f>
        <v>0</v>
      </c>
      <c r="V53" s="242">
        <f t="shared" si="5"/>
        <v>0</v>
      </c>
      <c r="W53" s="1134">
        <f>IFERROR(__xludf.DUMMYFUNCTION("""COMPUTED_VALUE"""),0.0)</f>
        <v>0</v>
      </c>
      <c r="X53" s="242">
        <f>IFERROR(__xludf.DUMMYFUNCTION("""COMPUTED_VALUE"""),0.0)</f>
        <v>0</v>
      </c>
      <c r="Y53" s="214"/>
      <c r="Z53" s="214"/>
      <c r="AA53" s="1131">
        <f>IFERROR(__xludf.DUMMYFUNCTION("""COMPUTED_VALUE"""),2414.0)</f>
        <v>2414</v>
      </c>
      <c r="AB53" s="1153" t="str">
        <f>IFERROR(__xludf.DUMMYFUNCTION("""COMPUTED_VALUE"""),"田中")</f>
        <v>田中</v>
      </c>
      <c r="AC53" s="242" t="str">
        <f>IFERROR(__xludf.DUMMYFUNCTION("""COMPUTED_VALUE"""),"メイド")</f>
        <v>メイド</v>
      </c>
      <c r="AD53" s="242" t="str">
        <f>IFERROR(__xludf.DUMMYFUNCTION("""COMPUTED_VALUE"""),"時給")</f>
        <v>時給</v>
      </c>
      <c r="AE53" s="1133">
        <f>IFERROR(__xludf.DUMMYFUNCTION("""COMPUTED_VALUE"""),5.0)</f>
        <v>5</v>
      </c>
      <c r="AF53" s="242">
        <f t="shared" si="6"/>
        <v>0</v>
      </c>
      <c r="AG53" s="1136">
        <f>IFERROR(__xludf.DUMMYFUNCTION("""COMPUTED_VALUE"""),26.35)</f>
        <v>26.35</v>
      </c>
      <c r="AH53" s="242">
        <f>IFERROR(__xludf.DUMMYFUNCTION("""COMPUTED_VALUE"""),0.0)</f>
        <v>0</v>
      </c>
      <c r="AI53" s="214"/>
      <c r="AJ53" s="214"/>
      <c r="AK53" s="1131"/>
      <c r="AL53" s="190"/>
      <c r="AM53" s="242"/>
      <c r="AN53" s="242" t="str">
        <f>IFERROR(__xludf.DUMMYFUNCTION("""COMPUTED_VALUE"""),"")</f>
        <v/>
      </c>
      <c r="AO53" s="1133" t="str">
        <f>IFERROR(__xludf.DUMMYFUNCTION("""COMPUTED_VALUE"""),"")</f>
        <v/>
      </c>
      <c r="AP53" s="242">
        <f t="shared" si="7"/>
        <v>0</v>
      </c>
      <c r="AQ53" s="242" t="str">
        <f>IFERROR(__xludf.DUMMYFUNCTION("""COMPUTED_VALUE"""),"")</f>
        <v/>
      </c>
      <c r="AR53" s="242">
        <f>IFERROR(__xludf.DUMMYFUNCTION("""COMPUTED_VALUE"""),0.0)</f>
        <v>0</v>
      </c>
      <c r="AS53" s="237"/>
      <c r="AT53" s="214"/>
      <c r="AU53" s="1138"/>
      <c r="AV53" s="1154"/>
      <c r="AW53" s="1140"/>
      <c r="AX53" s="1140"/>
      <c r="AY53" s="1145"/>
      <c r="AZ53" s="1140">
        <f t="shared" si="8"/>
        <v>0</v>
      </c>
      <c r="BA53" s="1140"/>
      <c r="BB53" s="1140"/>
      <c r="BC53" s="214"/>
      <c r="BD53" s="214"/>
      <c r="BE53" s="1131"/>
      <c r="BF53" s="190"/>
      <c r="BG53" s="242"/>
      <c r="BH53" s="242"/>
      <c r="BI53" s="1133"/>
      <c r="BJ53" s="242">
        <f t="shared" si="9"/>
        <v>0</v>
      </c>
      <c r="BK53" s="242"/>
      <c r="BL53" s="242"/>
      <c r="BM53" s="214"/>
      <c r="BN53" s="214"/>
      <c r="BO53" s="1131"/>
      <c r="BP53" s="190"/>
      <c r="BQ53" s="242"/>
      <c r="BR53" s="242"/>
      <c r="BS53" s="1133"/>
      <c r="BT53" s="242">
        <f t="shared" si="10"/>
        <v>0</v>
      </c>
      <c r="BU53" s="242"/>
      <c r="BV53" s="242"/>
      <c r="BW53" s="237"/>
      <c r="BX53" s="214"/>
      <c r="BY53" s="1131"/>
      <c r="BZ53" s="190"/>
      <c r="CA53" s="242"/>
      <c r="CB53" s="242"/>
      <c r="CC53" s="1133"/>
      <c r="CD53" s="242">
        <f t="shared" si="11"/>
        <v>0</v>
      </c>
      <c r="CE53" s="242"/>
      <c r="CF53" s="242"/>
      <c r="CG53" s="214"/>
      <c r="CH53" s="214"/>
      <c r="CI53" s="1131"/>
      <c r="CJ53" s="190"/>
      <c r="CK53" s="242"/>
      <c r="CL53" s="242"/>
      <c r="CM53" s="1133"/>
      <c r="CN53" s="242">
        <f t="shared" si="12"/>
        <v>0</v>
      </c>
      <c r="CO53" s="242"/>
      <c r="CP53" s="242"/>
      <c r="CQ53" s="214"/>
      <c r="CR53" s="214"/>
      <c r="CS53" s="1131"/>
      <c r="CT53" s="190"/>
      <c r="CU53" s="242"/>
      <c r="CV53" s="242"/>
      <c r="CW53" s="1133"/>
      <c r="CX53" s="242">
        <f t="shared" si="13"/>
        <v>0</v>
      </c>
      <c r="CY53" s="242"/>
      <c r="CZ53" s="242"/>
      <c r="DA53" s="237"/>
      <c r="DB53" s="214"/>
      <c r="DC53" s="1131"/>
      <c r="DD53" s="190"/>
      <c r="DE53" s="242"/>
      <c r="DF53" s="242"/>
      <c r="DG53" s="1133"/>
      <c r="DH53" s="242">
        <f t="shared" si="14"/>
        <v>0</v>
      </c>
      <c r="DI53" s="242"/>
      <c r="DJ53" s="242"/>
      <c r="DK53" s="214"/>
      <c r="DL53" s="214"/>
      <c r="DM53" s="1131"/>
      <c r="DN53" s="190"/>
      <c r="DO53" s="242"/>
      <c r="DP53" s="242"/>
      <c r="DQ53" s="1133"/>
      <c r="DR53" s="242">
        <f t="shared" si="15"/>
        <v>0</v>
      </c>
      <c r="DS53" s="242"/>
      <c r="DT53" s="242"/>
      <c r="DU53" s="214"/>
      <c r="DV53" s="214"/>
      <c r="DW53" s="1131"/>
      <c r="DX53" s="190"/>
      <c r="DY53" s="242"/>
      <c r="DZ53" s="242"/>
      <c r="EA53" s="1133"/>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24"/>
      <c r="C54" s="1124"/>
      <c r="D54" s="1124"/>
      <c r="E54" s="1124" t="s">
        <v>1061</v>
      </c>
      <c r="F54" s="1125">
        <f t="shared" si="2"/>
        <v>0</v>
      </c>
      <c r="G54" s="1126" t="str">
        <f t="shared" si="3"/>
        <v/>
      </c>
      <c r="H54" s="112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7">
        <f t="shared" si="65"/>
        <v>0</v>
      </c>
      <c r="J54" s="1128">
        <f t="shared" si="65"/>
        <v>0</v>
      </c>
      <c r="K54" s="214"/>
      <c r="L54" s="242" t="str">
        <f t="array" ref="L54">IFERROR(INDEX('💻シート作成'!$D$6:$D999, MATCH(M54, '💻シート作成'!$E$6:$E999, 0)), "")</f>
        <v>2月</v>
      </c>
      <c r="M54" s="1013" t="str">
        <f>IFERROR(__xludf.DUMMYFUNCTION("""COMPUTED_VALUE"""),"③R8_2日報")</f>
        <v>③R8_2日報</v>
      </c>
      <c r="N54" s="214"/>
      <c r="O54" s="1087"/>
      <c r="P54" s="214"/>
      <c r="Q54" s="1131">
        <f>IFERROR(__xludf.DUMMYFUNCTION("""COMPUTED_VALUE"""),2326.0)</f>
        <v>2326</v>
      </c>
      <c r="R54" s="1153" t="str">
        <f>IFERROR(__xludf.DUMMYFUNCTION("""COMPUTED_VALUE"""),"プラティマ")</f>
        <v>プラティマ</v>
      </c>
      <c r="S54" s="242"/>
      <c r="T54" s="242" t="str">
        <f>IFERROR(__xludf.DUMMYFUNCTION("""COMPUTED_VALUE"""),"時給")</f>
        <v>時給</v>
      </c>
      <c r="U54" s="1133">
        <f>IFERROR(__xludf.DUMMYFUNCTION("""COMPUTED_VALUE"""),18.0)</f>
        <v>18</v>
      </c>
      <c r="V54" s="242">
        <f t="shared" si="5"/>
        <v>1</v>
      </c>
      <c r="W54" s="1134">
        <f>IFERROR(__xludf.DUMMYFUNCTION("""COMPUTED_VALUE"""),107.6)</f>
        <v>107.6</v>
      </c>
      <c r="X54" s="242">
        <f>IFERROR(__xludf.DUMMYFUNCTION("""COMPUTED_VALUE"""),0.0)</f>
        <v>0</v>
      </c>
      <c r="Y54" s="214"/>
      <c r="Z54" s="214"/>
      <c r="AA54" s="1131"/>
      <c r="AB54" s="190"/>
      <c r="AC54" s="242"/>
      <c r="AD54" s="242" t="str">
        <f>IFERROR(__xludf.DUMMYFUNCTION("""COMPUTED_VALUE"""),"")</f>
        <v/>
      </c>
      <c r="AE54" s="1133" t="str">
        <f>IFERROR(__xludf.DUMMYFUNCTION("""COMPUTED_VALUE"""),"")</f>
        <v/>
      </c>
      <c r="AF54" s="242">
        <f t="shared" si="6"/>
        <v>0</v>
      </c>
      <c r="AG54" s="242" t="str">
        <f>IFERROR(__xludf.DUMMYFUNCTION("""COMPUTED_VALUE"""),"")</f>
        <v/>
      </c>
      <c r="AH54" s="242">
        <f>IFERROR(__xludf.DUMMYFUNCTION("""COMPUTED_VALUE"""),0.0)</f>
        <v>0</v>
      </c>
      <c r="AI54" s="214"/>
      <c r="AJ54" s="214"/>
      <c r="AK54" s="1131"/>
      <c r="AL54" s="190"/>
      <c r="AM54" s="242"/>
      <c r="AN54" s="242" t="str">
        <f>IFERROR(__xludf.DUMMYFUNCTION("""COMPUTED_VALUE"""),"")</f>
        <v/>
      </c>
      <c r="AO54" s="1133" t="str">
        <f>IFERROR(__xludf.DUMMYFUNCTION("""COMPUTED_VALUE"""),"")</f>
        <v/>
      </c>
      <c r="AP54" s="242">
        <f t="shared" si="7"/>
        <v>0</v>
      </c>
      <c r="AQ54" s="242" t="str">
        <f>IFERROR(__xludf.DUMMYFUNCTION("""COMPUTED_VALUE"""),"")</f>
        <v/>
      </c>
      <c r="AR54" s="242">
        <f>IFERROR(__xludf.DUMMYFUNCTION("""COMPUTED_VALUE"""),0.0)</f>
        <v>0</v>
      </c>
      <c r="AS54" s="237"/>
      <c r="AT54" s="214"/>
      <c r="AU54" s="1138"/>
      <c r="AV54" s="1154"/>
      <c r="AW54" s="1140"/>
      <c r="AX54" s="1140"/>
      <c r="AY54" s="1145"/>
      <c r="AZ54" s="1140">
        <f t="shared" si="8"/>
        <v>0</v>
      </c>
      <c r="BA54" s="1140"/>
      <c r="BB54" s="1140"/>
      <c r="BC54" s="214"/>
      <c r="BD54" s="214"/>
      <c r="BE54" s="1131"/>
      <c r="BF54" s="190"/>
      <c r="BG54" s="242"/>
      <c r="BH54" s="242"/>
      <c r="BI54" s="1133"/>
      <c r="BJ54" s="242">
        <f t="shared" si="9"/>
        <v>0</v>
      </c>
      <c r="BK54" s="242"/>
      <c r="BL54" s="242"/>
      <c r="BM54" s="214"/>
      <c r="BN54" s="214"/>
      <c r="BO54" s="1131"/>
      <c r="BP54" s="190"/>
      <c r="BQ54" s="242"/>
      <c r="BR54" s="242"/>
      <c r="BS54" s="1133"/>
      <c r="BT54" s="242">
        <f t="shared" si="10"/>
        <v>0</v>
      </c>
      <c r="BU54" s="242"/>
      <c r="BV54" s="242"/>
      <c r="BW54" s="237"/>
      <c r="BX54" s="214"/>
      <c r="BY54" s="1131"/>
      <c r="BZ54" s="190"/>
      <c r="CA54" s="242"/>
      <c r="CB54" s="242"/>
      <c r="CC54" s="1133"/>
      <c r="CD54" s="242">
        <f t="shared" si="11"/>
        <v>0</v>
      </c>
      <c r="CE54" s="242"/>
      <c r="CF54" s="242"/>
      <c r="CG54" s="214"/>
      <c r="CH54" s="214"/>
      <c r="CI54" s="1131"/>
      <c r="CJ54" s="190"/>
      <c r="CK54" s="242"/>
      <c r="CL54" s="242"/>
      <c r="CM54" s="1133"/>
      <c r="CN54" s="242">
        <f t="shared" si="12"/>
        <v>0</v>
      </c>
      <c r="CO54" s="242"/>
      <c r="CP54" s="242"/>
      <c r="CQ54" s="214"/>
      <c r="CR54" s="214"/>
      <c r="CS54" s="1131"/>
      <c r="CT54" s="190"/>
      <c r="CU54" s="242"/>
      <c r="CV54" s="242"/>
      <c r="CW54" s="1133"/>
      <c r="CX54" s="242">
        <f t="shared" si="13"/>
        <v>0</v>
      </c>
      <c r="CY54" s="242"/>
      <c r="CZ54" s="242"/>
      <c r="DA54" s="237"/>
      <c r="DB54" s="214"/>
      <c r="DC54" s="1131"/>
      <c r="DD54" s="190"/>
      <c r="DE54" s="242"/>
      <c r="DF54" s="242"/>
      <c r="DG54" s="1133"/>
      <c r="DH54" s="242">
        <f t="shared" si="14"/>
        <v>0</v>
      </c>
      <c r="DI54" s="242"/>
      <c r="DJ54" s="242"/>
      <c r="DK54" s="214"/>
      <c r="DL54" s="214"/>
      <c r="DM54" s="1131"/>
      <c r="DN54" s="190"/>
      <c r="DO54" s="242"/>
      <c r="DP54" s="242"/>
      <c r="DQ54" s="1133"/>
      <c r="DR54" s="242">
        <f t="shared" si="15"/>
        <v>0</v>
      </c>
      <c r="DS54" s="242"/>
      <c r="DT54" s="242"/>
      <c r="DU54" s="214"/>
      <c r="DV54" s="214"/>
      <c r="DW54" s="1131"/>
      <c r="DX54" s="190"/>
      <c r="DY54" s="242"/>
      <c r="DZ54" s="242"/>
      <c r="EA54" s="1133"/>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24"/>
      <c r="C55" s="1124"/>
      <c r="D55" s="1124"/>
      <c r="E55" s="1124" t="s">
        <v>1061</v>
      </c>
      <c r="F55" s="1125">
        <f t="shared" si="2"/>
        <v>0</v>
      </c>
      <c r="G55" s="1126" t="str">
        <f t="shared" si="3"/>
        <v/>
      </c>
      <c r="H55" s="112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7">
        <f t="shared" si="66"/>
        <v>0</v>
      </c>
      <c r="J55" s="1128">
        <f t="shared" si="66"/>
        <v>0</v>
      </c>
      <c r="K55" s="214"/>
      <c r="L55" s="242" t="str">
        <f t="array" ref="L55">IFERROR(INDEX('💻シート作成'!$D$6:$D999, MATCH(M55, '💻シート作成'!$E$6:$E999, 0)), "")</f>
        <v>2月</v>
      </c>
      <c r="M55" s="1013" t="str">
        <f>IFERROR(__xludf.DUMMYFUNCTION("""COMPUTED_VALUE"""),"④R8_2月報")</f>
        <v>④R8_2月報</v>
      </c>
      <c r="N55" s="214"/>
      <c r="O55" s="1087"/>
      <c r="P55" s="214"/>
      <c r="Q55" s="1131">
        <f>IFERROR(__xludf.DUMMYFUNCTION("""COMPUTED_VALUE"""),2329.0)</f>
        <v>2329</v>
      </c>
      <c r="R55" s="1153" t="str">
        <f>IFERROR(__xludf.DUMMYFUNCTION("""COMPUTED_VALUE"""),"木戸")</f>
        <v>木戸</v>
      </c>
      <c r="S55" s="242"/>
      <c r="T55" s="242" t="str">
        <f>IFERROR(__xludf.DUMMYFUNCTION("""COMPUTED_VALUE"""),"時給")</f>
        <v>時給</v>
      </c>
      <c r="U55" s="1133">
        <f>IFERROR(__xludf.DUMMYFUNCTION("""COMPUTED_VALUE"""),15.0)</f>
        <v>15</v>
      </c>
      <c r="V55" s="242">
        <f t="shared" si="5"/>
        <v>0</v>
      </c>
      <c r="W55" s="1134">
        <f>IFERROR(__xludf.DUMMYFUNCTION("""COMPUTED_VALUE"""),87.1)</f>
        <v>87.1</v>
      </c>
      <c r="X55" s="242">
        <f>IFERROR(__xludf.DUMMYFUNCTION("""COMPUTED_VALUE"""),0.0)</f>
        <v>0</v>
      </c>
      <c r="Y55" s="214"/>
      <c r="Z55" s="214"/>
      <c r="AA55" s="1131"/>
      <c r="AB55" s="190"/>
      <c r="AC55" s="242"/>
      <c r="AD55" s="242" t="str">
        <f>IFERROR(__xludf.DUMMYFUNCTION("""COMPUTED_VALUE"""),"")</f>
        <v/>
      </c>
      <c r="AE55" s="1133" t="str">
        <f>IFERROR(__xludf.DUMMYFUNCTION("""COMPUTED_VALUE"""),"")</f>
        <v/>
      </c>
      <c r="AF55" s="242">
        <f t="shared" si="6"/>
        <v>0</v>
      </c>
      <c r="AG55" s="242" t="str">
        <f>IFERROR(__xludf.DUMMYFUNCTION("""COMPUTED_VALUE"""),"")</f>
        <v/>
      </c>
      <c r="AH55" s="242">
        <f>IFERROR(__xludf.DUMMYFUNCTION("""COMPUTED_VALUE"""),0.0)</f>
        <v>0</v>
      </c>
      <c r="AI55" s="214"/>
      <c r="AJ55" s="214"/>
      <c r="AK55" s="1131"/>
      <c r="AL55" s="190"/>
      <c r="AM55" s="242"/>
      <c r="AN55" s="242" t="str">
        <f>IFERROR(__xludf.DUMMYFUNCTION("""COMPUTED_VALUE"""),"")</f>
        <v/>
      </c>
      <c r="AO55" s="1133" t="str">
        <f>IFERROR(__xludf.DUMMYFUNCTION("""COMPUTED_VALUE"""),"")</f>
        <v/>
      </c>
      <c r="AP55" s="242">
        <f t="shared" si="7"/>
        <v>0</v>
      </c>
      <c r="AQ55" s="242" t="str">
        <f>IFERROR(__xludf.DUMMYFUNCTION("""COMPUTED_VALUE"""),"")</f>
        <v/>
      </c>
      <c r="AR55" s="242">
        <f>IFERROR(__xludf.DUMMYFUNCTION("""COMPUTED_VALUE"""),0.0)</f>
        <v>0</v>
      </c>
      <c r="AS55" s="237"/>
      <c r="AT55" s="214"/>
      <c r="AU55" s="1138"/>
      <c r="AV55" s="1154"/>
      <c r="AW55" s="1140"/>
      <c r="AX55" s="1140"/>
      <c r="AY55" s="1145"/>
      <c r="AZ55" s="1140">
        <f t="shared" si="8"/>
        <v>0</v>
      </c>
      <c r="BA55" s="1140"/>
      <c r="BB55" s="1140"/>
      <c r="BC55" s="214"/>
      <c r="BD55" s="214"/>
      <c r="BE55" s="1131"/>
      <c r="BF55" s="190"/>
      <c r="BG55" s="242"/>
      <c r="BH55" s="242"/>
      <c r="BI55" s="1133"/>
      <c r="BJ55" s="242">
        <f t="shared" si="9"/>
        <v>0</v>
      </c>
      <c r="BK55" s="242"/>
      <c r="BL55" s="242"/>
      <c r="BM55" s="214"/>
      <c r="BN55" s="214"/>
      <c r="BO55" s="1131"/>
      <c r="BP55" s="190"/>
      <c r="BQ55" s="242"/>
      <c r="BR55" s="242"/>
      <c r="BS55" s="1133"/>
      <c r="BT55" s="242">
        <f t="shared" si="10"/>
        <v>0</v>
      </c>
      <c r="BU55" s="242"/>
      <c r="BV55" s="242"/>
      <c r="BW55" s="237"/>
      <c r="BX55" s="214"/>
      <c r="BY55" s="1131"/>
      <c r="BZ55" s="190"/>
      <c r="CA55" s="242"/>
      <c r="CB55" s="242"/>
      <c r="CC55" s="1133"/>
      <c r="CD55" s="242">
        <f t="shared" si="11"/>
        <v>0</v>
      </c>
      <c r="CE55" s="242"/>
      <c r="CF55" s="242"/>
      <c r="CG55" s="214"/>
      <c r="CH55" s="214"/>
      <c r="CI55" s="1131"/>
      <c r="CJ55" s="190"/>
      <c r="CK55" s="242"/>
      <c r="CL55" s="242"/>
      <c r="CM55" s="1133"/>
      <c r="CN55" s="242">
        <f t="shared" si="12"/>
        <v>0</v>
      </c>
      <c r="CO55" s="242"/>
      <c r="CP55" s="242"/>
      <c r="CQ55" s="214"/>
      <c r="CR55" s="214"/>
      <c r="CS55" s="1131"/>
      <c r="CT55" s="190"/>
      <c r="CU55" s="242"/>
      <c r="CV55" s="242"/>
      <c r="CW55" s="1133"/>
      <c r="CX55" s="242">
        <f t="shared" si="13"/>
        <v>0</v>
      </c>
      <c r="CY55" s="242"/>
      <c r="CZ55" s="242"/>
      <c r="DA55" s="237"/>
      <c r="DB55" s="214"/>
      <c r="DC55" s="1131"/>
      <c r="DD55" s="190"/>
      <c r="DE55" s="242"/>
      <c r="DF55" s="242"/>
      <c r="DG55" s="1133"/>
      <c r="DH55" s="242">
        <f t="shared" si="14"/>
        <v>0</v>
      </c>
      <c r="DI55" s="242"/>
      <c r="DJ55" s="242"/>
      <c r="DK55" s="214"/>
      <c r="DL55" s="214"/>
      <c r="DM55" s="1131"/>
      <c r="DN55" s="190"/>
      <c r="DO55" s="242"/>
      <c r="DP55" s="242"/>
      <c r="DQ55" s="1133"/>
      <c r="DR55" s="242">
        <f t="shared" si="15"/>
        <v>0</v>
      </c>
      <c r="DS55" s="242"/>
      <c r="DT55" s="242"/>
      <c r="DU55" s="214"/>
      <c r="DV55" s="214"/>
      <c r="DW55" s="1131"/>
      <c r="DX55" s="190"/>
      <c r="DY55" s="242"/>
      <c r="DZ55" s="242"/>
      <c r="EA55" s="1133"/>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24"/>
      <c r="C56" s="1124"/>
      <c r="D56" s="1124"/>
      <c r="E56" s="1124" t="s">
        <v>1061</v>
      </c>
      <c r="F56" s="1125">
        <f t="shared" si="2"/>
        <v>0</v>
      </c>
      <c r="G56" s="1126" t="str">
        <f t="shared" si="3"/>
        <v/>
      </c>
      <c r="H56" s="112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7">
        <f t="shared" si="67"/>
        <v>0</v>
      </c>
      <c r="J56" s="1128">
        <f t="shared" si="67"/>
        <v>0</v>
      </c>
      <c r="K56" s="214"/>
      <c r="L56" s="242" t="str">
        <f t="array" ref="L56">IFERROR(INDEX('💻シート作成'!$D$6:$D999, MATCH(M56, '💻シート作成'!$E$6:$E999, 0)), "")</f>
        <v/>
      </c>
      <c r="M56" s="1013" t="str">
        <f>IFERROR(__xludf.DUMMYFUNCTION("""COMPUTED_VALUE"""),"💻シート作成")</f>
        <v>💻シート作成</v>
      </c>
      <c r="N56" s="214"/>
      <c r="O56" s="1087"/>
      <c r="P56" s="214"/>
      <c r="Q56" s="1131">
        <f>IFERROR(__xludf.DUMMYFUNCTION("""COMPUTED_VALUE"""),2333.0)</f>
        <v>2333</v>
      </c>
      <c r="R56" s="1153" t="str">
        <f>IFERROR(__xludf.DUMMYFUNCTION("""COMPUTED_VALUE"""),"シャウン")</f>
        <v>シャウン</v>
      </c>
      <c r="S56" s="242"/>
      <c r="T56" s="242" t="str">
        <f>IFERROR(__xludf.DUMMYFUNCTION("""COMPUTED_VALUE"""),"時給")</f>
        <v>時給</v>
      </c>
      <c r="U56" s="1133">
        <f>IFERROR(__xludf.DUMMYFUNCTION("""COMPUTED_VALUE"""),7.0)</f>
        <v>7</v>
      </c>
      <c r="V56" s="242">
        <f t="shared" si="5"/>
        <v>0</v>
      </c>
      <c r="W56" s="1134">
        <f>IFERROR(__xludf.DUMMYFUNCTION("""COMPUTED_VALUE"""),42.0)</f>
        <v>42</v>
      </c>
      <c r="X56" s="242">
        <f>IFERROR(__xludf.DUMMYFUNCTION("""COMPUTED_VALUE"""),0.0)</f>
        <v>0</v>
      </c>
      <c r="Y56" s="214"/>
      <c r="Z56" s="214"/>
      <c r="AA56" s="1131"/>
      <c r="AB56" s="190"/>
      <c r="AC56" s="242"/>
      <c r="AD56" s="242" t="str">
        <f>IFERROR(__xludf.DUMMYFUNCTION("""COMPUTED_VALUE"""),"")</f>
        <v/>
      </c>
      <c r="AE56" s="1133" t="str">
        <f>IFERROR(__xludf.DUMMYFUNCTION("""COMPUTED_VALUE"""),"")</f>
        <v/>
      </c>
      <c r="AF56" s="242">
        <f t="shared" si="6"/>
        <v>0</v>
      </c>
      <c r="AG56" s="242" t="str">
        <f>IFERROR(__xludf.DUMMYFUNCTION("""COMPUTED_VALUE"""),"")</f>
        <v/>
      </c>
      <c r="AH56" s="242">
        <f>IFERROR(__xludf.DUMMYFUNCTION("""COMPUTED_VALUE"""),0.0)</f>
        <v>0</v>
      </c>
      <c r="AI56" s="214"/>
      <c r="AJ56" s="214"/>
      <c r="AK56" s="1131"/>
      <c r="AL56" s="190"/>
      <c r="AM56" s="242"/>
      <c r="AN56" s="242" t="str">
        <f>IFERROR(__xludf.DUMMYFUNCTION("""COMPUTED_VALUE"""),"")</f>
        <v/>
      </c>
      <c r="AO56" s="1133" t="str">
        <f>IFERROR(__xludf.DUMMYFUNCTION("""COMPUTED_VALUE"""),"")</f>
        <v/>
      </c>
      <c r="AP56" s="242">
        <f t="shared" si="7"/>
        <v>0</v>
      </c>
      <c r="AQ56" s="242" t="str">
        <f>IFERROR(__xludf.DUMMYFUNCTION("""COMPUTED_VALUE"""),"")</f>
        <v/>
      </c>
      <c r="AR56" s="242">
        <f>IFERROR(__xludf.DUMMYFUNCTION("""COMPUTED_VALUE"""),0.0)</f>
        <v>0</v>
      </c>
      <c r="AS56" s="237"/>
      <c r="AT56" s="214"/>
      <c r="AU56" s="1138"/>
      <c r="AV56" s="1154"/>
      <c r="AW56" s="1140"/>
      <c r="AX56" s="1140"/>
      <c r="AY56" s="1145"/>
      <c r="AZ56" s="1140">
        <f t="shared" si="8"/>
        <v>0</v>
      </c>
      <c r="BA56" s="1140"/>
      <c r="BB56" s="1140"/>
      <c r="BC56" s="214"/>
      <c r="BD56" s="214"/>
      <c r="BE56" s="1131"/>
      <c r="BF56" s="190"/>
      <c r="BG56" s="242"/>
      <c r="BH56" s="242"/>
      <c r="BI56" s="1133"/>
      <c r="BJ56" s="242">
        <f t="shared" si="9"/>
        <v>0</v>
      </c>
      <c r="BK56" s="242"/>
      <c r="BL56" s="242"/>
      <c r="BM56" s="214"/>
      <c r="BN56" s="214"/>
      <c r="BO56" s="1131"/>
      <c r="BP56" s="190"/>
      <c r="BQ56" s="242"/>
      <c r="BR56" s="242"/>
      <c r="BS56" s="1133"/>
      <c r="BT56" s="242">
        <f t="shared" si="10"/>
        <v>0</v>
      </c>
      <c r="BU56" s="242"/>
      <c r="BV56" s="242"/>
      <c r="BW56" s="237"/>
      <c r="BX56" s="214"/>
      <c r="BY56" s="1131"/>
      <c r="BZ56" s="190"/>
      <c r="CA56" s="242"/>
      <c r="CB56" s="242"/>
      <c r="CC56" s="1133"/>
      <c r="CD56" s="242">
        <f t="shared" si="11"/>
        <v>0</v>
      </c>
      <c r="CE56" s="242"/>
      <c r="CF56" s="242"/>
      <c r="CG56" s="214"/>
      <c r="CH56" s="214"/>
      <c r="CI56" s="1131"/>
      <c r="CJ56" s="190"/>
      <c r="CK56" s="242"/>
      <c r="CL56" s="242"/>
      <c r="CM56" s="1133"/>
      <c r="CN56" s="242">
        <f t="shared" si="12"/>
        <v>0</v>
      </c>
      <c r="CO56" s="242"/>
      <c r="CP56" s="242"/>
      <c r="CQ56" s="214"/>
      <c r="CR56" s="214"/>
      <c r="CS56" s="1131"/>
      <c r="CT56" s="190"/>
      <c r="CU56" s="242"/>
      <c r="CV56" s="242"/>
      <c r="CW56" s="1133"/>
      <c r="CX56" s="242">
        <f t="shared" si="13"/>
        <v>0</v>
      </c>
      <c r="CY56" s="242"/>
      <c r="CZ56" s="242"/>
      <c r="DA56" s="237"/>
      <c r="DB56" s="214"/>
      <c r="DC56" s="1131"/>
      <c r="DD56" s="190"/>
      <c r="DE56" s="242"/>
      <c r="DF56" s="242"/>
      <c r="DG56" s="1133"/>
      <c r="DH56" s="242">
        <f t="shared" si="14"/>
        <v>0</v>
      </c>
      <c r="DI56" s="242"/>
      <c r="DJ56" s="242"/>
      <c r="DK56" s="214"/>
      <c r="DL56" s="214"/>
      <c r="DM56" s="1131"/>
      <c r="DN56" s="190"/>
      <c r="DO56" s="242"/>
      <c r="DP56" s="242"/>
      <c r="DQ56" s="1133"/>
      <c r="DR56" s="242">
        <f t="shared" si="15"/>
        <v>0</v>
      </c>
      <c r="DS56" s="242"/>
      <c r="DT56" s="242"/>
      <c r="DU56" s="214"/>
      <c r="DV56" s="214"/>
      <c r="DW56" s="1131"/>
      <c r="DX56" s="190"/>
      <c r="DY56" s="242"/>
      <c r="DZ56" s="242"/>
      <c r="EA56" s="1133"/>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24"/>
      <c r="C57" s="1124"/>
      <c r="D57" s="1124"/>
      <c r="E57" s="1124" t="s">
        <v>1061</v>
      </c>
      <c r="F57" s="1125">
        <f t="shared" si="2"/>
        <v>0</v>
      </c>
      <c r="G57" s="1126" t="str">
        <f t="shared" si="3"/>
        <v/>
      </c>
      <c r="H57" s="112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7">
        <f t="shared" si="68"/>
        <v>0</v>
      </c>
      <c r="J57" s="1128">
        <f t="shared" si="68"/>
        <v>0</v>
      </c>
      <c r="K57" s="214"/>
      <c r="L57" s="242" t="str">
        <f t="array" ref="L57">IFERROR(INDEX('💻シート作成'!$D$6:$D999, MATCH(M57, '💻シート作成'!$E$6:$E999, 0)), "")</f>
        <v/>
      </c>
      <c r="M57" s="1013" t="str">
        <f>IFERROR(__xludf.DUMMYFUNCTION("""COMPUTED_VALUE"""),"🌟目標数値")</f>
        <v>🌟目標数値</v>
      </c>
      <c r="N57" s="214"/>
      <c r="O57" s="1087"/>
      <c r="P57" s="214"/>
      <c r="Q57" s="1131">
        <f>IFERROR(__xludf.DUMMYFUNCTION("""COMPUTED_VALUE"""),2334.0)</f>
        <v>2334</v>
      </c>
      <c r="R57" s="1153" t="str">
        <f>IFERROR(__xludf.DUMMYFUNCTION("""COMPUTED_VALUE"""),"ダリア")</f>
        <v>ダリア</v>
      </c>
      <c r="S57" s="242"/>
      <c r="T57" s="242" t="str">
        <f>IFERROR(__xludf.DUMMYFUNCTION("""COMPUTED_VALUE"""),"時給")</f>
        <v>時給</v>
      </c>
      <c r="U57" s="1133">
        <f>IFERROR(__xludf.DUMMYFUNCTION("""COMPUTED_VALUE"""),16.0)</f>
        <v>16</v>
      </c>
      <c r="V57" s="242">
        <f t="shared" si="5"/>
        <v>2</v>
      </c>
      <c r="W57" s="1134">
        <f>IFERROR(__xludf.DUMMYFUNCTION("""COMPUTED_VALUE"""),91.8)</f>
        <v>91.8</v>
      </c>
      <c r="X57" s="242">
        <f>IFERROR(__xludf.DUMMYFUNCTION("""COMPUTED_VALUE"""),0.0)</f>
        <v>0</v>
      </c>
      <c r="Y57" s="214"/>
      <c r="Z57" s="214"/>
      <c r="AA57" s="1131"/>
      <c r="AB57" s="190"/>
      <c r="AC57" s="242"/>
      <c r="AD57" s="242" t="str">
        <f>IFERROR(__xludf.DUMMYFUNCTION("""COMPUTED_VALUE"""),"")</f>
        <v/>
      </c>
      <c r="AE57" s="1133" t="str">
        <f>IFERROR(__xludf.DUMMYFUNCTION("""COMPUTED_VALUE"""),"")</f>
        <v/>
      </c>
      <c r="AF57" s="242">
        <f t="shared" si="6"/>
        <v>0</v>
      </c>
      <c r="AG57" s="242" t="str">
        <f>IFERROR(__xludf.DUMMYFUNCTION("""COMPUTED_VALUE"""),"")</f>
        <v/>
      </c>
      <c r="AH57" s="242">
        <f>IFERROR(__xludf.DUMMYFUNCTION("""COMPUTED_VALUE"""),0.0)</f>
        <v>0</v>
      </c>
      <c r="AI57" s="214"/>
      <c r="AJ57" s="214"/>
      <c r="AK57" s="1131"/>
      <c r="AL57" s="190"/>
      <c r="AM57" s="242"/>
      <c r="AN57" s="242" t="str">
        <f>IFERROR(__xludf.DUMMYFUNCTION("""COMPUTED_VALUE"""),"")</f>
        <v/>
      </c>
      <c r="AO57" s="1133" t="str">
        <f>IFERROR(__xludf.DUMMYFUNCTION("""COMPUTED_VALUE"""),"")</f>
        <v/>
      </c>
      <c r="AP57" s="242">
        <f t="shared" si="7"/>
        <v>0</v>
      </c>
      <c r="AQ57" s="242" t="str">
        <f>IFERROR(__xludf.DUMMYFUNCTION("""COMPUTED_VALUE"""),"")</f>
        <v/>
      </c>
      <c r="AR57" s="242">
        <f>IFERROR(__xludf.DUMMYFUNCTION("""COMPUTED_VALUE"""),0.0)</f>
        <v>0</v>
      </c>
      <c r="AS57" s="237"/>
      <c r="AT57" s="214"/>
      <c r="AU57" s="1138"/>
      <c r="AV57" s="1154"/>
      <c r="AW57" s="1140"/>
      <c r="AX57" s="1140"/>
      <c r="AY57" s="1145"/>
      <c r="AZ57" s="1140">
        <f t="shared" si="8"/>
        <v>0</v>
      </c>
      <c r="BA57" s="1140"/>
      <c r="BB57" s="1140"/>
      <c r="BC57" s="214"/>
      <c r="BD57" s="214"/>
      <c r="BE57" s="1131"/>
      <c r="BF57" s="190"/>
      <c r="BG57" s="242"/>
      <c r="BH57" s="242"/>
      <c r="BI57" s="1133"/>
      <c r="BJ57" s="242">
        <f t="shared" si="9"/>
        <v>0</v>
      </c>
      <c r="BK57" s="242"/>
      <c r="BL57" s="242"/>
      <c r="BM57" s="214"/>
      <c r="BN57" s="214"/>
      <c r="BO57" s="1131"/>
      <c r="BP57" s="190"/>
      <c r="BQ57" s="242"/>
      <c r="BR57" s="242"/>
      <c r="BS57" s="1133"/>
      <c r="BT57" s="242">
        <f t="shared" si="10"/>
        <v>0</v>
      </c>
      <c r="BU57" s="242"/>
      <c r="BV57" s="242"/>
      <c r="BW57" s="237"/>
      <c r="BX57" s="214"/>
      <c r="BY57" s="1131"/>
      <c r="BZ57" s="190"/>
      <c r="CA57" s="242"/>
      <c r="CB57" s="242"/>
      <c r="CC57" s="1133"/>
      <c r="CD57" s="242">
        <f t="shared" si="11"/>
        <v>0</v>
      </c>
      <c r="CE57" s="242"/>
      <c r="CF57" s="242"/>
      <c r="CG57" s="214"/>
      <c r="CH57" s="214"/>
      <c r="CI57" s="1131"/>
      <c r="CJ57" s="190"/>
      <c r="CK57" s="242"/>
      <c r="CL57" s="242"/>
      <c r="CM57" s="1133"/>
      <c r="CN57" s="242">
        <f t="shared" si="12"/>
        <v>0</v>
      </c>
      <c r="CO57" s="242"/>
      <c r="CP57" s="242"/>
      <c r="CQ57" s="214"/>
      <c r="CR57" s="214"/>
      <c r="CS57" s="1131"/>
      <c r="CT57" s="190"/>
      <c r="CU57" s="242"/>
      <c r="CV57" s="242"/>
      <c r="CW57" s="1133"/>
      <c r="CX57" s="242">
        <f t="shared" si="13"/>
        <v>0</v>
      </c>
      <c r="CY57" s="242"/>
      <c r="CZ57" s="242"/>
      <c r="DA57" s="237"/>
      <c r="DB57" s="214"/>
      <c r="DC57" s="1131"/>
      <c r="DD57" s="190"/>
      <c r="DE57" s="242"/>
      <c r="DF57" s="242"/>
      <c r="DG57" s="1133"/>
      <c r="DH57" s="242">
        <f t="shared" si="14"/>
        <v>0</v>
      </c>
      <c r="DI57" s="242"/>
      <c r="DJ57" s="242"/>
      <c r="DK57" s="214"/>
      <c r="DL57" s="214"/>
      <c r="DM57" s="1131"/>
      <c r="DN57" s="190"/>
      <c r="DO57" s="242"/>
      <c r="DP57" s="242"/>
      <c r="DQ57" s="1133"/>
      <c r="DR57" s="242">
        <f t="shared" si="15"/>
        <v>0</v>
      </c>
      <c r="DS57" s="242"/>
      <c r="DT57" s="242"/>
      <c r="DU57" s="214"/>
      <c r="DV57" s="214"/>
      <c r="DW57" s="1131"/>
      <c r="DX57" s="190"/>
      <c r="DY57" s="242"/>
      <c r="DZ57" s="242"/>
      <c r="EA57" s="1133"/>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24"/>
      <c r="C58" s="1124"/>
      <c r="D58" s="1124"/>
      <c r="E58" s="1124" t="s">
        <v>1061</v>
      </c>
      <c r="F58" s="1125">
        <f t="shared" si="2"/>
        <v>0</v>
      </c>
      <c r="G58" s="1126" t="str">
        <f t="shared" si="3"/>
        <v/>
      </c>
      <c r="H58" s="112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7">
        <f t="shared" si="69"/>
        <v>0</v>
      </c>
      <c r="J58" s="1128">
        <f t="shared" si="69"/>
        <v>0</v>
      </c>
      <c r="K58" s="214"/>
      <c r="L58" s="242" t="str">
        <f t="array" ref="L58">IFERROR(INDEX('💻シート作成'!$D$6:$D999, MATCH(M58, '💻シート作成'!$E$6:$E999, 0)), "")</f>
        <v/>
      </c>
      <c r="M58" s="1013" t="str">
        <f>IFERROR(__xludf.DUMMYFUNCTION("""COMPUTED_VALUE"""),"🏆皆勤アワード")</f>
        <v>🏆皆勤アワード</v>
      </c>
      <c r="N58" s="214"/>
      <c r="O58" s="1087"/>
      <c r="P58" s="214"/>
      <c r="Q58" s="1131">
        <f>IFERROR(__xludf.DUMMYFUNCTION("""COMPUTED_VALUE"""),2336.0)</f>
        <v>2336</v>
      </c>
      <c r="R58" s="1153" t="str">
        <f>IFERROR(__xludf.DUMMYFUNCTION("""COMPUTED_VALUE"""),"アカシュ")</f>
        <v>アカシュ</v>
      </c>
      <c r="S58" s="242"/>
      <c r="T58" s="242" t="str">
        <f>IFERROR(__xludf.DUMMYFUNCTION("""COMPUTED_VALUE"""),"時給")</f>
        <v>時給</v>
      </c>
      <c r="U58" s="1133">
        <f>IFERROR(__xludf.DUMMYFUNCTION("""COMPUTED_VALUE"""),18.0)</f>
        <v>18</v>
      </c>
      <c r="V58" s="242">
        <f t="shared" si="5"/>
        <v>0</v>
      </c>
      <c r="W58" s="1134">
        <f>IFERROR(__xludf.DUMMYFUNCTION("""COMPUTED_VALUE"""),54.5)</f>
        <v>54.5</v>
      </c>
      <c r="X58" s="242">
        <f>IFERROR(__xludf.DUMMYFUNCTION("""COMPUTED_VALUE"""),0.0)</f>
        <v>0</v>
      </c>
      <c r="Y58" s="214"/>
      <c r="Z58" s="214"/>
      <c r="AA58" s="1131"/>
      <c r="AB58" s="190"/>
      <c r="AC58" s="242"/>
      <c r="AD58" s="242" t="str">
        <f>IFERROR(__xludf.DUMMYFUNCTION("""COMPUTED_VALUE"""),"")</f>
        <v/>
      </c>
      <c r="AE58" s="1133" t="str">
        <f>IFERROR(__xludf.DUMMYFUNCTION("""COMPUTED_VALUE"""),"")</f>
        <v/>
      </c>
      <c r="AF58" s="242">
        <f t="shared" si="6"/>
        <v>0</v>
      </c>
      <c r="AG58" s="242" t="str">
        <f>IFERROR(__xludf.DUMMYFUNCTION("""COMPUTED_VALUE"""),"")</f>
        <v/>
      </c>
      <c r="AH58" s="242">
        <f>IFERROR(__xludf.DUMMYFUNCTION("""COMPUTED_VALUE"""),0.0)</f>
        <v>0</v>
      </c>
      <c r="AI58" s="214"/>
      <c r="AJ58" s="214"/>
      <c r="AK58" s="1131"/>
      <c r="AL58" s="190"/>
      <c r="AM58" s="242"/>
      <c r="AN58" s="242" t="str">
        <f>IFERROR(__xludf.DUMMYFUNCTION("""COMPUTED_VALUE"""),"")</f>
        <v/>
      </c>
      <c r="AO58" s="1133" t="str">
        <f>IFERROR(__xludf.DUMMYFUNCTION("""COMPUTED_VALUE"""),"")</f>
        <v/>
      </c>
      <c r="AP58" s="242">
        <f t="shared" si="7"/>
        <v>0</v>
      </c>
      <c r="AQ58" s="242" t="str">
        <f>IFERROR(__xludf.DUMMYFUNCTION("""COMPUTED_VALUE"""),"")</f>
        <v/>
      </c>
      <c r="AR58" s="242">
        <f>IFERROR(__xludf.DUMMYFUNCTION("""COMPUTED_VALUE"""),0.0)</f>
        <v>0</v>
      </c>
      <c r="AS58" s="237"/>
      <c r="AT58" s="214"/>
      <c r="AU58" s="1138"/>
      <c r="AV58" s="1154"/>
      <c r="AW58" s="1140"/>
      <c r="AX58" s="1140"/>
      <c r="AY58" s="1145"/>
      <c r="AZ58" s="1140">
        <f t="shared" si="8"/>
        <v>0</v>
      </c>
      <c r="BA58" s="1140"/>
      <c r="BB58" s="1140"/>
      <c r="BC58" s="214"/>
      <c r="BD58" s="214"/>
      <c r="BE58" s="1131"/>
      <c r="BF58" s="190"/>
      <c r="BG58" s="242"/>
      <c r="BH58" s="242"/>
      <c r="BI58" s="1133"/>
      <c r="BJ58" s="242">
        <f t="shared" si="9"/>
        <v>0</v>
      </c>
      <c r="BK58" s="242"/>
      <c r="BL58" s="242"/>
      <c r="BM58" s="214"/>
      <c r="BN58" s="214"/>
      <c r="BO58" s="1131"/>
      <c r="BP58" s="190"/>
      <c r="BQ58" s="242"/>
      <c r="BR58" s="242"/>
      <c r="BS58" s="1133"/>
      <c r="BT58" s="242">
        <f t="shared" si="10"/>
        <v>0</v>
      </c>
      <c r="BU58" s="242"/>
      <c r="BV58" s="242"/>
      <c r="BW58" s="237"/>
      <c r="BX58" s="214"/>
      <c r="BY58" s="1131"/>
      <c r="BZ58" s="190"/>
      <c r="CA58" s="242"/>
      <c r="CB58" s="242"/>
      <c r="CC58" s="1133"/>
      <c r="CD58" s="242">
        <f t="shared" si="11"/>
        <v>0</v>
      </c>
      <c r="CE58" s="242"/>
      <c r="CF58" s="242"/>
      <c r="CG58" s="214"/>
      <c r="CH58" s="214"/>
      <c r="CI58" s="1131"/>
      <c r="CJ58" s="190"/>
      <c r="CK58" s="242"/>
      <c r="CL58" s="242"/>
      <c r="CM58" s="1133"/>
      <c r="CN58" s="242">
        <f t="shared" si="12"/>
        <v>0</v>
      </c>
      <c r="CO58" s="242"/>
      <c r="CP58" s="242"/>
      <c r="CQ58" s="214"/>
      <c r="CR58" s="214"/>
      <c r="CS58" s="1131"/>
      <c r="CT58" s="190"/>
      <c r="CU58" s="242"/>
      <c r="CV58" s="242"/>
      <c r="CW58" s="1133"/>
      <c r="CX58" s="242">
        <f t="shared" si="13"/>
        <v>0</v>
      </c>
      <c r="CY58" s="242"/>
      <c r="CZ58" s="242"/>
      <c r="DA58" s="237"/>
      <c r="DB58" s="214"/>
      <c r="DC58" s="1131"/>
      <c r="DD58" s="190"/>
      <c r="DE58" s="242"/>
      <c r="DF58" s="242"/>
      <c r="DG58" s="1133"/>
      <c r="DH58" s="242">
        <f t="shared" si="14"/>
        <v>0</v>
      </c>
      <c r="DI58" s="242"/>
      <c r="DJ58" s="242"/>
      <c r="DK58" s="214"/>
      <c r="DL58" s="214"/>
      <c r="DM58" s="1131"/>
      <c r="DN58" s="190"/>
      <c r="DO58" s="242"/>
      <c r="DP58" s="242"/>
      <c r="DQ58" s="1133"/>
      <c r="DR58" s="242">
        <f t="shared" si="15"/>
        <v>0</v>
      </c>
      <c r="DS58" s="242"/>
      <c r="DT58" s="242"/>
      <c r="DU58" s="214"/>
      <c r="DV58" s="214"/>
      <c r="DW58" s="1131"/>
      <c r="DX58" s="190"/>
      <c r="DY58" s="242"/>
      <c r="DZ58" s="242"/>
      <c r="EA58" s="1133"/>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24"/>
      <c r="C59" s="1124"/>
      <c r="D59" s="1124"/>
      <c r="E59" s="1124" t="s">
        <v>1061</v>
      </c>
      <c r="F59" s="1125">
        <f t="shared" si="2"/>
        <v>0</v>
      </c>
      <c r="G59" s="1126" t="str">
        <f t="shared" si="3"/>
        <v/>
      </c>
      <c r="H59" s="112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7">
        <f t="shared" si="70"/>
        <v>0</v>
      </c>
      <c r="J59" s="1128">
        <f t="shared" si="70"/>
        <v>0</v>
      </c>
      <c r="K59" s="214"/>
      <c r="L59" s="242" t="str">
        <f t="array" ref="L59">IFERROR(INDEX('💻シート作成'!$D$6:$D999, MATCH(M59, '💻シート作成'!$E$6:$E999, 0)), "")</f>
        <v/>
      </c>
      <c r="M59" s="1013" t="str">
        <f>IFERROR(__xludf.DUMMYFUNCTION("""COMPUTED_VALUE"""),"⚙️抽出用")</f>
        <v>⚙️抽出用</v>
      </c>
      <c r="N59" s="214"/>
      <c r="O59" s="1087"/>
      <c r="P59" s="214"/>
      <c r="Q59" s="1131">
        <f>IFERROR(__xludf.DUMMYFUNCTION("""COMPUTED_VALUE"""),2337.0)</f>
        <v>2337</v>
      </c>
      <c r="R59" s="190" t="str">
        <f>IFERROR(__xludf.DUMMYFUNCTION("""COMPUTED_VALUE"""),"ムナ")</f>
        <v>ムナ</v>
      </c>
      <c r="S59" s="242"/>
      <c r="T59" s="242" t="str">
        <f>IFERROR(__xludf.DUMMYFUNCTION("""COMPUTED_VALUE"""),"時給")</f>
        <v>時給</v>
      </c>
      <c r="U59" s="1133">
        <f>IFERROR(__xludf.DUMMYFUNCTION("""COMPUTED_VALUE"""),23.0)</f>
        <v>23</v>
      </c>
      <c r="V59" s="242">
        <f t="shared" si="5"/>
        <v>0</v>
      </c>
      <c r="W59" s="1134">
        <f>IFERROR(__xludf.DUMMYFUNCTION("""COMPUTED_VALUE"""),140.3)</f>
        <v>140.3</v>
      </c>
      <c r="X59" s="242">
        <f>IFERROR(__xludf.DUMMYFUNCTION("""COMPUTED_VALUE"""),0.0)</f>
        <v>0</v>
      </c>
      <c r="Y59" s="214"/>
      <c r="Z59" s="214"/>
      <c r="AA59" s="1131"/>
      <c r="AB59" s="190"/>
      <c r="AC59" s="242"/>
      <c r="AD59" s="242" t="str">
        <f>IFERROR(__xludf.DUMMYFUNCTION("""COMPUTED_VALUE"""),"")</f>
        <v/>
      </c>
      <c r="AE59" s="1133" t="str">
        <f>IFERROR(__xludf.DUMMYFUNCTION("""COMPUTED_VALUE"""),"")</f>
        <v/>
      </c>
      <c r="AF59" s="242">
        <f t="shared" si="6"/>
        <v>0</v>
      </c>
      <c r="AG59" s="242" t="str">
        <f>IFERROR(__xludf.DUMMYFUNCTION("""COMPUTED_VALUE"""),"")</f>
        <v/>
      </c>
      <c r="AH59" s="242">
        <f>IFERROR(__xludf.DUMMYFUNCTION("""COMPUTED_VALUE"""),0.0)</f>
        <v>0</v>
      </c>
      <c r="AI59" s="214"/>
      <c r="AJ59" s="214"/>
      <c r="AK59" s="1131"/>
      <c r="AL59" s="190"/>
      <c r="AM59" s="242"/>
      <c r="AN59" s="242" t="str">
        <f>IFERROR(__xludf.DUMMYFUNCTION("""COMPUTED_VALUE"""),"")</f>
        <v/>
      </c>
      <c r="AO59" s="1133" t="str">
        <f>IFERROR(__xludf.DUMMYFUNCTION("""COMPUTED_VALUE"""),"")</f>
        <v/>
      </c>
      <c r="AP59" s="242">
        <f t="shared" si="7"/>
        <v>0</v>
      </c>
      <c r="AQ59" s="242" t="str">
        <f>IFERROR(__xludf.DUMMYFUNCTION("""COMPUTED_VALUE"""),"")</f>
        <v/>
      </c>
      <c r="AR59" s="242">
        <f>IFERROR(__xludf.DUMMYFUNCTION("""COMPUTED_VALUE"""),0.0)</f>
        <v>0</v>
      </c>
      <c r="AS59" s="237"/>
      <c r="AT59" s="214"/>
      <c r="AU59" s="1138"/>
      <c r="AV59" s="1154"/>
      <c r="AW59" s="1140"/>
      <c r="AX59" s="1140"/>
      <c r="AY59" s="1145"/>
      <c r="AZ59" s="1140">
        <f t="shared" si="8"/>
        <v>0</v>
      </c>
      <c r="BA59" s="1140"/>
      <c r="BB59" s="1140"/>
      <c r="BC59" s="214"/>
      <c r="BD59" s="214"/>
      <c r="BE59" s="1131"/>
      <c r="BF59" s="190"/>
      <c r="BG59" s="242"/>
      <c r="BH59" s="242"/>
      <c r="BI59" s="1133"/>
      <c r="BJ59" s="242">
        <f t="shared" si="9"/>
        <v>0</v>
      </c>
      <c r="BK59" s="242"/>
      <c r="BL59" s="242"/>
      <c r="BM59" s="214"/>
      <c r="BN59" s="214"/>
      <c r="BO59" s="1131"/>
      <c r="BP59" s="190"/>
      <c r="BQ59" s="242"/>
      <c r="BR59" s="242"/>
      <c r="BS59" s="1133"/>
      <c r="BT59" s="242">
        <f t="shared" si="10"/>
        <v>0</v>
      </c>
      <c r="BU59" s="242"/>
      <c r="BV59" s="242"/>
      <c r="BW59" s="237"/>
      <c r="BX59" s="214"/>
      <c r="BY59" s="1131"/>
      <c r="BZ59" s="190"/>
      <c r="CA59" s="242"/>
      <c r="CB59" s="242"/>
      <c r="CC59" s="1133"/>
      <c r="CD59" s="242">
        <f t="shared" si="11"/>
        <v>0</v>
      </c>
      <c r="CE59" s="242"/>
      <c r="CF59" s="242"/>
      <c r="CG59" s="214"/>
      <c r="CH59" s="214"/>
      <c r="CI59" s="1131"/>
      <c r="CJ59" s="190"/>
      <c r="CK59" s="242"/>
      <c r="CL59" s="242"/>
      <c r="CM59" s="1133"/>
      <c r="CN59" s="242">
        <f t="shared" si="12"/>
        <v>0</v>
      </c>
      <c r="CO59" s="242"/>
      <c r="CP59" s="242"/>
      <c r="CQ59" s="214"/>
      <c r="CR59" s="214"/>
      <c r="CS59" s="1131"/>
      <c r="CT59" s="190"/>
      <c r="CU59" s="242"/>
      <c r="CV59" s="242"/>
      <c r="CW59" s="1133"/>
      <c r="CX59" s="242">
        <f t="shared" si="13"/>
        <v>0</v>
      </c>
      <c r="CY59" s="242"/>
      <c r="CZ59" s="242"/>
      <c r="DA59" s="237"/>
      <c r="DB59" s="214"/>
      <c r="DC59" s="1131"/>
      <c r="DD59" s="190"/>
      <c r="DE59" s="242"/>
      <c r="DF59" s="242"/>
      <c r="DG59" s="1133"/>
      <c r="DH59" s="242">
        <f t="shared" si="14"/>
        <v>0</v>
      </c>
      <c r="DI59" s="242"/>
      <c r="DJ59" s="242"/>
      <c r="DK59" s="214"/>
      <c r="DL59" s="214"/>
      <c r="DM59" s="1131"/>
      <c r="DN59" s="190"/>
      <c r="DO59" s="242"/>
      <c r="DP59" s="242"/>
      <c r="DQ59" s="1133"/>
      <c r="DR59" s="242">
        <f t="shared" si="15"/>
        <v>0</v>
      </c>
      <c r="DS59" s="242"/>
      <c r="DT59" s="242"/>
      <c r="DU59" s="214"/>
      <c r="DV59" s="214"/>
      <c r="DW59" s="1131"/>
      <c r="DX59" s="190"/>
      <c r="DY59" s="242"/>
      <c r="DZ59" s="242"/>
      <c r="EA59" s="1133"/>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24"/>
      <c r="C60" s="1124"/>
      <c r="D60" s="1124"/>
      <c r="E60" s="1124" t="s">
        <v>1061</v>
      </c>
      <c r="F60" s="1125">
        <f t="shared" si="2"/>
        <v>0</v>
      </c>
      <c r="G60" s="1126" t="str">
        <f t="shared" si="3"/>
        <v/>
      </c>
      <c r="H60" s="112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7">
        <f t="shared" si="71"/>
        <v>0</v>
      </c>
      <c r="J60" s="1128">
        <f t="shared" si="71"/>
        <v>0</v>
      </c>
      <c r="K60" s="214"/>
      <c r="L60" s="242" t="str">
        <f t="array" ref="L60">IFERROR(INDEX('💻シート作成'!$D$6:$D999, MATCH(M60, '💻シート作成'!$E$6:$E999, 0)), "")</f>
        <v/>
      </c>
      <c r="M60" s="1013" t="str">
        <f>IFERROR(__xludf.DUMMYFUNCTION("""COMPUTED_VALUE"""),"①集計_原本")</f>
        <v>①集計_原本</v>
      </c>
      <c r="N60" s="214"/>
      <c r="O60" s="1087"/>
      <c r="P60" s="214"/>
      <c r="Q60" s="1131">
        <f>IFERROR(__xludf.DUMMYFUNCTION("""COMPUTED_VALUE"""),2347.0)</f>
        <v>2347</v>
      </c>
      <c r="R60" s="190" t="str">
        <f>IFERROR(__xludf.DUMMYFUNCTION("""COMPUTED_VALUE"""),"ゴマ")</f>
        <v>ゴマ</v>
      </c>
      <c r="S60" s="242"/>
      <c r="T60" s="242" t="str">
        <f>IFERROR(__xludf.DUMMYFUNCTION("""COMPUTED_VALUE"""),"時給")</f>
        <v>時給</v>
      </c>
      <c r="U60" s="1133">
        <f>IFERROR(__xludf.DUMMYFUNCTION("""COMPUTED_VALUE"""),6.0)</f>
        <v>6</v>
      </c>
      <c r="V60" s="242">
        <f t="shared" si="5"/>
        <v>0</v>
      </c>
      <c r="W60" s="1134">
        <f>IFERROR(__xludf.DUMMYFUNCTION("""COMPUTED_VALUE"""),30.7)</f>
        <v>30.7</v>
      </c>
      <c r="X60" s="242">
        <f>IFERROR(__xludf.DUMMYFUNCTION("""COMPUTED_VALUE"""),0.0)</f>
        <v>0</v>
      </c>
      <c r="Y60" s="214"/>
      <c r="Z60" s="214"/>
      <c r="AA60" s="1131"/>
      <c r="AB60" s="190"/>
      <c r="AC60" s="242"/>
      <c r="AD60" s="242" t="str">
        <f>IFERROR(__xludf.DUMMYFUNCTION("""COMPUTED_VALUE"""),"")</f>
        <v/>
      </c>
      <c r="AE60" s="1133" t="str">
        <f>IFERROR(__xludf.DUMMYFUNCTION("""COMPUTED_VALUE"""),"")</f>
        <v/>
      </c>
      <c r="AF60" s="242">
        <f t="shared" si="6"/>
        <v>0</v>
      </c>
      <c r="AG60" s="242" t="str">
        <f>IFERROR(__xludf.DUMMYFUNCTION("""COMPUTED_VALUE"""),"")</f>
        <v/>
      </c>
      <c r="AH60" s="242">
        <f>IFERROR(__xludf.DUMMYFUNCTION("""COMPUTED_VALUE"""),0.0)</f>
        <v>0</v>
      </c>
      <c r="AI60" s="214"/>
      <c r="AJ60" s="214"/>
      <c r="AK60" s="1131"/>
      <c r="AL60" s="190"/>
      <c r="AM60" s="242"/>
      <c r="AN60" s="242" t="str">
        <f>IFERROR(__xludf.DUMMYFUNCTION("""COMPUTED_VALUE"""),"")</f>
        <v/>
      </c>
      <c r="AO60" s="1133" t="str">
        <f>IFERROR(__xludf.DUMMYFUNCTION("""COMPUTED_VALUE"""),"")</f>
        <v/>
      </c>
      <c r="AP60" s="242">
        <f t="shared" si="7"/>
        <v>0</v>
      </c>
      <c r="AQ60" s="242" t="str">
        <f>IFERROR(__xludf.DUMMYFUNCTION("""COMPUTED_VALUE"""),"")</f>
        <v/>
      </c>
      <c r="AR60" s="242">
        <f>IFERROR(__xludf.DUMMYFUNCTION("""COMPUTED_VALUE"""),0.0)</f>
        <v>0</v>
      </c>
      <c r="AS60" s="237"/>
      <c r="AT60" s="214"/>
      <c r="AU60" s="1138"/>
      <c r="AV60" s="1154"/>
      <c r="AW60" s="1140"/>
      <c r="AX60" s="1140"/>
      <c r="AY60" s="1145"/>
      <c r="AZ60" s="1140">
        <f t="shared" si="8"/>
        <v>0</v>
      </c>
      <c r="BA60" s="1140"/>
      <c r="BB60" s="1140"/>
      <c r="BC60" s="214"/>
      <c r="BD60" s="214"/>
      <c r="BE60" s="1131"/>
      <c r="BF60" s="190"/>
      <c r="BG60" s="242"/>
      <c r="BH60" s="242"/>
      <c r="BI60" s="1133"/>
      <c r="BJ60" s="242">
        <f t="shared" si="9"/>
        <v>0</v>
      </c>
      <c r="BK60" s="242"/>
      <c r="BL60" s="242"/>
      <c r="BM60" s="214"/>
      <c r="BN60" s="214"/>
      <c r="BO60" s="1131"/>
      <c r="BP60" s="190"/>
      <c r="BQ60" s="242"/>
      <c r="BR60" s="242"/>
      <c r="BS60" s="1133"/>
      <c r="BT60" s="242">
        <f t="shared" si="10"/>
        <v>0</v>
      </c>
      <c r="BU60" s="242"/>
      <c r="BV60" s="242"/>
      <c r="BW60" s="237"/>
      <c r="BX60" s="214"/>
      <c r="BY60" s="1131"/>
      <c r="BZ60" s="190"/>
      <c r="CA60" s="242"/>
      <c r="CB60" s="242"/>
      <c r="CC60" s="1133"/>
      <c r="CD60" s="242">
        <f t="shared" si="11"/>
        <v>0</v>
      </c>
      <c r="CE60" s="242"/>
      <c r="CF60" s="242"/>
      <c r="CG60" s="214"/>
      <c r="CH60" s="214"/>
      <c r="CI60" s="1131"/>
      <c r="CJ60" s="190"/>
      <c r="CK60" s="242"/>
      <c r="CL60" s="242"/>
      <c r="CM60" s="1133"/>
      <c r="CN60" s="242">
        <f t="shared" si="12"/>
        <v>0</v>
      </c>
      <c r="CO60" s="242"/>
      <c r="CP60" s="242"/>
      <c r="CQ60" s="214"/>
      <c r="CR60" s="214"/>
      <c r="CS60" s="1131"/>
      <c r="CT60" s="190"/>
      <c r="CU60" s="242"/>
      <c r="CV60" s="242"/>
      <c r="CW60" s="1133"/>
      <c r="CX60" s="242">
        <f t="shared" si="13"/>
        <v>0</v>
      </c>
      <c r="CY60" s="242"/>
      <c r="CZ60" s="242"/>
      <c r="DA60" s="237"/>
      <c r="DB60" s="214"/>
      <c r="DC60" s="1131"/>
      <c r="DD60" s="190"/>
      <c r="DE60" s="242"/>
      <c r="DF60" s="242"/>
      <c r="DG60" s="1133"/>
      <c r="DH60" s="242">
        <f t="shared" si="14"/>
        <v>0</v>
      </c>
      <c r="DI60" s="242"/>
      <c r="DJ60" s="242"/>
      <c r="DK60" s="214"/>
      <c r="DL60" s="214"/>
      <c r="DM60" s="1131"/>
      <c r="DN60" s="190"/>
      <c r="DO60" s="242"/>
      <c r="DP60" s="242"/>
      <c r="DQ60" s="1133"/>
      <c r="DR60" s="242">
        <f t="shared" si="15"/>
        <v>0</v>
      </c>
      <c r="DS60" s="242"/>
      <c r="DT60" s="242"/>
      <c r="DU60" s="214"/>
      <c r="DV60" s="214"/>
      <c r="DW60" s="1131"/>
      <c r="DX60" s="190"/>
      <c r="DY60" s="242"/>
      <c r="DZ60" s="242"/>
      <c r="EA60" s="1133"/>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24"/>
      <c r="C61" s="1124"/>
      <c r="D61" s="1124"/>
      <c r="E61" s="1124" t="s">
        <v>1061</v>
      </c>
      <c r="F61" s="1125">
        <f t="shared" si="2"/>
        <v>0</v>
      </c>
      <c r="G61" s="1126" t="str">
        <f t="shared" si="3"/>
        <v/>
      </c>
      <c r="H61" s="112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7">
        <f t="shared" si="72"/>
        <v>0</v>
      </c>
      <c r="J61" s="1128">
        <f t="shared" si="72"/>
        <v>0</v>
      </c>
      <c r="K61" s="214"/>
      <c r="L61" s="242" t="str">
        <f t="array" ref="L61">IFERROR(INDEX('💻シート作成'!$D$6:$D999, MATCH(M61, '💻シート作成'!$E$6:$E999, 0)), "")</f>
        <v/>
      </c>
      <c r="M61" s="1013" t="str">
        <f>IFERROR(__xludf.DUMMYFUNCTION("""COMPUTED_VALUE"""),"②シフト_原本")</f>
        <v>②シフト_原本</v>
      </c>
      <c r="N61" s="214"/>
      <c r="O61" s="1087"/>
      <c r="P61" s="214"/>
      <c r="Q61" s="1131">
        <f>IFERROR(__xludf.DUMMYFUNCTION("""COMPUTED_VALUE"""),2363.0)</f>
        <v>2363</v>
      </c>
      <c r="R61" s="190" t="str">
        <f>IFERROR(__xludf.DUMMYFUNCTION("""COMPUTED_VALUE"""),"クマル")</f>
        <v>クマル</v>
      </c>
      <c r="S61" s="242"/>
      <c r="T61" s="242" t="str">
        <f>IFERROR(__xludf.DUMMYFUNCTION("""COMPUTED_VALUE"""),"時給")</f>
        <v>時給</v>
      </c>
      <c r="U61" s="1133">
        <f>IFERROR(__xludf.DUMMYFUNCTION("""COMPUTED_VALUE"""),7.0)</f>
        <v>7</v>
      </c>
      <c r="V61" s="242">
        <f t="shared" si="5"/>
        <v>0</v>
      </c>
      <c r="W61" s="1134">
        <f>IFERROR(__xludf.DUMMYFUNCTION("""COMPUTED_VALUE"""),30.0)</f>
        <v>30</v>
      </c>
      <c r="X61" s="242">
        <f>IFERROR(__xludf.DUMMYFUNCTION("""COMPUTED_VALUE"""),0.0)</f>
        <v>0</v>
      </c>
      <c r="Y61" s="214"/>
      <c r="Z61" s="214"/>
      <c r="AA61" s="1131"/>
      <c r="AB61" s="190"/>
      <c r="AC61" s="242"/>
      <c r="AD61" s="242" t="str">
        <f>IFERROR(__xludf.DUMMYFUNCTION("""COMPUTED_VALUE"""),"")</f>
        <v/>
      </c>
      <c r="AE61" s="1133" t="str">
        <f>IFERROR(__xludf.DUMMYFUNCTION("""COMPUTED_VALUE"""),"")</f>
        <v/>
      </c>
      <c r="AF61" s="242">
        <f t="shared" si="6"/>
        <v>0</v>
      </c>
      <c r="AG61" s="242" t="str">
        <f>IFERROR(__xludf.DUMMYFUNCTION("""COMPUTED_VALUE"""),"")</f>
        <v/>
      </c>
      <c r="AH61" s="242">
        <f>IFERROR(__xludf.DUMMYFUNCTION("""COMPUTED_VALUE"""),0.0)</f>
        <v>0</v>
      </c>
      <c r="AI61" s="214"/>
      <c r="AJ61" s="214"/>
      <c r="AK61" s="1131"/>
      <c r="AL61" s="190"/>
      <c r="AM61" s="242"/>
      <c r="AN61" s="242" t="str">
        <f>IFERROR(__xludf.DUMMYFUNCTION("""COMPUTED_VALUE"""),"")</f>
        <v/>
      </c>
      <c r="AO61" s="1133" t="str">
        <f>IFERROR(__xludf.DUMMYFUNCTION("""COMPUTED_VALUE"""),"")</f>
        <v/>
      </c>
      <c r="AP61" s="242">
        <f t="shared" si="7"/>
        <v>0</v>
      </c>
      <c r="AQ61" s="242" t="str">
        <f>IFERROR(__xludf.DUMMYFUNCTION("""COMPUTED_VALUE"""),"")</f>
        <v/>
      </c>
      <c r="AR61" s="242">
        <f>IFERROR(__xludf.DUMMYFUNCTION("""COMPUTED_VALUE"""),0.0)</f>
        <v>0</v>
      </c>
      <c r="AS61" s="237"/>
      <c r="AT61" s="214"/>
      <c r="AU61" s="1138"/>
      <c r="AV61" s="1154"/>
      <c r="AW61" s="1140"/>
      <c r="AX61" s="1140"/>
      <c r="AY61" s="1145"/>
      <c r="AZ61" s="1140">
        <f t="shared" si="8"/>
        <v>0</v>
      </c>
      <c r="BA61" s="1140"/>
      <c r="BB61" s="1140"/>
      <c r="BC61" s="214"/>
      <c r="BD61" s="214"/>
      <c r="BE61" s="1131"/>
      <c r="BF61" s="190"/>
      <c r="BG61" s="242"/>
      <c r="BH61" s="242"/>
      <c r="BI61" s="1133"/>
      <c r="BJ61" s="242">
        <f t="shared" si="9"/>
        <v>0</v>
      </c>
      <c r="BK61" s="242"/>
      <c r="BL61" s="242"/>
      <c r="BM61" s="214"/>
      <c r="BN61" s="214"/>
      <c r="BO61" s="1131"/>
      <c r="BP61" s="190"/>
      <c r="BQ61" s="242"/>
      <c r="BR61" s="242"/>
      <c r="BS61" s="1133"/>
      <c r="BT61" s="242">
        <f t="shared" si="10"/>
        <v>0</v>
      </c>
      <c r="BU61" s="242"/>
      <c r="BV61" s="242"/>
      <c r="BW61" s="237"/>
      <c r="BX61" s="214"/>
      <c r="BY61" s="1131"/>
      <c r="BZ61" s="190"/>
      <c r="CA61" s="242"/>
      <c r="CB61" s="242"/>
      <c r="CC61" s="1133"/>
      <c r="CD61" s="242">
        <f t="shared" si="11"/>
        <v>0</v>
      </c>
      <c r="CE61" s="242"/>
      <c r="CF61" s="242"/>
      <c r="CG61" s="214"/>
      <c r="CH61" s="214"/>
      <c r="CI61" s="1131"/>
      <c r="CJ61" s="190"/>
      <c r="CK61" s="242"/>
      <c r="CL61" s="242"/>
      <c r="CM61" s="1133"/>
      <c r="CN61" s="242">
        <f t="shared" si="12"/>
        <v>0</v>
      </c>
      <c r="CO61" s="242"/>
      <c r="CP61" s="242"/>
      <c r="CQ61" s="214"/>
      <c r="CR61" s="214"/>
      <c r="CS61" s="1131"/>
      <c r="CT61" s="190"/>
      <c r="CU61" s="242"/>
      <c r="CV61" s="242"/>
      <c r="CW61" s="1133"/>
      <c r="CX61" s="242">
        <f t="shared" si="13"/>
        <v>0</v>
      </c>
      <c r="CY61" s="242"/>
      <c r="CZ61" s="242"/>
      <c r="DA61" s="237"/>
      <c r="DB61" s="214"/>
      <c r="DC61" s="1131"/>
      <c r="DD61" s="190"/>
      <c r="DE61" s="242"/>
      <c r="DF61" s="242"/>
      <c r="DG61" s="1133"/>
      <c r="DH61" s="242">
        <f t="shared" si="14"/>
        <v>0</v>
      </c>
      <c r="DI61" s="242"/>
      <c r="DJ61" s="242"/>
      <c r="DK61" s="214"/>
      <c r="DL61" s="214"/>
      <c r="DM61" s="1131"/>
      <c r="DN61" s="190"/>
      <c r="DO61" s="242"/>
      <c r="DP61" s="242"/>
      <c r="DQ61" s="1133"/>
      <c r="DR61" s="242">
        <f t="shared" si="15"/>
        <v>0</v>
      </c>
      <c r="DS61" s="242"/>
      <c r="DT61" s="242"/>
      <c r="DU61" s="214"/>
      <c r="DV61" s="214"/>
      <c r="DW61" s="1131"/>
      <c r="DX61" s="190"/>
      <c r="DY61" s="242"/>
      <c r="DZ61" s="242"/>
      <c r="EA61" s="1133"/>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24"/>
      <c r="C62" s="1124"/>
      <c r="D62" s="1124"/>
      <c r="E62" s="1124" t="s">
        <v>1061</v>
      </c>
      <c r="F62" s="1125">
        <f t="shared" si="2"/>
        <v>0</v>
      </c>
      <c r="G62" s="1126" t="str">
        <f t="shared" si="3"/>
        <v/>
      </c>
      <c r="H62" s="112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7">
        <f t="shared" si="73"/>
        <v>0</v>
      </c>
      <c r="J62" s="1128">
        <f t="shared" si="73"/>
        <v>0</v>
      </c>
      <c r="K62" s="214"/>
      <c r="L62" s="242" t="str">
        <f t="array" ref="L62">IFERROR(INDEX('💻シート作成'!$D$6:$D999, MATCH(M62, '💻シート作成'!$E$6:$E999, 0)), "")</f>
        <v/>
      </c>
      <c r="M62" s="1013" t="str">
        <f>IFERROR(__xludf.DUMMYFUNCTION("""COMPUTED_VALUE"""),"③日報_原本")</f>
        <v>③日報_原本</v>
      </c>
      <c r="N62" s="214"/>
      <c r="O62" s="1087"/>
      <c r="P62" s="214"/>
      <c r="Q62" s="1131"/>
      <c r="R62" s="190"/>
      <c r="S62" s="242"/>
      <c r="T62" s="242" t="str">
        <f>IFERROR(__xludf.DUMMYFUNCTION("""COMPUTED_VALUE"""),"")</f>
        <v/>
      </c>
      <c r="U62" s="1133" t="str">
        <f>IFERROR(__xludf.DUMMYFUNCTION("""COMPUTED_VALUE"""),"")</f>
        <v/>
      </c>
      <c r="V62" s="242">
        <f t="shared" si="5"/>
        <v>0</v>
      </c>
      <c r="W62" s="242" t="str">
        <f>IFERROR(__xludf.DUMMYFUNCTION("""COMPUTED_VALUE"""),"")</f>
        <v/>
      </c>
      <c r="X62" s="242">
        <f>IFERROR(__xludf.DUMMYFUNCTION("""COMPUTED_VALUE"""),0.0)</f>
        <v>0</v>
      </c>
      <c r="Y62" s="214"/>
      <c r="Z62" s="214"/>
      <c r="AA62" s="1131"/>
      <c r="AB62" s="190"/>
      <c r="AC62" s="242"/>
      <c r="AD62" s="242" t="str">
        <f>IFERROR(__xludf.DUMMYFUNCTION("""COMPUTED_VALUE"""),"")</f>
        <v/>
      </c>
      <c r="AE62" s="1133" t="str">
        <f>IFERROR(__xludf.DUMMYFUNCTION("""COMPUTED_VALUE"""),"")</f>
        <v/>
      </c>
      <c r="AF62" s="242">
        <f t="shared" si="6"/>
        <v>0</v>
      </c>
      <c r="AG62" s="242" t="str">
        <f>IFERROR(__xludf.DUMMYFUNCTION("""COMPUTED_VALUE"""),"")</f>
        <v/>
      </c>
      <c r="AH62" s="242">
        <f>IFERROR(__xludf.DUMMYFUNCTION("""COMPUTED_VALUE"""),0.0)</f>
        <v>0</v>
      </c>
      <c r="AI62" s="214"/>
      <c r="AJ62" s="214"/>
      <c r="AK62" s="1131"/>
      <c r="AL62" s="190"/>
      <c r="AM62" s="242"/>
      <c r="AN62" s="242" t="str">
        <f>IFERROR(__xludf.DUMMYFUNCTION("""COMPUTED_VALUE"""),"")</f>
        <v/>
      </c>
      <c r="AO62" s="1133" t="str">
        <f>IFERROR(__xludf.DUMMYFUNCTION("""COMPUTED_VALUE"""),"")</f>
        <v/>
      </c>
      <c r="AP62" s="242">
        <f t="shared" si="7"/>
        <v>0</v>
      </c>
      <c r="AQ62" s="242" t="str">
        <f>IFERROR(__xludf.DUMMYFUNCTION("""COMPUTED_VALUE"""),"")</f>
        <v/>
      </c>
      <c r="AR62" s="242">
        <f>IFERROR(__xludf.DUMMYFUNCTION("""COMPUTED_VALUE"""),0.0)</f>
        <v>0</v>
      </c>
      <c r="AS62" s="237"/>
      <c r="AT62" s="214"/>
      <c r="AU62" s="1138"/>
      <c r="AV62" s="1154"/>
      <c r="AW62" s="1140"/>
      <c r="AX62" s="1140"/>
      <c r="AY62" s="1145"/>
      <c r="AZ62" s="1140">
        <f t="shared" si="8"/>
        <v>0</v>
      </c>
      <c r="BA62" s="1140"/>
      <c r="BB62" s="1140"/>
      <c r="BC62" s="214"/>
      <c r="BD62" s="214"/>
      <c r="BE62" s="1131"/>
      <c r="BF62" s="190"/>
      <c r="BG62" s="242"/>
      <c r="BH62" s="242"/>
      <c r="BI62" s="1133"/>
      <c r="BJ62" s="242">
        <f t="shared" si="9"/>
        <v>0</v>
      </c>
      <c r="BK62" s="242"/>
      <c r="BL62" s="242"/>
      <c r="BM62" s="214"/>
      <c r="BN62" s="214"/>
      <c r="BO62" s="1131"/>
      <c r="BP62" s="190"/>
      <c r="BQ62" s="242"/>
      <c r="BR62" s="242"/>
      <c r="BS62" s="1133"/>
      <c r="BT62" s="242">
        <f t="shared" si="10"/>
        <v>0</v>
      </c>
      <c r="BU62" s="242"/>
      <c r="BV62" s="242"/>
      <c r="BW62" s="237"/>
      <c r="BX62" s="214"/>
      <c r="BY62" s="1131"/>
      <c r="BZ62" s="190"/>
      <c r="CA62" s="242"/>
      <c r="CB62" s="242"/>
      <c r="CC62" s="1133"/>
      <c r="CD62" s="242">
        <f t="shared" si="11"/>
        <v>0</v>
      </c>
      <c r="CE62" s="242"/>
      <c r="CF62" s="242"/>
      <c r="CG62" s="214"/>
      <c r="CH62" s="214"/>
      <c r="CI62" s="1131"/>
      <c r="CJ62" s="190"/>
      <c r="CK62" s="242"/>
      <c r="CL62" s="242"/>
      <c r="CM62" s="1133"/>
      <c r="CN62" s="242">
        <f t="shared" si="12"/>
        <v>0</v>
      </c>
      <c r="CO62" s="242"/>
      <c r="CP62" s="242"/>
      <c r="CQ62" s="214"/>
      <c r="CR62" s="214"/>
      <c r="CS62" s="1131"/>
      <c r="CT62" s="190"/>
      <c r="CU62" s="242"/>
      <c r="CV62" s="242"/>
      <c r="CW62" s="1133"/>
      <c r="CX62" s="242">
        <f t="shared" si="13"/>
        <v>0</v>
      </c>
      <c r="CY62" s="242"/>
      <c r="CZ62" s="242"/>
      <c r="DA62" s="237"/>
      <c r="DB62" s="214"/>
      <c r="DC62" s="1131"/>
      <c r="DD62" s="190"/>
      <c r="DE62" s="242"/>
      <c r="DF62" s="242"/>
      <c r="DG62" s="1133"/>
      <c r="DH62" s="242">
        <f t="shared" si="14"/>
        <v>0</v>
      </c>
      <c r="DI62" s="242"/>
      <c r="DJ62" s="242"/>
      <c r="DK62" s="214"/>
      <c r="DL62" s="214"/>
      <c r="DM62" s="1131"/>
      <c r="DN62" s="190"/>
      <c r="DO62" s="242"/>
      <c r="DP62" s="242"/>
      <c r="DQ62" s="1133"/>
      <c r="DR62" s="242">
        <f t="shared" si="15"/>
        <v>0</v>
      </c>
      <c r="DS62" s="242"/>
      <c r="DT62" s="242"/>
      <c r="DU62" s="214"/>
      <c r="DV62" s="214"/>
      <c r="DW62" s="1131"/>
      <c r="DX62" s="190"/>
      <c r="DY62" s="242"/>
      <c r="DZ62" s="242"/>
      <c r="EA62" s="1133"/>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24"/>
      <c r="C63" s="1124"/>
      <c r="D63" s="1124"/>
      <c r="E63" s="1124" t="s">
        <v>1061</v>
      </c>
      <c r="F63" s="1125">
        <f t="shared" si="2"/>
        <v>0</v>
      </c>
      <c r="G63" s="1126" t="str">
        <f t="shared" si="3"/>
        <v/>
      </c>
      <c r="H63" s="112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7">
        <f t="shared" si="74"/>
        <v>0</v>
      </c>
      <c r="J63" s="1128">
        <f t="shared" si="74"/>
        <v>0</v>
      </c>
      <c r="K63" s="214"/>
      <c r="L63" s="242" t="str">
        <f t="array" ref="L63">IFERROR(INDEX('💻シート作成'!$D$6:$D999, MATCH(M63, '💻シート作成'!$E$6:$E999, 0)), "")</f>
        <v/>
      </c>
      <c r="M63" s="1013" t="str">
        <f>IFERROR(__xludf.DUMMYFUNCTION("""COMPUTED_VALUE"""),"④月報_原本")</f>
        <v>④月報_原本</v>
      </c>
      <c r="N63" s="214"/>
      <c r="O63" s="1087"/>
      <c r="P63" s="214"/>
      <c r="Q63" s="1131"/>
      <c r="R63" s="190"/>
      <c r="S63" s="242"/>
      <c r="T63" s="242" t="str">
        <f>IFERROR(__xludf.DUMMYFUNCTION("""COMPUTED_VALUE"""),"")</f>
        <v/>
      </c>
      <c r="U63" s="1133" t="str">
        <f>IFERROR(__xludf.DUMMYFUNCTION("""COMPUTED_VALUE"""),"")</f>
        <v/>
      </c>
      <c r="V63" s="242">
        <f t="shared" si="5"/>
        <v>0</v>
      </c>
      <c r="W63" s="242" t="str">
        <f>IFERROR(__xludf.DUMMYFUNCTION("""COMPUTED_VALUE"""),"")</f>
        <v/>
      </c>
      <c r="X63" s="242">
        <f>IFERROR(__xludf.DUMMYFUNCTION("""COMPUTED_VALUE"""),0.0)</f>
        <v>0</v>
      </c>
      <c r="Y63" s="214"/>
      <c r="Z63" s="214"/>
      <c r="AA63" s="1131"/>
      <c r="AB63" s="190"/>
      <c r="AC63" s="242"/>
      <c r="AD63" s="242" t="str">
        <f>IFERROR(__xludf.DUMMYFUNCTION("""COMPUTED_VALUE"""),"")</f>
        <v/>
      </c>
      <c r="AE63" s="1133" t="str">
        <f>IFERROR(__xludf.DUMMYFUNCTION("""COMPUTED_VALUE"""),"")</f>
        <v/>
      </c>
      <c r="AF63" s="242">
        <f t="shared" si="6"/>
        <v>0</v>
      </c>
      <c r="AG63" s="242" t="str">
        <f>IFERROR(__xludf.DUMMYFUNCTION("""COMPUTED_VALUE"""),"")</f>
        <v/>
      </c>
      <c r="AH63" s="242">
        <f>IFERROR(__xludf.DUMMYFUNCTION("""COMPUTED_VALUE"""),0.0)</f>
        <v>0</v>
      </c>
      <c r="AI63" s="214"/>
      <c r="AJ63" s="214"/>
      <c r="AK63" s="1131"/>
      <c r="AL63" s="190"/>
      <c r="AM63" s="242"/>
      <c r="AN63" s="242" t="str">
        <f>IFERROR(__xludf.DUMMYFUNCTION("""COMPUTED_VALUE"""),"")</f>
        <v/>
      </c>
      <c r="AO63" s="1133" t="str">
        <f>IFERROR(__xludf.DUMMYFUNCTION("""COMPUTED_VALUE"""),"")</f>
        <v/>
      </c>
      <c r="AP63" s="242">
        <f t="shared" si="7"/>
        <v>0</v>
      </c>
      <c r="AQ63" s="242" t="str">
        <f>IFERROR(__xludf.DUMMYFUNCTION("""COMPUTED_VALUE"""),"")</f>
        <v/>
      </c>
      <c r="AR63" s="242">
        <f>IFERROR(__xludf.DUMMYFUNCTION("""COMPUTED_VALUE"""),0.0)</f>
        <v>0</v>
      </c>
      <c r="AS63" s="237"/>
      <c r="AT63" s="214"/>
      <c r="AU63" s="1138"/>
      <c r="AV63" s="1154"/>
      <c r="AW63" s="1140"/>
      <c r="AX63" s="1140"/>
      <c r="AY63" s="1145"/>
      <c r="AZ63" s="1140">
        <f t="shared" si="8"/>
        <v>0</v>
      </c>
      <c r="BA63" s="1140"/>
      <c r="BB63" s="1140"/>
      <c r="BC63" s="214"/>
      <c r="BD63" s="214"/>
      <c r="BE63" s="1131"/>
      <c r="BF63" s="190"/>
      <c r="BG63" s="242"/>
      <c r="BH63" s="242"/>
      <c r="BI63" s="1133"/>
      <c r="BJ63" s="242">
        <f t="shared" si="9"/>
        <v>0</v>
      </c>
      <c r="BK63" s="242"/>
      <c r="BL63" s="242"/>
      <c r="BM63" s="214"/>
      <c r="BN63" s="214"/>
      <c r="BO63" s="1131"/>
      <c r="BP63" s="190"/>
      <c r="BQ63" s="242"/>
      <c r="BR63" s="242"/>
      <c r="BS63" s="1133"/>
      <c r="BT63" s="242">
        <f t="shared" si="10"/>
        <v>0</v>
      </c>
      <c r="BU63" s="242"/>
      <c r="BV63" s="242"/>
      <c r="BW63" s="237"/>
      <c r="BX63" s="214"/>
      <c r="BY63" s="1131"/>
      <c r="BZ63" s="190"/>
      <c r="CA63" s="242"/>
      <c r="CB63" s="242"/>
      <c r="CC63" s="1133"/>
      <c r="CD63" s="242">
        <f t="shared" si="11"/>
        <v>0</v>
      </c>
      <c r="CE63" s="242"/>
      <c r="CF63" s="242"/>
      <c r="CG63" s="214"/>
      <c r="CH63" s="214"/>
      <c r="CI63" s="1131"/>
      <c r="CJ63" s="190"/>
      <c r="CK63" s="242"/>
      <c r="CL63" s="242"/>
      <c r="CM63" s="1133"/>
      <c r="CN63" s="242">
        <f t="shared" si="12"/>
        <v>0</v>
      </c>
      <c r="CO63" s="242"/>
      <c r="CP63" s="242"/>
      <c r="CQ63" s="214"/>
      <c r="CR63" s="214"/>
      <c r="CS63" s="1131"/>
      <c r="CT63" s="190"/>
      <c r="CU63" s="242"/>
      <c r="CV63" s="242"/>
      <c r="CW63" s="1133"/>
      <c r="CX63" s="242">
        <f t="shared" si="13"/>
        <v>0</v>
      </c>
      <c r="CY63" s="242"/>
      <c r="CZ63" s="242"/>
      <c r="DA63" s="237"/>
      <c r="DB63" s="214"/>
      <c r="DC63" s="1131"/>
      <c r="DD63" s="190"/>
      <c r="DE63" s="242"/>
      <c r="DF63" s="242"/>
      <c r="DG63" s="1133"/>
      <c r="DH63" s="242">
        <f t="shared" si="14"/>
        <v>0</v>
      </c>
      <c r="DI63" s="242"/>
      <c r="DJ63" s="242"/>
      <c r="DK63" s="214"/>
      <c r="DL63" s="214"/>
      <c r="DM63" s="1131"/>
      <c r="DN63" s="190"/>
      <c r="DO63" s="242"/>
      <c r="DP63" s="242"/>
      <c r="DQ63" s="1133"/>
      <c r="DR63" s="242">
        <f t="shared" si="15"/>
        <v>0</v>
      </c>
      <c r="DS63" s="242"/>
      <c r="DT63" s="242"/>
      <c r="DU63" s="214"/>
      <c r="DV63" s="214"/>
      <c r="DW63" s="1131"/>
      <c r="DX63" s="190"/>
      <c r="DY63" s="242"/>
      <c r="DZ63" s="242"/>
      <c r="EA63" s="1133"/>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24"/>
      <c r="C64" s="1124"/>
      <c r="D64" s="1124"/>
      <c r="E64" s="1124" t="s">
        <v>1061</v>
      </c>
      <c r="F64" s="1125">
        <f t="shared" si="2"/>
        <v>0</v>
      </c>
      <c r="G64" s="1126" t="str">
        <f t="shared" si="3"/>
        <v/>
      </c>
      <c r="H64" s="112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7">
        <f t="shared" si="75"/>
        <v>0</v>
      </c>
      <c r="J64" s="1128">
        <f t="shared" si="75"/>
        <v>0</v>
      </c>
      <c r="K64" s="214"/>
      <c r="L64" s="242" t="str">
        <f t="array" ref="L64">IFERROR(INDEX('💻シート作成'!$D$6:$D999, MATCH(M64, '💻シート作成'!$E$6:$E999, 0)), "")</f>
        <v/>
      </c>
      <c r="M64" s="1013"/>
      <c r="N64" s="214"/>
      <c r="O64" s="1087"/>
      <c r="P64" s="214"/>
      <c r="Q64" s="1131"/>
      <c r="R64" s="190"/>
      <c r="S64" s="242"/>
      <c r="T64" s="242" t="str">
        <f>IFERROR(__xludf.DUMMYFUNCTION("""COMPUTED_VALUE"""),"")</f>
        <v/>
      </c>
      <c r="U64" s="1133" t="str">
        <f>IFERROR(__xludf.DUMMYFUNCTION("""COMPUTED_VALUE"""),"")</f>
        <v/>
      </c>
      <c r="V64" s="242">
        <f t="shared" si="5"/>
        <v>0</v>
      </c>
      <c r="W64" s="242" t="str">
        <f>IFERROR(__xludf.DUMMYFUNCTION("""COMPUTED_VALUE"""),"")</f>
        <v/>
      </c>
      <c r="X64" s="242">
        <f>IFERROR(__xludf.DUMMYFUNCTION("""COMPUTED_VALUE"""),0.0)</f>
        <v>0</v>
      </c>
      <c r="Y64" s="214"/>
      <c r="Z64" s="214"/>
      <c r="AA64" s="1131"/>
      <c r="AB64" s="190"/>
      <c r="AC64" s="242"/>
      <c r="AD64" s="242" t="str">
        <f>IFERROR(__xludf.DUMMYFUNCTION("""COMPUTED_VALUE"""),"")</f>
        <v/>
      </c>
      <c r="AE64" s="1133" t="str">
        <f>IFERROR(__xludf.DUMMYFUNCTION("""COMPUTED_VALUE"""),"")</f>
        <v/>
      </c>
      <c r="AF64" s="242">
        <f t="shared" si="6"/>
        <v>0</v>
      </c>
      <c r="AG64" s="242" t="str">
        <f>IFERROR(__xludf.DUMMYFUNCTION("""COMPUTED_VALUE"""),"")</f>
        <v/>
      </c>
      <c r="AH64" s="242">
        <f>IFERROR(__xludf.DUMMYFUNCTION("""COMPUTED_VALUE"""),0.0)</f>
        <v>0</v>
      </c>
      <c r="AI64" s="214"/>
      <c r="AJ64" s="214"/>
      <c r="AK64" s="1131"/>
      <c r="AL64" s="190"/>
      <c r="AM64" s="242"/>
      <c r="AN64" s="242" t="str">
        <f>IFERROR(__xludf.DUMMYFUNCTION("""COMPUTED_VALUE"""),"")</f>
        <v/>
      </c>
      <c r="AO64" s="1133" t="str">
        <f>IFERROR(__xludf.DUMMYFUNCTION("""COMPUTED_VALUE"""),"")</f>
        <v/>
      </c>
      <c r="AP64" s="242">
        <f t="shared" si="7"/>
        <v>0</v>
      </c>
      <c r="AQ64" s="242" t="str">
        <f>IFERROR(__xludf.DUMMYFUNCTION("""COMPUTED_VALUE"""),"")</f>
        <v/>
      </c>
      <c r="AR64" s="242">
        <f>IFERROR(__xludf.DUMMYFUNCTION("""COMPUTED_VALUE"""),0.0)</f>
        <v>0</v>
      </c>
      <c r="AS64" s="237"/>
      <c r="AT64" s="214"/>
      <c r="AU64" s="1138"/>
      <c r="AV64" s="1154"/>
      <c r="AW64" s="1140"/>
      <c r="AX64" s="1140"/>
      <c r="AY64" s="1145"/>
      <c r="AZ64" s="1140">
        <f t="shared" si="8"/>
        <v>0</v>
      </c>
      <c r="BA64" s="1140"/>
      <c r="BB64" s="1140"/>
      <c r="BC64" s="214"/>
      <c r="BD64" s="214"/>
      <c r="BE64" s="1131"/>
      <c r="BF64" s="190"/>
      <c r="BG64" s="242"/>
      <c r="BH64" s="242"/>
      <c r="BI64" s="1133"/>
      <c r="BJ64" s="242">
        <f t="shared" si="9"/>
        <v>0</v>
      </c>
      <c r="BK64" s="242"/>
      <c r="BL64" s="242"/>
      <c r="BM64" s="214"/>
      <c r="BN64" s="214"/>
      <c r="BO64" s="1131"/>
      <c r="BP64" s="190"/>
      <c r="BQ64" s="242"/>
      <c r="BR64" s="242"/>
      <c r="BS64" s="1133"/>
      <c r="BT64" s="242">
        <f t="shared" si="10"/>
        <v>0</v>
      </c>
      <c r="BU64" s="242"/>
      <c r="BV64" s="242"/>
      <c r="BW64" s="237"/>
      <c r="BX64" s="214"/>
      <c r="BY64" s="1131"/>
      <c r="BZ64" s="190"/>
      <c r="CA64" s="242"/>
      <c r="CB64" s="242"/>
      <c r="CC64" s="1133"/>
      <c r="CD64" s="242">
        <f t="shared" si="11"/>
        <v>0</v>
      </c>
      <c r="CE64" s="242"/>
      <c r="CF64" s="242"/>
      <c r="CG64" s="214"/>
      <c r="CH64" s="214"/>
      <c r="CI64" s="1131"/>
      <c r="CJ64" s="190"/>
      <c r="CK64" s="242"/>
      <c r="CL64" s="242"/>
      <c r="CM64" s="1133"/>
      <c r="CN64" s="242">
        <f t="shared" si="12"/>
        <v>0</v>
      </c>
      <c r="CO64" s="242"/>
      <c r="CP64" s="242"/>
      <c r="CQ64" s="214"/>
      <c r="CR64" s="214"/>
      <c r="CS64" s="1131"/>
      <c r="CT64" s="190"/>
      <c r="CU64" s="242"/>
      <c r="CV64" s="242"/>
      <c r="CW64" s="1133"/>
      <c r="CX64" s="242">
        <f t="shared" si="13"/>
        <v>0</v>
      </c>
      <c r="CY64" s="242"/>
      <c r="CZ64" s="242"/>
      <c r="DA64" s="237"/>
      <c r="DB64" s="214"/>
      <c r="DC64" s="1131"/>
      <c r="DD64" s="190"/>
      <c r="DE64" s="242"/>
      <c r="DF64" s="242"/>
      <c r="DG64" s="1133"/>
      <c r="DH64" s="242">
        <f t="shared" si="14"/>
        <v>0</v>
      </c>
      <c r="DI64" s="242"/>
      <c r="DJ64" s="242"/>
      <c r="DK64" s="214"/>
      <c r="DL64" s="214"/>
      <c r="DM64" s="1131"/>
      <c r="DN64" s="190"/>
      <c r="DO64" s="242"/>
      <c r="DP64" s="242"/>
      <c r="DQ64" s="1133"/>
      <c r="DR64" s="242">
        <f t="shared" si="15"/>
        <v>0</v>
      </c>
      <c r="DS64" s="242"/>
      <c r="DT64" s="242"/>
      <c r="DU64" s="214"/>
      <c r="DV64" s="214"/>
      <c r="DW64" s="1131"/>
      <c r="DX64" s="190"/>
      <c r="DY64" s="242"/>
      <c r="DZ64" s="242"/>
      <c r="EA64" s="1133"/>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24"/>
      <c r="C65" s="1124"/>
      <c r="D65" s="1124"/>
      <c r="E65" s="1124" t="s">
        <v>1061</v>
      </c>
      <c r="F65" s="1125">
        <f t="shared" si="2"/>
        <v>0</v>
      </c>
      <c r="G65" s="1126" t="str">
        <f t="shared" si="3"/>
        <v/>
      </c>
      <c r="H65" s="112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7">
        <f t="shared" si="76"/>
        <v>0</v>
      </c>
      <c r="J65" s="1128">
        <f t="shared" si="76"/>
        <v>0</v>
      </c>
      <c r="K65" s="214"/>
      <c r="L65" s="242" t="str">
        <f t="array" ref="L65">IFERROR(INDEX('💻シート作成'!$D$6:$D999, MATCH(M65, '💻シート作成'!$E$6:$E999, 0)), "")</f>
        <v/>
      </c>
      <c r="M65" s="1013"/>
      <c r="N65" s="214"/>
      <c r="O65" s="1087"/>
      <c r="P65" s="214"/>
      <c r="Q65" s="1131"/>
      <c r="R65" s="190"/>
      <c r="S65" s="242"/>
      <c r="T65" s="242" t="str">
        <f>IFERROR(__xludf.DUMMYFUNCTION("""COMPUTED_VALUE"""),"")</f>
        <v/>
      </c>
      <c r="U65" s="1133" t="str">
        <f>IFERROR(__xludf.DUMMYFUNCTION("""COMPUTED_VALUE"""),"")</f>
        <v/>
      </c>
      <c r="V65" s="242">
        <f t="shared" si="5"/>
        <v>0</v>
      </c>
      <c r="W65" s="242" t="str">
        <f>IFERROR(__xludf.DUMMYFUNCTION("""COMPUTED_VALUE"""),"")</f>
        <v/>
      </c>
      <c r="X65" s="242">
        <f>IFERROR(__xludf.DUMMYFUNCTION("""COMPUTED_VALUE"""),0.0)</f>
        <v>0</v>
      </c>
      <c r="Y65" s="214"/>
      <c r="Z65" s="214"/>
      <c r="AA65" s="1131"/>
      <c r="AB65" s="190"/>
      <c r="AC65" s="242"/>
      <c r="AD65" s="242" t="str">
        <f>IFERROR(__xludf.DUMMYFUNCTION("""COMPUTED_VALUE"""),"")</f>
        <v/>
      </c>
      <c r="AE65" s="1133" t="str">
        <f>IFERROR(__xludf.DUMMYFUNCTION("""COMPUTED_VALUE"""),"")</f>
        <v/>
      </c>
      <c r="AF65" s="242">
        <f t="shared" si="6"/>
        <v>0</v>
      </c>
      <c r="AG65" s="242" t="str">
        <f>IFERROR(__xludf.DUMMYFUNCTION("""COMPUTED_VALUE"""),"")</f>
        <v/>
      </c>
      <c r="AH65" s="242">
        <f>IFERROR(__xludf.DUMMYFUNCTION("""COMPUTED_VALUE"""),0.0)</f>
        <v>0</v>
      </c>
      <c r="AI65" s="214"/>
      <c r="AJ65" s="214"/>
      <c r="AK65" s="1131"/>
      <c r="AL65" s="190"/>
      <c r="AM65" s="242"/>
      <c r="AN65" s="242" t="str">
        <f>IFERROR(__xludf.DUMMYFUNCTION("""COMPUTED_VALUE"""),"")</f>
        <v/>
      </c>
      <c r="AO65" s="1133" t="str">
        <f>IFERROR(__xludf.DUMMYFUNCTION("""COMPUTED_VALUE"""),"")</f>
        <v/>
      </c>
      <c r="AP65" s="242">
        <f t="shared" si="7"/>
        <v>0</v>
      </c>
      <c r="AQ65" s="242" t="str">
        <f>IFERROR(__xludf.DUMMYFUNCTION("""COMPUTED_VALUE"""),"")</f>
        <v/>
      </c>
      <c r="AR65" s="242">
        <f>IFERROR(__xludf.DUMMYFUNCTION("""COMPUTED_VALUE"""),0.0)</f>
        <v>0</v>
      </c>
      <c r="AS65" s="237"/>
      <c r="AT65" s="214"/>
      <c r="AU65" s="1138"/>
      <c r="AV65" s="1154"/>
      <c r="AW65" s="1140"/>
      <c r="AX65" s="1140"/>
      <c r="AY65" s="1145"/>
      <c r="AZ65" s="1140">
        <f t="shared" si="8"/>
        <v>0</v>
      </c>
      <c r="BA65" s="1140"/>
      <c r="BB65" s="1140"/>
      <c r="BC65" s="214"/>
      <c r="BD65" s="214"/>
      <c r="BE65" s="1131"/>
      <c r="BF65" s="190"/>
      <c r="BG65" s="242"/>
      <c r="BH65" s="242"/>
      <c r="BI65" s="1133"/>
      <c r="BJ65" s="242">
        <f t="shared" si="9"/>
        <v>0</v>
      </c>
      <c r="BK65" s="242"/>
      <c r="BL65" s="242"/>
      <c r="BM65" s="214"/>
      <c r="BN65" s="214"/>
      <c r="BO65" s="1131"/>
      <c r="BP65" s="190"/>
      <c r="BQ65" s="242"/>
      <c r="BR65" s="242"/>
      <c r="BS65" s="1133"/>
      <c r="BT65" s="242">
        <f t="shared" si="10"/>
        <v>0</v>
      </c>
      <c r="BU65" s="242"/>
      <c r="BV65" s="242"/>
      <c r="BW65" s="237"/>
      <c r="BX65" s="214"/>
      <c r="BY65" s="1131"/>
      <c r="BZ65" s="190"/>
      <c r="CA65" s="242"/>
      <c r="CB65" s="242"/>
      <c r="CC65" s="1133"/>
      <c r="CD65" s="242">
        <f t="shared" si="11"/>
        <v>0</v>
      </c>
      <c r="CE65" s="242"/>
      <c r="CF65" s="242"/>
      <c r="CG65" s="214"/>
      <c r="CH65" s="214"/>
      <c r="CI65" s="1131"/>
      <c r="CJ65" s="190"/>
      <c r="CK65" s="242"/>
      <c r="CL65" s="242"/>
      <c r="CM65" s="1133"/>
      <c r="CN65" s="242">
        <f t="shared" si="12"/>
        <v>0</v>
      </c>
      <c r="CO65" s="242"/>
      <c r="CP65" s="242"/>
      <c r="CQ65" s="214"/>
      <c r="CR65" s="214"/>
      <c r="CS65" s="1131"/>
      <c r="CT65" s="190"/>
      <c r="CU65" s="242"/>
      <c r="CV65" s="242"/>
      <c r="CW65" s="1133"/>
      <c r="CX65" s="242">
        <f t="shared" si="13"/>
        <v>0</v>
      </c>
      <c r="CY65" s="242"/>
      <c r="CZ65" s="242"/>
      <c r="DA65" s="237"/>
      <c r="DB65" s="214"/>
      <c r="DC65" s="1131"/>
      <c r="DD65" s="190"/>
      <c r="DE65" s="242"/>
      <c r="DF65" s="242"/>
      <c r="DG65" s="1133"/>
      <c r="DH65" s="242">
        <f t="shared" si="14"/>
        <v>0</v>
      </c>
      <c r="DI65" s="242"/>
      <c r="DJ65" s="242"/>
      <c r="DK65" s="214"/>
      <c r="DL65" s="214"/>
      <c r="DM65" s="1131"/>
      <c r="DN65" s="190"/>
      <c r="DO65" s="242"/>
      <c r="DP65" s="242"/>
      <c r="DQ65" s="1133"/>
      <c r="DR65" s="242">
        <f t="shared" si="15"/>
        <v>0</v>
      </c>
      <c r="DS65" s="242"/>
      <c r="DT65" s="242"/>
      <c r="DU65" s="214"/>
      <c r="DV65" s="214"/>
      <c r="DW65" s="1131"/>
      <c r="DX65" s="190"/>
      <c r="DY65" s="242"/>
      <c r="DZ65" s="242"/>
      <c r="EA65" s="1133"/>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24"/>
      <c r="C66" s="1124"/>
      <c r="D66" s="1124"/>
      <c r="E66" s="1124" t="s">
        <v>1061</v>
      </c>
      <c r="F66" s="1125">
        <f t="shared" si="2"/>
        <v>0</v>
      </c>
      <c r="G66" s="1126" t="str">
        <f t="shared" si="3"/>
        <v/>
      </c>
      <c r="H66" s="112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7">
        <f t="shared" si="77"/>
        <v>0</v>
      </c>
      <c r="J66" s="1128">
        <f t="shared" si="77"/>
        <v>0</v>
      </c>
      <c r="K66" s="214"/>
      <c r="L66" s="242" t="str">
        <f t="array" ref="L66">IFERROR(INDEX('💻シート作成'!$D$6:$D999, MATCH(M66, '💻シート作成'!$E$6:$E999, 0)), "")</f>
        <v/>
      </c>
      <c r="M66" s="1013"/>
      <c r="N66" s="214"/>
      <c r="O66" s="1087"/>
      <c r="P66" s="214"/>
      <c r="Q66" s="1131"/>
      <c r="R66" s="190"/>
      <c r="S66" s="242"/>
      <c r="T66" s="242" t="str">
        <f>IFERROR(__xludf.DUMMYFUNCTION("""COMPUTED_VALUE"""),"")</f>
        <v/>
      </c>
      <c r="U66" s="1133" t="str">
        <f>IFERROR(__xludf.DUMMYFUNCTION("""COMPUTED_VALUE"""),"")</f>
        <v/>
      </c>
      <c r="V66" s="242">
        <f t="shared" si="5"/>
        <v>0</v>
      </c>
      <c r="W66" s="242" t="str">
        <f>IFERROR(__xludf.DUMMYFUNCTION("""COMPUTED_VALUE"""),"")</f>
        <v/>
      </c>
      <c r="X66" s="242">
        <f>IFERROR(__xludf.DUMMYFUNCTION("""COMPUTED_VALUE"""),0.0)</f>
        <v>0</v>
      </c>
      <c r="Y66" s="214"/>
      <c r="Z66" s="214"/>
      <c r="AA66" s="1131"/>
      <c r="AB66" s="190"/>
      <c r="AC66" s="242"/>
      <c r="AD66" s="242" t="str">
        <f>IFERROR(__xludf.DUMMYFUNCTION("""COMPUTED_VALUE"""),"")</f>
        <v/>
      </c>
      <c r="AE66" s="1133" t="str">
        <f>IFERROR(__xludf.DUMMYFUNCTION("""COMPUTED_VALUE"""),"")</f>
        <v/>
      </c>
      <c r="AF66" s="242">
        <f t="shared" si="6"/>
        <v>0</v>
      </c>
      <c r="AG66" s="242" t="str">
        <f>IFERROR(__xludf.DUMMYFUNCTION("""COMPUTED_VALUE"""),"")</f>
        <v/>
      </c>
      <c r="AH66" s="242">
        <f>IFERROR(__xludf.DUMMYFUNCTION("""COMPUTED_VALUE"""),0.0)</f>
        <v>0</v>
      </c>
      <c r="AI66" s="214"/>
      <c r="AJ66" s="214"/>
      <c r="AK66" s="1131"/>
      <c r="AL66" s="190"/>
      <c r="AM66" s="242"/>
      <c r="AN66" s="242" t="str">
        <f>IFERROR(__xludf.DUMMYFUNCTION("""COMPUTED_VALUE"""),"")</f>
        <v/>
      </c>
      <c r="AO66" s="1133" t="str">
        <f>IFERROR(__xludf.DUMMYFUNCTION("""COMPUTED_VALUE"""),"")</f>
        <v/>
      </c>
      <c r="AP66" s="242">
        <f t="shared" si="7"/>
        <v>0</v>
      </c>
      <c r="AQ66" s="242" t="str">
        <f>IFERROR(__xludf.DUMMYFUNCTION("""COMPUTED_VALUE"""),"")</f>
        <v/>
      </c>
      <c r="AR66" s="242">
        <f>IFERROR(__xludf.DUMMYFUNCTION("""COMPUTED_VALUE"""),0.0)</f>
        <v>0</v>
      </c>
      <c r="AS66" s="237"/>
      <c r="AT66" s="214"/>
      <c r="AU66" s="1138"/>
      <c r="AV66" s="1154"/>
      <c r="AW66" s="1140"/>
      <c r="AX66" s="1140"/>
      <c r="AY66" s="1145"/>
      <c r="AZ66" s="1140">
        <f t="shared" si="8"/>
        <v>0</v>
      </c>
      <c r="BA66" s="1140"/>
      <c r="BB66" s="1140"/>
      <c r="BC66" s="214"/>
      <c r="BD66" s="214"/>
      <c r="BE66" s="1131"/>
      <c r="BF66" s="190"/>
      <c r="BG66" s="242"/>
      <c r="BH66" s="242"/>
      <c r="BI66" s="1133"/>
      <c r="BJ66" s="242">
        <f t="shared" si="9"/>
        <v>0</v>
      </c>
      <c r="BK66" s="242"/>
      <c r="BL66" s="242"/>
      <c r="BM66" s="214"/>
      <c r="BN66" s="214"/>
      <c r="BO66" s="1131"/>
      <c r="BP66" s="190"/>
      <c r="BQ66" s="242"/>
      <c r="BR66" s="242"/>
      <c r="BS66" s="1133"/>
      <c r="BT66" s="242">
        <f t="shared" si="10"/>
        <v>0</v>
      </c>
      <c r="BU66" s="242"/>
      <c r="BV66" s="242"/>
      <c r="BW66" s="237"/>
      <c r="BX66" s="214"/>
      <c r="BY66" s="1131"/>
      <c r="BZ66" s="190"/>
      <c r="CA66" s="242"/>
      <c r="CB66" s="242"/>
      <c r="CC66" s="1133"/>
      <c r="CD66" s="242">
        <f t="shared" si="11"/>
        <v>0</v>
      </c>
      <c r="CE66" s="242"/>
      <c r="CF66" s="242"/>
      <c r="CG66" s="214"/>
      <c r="CH66" s="214"/>
      <c r="CI66" s="1131"/>
      <c r="CJ66" s="190"/>
      <c r="CK66" s="242"/>
      <c r="CL66" s="242"/>
      <c r="CM66" s="1133"/>
      <c r="CN66" s="242">
        <f t="shared" si="12"/>
        <v>0</v>
      </c>
      <c r="CO66" s="242"/>
      <c r="CP66" s="242"/>
      <c r="CQ66" s="214"/>
      <c r="CR66" s="214"/>
      <c r="CS66" s="1131"/>
      <c r="CT66" s="190"/>
      <c r="CU66" s="242"/>
      <c r="CV66" s="242"/>
      <c r="CW66" s="1133"/>
      <c r="CX66" s="242">
        <f t="shared" si="13"/>
        <v>0</v>
      </c>
      <c r="CY66" s="242"/>
      <c r="CZ66" s="242"/>
      <c r="DA66" s="237"/>
      <c r="DB66" s="214"/>
      <c r="DC66" s="1131"/>
      <c r="DD66" s="190"/>
      <c r="DE66" s="242"/>
      <c r="DF66" s="242"/>
      <c r="DG66" s="1133"/>
      <c r="DH66" s="242">
        <f t="shared" si="14"/>
        <v>0</v>
      </c>
      <c r="DI66" s="242"/>
      <c r="DJ66" s="242"/>
      <c r="DK66" s="214"/>
      <c r="DL66" s="214"/>
      <c r="DM66" s="1131"/>
      <c r="DN66" s="190"/>
      <c r="DO66" s="242"/>
      <c r="DP66" s="242"/>
      <c r="DQ66" s="1133"/>
      <c r="DR66" s="242">
        <f t="shared" si="15"/>
        <v>0</v>
      </c>
      <c r="DS66" s="242"/>
      <c r="DT66" s="242"/>
      <c r="DU66" s="214"/>
      <c r="DV66" s="214"/>
      <c r="DW66" s="1131"/>
      <c r="DX66" s="190"/>
      <c r="DY66" s="242"/>
      <c r="DZ66" s="242"/>
      <c r="EA66" s="1133"/>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24"/>
      <c r="C67" s="1124"/>
      <c r="D67" s="1124"/>
      <c r="E67" s="1124" t="s">
        <v>1061</v>
      </c>
      <c r="F67" s="1125">
        <f t="shared" si="2"/>
        <v>0</v>
      </c>
      <c r="G67" s="1126" t="str">
        <f t="shared" si="3"/>
        <v/>
      </c>
      <c r="H67" s="112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7">
        <f t="shared" si="78"/>
        <v>0</v>
      </c>
      <c r="J67" s="1128">
        <f t="shared" si="78"/>
        <v>0</v>
      </c>
      <c r="K67" s="214"/>
      <c r="L67" s="242" t="str">
        <f t="array" ref="L67">IFERROR(INDEX('💻シート作成'!$D$6:$D999, MATCH(M67, '💻シート作成'!$E$6:$E999, 0)), "")</f>
        <v/>
      </c>
      <c r="M67" s="1013"/>
      <c r="N67" s="214"/>
      <c r="O67" s="1087"/>
      <c r="P67" s="214"/>
      <c r="Q67" s="1131"/>
      <c r="R67" s="190"/>
      <c r="S67" s="242"/>
      <c r="T67" s="242" t="str">
        <f>IFERROR(__xludf.DUMMYFUNCTION("""COMPUTED_VALUE"""),"")</f>
        <v/>
      </c>
      <c r="U67" s="1133" t="str">
        <f>IFERROR(__xludf.DUMMYFUNCTION("""COMPUTED_VALUE"""),"")</f>
        <v/>
      </c>
      <c r="V67" s="242">
        <f t="shared" si="5"/>
        <v>0</v>
      </c>
      <c r="W67" s="242" t="str">
        <f>IFERROR(__xludf.DUMMYFUNCTION("""COMPUTED_VALUE"""),"")</f>
        <v/>
      </c>
      <c r="X67" s="242">
        <f>IFERROR(__xludf.DUMMYFUNCTION("""COMPUTED_VALUE"""),0.0)</f>
        <v>0</v>
      </c>
      <c r="Y67" s="214"/>
      <c r="Z67" s="214"/>
      <c r="AA67" s="1131"/>
      <c r="AB67" s="190"/>
      <c r="AC67" s="242"/>
      <c r="AD67" s="242" t="str">
        <f>IFERROR(__xludf.DUMMYFUNCTION("""COMPUTED_VALUE"""),"")</f>
        <v/>
      </c>
      <c r="AE67" s="1133" t="str">
        <f>IFERROR(__xludf.DUMMYFUNCTION("""COMPUTED_VALUE"""),"")</f>
        <v/>
      </c>
      <c r="AF67" s="242">
        <f t="shared" si="6"/>
        <v>0</v>
      </c>
      <c r="AG67" s="242" t="str">
        <f>IFERROR(__xludf.DUMMYFUNCTION("""COMPUTED_VALUE"""),"")</f>
        <v/>
      </c>
      <c r="AH67" s="242">
        <f>IFERROR(__xludf.DUMMYFUNCTION("""COMPUTED_VALUE"""),0.0)</f>
        <v>0</v>
      </c>
      <c r="AI67" s="214"/>
      <c r="AJ67" s="214"/>
      <c r="AK67" s="1131"/>
      <c r="AL67" s="190"/>
      <c r="AM67" s="242"/>
      <c r="AN67" s="242" t="str">
        <f>IFERROR(__xludf.DUMMYFUNCTION("""COMPUTED_VALUE"""),"")</f>
        <v/>
      </c>
      <c r="AO67" s="1133" t="str">
        <f>IFERROR(__xludf.DUMMYFUNCTION("""COMPUTED_VALUE"""),"")</f>
        <v/>
      </c>
      <c r="AP67" s="242">
        <f t="shared" si="7"/>
        <v>0</v>
      </c>
      <c r="AQ67" s="242" t="str">
        <f>IFERROR(__xludf.DUMMYFUNCTION("""COMPUTED_VALUE"""),"")</f>
        <v/>
      </c>
      <c r="AR67" s="242">
        <f>IFERROR(__xludf.DUMMYFUNCTION("""COMPUTED_VALUE"""),0.0)</f>
        <v>0</v>
      </c>
      <c r="AS67" s="237"/>
      <c r="AT67" s="214"/>
      <c r="AU67" s="1138"/>
      <c r="AV67" s="1154"/>
      <c r="AW67" s="1140"/>
      <c r="AX67" s="1140"/>
      <c r="AY67" s="1145"/>
      <c r="AZ67" s="1140">
        <f t="shared" si="8"/>
        <v>0</v>
      </c>
      <c r="BA67" s="1140"/>
      <c r="BB67" s="1140"/>
      <c r="BC67" s="214"/>
      <c r="BD67" s="214"/>
      <c r="BE67" s="1131"/>
      <c r="BF67" s="190"/>
      <c r="BG67" s="242"/>
      <c r="BH67" s="242"/>
      <c r="BI67" s="1133"/>
      <c r="BJ67" s="242">
        <f t="shared" si="9"/>
        <v>0</v>
      </c>
      <c r="BK67" s="242"/>
      <c r="BL67" s="242"/>
      <c r="BM67" s="214"/>
      <c r="BN67" s="214"/>
      <c r="BO67" s="1131"/>
      <c r="BP67" s="190"/>
      <c r="BQ67" s="242"/>
      <c r="BR67" s="242"/>
      <c r="BS67" s="1133"/>
      <c r="BT67" s="242">
        <f t="shared" si="10"/>
        <v>0</v>
      </c>
      <c r="BU67" s="242"/>
      <c r="BV67" s="242"/>
      <c r="BW67" s="237"/>
      <c r="BX67" s="214"/>
      <c r="BY67" s="1131"/>
      <c r="BZ67" s="190"/>
      <c r="CA67" s="242"/>
      <c r="CB67" s="242"/>
      <c r="CC67" s="1133"/>
      <c r="CD67" s="242">
        <f t="shared" si="11"/>
        <v>0</v>
      </c>
      <c r="CE67" s="242"/>
      <c r="CF67" s="242"/>
      <c r="CG67" s="214"/>
      <c r="CH67" s="214"/>
      <c r="CI67" s="1131"/>
      <c r="CJ67" s="190"/>
      <c r="CK67" s="242"/>
      <c r="CL67" s="242"/>
      <c r="CM67" s="1133"/>
      <c r="CN67" s="242">
        <f t="shared" si="12"/>
        <v>0</v>
      </c>
      <c r="CO67" s="242"/>
      <c r="CP67" s="242"/>
      <c r="CQ67" s="214"/>
      <c r="CR67" s="214"/>
      <c r="CS67" s="1131"/>
      <c r="CT67" s="190"/>
      <c r="CU67" s="242"/>
      <c r="CV67" s="242"/>
      <c r="CW67" s="1133"/>
      <c r="CX67" s="242">
        <f t="shared" si="13"/>
        <v>0</v>
      </c>
      <c r="CY67" s="242"/>
      <c r="CZ67" s="242"/>
      <c r="DA67" s="237"/>
      <c r="DB67" s="214"/>
      <c r="DC67" s="1131"/>
      <c r="DD67" s="190"/>
      <c r="DE67" s="242"/>
      <c r="DF67" s="242"/>
      <c r="DG67" s="1133"/>
      <c r="DH67" s="242">
        <f t="shared" si="14"/>
        <v>0</v>
      </c>
      <c r="DI67" s="242"/>
      <c r="DJ67" s="242"/>
      <c r="DK67" s="214"/>
      <c r="DL67" s="214"/>
      <c r="DM67" s="1131"/>
      <c r="DN67" s="190"/>
      <c r="DO67" s="242"/>
      <c r="DP67" s="242"/>
      <c r="DQ67" s="1133"/>
      <c r="DR67" s="242">
        <f t="shared" si="15"/>
        <v>0</v>
      </c>
      <c r="DS67" s="242"/>
      <c r="DT67" s="242"/>
      <c r="DU67" s="214"/>
      <c r="DV67" s="214"/>
      <c r="DW67" s="1131"/>
      <c r="DX67" s="190"/>
      <c r="DY67" s="242"/>
      <c r="DZ67" s="242"/>
      <c r="EA67" s="1133"/>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24"/>
      <c r="C68" s="1124"/>
      <c r="D68" s="1124"/>
      <c r="E68" s="1124" t="s">
        <v>1061</v>
      </c>
      <c r="F68" s="1125">
        <f t="shared" si="2"/>
        <v>0</v>
      </c>
      <c r="G68" s="1126" t="str">
        <f t="shared" si="3"/>
        <v/>
      </c>
      <c r="H68" s="112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7">
        <f t="shared" si="79"/>
        <v>0</v>
      </c>
      <c r="J68" s="1128">
        <f t="shared" si="79"/>
        <v>0</v>
      </c>
      <c r="K68" s="214"/>
      <c r="L68" s="242" t="str">
        <f t="array" ref="L68">IFERROR(INDEX('💻シート作成'!$D$6:$D999, MATCH(M68, '💻シート作成'!$E$6:$E999, 0)), "")</f>
        <v/>
      </c>
      <c r="M68" s="1013"/>
      <c r="N68" s="214"/>
      <c r="O68" s="1087"/>
      <c r="P68" s="214"/>
      <c r="Q68" s="1131"/>
      <c r="R68" s="190"/>
      <c r="S68" s="242"/>
      <c r="T68" s="242" t="str">
        <f>IFERROR(__xludf.DUMMYFUNCTION("""COMPUTED_VALUE"""),"")</f>
        <v/>
      </c>
      <c r="U68" s="1133" t="str">
        <f>IFERROR(__xludf.DUMMYFUNCTION("""COMPUTED_VALUE"""),"")</f>
        <v/>
      </c>
      <c r="V68" s="242">
        <f t="shared" si="5"/>
        <v>0</v>
      </c>
      <c r="W68" s="242" t="str">
        <f>IFERROR(__xludf.DUMMYFUNCTION("""COMPUTED_VALUE"""),"")</f>
        <v/>
      </c>
      <c r="X68" s="242">
        <f>IFERROR(__xludf.DUMMYFUNCTION("""COMPUTED_VALUE"""),0.0)</f>
        <v>0</v>
      </c>
      <c r="Y68" s="214"/>
      <c r="Z68" s="214"/>
      <c r="AA68" s="1131"/>
      <c r="AB68" s="190"/>
      <c r="AC68" s="242"/>
      <c r="AD68" s="242" t="str">
        <f>IFERROR(__xludf.DUMMYFUNCTION("""COMPUTED_VALUE"""),"")</f>
        <v/>
      </c>
      <c r="AE68" s="1133" t="str">
        <f>IFERROR(__xludf.DUMMYFUNCTION("""COMPUTED_VALUE"""),"")</f>
        <v/>
      </c>
      <c r="AF68" s="242">
        <f t="shared" si="6"/>
        <v>0</v>
      </c>
      <c r="AG68" s="242" t="str">
        <f>IFERROR(__xludf.DUMMYFUNCTION("""COMPUTED_VALUE"""),"")</f>
        <v/>
      </c>
      <c r="AH68" s="242">
        <f>IFERROR(__xludf.DUMMYFUNCTION("""COMPUTED_VALUE"""),0.0)</f>
        <v>0</v>
      </c>
      <c r="AI68" s="214"/>
      <c r="AJ68" s="214"/>
      <c r="AK68" s="1131"/>
      <c r="AL68" s="190"/>
      <c r="AM68" s="242"/>
      <c r="AN68" s="242" t="str">
        <f>IFERROR(__xludf.DUMMYFUNCTION("""COMPUTED_VALUE"""),"")</f>
        <v/>
      </c>
      <c r="AO68" s="1133" t="str">
        <f>IFERROR(__xludf.DUMMYFUNCTION("""COMPUTED_VALUE"""),"")</f>
        <v/>
      </c>
      <c r="AP68" s="242">
        <f t="shared" si="7"/>
        <v>0</v>
      </c>
      <c r="AQ68" s="242" t="str">
        <f>IFERROR(__xludf.DUMMYFUNCTION("""COMPUTED_VALUE"""),"")</f>
        <v/>
      </c>
      <c r="AR68" s="242">
        <f>IFERROR(__xludf.DUMMYFUNCTION("""COMPUTED_VALUE"""),0.0)</f>
        <v>0</v>
      </c>
      <c r="AS68" s="237"/>
      <c r="AT68" s="214"/>
      <c r="AU68" s="1138"/>
      <c r="AV68" s="1154"/>
      <c r="AW68" s="1140"/>
      <c r="AX68" s="1140"/>
      <c r="AY68" s="1145"/>
      <c r="AZ68" s="1140">
        <f t="shared" si="8"/>
        <v>0</v>
      </c>
      <c r="BA68" s="1140"/>
      <c r="BB68" s="1140"/>
      <c r="BC68" s="214"/>
      <c r="BD68" s="214"/>
      <c r="BE68" s="1131"/>
      <c r="BF68" s="190"/>
      <c r="BG68" s="242"/>
      <c r="BH68" s="242"/>
      <c r="BI68" s="1133"/>
      <c r="BJ68" s="242">
        <f t="shared" si="9"/>
        <v>0</v>
      </c>
      <c r="BK68" s="242"/>
      <c r="BL68" s="242"/>
      <c r="BM68" s="214"/>
      <c r="BN68" s="214"/>
      <c r="BO68" s="1131"/>
      <c r="BP68" s="190"/>
      <c r="BQ68" s="242"/>
      <c r="BR68" s="242"/>
      <c r="BS68" s="1133"/>
      <c r="BT68" s="242">
        <f t="shared" si="10"/>
        <v>0</v>
      </c>
      <c r="BU68" s="242"/>
      <c r="BV68" s="242"/>
      <c r="BW68" s="237"/>
      <c r="BX68" s="214"/>
      <c r="BY68" s="1131"/>
      <c r="BZ68" s="190"/>
      <c r="CA68" s="242"/>
      <c r="CB68" s="242"/>
      <c r="CC68" s="1133"/>
      <c r="CD68" s="242">
        <f t="shared" si="11"/>
        <v>0</v>
      </c>
      <c r="CE68" s="242"/>
      <c r="CF68" s="242"/>
      <c r="CG68" s="214"/>
      <c r="CH68" s="214"/>
      <c r="CI68" s="1131"/>
      <c r="CJ68" s="190"/>
      <c r="CK68" s="242"/>
      <c r="CL68" s="242"/>
      <c r="CM68" s="1133"/>
      <c r="CN68" s="242">
        <f t="shared" si="12"/>
        <v>0</v>
      </c>
      <c r="CO68" s="242"/>
      <c r="CP68" s="242"/>
      <c r="CQ68" s="214"/>
      <c r="CR68" s="214"/>
      <c r="CS68" s="1131"/>
      <c r="CT68" s="190"/>
      <c r="CU68" s="242"/>
      <c r="CV68" s="242"/>
      <c r="CW68" s="1133"/>
      <c r="CX68" s="242">
        <f t="shared" si="13"/>
        <v>0</v>
      </c>
      <c r="CY68" s="242"/>
      <c r="CZ68" s="242"/>
      <c r="DA68" s="237"/>
      <c r="DB68" s="214"/>
      <c r="DC68" s="1131"/>
      <c r="DD68" s="190"/>
      <c r="DE68" s="242"/>
      <c r="DF68" s="242"/>
      <c r="DG68" s="1133"/>
      <c r="DH68" s="242">
        <f t="shared" si="14"/>
        <v>0</v>
      </c>
      <c r="DI68" s="242"/>
      <c r="DJ68" s="242"/>
      <c r="DK68" s="214"/>
      <c r="DL68" s="214"/>
      <c r="DM68" s="1131"/>
      <c r="DN68" s="190"/>
      <c r="DO68" s="242"/>
      <c r="DP68" s="242"/>
      <c r="DQ68" s="1133"/>
      <c r="DR68" s="242">
        <f t="shared" si="15"/>
        <v>0</v>
      </c>
      <c r="DS68" s="242"/>
      <c r="DT68" s="242"/>
      <c r="DU68" s="214"/>
      <c r="DV68" s="214"/>
      <c r="DW68" s="1131"/>
      <c r="DX68" s="190"/>
      <c r="DY68" s="242"/>
      <c r="DZ68" s="242"/>
      <c r="EA68" s="1133"/>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24"/>
      <c r="C69" s="1124"/>
      <c r="D69" s="1124"/>
      <c r="E69" s="1124" t="s">
        <v>1061</v>
      </c>
      <c r="F69" s="1125">
        <f t="shared" si="2"/>
        <v>0</v>
      </c>
      <c r="G69" s="1126" t="str">
        <f t="shared" si="3"/>
        <v/>
      </c>
      <c r="H69" s="112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7">
        <f t="shared" si="80"/>
        <v>0</v>
      </c>
      <c r="J69" s="1128">
        <f t="shared" si="80"/>
        <v>0</v>
      </c>
      <c r="K69" s="214"/>
      <c r="L69" s="242" t="str">
        <f t="array" ref="L69">IFERROR(INDEX('💻シート作成'!$D$6:$D999, MATCH(M69, '💻シート作成'!$E$6:$E999, 0)), "")</f>
        <v/>
      </c>
      <c r="M69" s="1013"/>
      <c r="N69" s="214"/>
      <c r="O69" s="1087"/>
      <c r="P69" s="214"/>
      <c r="Q69" s="1131"/>
      <c r="R69" s="190"/>
      <c r="S69" s="242"/>
      <c r="T69" s="242" t="str">
        <f>IFERROR(__xludf.DUMMYFUNCTION("""COMPUTED_VALUE"""),"")</f>
        <v/>
      </c>
      <c r="U69" s="1133" t="str">
        <f>IFERROR(__xludf.DUMMYFUNCTION("""COMPUTED_VALUE"""),"")</f>
        <v/>
      </c>
      <c r="V69" s="242">
        <f t="shared" si="5"/>
        <v>0</v>
      </c>
      <c r="W69" s="242" t="str">
        <f>IFERROR(__xludf.DUMMYFUNCTION("""COMPUTED_VALUE"""),"")</f>
        <v/>
      </c>
      <c r="X69" s="242">
        <f>IFERROR(__xludf.DUMMYFUNCTION("""COMPUTED_VALUE"""),0.0)</f>
        <v>0</v>
      </c>
      <c r="Y69" s="214"/>
      <c r="Z69" s="214"/>
      <c r="AA69" s="1131"/>
      <c r="AB69" s="190"/>
      <c r="AC69" s="242"/>
      <c r="AD69" s="242" t="str">
        <f>IFERROR(__xludf.DUMMYFUNCTION("""COMPUTED_VALUE"""),"")</f>
        <v/>
      </c>
      <c r="AE69" s="1133" t="str">
        <f>IFERROR(__xludf.DUMMYFUNCTION("""COMPUTED_VALUE"""),"")</f>
        <v/>
      </c>
      <c r="AF69" s="242">
        <f t="shared" si="6"/>
        <v>0</v>
      </c>
      <c r="AG69" s="242" t="str">
        <f>IFERROR(__xludf.DUMMYFUNCTION("""COMPUTED_VALUE"""),"")</f>
        <v/>
      </c>
      <c r="AH69" s="242">
        <f>IFERROR(__xludf.DUMMYFUNCTION("""COMPUTED_VALUE"""),0.0)</f>
        <v>0</v>
      </c>
      <c r="AI69" s="214"/>
      <c r="AJ69" s="214"/>
      <c r="AK69" s="1131"/>
      <c r="AL69" s="190"/>
      <c r="AM69" s="242"/>
      <c r="AN69" s="242" t="str">
        <f>IFERROR(__xludf.DUMMYFUNCTION("""COMPUTED_VALUE"""),"")</f>
        <v/>
      </c>
      <c r="AO69" s="1133" t="str">
        <f>IFERROR(__xludf.DUMMYFUNCTION("""COMPUTED_VALUE"""),"")</f>
        <v/>
      </c>
      <c r="AP69" s="242">
        <f t="shared" si="7"/>
        <v>0</v>
      </c>
      <c r="AQ69" s="242" t="str">
        <f>IFERROR(__xludf.DUMMYFUNCTION("""COMPUTED_VALUE"""),"")</f>
        <v/>
      </c>
      <c r="AR69" s="242">
        <f>IFERROR(__xludf.DUMMYFUNCTION("""COMPUTED_VALUE"""),0.0)</f>
        <v>0</v>
      </c>
      <c r="AS69" s="237"/>
      <c r="AT69" s="214"/>
      <c r="AU69" s="1138"/>
      <c r="AV69" s="1154"/>
      <c r="AW69" s="1140"/>
      <c r="AX69" s="1140"/>
      <c r="AY69" s="1145"/>
      <c r="AZ69" s="1140">
        <f t="shared" si="8"/>
        <v>0</v>
      </c>
      <c r="BA69" s="1140"/>
      <c r="BB69" s="1140"/>
      <c r="BC69" s="214"/>
      <c r="BD69" s="214"/>
      <c r="BE69" s="1131"/>
      <c r="BF69" s="190"/>
      <c r="BG69" s="242"/>
      <c r="BH69" s="242"/>
      <c r="BI69" s="1133"/>
      <c r="BJ69" s="242">
        <f t="shared" si="9"/>
        <v>0</v>
      </c>
      <c r="BK69" s="242"/>
      <c r="BL69" s="242"/>
      <c r="BM69" s="214"/>
      <c r="BN69" s="214"/>
      <c r="BO69" s="1131"/>
      <c r="BP69" s="190"/>
      <c r="BQ69" s="242"/>
      <c r="BR69" s="242"/>
      <c r="BS69" s="1133"/>
      <c r="BT69" s="242">
        <f t="shared" si="10"/>
        <v>0</v>
      </c>
      <c r="BU69" s="242"/>
      <c r="BV69" s="242"/>
      <c r="BW69" s="237"/>
      <c r="BX69" s="214"/>
      <c r="BY69" s="1131"/>
      <c r="BZ69" s="190"/>
      <c r="CA69" s="242"/>
      <c r="CB69" s="242"/>
      <c r="CC69" s="1133"/>
      <c r="CD69" s="242">
        <f t="shared" si="11"/>
        <v>0</v>
      </c>
      <c r="CE69" s="242"/>
      <c r="CF69" s="242"/>
      <c r="CG69" s="214"/>
      <c r="CH69" s="214"/>
      <c r="CI69" s="1131"/>
      <c r="CJ69" s="190"/>
      <c r="CK69" s="242"/>
      <c r="CL69" s="242"/>
      <c r="CM69" s="1133"/>
      <c r="CN69" s="242">
        <f t="shared" si="12"/>
        <v>0</v>
      </c>
      <c r="CO69" s="242"/>
      <c r="CP69" s="242"/>
      <c r="CQ69" s="214"/>
      <c r="CR69" s="214"/>
      <c r="CS69" s="1131"/>
      <c r="CT69" s="190"/>
      <c r="CU69" s="242"/>
      <c r="CV69" s="242"/>
      <c r="CW69" s="1133"/>
      <c r="CX69" s="242">
        <f t="shared" si="13"/>
        <v>0</v>
      </c>
      <c r="CY69" s="242"/>
      <c r="CZ69" s="242"/>
      <c r="DA69" s="237"/>
      <c r="DB69" s="214"/>
      <c r="DC69" s="1131"/>
      <c r="DD69" s="190"/>
      <c r="DE69" s="242"/>
      <c r="DF69" s="242"/>
      <c r="DG69" s="1133"/>
      <c r="DH69" s="242">
        <f t="shared" si="14"/>
        <v>0</v>
      </c>
      <c r="DI69" s="242"/>
      <c r="DJ69" s="242"/>
      <c r="DK69" s="214"/>
      <c r="DL69" s="214"/>
      <c r="DM69" s="1131"/>
      <c r="DN69" s="190"/>
      <c r="DO69" s="242"/>
      <c r="DP69" s="242"/>
      <c r="DQ69" s="1133"/>
      <c r="DR69" s="242">
        <f t="shared" si="15"/>
        <v>0</v>
      </c>
      <c r="DS69" s="242"/>
      <c r="DT69" s="242"/>
      <c r="DU69" s="214"/>
      <c r="DV69" s="214"/>
      <c r="DW69" s="1131"/>
      <c r="DX69" s="190"/>
      <c r="DY69" s="242"/>
      <c r="DZ69" s="242"/>
      <c r="EA69" s="1133"/>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24"/>
      <c r="C70" s="1124"/>
      <c r="D70" s="1124"/>
      <c r="E70" s="1124" t="s">
        <v>1061</v>
      </c>
      <c r="F70" s="1125">
        <f t="shared" si="2"/>
        <v>0</v>
      </c>
      <c r="G70" s="1126" t="str">
        <f t="shared" si="3"/>
        <v/>
      </c>
      <c r="H70" s="112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7">
        <f t="shared" si="81"/>
        <v>0</v>
      </c>
      <c r="J70" s="1128">
        <f t="shared" si="81"/>
        <v>0</v>
      </c>
      <c r="K70" s="214"/>
      <c r="L70" s="242" t="str">
        <f t="array" ref="L70">IFERROR(INDEX('💻シート作成'!$D$6:$D999, MATCH(M70, '💻シート作成'!$E$6:$E999, 0)), "")</f>
        <v/>
      </c>
      <c r="M70" s="1013"/>
      <c r="N70" s="214"/>
      <c r="O70" s="1087"/>
      <c r="P70" s="214"/>
      <c r="Q70" s="1131"/>
      <c r="R70" s="190"/>
      <c r="S70" s="242"/>
      <c r="T70" s="242" t="str">
        <f>IFERROR(__xludf.DUMMYFUNCTION("""COMPUTED_VALUE"""),"")</f>
        <v/>
      </c>
      <c r="U70" s="1133" t="str">
        <f>IFERROR(__xludf.DUMMYFUNCTION("""COMPUTED_VALUE"""),"")</f>
        <v/>
      </c>
      <c r="V70" s="242">
        <f t="shared" si="5"/>
        <v>0</v>
      </c>
      <c r="W70" s="242" t="str">
        <f>IFERROR(__xludf.DUMMYFUNCTION("""COMPUTED_VALUE"""),"")</f>
        <v/>
      </c>
      <c r="X70" s="242">
        <f>IFERROR(__xludf.DUMMYFUNCTION("""COMPUTED_VALUE"""),0.0)</f>
        <v>0</v>
      </c>
      <c r="Y70" s="214"/>
      <c r="Z70" s="214"/>
      <c r="AA70" s="1131"/>
      <c r="AB70" s="190"/>
      <c r="AC70" s="242"/>
      <c r="AD70" s="242" t="str">
        <f>IFERROR(__xludf.DUMMYFUNCTION("""COMPUTED_VALUE"""),"")</f>
        <v/>
      </c>
      <c r="AE70" s="1133" t="str">
        <f>IFERROR(__xludf.DUMMYFUNCTION("""COMPUTED_VALUE"""),"")</f>
        <v/>
      </c>
      <c r="AF70" s="242">
        <f t="shared" si="6"/>
        <v>0</v>
      </c>
      <c r="AG70" s="242" t="str">
        <f>IFERROR(__xludf.DUMMYFUNCTION("""COMPUTED_VALUE"""),"")</f>
        <v/>
      </c>
      <c r="AH70" s="242">
        <f>IFERROR(__xludf.DUMMYFUNCTION("""COMPUTED_VALUE"""),0.0)</f>
        <v>0</v>
      </c>
      <c r="AI70" s="214"/>
      <c r="AJ70" s="214"/>
      <c r="AK70" s="1131"/>
      <c r="AL70" s="190"/>
      <c r="AM70" s="242"/>
      <c r="AN70" s="242" t="str">
        <f>IFERROR(__xludf.DUMMYFUNCTION("""COMPUTED_VALUE"""),"")</f>
        <v/>
      </c>
      <c r="AO70" s="1133" t="str">
        <f>IFERROR(__xludf.DUMMYFUNCTION("""COMPUTED_VALUE"""),"")</f>
        <v/>
      </c>
      <c r="AP70" s="242">
        <f t="shared" si="7"/>
        <v>0</v>
      </c>
      <c r="AQ70" s="242" t="str">
        <f>IFERROR(__xludf.DUMMYFUNCTION("""COMPUTED_VALUE"""),"")</f>
        <v/>
      </c>
      <c r="AR70" s="242">
        <f>IFERROR(__xludf.DUMMYFUNCTION("""COMPUTED_VALUE"""),0.0)</f>
        <v>0</v>
      </c>
      <c r="AS70" s="237"/>
      <c r="AT70" s="214"/>
      <c r="AU70" s="1138"/>
      <c r="AV70" s="1154"/>
      <c r="AW70" s="1140"/>
      <c r="AX70" s="1140"/>
      <c r="AY70" s="1145"/>
      <c r="AZ70" s="1140">
        <f t="shared" si="8"/>
        <v>0</v>
      </c>
      <c r="BA70" s="1140"/>
      <c r="BB70" s="1140"/>
      <c r="BC70" s="214"/>
      <c r="BD70" s="214"/>
      <c r="BE70" s="1131"/>
      <c r="BF70" s="190"/>
      <c r="BG70" s="242"/>
      <c r="BH70" s="242"/>
      <c r="BI70" s="1133"/>
      <c r="BJ70" s="242">
        <f t="shared" si="9"/>
        <v>0</v>
      </c>
      <c r="BK70" s="242"/>
      <c r="BL70" s="242"/>
      <c r="BM70" s="214"/>
      <c r="BN70" s="214"/>
      <c r="BO70" s="1131"/>
      <c r="BP70" s="190"/>
      <c r="BQ70" s="242"/>
      <c r="BR70" s="242"/>
      <c r="BS70" s="1133"/>
      <c r="BT70" s="242">
        <f t="shared" si="10"/>
        <v>0</v>
      </c>
      <c r="BU70" s="242"/>
      <c r="BV70" s="242"/>
      <c r="BW70" s="237"/>
      <c r="BX70" s="214"/>
      <c r="BY70" s="1131"/>
      <c r="BZ70" s="190"/>
      <c r="CA70" s="242"/>
      <c r="CB70" s="242"/>
      <c r="CC70" s="1133"/>
      <c r="CD70" s="242">
        <f t="shared" si="11"/>
        <v>0</v>
      </c>
      <c r="CE70" s="242"/>
      <c r="CF70" s="242"/>
      <c r="CG70" s="214"/>
      <c r="CH70" s="214"/>
      <c r="CI70" s="1131"/>
      <c r="CJ70" s="190"/>
      <c r="CK70" s="242"/>
      <c r="CL70" s="242"/>
      <c r="CM70" s="1133"/>
      <c r="CN70" s="242">
        <f t="shared" si="12"/>
        <v>0</v>
      </c>
      <c r="CO70" s="242"/>
      <c r="CP70" s="242"/>
      <c r="CQ70" s="214"/>
      <c r="CR70" s="214"/>
      <c r="CS70" s="1131"/>
      <c r="CT70" s="190"/>
      <c r="CU70" s="242"/>
      <c r="CV70" s="242"/>
      <c r="CW70" s="1133"/>
      <c r="CX70" s="242">
        <f t="shared" si="13"/>
        <v>0</v>
      </c>
      <c r="CY70" s="242"/>
      <c r="CZ70" s="242"/>
      <c r="DA70" s="237"/>
      <c r="DB70" s="214"/>
      <c r="DC70" s="1131"/>
      <c r="DD70" s="190"/>
      <c r="DE70" s="242"/>
      <c r="DF70" s="242"/>
      <c r="DG70" s="1133"/>
      <c r="DH70" s="242">
        <f t="shared" si="14"/>
        <v>0</v>
      </c>
      <c r="DI70" s="242"/>
      <c r="DJ70" s="242"/>
      <c r="DK70" s="214"/>
      <c r="DL70" s="214"/>
      <c r="DM70" s="1131"/>
      <c r="DN70" s="190"/>
      <c r="DO70" s="242"/>
      <c r="DP70" s="242"/>
      <c r="DQ70" s="1133"/>
      <c r="DR70" s="242">
        <f t="shared" si="15"/>
        <v>0</v>
      </c>
      <c r="DS70" s="242"/>
      <c r="DT70" s="242"/>
      <c r="DU70" s="214"/>
      <c r="DV70" s="214"/>
      <c r="DW70" s="1131"/>
      <c r="DX70" s="190"/>
      <c r="DY70" s="242"/>
      <c r="DZ70" s="242"/>
      <c r="EA70" s="1133"/>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24"/>
      <c r="C71" s="1124"/>
      <c r="D71" s="1124"/>
      <c r="E71" s="1124" t="s">
        <v>1061</v>
      </c>
      <c r="F71" s="1125">
        <f t="shared" si="2"/>
        <v>0</v>
      </c>
      <c r="G71" s="1126" t="str">
        <f t="shared" si="3"/>
        <v/>
      </c>
      <c r="H71" s="112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7">
        <f t="shared" si="82"/>
        <v>0</v>
      </c>
      <c r="J71" s="1128">
        <f t="shared" si="82"/>
        <v>0</v>
      </c>
      <c r="K71" s="214"/>
      <c r="L71" s="242" t="str">
        <f t="array" ref="L71">IFERROR(INDEX('💻シート作成'!$D$6:$D999, MATCH(M71, '💻シート作成'!$E$6:$E999, 0)), "")</f>
        <v/>
      </c>
      <c r="M71" s="1013"/>
      <c r="N71" s="214"/>
      <c r="O71" s="1087"/>
      <c r="P71" s="214"/>
      <c r="Q71" s="1131"/>
      <c r="R71" s="190"/>
      <c r="S71" s="242"/>
      <c r="T71" s="242" t="str">
        <f>IFERROR(__xludf.DUMMYFUNCTION("""COMPUTED_VALUE"""),"")</f>
        <v/>
      </c>
      <c r="U71" s="1133" t="str">
        <f>IFERROR(__xludf.DUMMYFUNCTION("""COMPUTED_VALUE"""),"")</f>
        <v/>
      </c>
      <c r="V71" s="242">
        <f t="shared" si="5"/>
        <v>0</v>
      </c>
      <c r="W71" s="242" t="str">
        <f>IFERROR(__xludf.DUMMYFUNCTION("""COMPUTED_VALUE"""),"")</f>
        <v/>
      </c>
      <c r="X71" s="242">
        <f>IFERROR(__xludf.DUMMYFUNCTION("""COMPUTED_VALUE"""),0.0)</f>
        <v>0</v>
      </c>
      <c r="Y71" s="214"/>
      <c r="Z71" s="214"/>
      <c r="AA71" s="1131"/>
      <c r="AB71" s="190"/>
      <c r="AC71" s="242"/>
      <c r="AD71" s="242" t="str">
        <f>IFERROR(__xludf.DUMMYFUNCTION("""COMPUTED_VALUE"""),"")</f>
        <v/>
      </c>
      <c r="AE71" s="1133" t="str">
        <f>IFERROR(__xludf.DUMMYFUNCTION("""COMPUTED_VALUE"""),"")</f>
        <v/>
      </c>
      <c r="AF71" s="242">
        <f t="shared" si="6"/>
        <v>0</v>
      </c>
      <c r="AG71" s="242" t="str">
        <f>IFERROR(__xludf.DUMMYFUNCTION("""COMPUTED_VALUE"""),"")</f>
        <v/>
      </c>
      <c r="AH71" s="242">
        <f>IFERROR(__xludf.DUMMYFUNCTION("""COMPUTED_VALUE"""),0.0)</f>
        <v>0</v>
      </c>
      <c r="AI71" s="214"/>
      <c r="AJ71" s="214"/>
      <c r="AK71" s="1131"/>
      <c r="AL71" s="190"/>
      <c r="AM71" s="242"/>
      <c r="AN71" s="242" t="str">
        <f>IFERROR(__xludf.DUMMYFUNCTION("""COMPUTED_VALUE"""),"")</f>
        <v/>
      </c>
      <c r="AO71" s="1133" t="str">
        <f>IFERROR(__xludf.DUMMYFUNCTION("""COMPUTED_VALUE"""),"")</f>
        <v/>
      </c>
      <c r="AP71" s="242">
        <f t="shared" si="7"/>
        <v>0</v>
      </c>
      <c r="AQ71" s="242" t="str">
        <f>IFERROR(__xludf.DUMMYFUNCTION("""COMPUTED_VALUE"""),"")</f>
        <v/>
      </c>
      <c r="AR71" s="242">
        <f>IFERROR(__xludf.DUMMYFUNCTION("""COMPUTED_VALUE"""),0.0)</f>
        <v>0</v>
      </c>
      <c r="AS71" s="237"/>
      <c r="AT71" s="214"/>
      <c r="AU71" s="1138"/>
      <c r="AV71" s="1154"/>
      <c r="AW71" s="1140"/>
      <c r="AX71" s="1140"/>
      <c r="AY71" s="1145"/>
      <c r="AZ71" s="1140">
        <f t="shared" si="8"/>
        <v>0</v>
      </c>
      <c r="BA71" s="1140"/>
      <c r="BB71" s="1140"/>
      <c r="BC71" s="214"/>
      <c r="BD71" s="214"/>
      <c r="BE71" s="1131"/>
      <c r="BF71" s="190"/>
      <c r="BG71" s="242"/>
      <c r="BH71" s="242"/>
      <c r="BI71" s="1133"/>
      <c r="BJ71" s="242">
        <f t="shared" si="9"/>
        <v>0</v>
      </c>
      <c r="BK71" s="242"/>
      <c r="BL71" s="242"/>
      <c r="BM71" s="214"/>
      <c r="BN71" s="214"/>
      <c r="BO71" s="1131"/>
      <c r="BP71" s="190"/>
      <c r="BQ71" s="242"/>
      <c r="BR71" s="242"/>
      <c r="BS71" s="1133"/>
      <c r="BT71" s="242">
        <f t="shared" si="10"/>
        <v>0</v>
      </c>
      <c r="BU71" s="242"/>
      <c r="BV71" s="242"/>
      <c r="BW71" s="237"/>
      <c r="BX71" s="214"/>
      <c r="BY71" s="1131"/>
      <c r="BZ71" s="190"/>
      <c r="CA71" s="242"/>
      <c r="CB71" s="242"/>
      <c r="CC71" s="1133"/>
      <c r="CD71" s="242">
        <f t="shared" si="11"/>
        <v>0</v>
      </c>
      <c r="CE71" s="242"/>
      <c r="CF71" s="242"/>
      <c r="CG71" s="214"/>
      <c r="CH71" s="214"/>
      <c r="CI71" s="1131"/>
      <c r="CJ71" s="190"/>
      <c r="CK71" s="242"/>
      <c r="CL71" s="242"/>
      <c r="CM71" s="1133"/>
      <c r="CN71" s="242">
        <f t="shared" si="12"/>
        <v>0</v>
      </c>
      <c r="CO71" s="242"/>
      <c r="CP71" s="242"/>
      <c r="CQ71" s="214"/>
      <c r="CR71" s="214"/>
      <c r="CS71" s="1131"/>
      <c r="CT71" s="190"/>
      <c r="CU71" s="242"/>
      <c r="CV71" s="242"/>
      <c r="CW71" s="1133"/>
      <c r="CX71" s="242">
        <f t="shared" si="13"/>
        <v>0</v>
      </c>
      <c r="CY71" s="242"/>
      <c r="CZ71" s="242"/>
      <c r="DA71" s="237"/>
      <c r="DB71" s="214"/>
      <c r="DC71" s="1131"/>
      <c r="DD71" s="190"/>
      <c r="DE71" s="242"/>
      <c r="DF71" s="242"/>
      <c r="DG71" s="1133"/>
      <c r="DH71" s="242">
        <f t="shared" si="14"/>
        <v>0</v>
      </c>
      <c r="DI71" s="242"/>
      <c r="DJ71" s="242"/>
      <c r="DK71" s="214"/>
      <c r="DL71" s="214"/>
      <c r="DM71" s="1131"/>
      <c r="DN71" s="190"/>
      <c r="DO71" s="242"/>
      <c r="DP71" s="242"/>
      <c r="DQ71" s="1133"/>
      <c r="DR71" s="242">
        <f t="shared" si="15"/>
        <v>0</v>
      </c>
      <c r="DS71" s="242"/>
      <c r="DT71" s="242"/>
      <c r="DU71" s="214"/>
      <c r="DV71" s="214"/>
      <c r="DW71" s="1131"/>
      <c r="DX71" s="190"/>
      <c r="DY71" s="242"/>
      <c r="DZ71" s="242"/>
      <c r="EA71" s="1133"/>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24"/>
      <c r="C72" s="1124"/>
      <c r="D72" s="1124"/>
      <c r="E72" s="1124" t="s">
        <v>1061</v>
      </c>
      <c r="F72" s="1125">
        <f t="shared" si="2"/>
        <v>0</v>
      </c>
      <c r="G72" s="1126" t="str">
        <f t="shared" si="3"/>
        <v/>
      </c>
      <c r="H72" s="112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7">
        <f t="shared" si="83"/>
        <v>0</v>
      </c>
      <c r="J72" s="1128">
        <f t="shared" si="83"/>
        <v>0</v>
      </c>
      <c r="K72" s="214"/>
      <c r="L72" s="242" t="str">
        <f t="array" ref="L72">IFERROR(INDEX('💻シート作成'!$D$6:$D999, MATCH(M72, '💻シート作成'!$E$6:$E999, 0)), "")</f>
        <v/>
      </c>
      <c r="M72" s="1013"/>
      <c r="N72" s="214"/>
      <c r="O72" s="1087"/>
      <c r="P72" s="214"/>
      <c r="Q72" s="1131"/>
      <c r="R72" s="190"/>
      <c r="S72" s="242"/>
      <c r="T72" s="242" t="str">
        <f>IFERROR(__xludf.DUMMYFUNCTION("""COMPUTED_VALUE"""),"")</f>
        <v/>
      </c>
      <c r="U72" s="1133" t="str">
        <f>IFERROR(__xludf.DUMMYFUNCTION("""COMPUTED_VALUE"""),"")</f>
        <v/>
      </c>
      <c r="V72" s="242">
        <f t="shared" si="5"/>
        <v>0</v>
      </c>
      <c r="W72" s="242" t="str">
        <f>IFERROR(__xludf.DUMMYFUNCTION("""COMPUTED_VALUE"""),"")</f>
        <v/>
      </c>
      <c r="X72" s="242">
        <f>IFERROR(__xludf.DUMMYFUNCTION("""COMPUTED_VALUE"""),0.0)</f>
        <v>0</v>
      </c>
      <c r="Y72" s="214"/>
      <c r="Z72" s="214"/>
      <c r="AA72" s="1131"/>
      <c r="AB72" s="190"/>
      <c r="AC72" s="242"/>
      <c r="AD72" s="242" t="str">
        <f>IFERROR(__xludf.DUMMYFUNCTION("""COMPUTED_VALUE"""),"")</f>
        <v/>
      </c>
      <c r="AE72" s="1133" t="str">
        <f>IFERROR(__xludf.DUMMYFUNCTION("""COMPUTED_VALUE"""),"")</f>
        <v/>
      </c>
      <c r="AF72" s="242">
        <f t="shared" si="6"/>
        <v>0</v>
      </c>
      <c r="AG72" s="242" t="str">
        <f>IFERROR(__xludf.DUMMYFUNCTION("""COMPUTED_VALUE"""),"")</f>
        <v/>
      </c>
      <c r="AH72" s="242">
        <f>IFERROR(__xludf.DUMMYFUNCTION("""COMPUTED_VALUE"""),0.0)</f>
        <v>0</v>
      </c>
      <c r="AI72" s="214"/>
      <c r="AJ72" s="214"/>
      <c r="AK72" s="1131"/>
      <c r="AL72" s="190"/>
      <c r="AM72" s="242"/>
      <c r="AN72" s="242" t="str">
        <f>IFERROR(__xludf.DUMMYFUNCTION("""COMPUTED_VALUE"""),"")</f>
        <v/>
      </c>
      <c r="AO72" s="1133" t="str">
        <f>IFERROR(__xludf.DUMMYFUNCTION("""COMPUTED_VALUE"""),"")</f>
        <v/>
      </c>
      <c r="AP72" s="242">
        <f t="shared" si="7"/>
        <v>0</v>
      </c>
      <c r="AQ72" s="242" t="str">
        <f>IFERROR(__xludf.DUMMYFUNCTION("""COMPUTED_VALUE"""),"")</f>
        <v/>
      </c>
      <c r="AR72" s="242">
        <f>IFERROR(__xludf.DUMMYFUNCTION("""COMPUTED_VALUE"""),0.0)</f>
        <v>0</v>
      </c>
      <c r="AS72" s="237"/>
      <c r="AT72" s="214"/>
      <c r="AU72" s="1138"/>
      <c r="AV72" s="1154"/>
      <c r="AW72" s="1140"/>
      <c r="AX72" s="1140"/>
      <c r="AY72" s="1145"/>
      <c r="AZ72" s="1140">
        <f t="shared" si="8"/>
        <v>0</v>
      </c>
      <c r="BA72" s="1140"/>
      <c r="BB72" s="1140"/>
      <c r="BC72" s="214"/>
      <c r="BD72" s="214"/>
      <c r="BE72" s="1131"/>
      <c r="BF72" s="190"/>
      <c r="BG72" s="242"/>
      <c r="BH72" s="242"/>
      <c r="BI72" s="1133"/>
      <c r="BJ72" s="242">
        <f t="shared" si="9"/>
        <v>0</v>
      </c>
      <c r="BK72" s="242"/>
      <c r="BL72" s="242"/>
      <c r="BM72" s="214"/>
      <c r="BN72" s="214"/>
      <c r="BO72" s="1131"/>
      <c r="BP72" s="190"/>
      <c r="BQ72" s="242"/>
      <c r="BR72" s="242"/>
      <c r="BS72" s="1133"/>
      <c r="BT72" s="242">
        <f t="shared" si="10"/>
        <v>0</v>
      </c>
      <c r="BU72" s="242"/>
      <c r="BV72" s="242"/>
      <c r="BW72" s="237"/>
      <c r="BX72" s="214"/>
      <c r="BY72" s="1131"/>
      <c r="BZ72" s="190"/>
      <c r="CA72" s="242"/>
      <c r="CB72" s="242"/>
      <c r="CC72" s="1133"/>
      <c r="CD72" s="242">
        <f t="shared" si="11"/>
        <v>0</v>
      </c>
      <c r="CE72" s="242"/>
      <c r="CF72" s="242"/>
      <c r="CG72" s="214"/>
      <c r="CH72" s="214"/>
      <c r="CI72" s="1131"/>
      <c r="CJ72" s="190"/>
      <c r="CK72" s="242"/>
      <c r="CL72" s="242"/>
      <c r="CM72" s="1133"/>
      <c r="CN72" s="242">
        <f t="shared" si="12"/>
        <v>0</v>
      </c>
      <c r="CO72" s="242"/>
      <c r="CP72" s="242"/>
      <c r="CQ72" s="214"/>
      <c r="CR72" s="214"/>
      <c r="CS72" s="1131"/>
      <c r="CT72" s="190"/>
      <c r="CU72" s="242"/>
      <c r="CV72" s="242"/>
      <c r="CW72" s="1133"/>
      <c r="CX72" s="242">
        <f t="shared" si="13"/>
        <v>0</v>
      </c>
      <c r="CY72" s="242"/>
      <c r="CZ72" s="242"/>
      <c r="DA72" s="237"/>
      <c r="DB72" s="214"/>
      <c r="DC72" s="1131"/>
      <c r="DD72" s="190"/>
      <c r="DE72" s="242"/>
      <c r="DF72" s="242"/>
      <c r="DG72" s="1133"/>
      <c r="DH72" s="242">
        <f t="shared" si="14"/>
        <v>0</v>
      </c>
      <c r="DI72" s="242"/>
      <c r="DJ72" s="242"/>
      <c r="DK72" s="214"/>
      <c r="DL72" s="214"/>
      <c r="DM72" s="1131"/>
      <c r="DN72" s="190"/>
      <c r="DO72" s="242"/>
      <c r="DP72" s="242"/>
      <c r="DQ72" s="1133"/>
      <c r="DR72" s="242">
        <f t="shared" si="15"/>
        <v>0</v>
      </c>
      <c r="DS72" s="242"/>
      <c r="DT72" s="242"/>
      <c r="DU72" s="214"/>
      <c r="DV72" s="214"/>
      <c r="DW72" s="1131"/>
      <c r="DX72" s="190"/>
      <c r="DY72" s="242"/>
      <c r="DZ72" s="242"/>
      <c r="EA72" s="1133"/>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24"/>
      <c r="C73" s="1124"/>
      <c r="D73" s="1124"/>
      <c r="E73" s="1124" t="s">
        <v>1061</v>
      </c>
      <c r="F73" s="1125">
        <f t="shared" si="2"/>
        <v>0</v>
      </c>
      <c r="G73" s="1126" t="str">
        <f t="shared" si="3"/>
        <v/>
      </c>
      <c r="H73" s="112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7">
        <f t="shared" si="84"/>
        <v>0</v>
      </c>
      <c r="J73" s="1128">
        <f t="shared" si="84"/>
        <v>0</v>
      </c>
      <c r="K73" s="214"/>
      <c r="L73" s="242" t="str">
        <f t="array" ref="L73">IFERROR(INDEX('💻シート作成'!$D$6:$D999, MATCH(M73, '💻シート作成'!$E$6:$E999, 0)), "")</f>
        <v/>
      </c>
      <c r="M73" s="1013"/>
      <c r="N73" s="214"/>
      <c r="O73" s="1087"/>
      <c r="P73" s="214"/>
      <c r="Q73" s="1131"/>
      <c r="R73" s="190"/>
      <c r="S73" s="242"/>
      <c r="T73" s="242" t="str">
        <f>IFERROR(__xludf.DUMMYFUNCTION("""COMPUTED_VALUE"""),"")</f>
        <v/>
      </c>
      <c r="U73" s="1133" t="str">
        <f>IFERROR(__xludf.DUMMYFUNCTION("""COMPUTED_VALUE"""),"")</f>
        <v/>
      </c>
      <c r="V73" s="242">
        <f t="shared" si="5"/>
        <v>0</v>
      </c>
      <c r="W73" s="242" t="str">
        <f>IFERROR(__xludf.DUMMYFUNCTION("""COMPUTED_VALUE"""),"")</f>
        <v/>
      </c>
      <c r="X73" s="242">
        <f>IFERROR(__xludf.DUMMYFUNCTION("""COMPUTED_VALUE"""),0.0)</f>
        <v>0</v>
      </c>
      <c r="Y73" s="214"/>
      <c r="Z73" s="214"/>
      <c r="AA73" s="1131"/>
      <c r="AB73" s="190"/>
      <c r="AC73" s="242"/>
      <c r="AD73" s="242" t="str">
        <f>IFERROR(__xludf.DUMMYFUNCTION("""COMPUTED_VALUE"""),"")</f>
        <v/>
      </c>
      <c r="AE73" s="1133"/>
      <c r="AF73" s="242">
        <f t="shared" si="6"/>
        <v>0</v>
      </c>
      <c r="AG73" s="242"/>
      <c r="AH73" s="242">
        <f>IFERROR(__xludf.DUMMYFUNCTION("""COMPUTED_VALUE"""),1464.0)</f>
        <v>1464</v>
      </c>
      <c r="AI73" s="214"/>
      <c r="AJ73" s="214"/>
      <c r="AK73" s="1131"/>
      <c r="AL73" s="190"/>
      <c r="AM73" s="242"/>
      <c r="AN73" s="242" t="str">
        <f>IFERROR(__xludf.DUMMYFUNCTION("""COMPUTED_VALUE"""),"")</f>
        <v/>
      </c>
      <c r="AO73" s="1133"/>
      <c r="AP73" s="242">
        <f t="shared" si="7"/>
        <v>0</v>
      </c>
      <c r="AQ73" s="242"/>
      <c r="AR73" s="242">
        <f>IFERROR(__xludf.DUMMYFUNCTION("""COMPUTED_VALUE"""),995.0)</f>
        <v>995</v>
      </c>
      <c r="AS73" s="237"/>
      <c r="AT73" s="214"/>
      <c r="AU73" s="1138"/>
      <c r="AV73" s="1154"/>
      <c r="AW73" s="1140"/>
      <c r="AX73" s="1140"/>
      <c r="AY73" s="1145"/>
      <c r="AZ73" s="1140">
        <f t="shared" si="8"/>
        <v>0</v>
      </c>
      <c r="BA73" s="1140"/>
      <c r="BB73" s="1140"/>
      <c r="BC73" s="214"/>
      <c r="BD73" s="214"/>
      <c r="BE73" s="1131"/>
      <c r="BF73" s="190"/>
      <c r="BG73" s="242"/>
      <c r="BH73" s="242"/>
      <c r="BI73" s="1133"/>
      <c r="BJ73" s="242">
        <f t="shared" si="9"/>
        <v>0</v>
      </c>
      <c r="BK73" s="242"/>
      <c r="BL73" s="242"/>
      <c r="BM73" s="214"/>
      <c r="BN73" s="214"/>
      <c r="BO73" s="1131"/>
      <c r="BP73" s="190"/>
      <c r="BQ73" s="242"/>
      <c r="BR73" s="242"/>
      <c r="BS73" s="1133"/>
      <c r="BT73" s="242">
        <f t="shared" si="10"/>
        <v>0</v>
      </c>
      <c r="BU73" s="242"/>
      <c r="BV73" s="242"/>
      <c r="BW73" s="237"/>
      <c r="BX73" s="214"/>
      <c r="BY73" s="1131"/>
      <c r="BZ73" s="190"/>
      <c r="CA73" s="242"/>
      <c r="CB73" s="242"/>
      <c r="CC73" s="1133"/>
      <c r="CD73" s="242">
        <f t="shared" si="11"/>
        <v>0</v>
      </c>
      <c r="CE73" s="242"/>
      <c r="CF73" s="242"/>
      <c r="CG73" s="214"/>
      <c r="CH73" s="214"/>
      <c r="CI73" s="1131"/>
      <c r="CJ73" s="190"/>
      <c r="CK73" s="242"/>
      <c r="CL73" s="242"/>
      <c r="CM73" s="1133"/>
      <c r="CN73" s="242">
        <f t="shared" si="12"/>
        <v>0</v>
      </c>
      <c r="CO73" s="242"/>
      <c r="CP73" s="242"/>
      <c r="CQ73" s="214"/>
      <c r="CR73" s="214"/>
      <c r="CS73" s="1131"/>
      <c r="CT73" s="190"/>
      <c r="CU73" s="242"/>
      <c r="CV73" s="242"/>
      <c r="CW73" s="1133"/>
      <c r="CX73" s="242">
        <f t="shared" si="13"/>
        <v>0</v>
      </c>
      <c r="CY73" s="242"/>
      <c r="CZ73" s="242"/>
      <c r="DA73" s="237"/>
      <c r="DB73" s="214"/>
      <c r="DC73" s="1131"/>
      <c r="DD73" s="190"/>
      <c r="DE73" s="242"/>
      <c r="DF73" s="242"/>
      <c r="DG73" s="1133"/>
      <c r="DH73" s="242">
        <f t="shared" si="14"/>
        <v>0</v>
      </c>
      <c r="DI73" s="242"/>
      <c r="DJ73" s="242"/>
      <c r="DK73" s="214"/>
      <c r="DL73" s="214"/>
      <c r="DM73" s="1131"/>
      <c r="DN73" s="190"/>
      <c r="DO73" s="242"/>
      <c r="DP73" s="242"/>
      <c r="DQ73" s="1133"/>
      <c r="DR73" s="242">
        <f t="shared" si="15"/>
        <v>0</v>
      </c>
      <c r="DS73" s="242"/>
      <c r="DT73" s="242"/>
      <c r="DU73" s="214"/>
      <c r="DV73" s="214"/>
      <c r="DW73" s="1131"/>
      <c r="DX73" s="190"/>
      <c r="DY73" s="242"/>
      <c r="DZ73" s="242"/>
      <c r="EA73" s="1133"/>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24"/>
      <c r="C74" s="1124"/>
      <c r="D74" s="1124"/>
      <c r="E74" s="1124" t="s">
        <v>1061</v>
      </c>
      <c r="F74" s="1125">
        <f t="shared" si="2"/>
        <v>0</v>
      </c>
      <c r="G74" s="1126" t="str">
        <f t="shared" si="3"/>
        <v/>
      </c>
      <c r="H74" s="112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7">
        <f t="shared" si="85"/>
        <v>0</v>
      </c>
      <c r="J74" s="1128">
        <f t="shared" si="85"/>
        <v>0</v>
      </c>
      <c r="K74" s="214"/>
      <c r="L74" s="242" t="str">
        <f t="array" ref="L74">IFERROR(INDEX('💻シート作成'!$D$6:$D999, MATCH(M74, '💻シート作成'!$E$6:$E999, 0)), "")</f>
        <v/>
      </c>
      <c r="M74" s="1013"/>
      <c r="N74" s="214"/>
      <c r="O74" s="1087"/>
      <c r="P74" s="214"/>
      <c r="Q74" s="1131"/>
      <c r="R74" s="190"/>
      <c r="S74" s="242"/>
      <c r="T74" s="242" t="str">
        <f>IFERROR(__xludf.DUMMYFUNCTION("""COMPUTED_VALUE"""),"")</f>
        <v/>
      </c>
      <c r="U74" s="1133" t="str">
        <f>IFERROR(__xludf.DUMMYFUNCTION("""COMPUTED_VALUE"""),"")</f>
        <v/>
      </c>
      <c r="V74" s="242">
        <f t="shared" si="5"/>
        <v>0</v>
      </c>
      <c r="W74" s="242" t="str">
        <f>IFERROR(__xludf.DUMMYFUNCTION("""COMPUTED_VALUE"""),"")</f>
        <v/>
      </c>
      <c r="X74" s="242">
        <f>IFERROR(__xludf.DUMMYFUNCTION("""COMPUTED_VALUE"""),0.0)</f>
        <v>0</v>
      </c>
      <c r="Y74" s="214"/>
      <c r="Z74" s="214"/>
      <c r="AA74" s="1131"/>
      <c r="AB74" s="190"/>
      <c r="AC74" s="242"/>
      <c r="AD74" s="242" t="str">
        <f>IFERROR(__xludf.DUMMYFUNCTION("""COMPUTED_VALUE"""),"")</f>
        <v/>
      </c>
      <c r="AE74" s="1133"/>
      <c r="AF74" s="242">
        <f t="shared" si="6"/>
        <v>0</v>
      </c>
      <c r="AG74" s="242"/>
      <c r="AH74" s="242">
        <f>IFERROR(__xludf.DUMMYFUNCTION("""COMPUTED_VALUE"""),0.0)</f>
        <v>0</v>
      </c>
      <c r="AI74" s="214"/>
      <c r="AJ74" s="214"/>
      <c r="AK74" s="1131"/>
      <c r="AL74" s="190"/>
      <c r="AM74" s="242"/>
      <c r="AN74" s="242" t="str">
        <f>IFERROR(__xludf.DUMMYFUNCTION("""COMPUTED_VALUE"""),"")</f>
        <v/>
      </c>
      <c r="AO74" s="1133"/>
      <c r="AP74" s="242">
        <f t="shared" si="7"/>
        <v>0</v>
      </c>
      <c r="AQ74" s="242"/>
      <c r="AR74" s="242">
        <f>IFERROR(__xludf.DUMMYFUNCTION("""COMPUTED_VALUE"""),0.0)</f>
        <v>0</v>
      </c>
      <c r="AS74" s="237"/>
      <c r="AT74" s="214"/>
      <c r="AU74" s="1138"/>
      <c r="AV74" s="1154"/>
      <c r="AW74" s="1140"/>
      <c r="AX74" s="1140"/>
      <c r="AY74" s="1145"/>
      <c r="AZ74" s="1140">
        <f t="shared" si="8"/>
        <v>0</v>
      </c>
      <c r="BA74" s="1140"/>
      <c r="BB74" s="1140"/>
      <c r="BC74" s="214"/>
      <c r="BD74" s="214"/>
      <c r="BE74" s="1131"/>
      <c r="BF74" s="190"/>
      <c r="BG74" s="242"/>
      <c r="BH74" s="242"/>
      <c r="BI74" s="1133"/>
      <c r="BJ74" s="242">
        <f t="shared" si="9"/>
        <v>0</v>
      </c>
      <c r="BK74" s="242"/>
      <c r="BL74" s="242"/>
      <c r="BM74" s="214"/>
      <c r="BN74" s="214"/>
      <c r="BO74" s="1131"/>
      <c r="BP74" s="190"/>
      <c r="BQ74" s="242"/>
      <c r="BR74" s="242"/>
      <c r="BS74" s="1133"/>
      <c r="BT74" s="242">
        <f t="shared" si="10"/>
        <v>0</v>
      </c>
      <c r="BU74" s="242"/>
      <c r="BV74" s="242"/>
      <c r="BW74" s="237"/>
      <c r="BX74" s="214"/>
      <c r="BY74" s="1131"/>
      <c r="BZ74" s="190"/>
      <c r="CA74" s="242"/>
      <c r="CB74" s="242"/>
      <c r="CC74" s="1133"/>
      <c r="CD74" s="242">
        <f t="shared" si="11"/>
        <v>0</v>
      </c>
      <c r="CE74" s="242"/>
      <c r="CF74" s="242"/>
      <c r="CG74" s="214"/>
      <c r="CH74" s="214"/>
      <c r="CI74" s="1131"/>
      <c r="CJ74" s="190"/>
      <c r="CK74" s="242"/>
      <c r="CL74" s="242"/>
      <c r="CM74" s="1133"/>
      <c r="CN74" s="242">
        <f t="shared" si="12"/>
        <v>0</v>
      </c>
      <c r="CO74" s="242"/>
      <c r="CP74" s="242"/>
      <c r="CQ74" s="214"/>
      <c r="CR74" s="214"/>
      <c r="CS74" s="1131"/>
      <c r="CT74" s="190"/>
      <c r="CU74" s="242"/>
      <c r="CV74" s="242"/>
      <c r="CW74" s="1133"/>
      <c r="CX74" s="242">
        <f t="shared" si="13"/>
        <v>0</v>
      </c>
      <c r="CY74" s="242"/>
      <c r="CZ74" s="242"/>
      <c r="DA74" s="237"/>
      <c r="DB74" s="214"/>
      <c r="DC74" s="1131"/>
      <c r="DD74" s="190"/>
      <c r="DE74" s="242"/>
      <c r="DF74" s="242"/>
      <c r="DG74" s="1133"/>
      <c r="DH74" s="242">
        <f t="shared" si="14"/>
        <v>0</v>
      </c>
      <c r="DI74" s="242"/>
      <c r="DJ74" s="242"/>
      <c r="DK74" s="214"/>
      <c r="DL74" s="214"/>
      <c r="DM74" s="1131"/>
      <c r="DN74" s="190"/>
      <c r="DO74" s="242"/>
      <c r="DP74" s="242"/>
      <c r="DQ74" s="1133"/>
      <c r="DR74" s="242">
        <f t="shared" si="15"/>
        <v>0</v>
      </c>
      <c r="DS74" s="242"/>
      <c r="DT74" s="242"/>
      <c r="DU74" s="214"/>
      <c r="DV74" s="214"/>
      <c r="DW74" s="1131"/>
      <c r="DX74" s="190"/>
      <c r="DY74" s="242"/>
      <c r="DZ74" s="242"/>
      <c r="EA74" s="1133"/>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24"/>
      <c r="C75" s="1124"/>
      <c r="D75" s="1124"/>
      <c r="E75" s="1124" t="s">
        <v>1061</v>
      </c>
      <c r="F75" s="1125">
        <f t="shared" si="2"/>
        <v>0</v>
      </c>
      <c r="G75" s="1126" t="str">
        <f t="shared" si="3"/>
        <v/>
      </c>
      <c r="H75" s="112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7">
        <f t="shared" si="86"/>
        <v>0</v>
      </c>
      <c r="J75" s="1128">
        <f t="shared" si="86"/>
        <v>0</v>
      </c>
      <c r="K75" s="214"/>
      <c r="L75" s="242" t="str">
        <f t="array" ref="L75">IFERROR(INDEX('💻シート作成'!$D$6:$D999, MATCH(M75, '💻シート作成'!$E$6:$E999, 0)), "")</f>
        <v/>
      </c>
      <c r="M75" s="1013"/>
      <c r="N75" s="214"/>
      <c r="O75" s="1087"/>
      <c r="P75" s="214"/>
      <c r="Q75" s="1131"/>
      <c r="R75" s="190"/>
      <c r="S75" s="242"/>
      <c r="T75" s="242" t="str">
        <f>IFERROR(__xludf.DUMMYFUNCTION("""COMPUTED_VALUE"""),"")</f>
        <v/>
      </c>
      <c r="U75" s="1133" t="str">
        <f>IFERROR(__xludf.DUMMYFUNCTION("""COMPUTED_VALUE"""),"")</f>
        <v/>
      </c>
      <c r="V75" s="242">
        <f t="shared" si="5"/>
        <v>0</v>
      </c>
      <c r="W75" s="242" t="str">
        <f>IFERROR(__xludf.DUMMYFUNCTION("""COMPUTED_VALUE"""),"")</f>
        <v/>
      </c>
      <c r="X75" s="242">
        <f>IFERROR(__xludf.DUMMYFUNCTION("""COMPUTED_VALUE"""),0.0)</f>
        <v>0</v>
      </c>
      <c r="Y75" s="214"/>
      <c r="Z75" s="214"/>
      <c r="AA75" s="1131"/>
      <c r="AB75" s="190"/>
      <c r="AC75" s="242"/>
      <c r="AD75" s="242" t="str">
        <f>IFERROR(__xludf.DUMMYFUNCTION("""COMPUTED_VALUE"""),"")</f>
        <v/>
      </c>
      <c r="AE75" s="1133"/>
      <c r="AF75" s="242">
        <f t="shared" si="6"/>
        <v>0</v>
      </c>
      <c r="AG75" s="242"/>
      <c r="AH75" s="242">
        <f>IFERROR(__xludf.DUMMYFUNCTION("""COMPUTED_VALUE"""),0.0)</f>
        <v>0</v>
      </c>
      <c r="AI75" s="214"/>
      <c r="AJ75" s="214"/>
      <c r="AK75" s="1131"/>
      <c r="AL75" s="190"/>
      <c r="AM75" s="242"/>
      <c r="AN75" s="242" t="str">
        <f>IFERROR(__xludf.DUMMYFUNCTION("""COMPUTED_VALUE"""),"")</f>
        <v/>
      </c>
      <c r="AO75" s="1133"/>
      <c r="AP75" s="242">
        <f t="shared" si="7"/>
        <v>0</v>
      </c>
      <c r="AQ75" s="242"/>
      <c r="AR75" s="242">
        <f>IFERROR(__xludf.DUMMYFUNCTION("""COMPUTED_VALUE"""),0.0)</f>
        <v>0</v>
      </c>
      <c r="AS75" s="237"/>
      <c r="AT75" s="214"/>
      <c r="AU75" s="1138"/>
      <c r="AV75" s="1154"/>
      <c r="AW75" s="1140"/>
      <c r="AX75" s="1140"/>
      <c r="AY75" s="1145"/>
      <c r="AZ75" s="1140">
        <f t="shared" si="8"/>
        <v>0</v>
      </c>
      <c r="BA75" s="1140"/>
      <c r="BB75" s="1140"/>
      <c r="BC75" s="214"/>
      <c r="BD75" s="214"/>
      <c r="BE75" s="1131"/>
      <c r="BF75" s="190"/>
      <c r="BG75" s="242"/>
      <c r="BH75" s="242"/>
      <c r="BI75" s="1133"/>
      <c r="BJ75" s="242">
        <f t="shared" si="9"/>
        <v>0</v>
      </c>
      <c r="BK75" s="242"/>
      <c r="BL75" s="242"/>
      <c r="BM75" s="214"/>
      <c r="BN75" s="214"/>
      <c r="BO75" s="1131"/>
      <c r="BP75" s="190"/>
      <c r="BQ75" s="242"/>
      <c r="BR75" s="242"/>
      <c r="BS75" s="1133"/>
      <c r="BT75" s="242">
        <f t="shared" si="10"/>
        <v>0</v>
      </c>
      <c r="BU75" s="242"/>
      <c r="BV75" s="242"/>
      <c r="BW75" s="237"/>
      <c r="BX75" s="214"/>
      <c r="BY75" s="1131"/>
      <c r="BZ75" s="190"/>
      <c r="CA75" s="242"/>
      <c r="CB75" s="242"/>
      <c r="CC75" s="1133"/>
      <c r="CD75" s="242">
        <f t="shared" si="11"/>
        <v>0</v>
      </c>
      <c r="CE75" s="242"/>
      <c r="CF75" s="242"/>
      <c r="CG75" s="214"/>
      <c r="CH75" s="214"/>
      <c r="CI75" s="1131"/>
      <c r="CJ75" s="190"/>
      <c r="CK75" s="242"/>
      <c r="CL75" s="242"/>
      <c r="CM75" s="1133"/>
      <c r="CN75" s="242">
        <f t="shared" si="12"/>
        <v>0</v>
      </c>
      <c r="CO75" s="242"/>
      <c r="CP75" s="242"/>
      <c r="CQ75" s="214"/>
      <c r="CR75" s="214"/>
      <c r="CS75" s="1131"/>
      <c r="CT75" s="190"/>
      <c r="CU75" s="242"/>
      <c r="CV75" s="242"/>
      <c r="CW75" s="1133"/>
      <c r="CX75" s="242">
        <f t="shared" si="13"/>
        <v>0</v>
      </c>
      <c r="CY75" s="242"/>
      <c r="CZ75" s="242"/>
      <c r="DA75" s="237"/>
      <c r="DB75" s="214"/>
      <c r="DC75" s="1131"/>
      <c r="DD75" s="190"/>
      <c r="DE75" s="242"/>
      <c r="DF75" s="242"/>
      <c r="DG75" s="1133"/>
      <c r="DH75" s="242">
        <f t="shared" si="14"/>
        <v>0</v>
      </c>
      <c r="DI75" s="242"/>
      <c r="DJ75" s="242"/>
      <c r="DK75" s="214"/>
      <c r="DL75" s="214"/>
      <c r="DM75" s="1131"/>
      <c r="DN75" s="190"/>
      <c r="DO75" s="242"/>
      <c r="DP75" s="242"/>
      <c r="DQ75" s="1133"/>
      <c r="DR75" s="242">
        <f t="shared" si="15"/>
        <v>0</v>
      </c>
      <c r="DS75" s="242"/>
      <c r="DT75" s="242"/>
      <c r="DU75" s="214"/>
      <c r="DV75" s="214"/>
      <c r="DW75" s="1131"/>
      <c r="DX75" s="190"/>
      <c r="DY75" s="242"/>
      <c r="DZ75" s="242"/>
      <c r="EA75" s="1133"/>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24"/>
      <c r="C76" s="1124"/>
      <c r="D76" s="1124"/>
      <c r="E76" s="1124" t="s">
        <v>1061</v>
      </c>
      <c r="F76" s="1125">
        <f t="shared" si="2"/>
        <v>0</v>
      </c>
      <c r="G76" s="1126" t="str">
        <f t="shared" si="3"/>
        <v/>
      </c>
      <c r="H76" s="112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7">
        <f t="shared" si="87"/>
        <v>0</v>
      </c>
      <c r="J76" s="1128">
        <f t="shared" si="87"/>
        <v>0</v>
      </c>
      <c r="K76" s="214"/>
      <c r="L76" s="242" t="str">
        <f t="array" ref="L76">IFERROR(INDEX('💻シート作成'!$D$6:$D999, MATCH(M76, '💻シート作成'!$E$6:$E999, 0)), "")</f>
        <v/>
      </c>
      <c r="M76" s="1013"/>
      <c r="N76" s="214"/>
      <c r="O76" s="1087"/>
      <c r="P76" s="214"/>
      <c r="Q76" s="1131"/>
      <c r="R76" s="190"/>
      <c r="S76" s="242"/>
      <c r="T76" s="242" t="str">
        <f>IFERROR(__xludf.DUMMYFUNCTION("""COMPUTED_VALUE"""),"")</f>
        <v/>
      </c>
      <c r="U76" s="242"/>
      <c r="V76" s="242">
        <f t="shared" si="5"/>
        <v>0</v>
      </c>
      <c r="W76" s="242"/>
      <c r="X76" s="242">
        <f>IFERROR(__xludf.DUMMYFUNCTION("""COMPUTED_VALUE"""),1323.0)</f>
        <v>1323</v>
      </c>
      <c r="Y76" s="214"/>
      <c r="Z76" s="214"/>
      <c r="AA76" s="1131"/>
      <c r="AB76" s="190"/>
      <c r="AC76" s="242"/>
      <c r="AD76" s="242" t="str">
        <f>IFERROR(__xludf.DUMMYFUNCTION("""COMPUTED_VALUE"""),"")</f>
        <v/>
      </c>
      <c r="AE76" s="1133"/>
      <c r="AF76" s="242">
        <f t="shared" si="6"/>
        <v>0</v>
      </c>
      <c r="AG76" s="242"/>
      <c r="AH76" s="242">
        <f>IFERROR(__xludf.DUMMYFUNCTION("""COMPUTED_VALUE"""),0.0)</f>
        <v>0</v>
      </c>
      <c r="AI76" s="214"/>
      <c r="AJ76" s="214"/>
      <c r="AK76" s="1131"/>
      <c r="AL76" s="190"/>
      <c r="AM76" s="242"/>
      <c r="AN76" s="242" t="str">
        <f>IFERROR(__xludf.DUMMYFUNCTION("""COMPUTED_VALUE"""),"")</f>
        <v/>
      </c>
      <c r="AO76" s="1133"/>
      <c r="AP76" s="242">
        <f t="shared" si="7"/>
        <v>0</v>
      </c>
      <c r="AQ76" s="242"/>
      <c r="AR76" s="242">
        <f>IFERROR(__xludf.DUMMYFUNCTION("""COMPUTED_VALUE"""),0.0)</f>
        <v>0</v>
      </c>
      <c r="AS76" s="237"/>
      <c r="AT76" s="214"/>
      <c r="AU76" s="1138"/>
      <c r="AV76" s="1154"/>
      <c r="AW76" s="1140"/>
      <c r="AX76" s="1140"/>
      <c r="AY76" s="1145"/>
      <c r="AZ76" s="1140">
        <f t="shared" si="8"/>
        <v>0</v>
      </c>
      <c r="BA76" s="1140"/>
      <c r="BB76" s="1140"/>
      <c r="BC76" s="214"/>
      <c r="BD76" s="214"/>
      <c r="BE76" s="1131"/>
      <c r="BF76" s="190"/>
      <c r="BG76" s="242"/>
      <c r="BH76" s="242"/>
      <c r="BI76" s="1133"/>
      <c r="BJ76" s="242">
        <f t="shared" si="9"/>
        <v>0</v>
      </c>
      <c r="BK76" s="242"/>
      <c r="BL76" s="242"/>
      <c r="BM76" s="214"/>
      <c r="BN76" s="214"/>
      <c r="BO76" s="1131"/>
      <c r="BP76" s="190"/>
      <c r="BQ76" s="242"/>
      <c r="BR76" s="242"/>
      <c r="BS76" s="1133"/>
      <c r="BT76" s="242">
        <f t="shared" si="10"/>
        <v>0</v>
      </c>
      <c r="BU76" s="242"/>
      <c r="BV76" s="242"/>
      <c r="BW76" s="237"/>
      <c r="BX76" s="214"/>
      <c r="BY76" s="1131"/>
      <c r="BZ76" s="190"/>
      <c r="CA76" s="242"/>
      <c r="CB76" s="242"/>
      <c r="CC76" s="1133"/>
      <c r="CD76" s="242">
        <f t="shared" si="11"/>
        <v>0</v>
      </c>
      <c r="CE76" s="242"/>
      <c r="CF76" s="242"/>
      <c r="CG76" s="214"/>
      <c r="CH76" s="214"/>
      <c r="CI76" s="1131"/>
      <c r="CJ76" s="190"/>
      <c r="CK76" s="242"/>
      <c r="CL76" s="242"/>
      <c r="CM76" s="1133"/>
      <c r="CN76" s="242">
        <f t="shared" si="12"/>
        <v>0</v>
      </c>
      <c r="CO76" s="242"/>
      <c r="CP76" s="242"/>
      <c r="CQ76" s="214"/>
      <c r="CR76" s="214"/>
      <c r="CS76" s="1131"/>
      <c r="CT76" s="190"/>
      <c r="CU76" s="242"/>
      <c r="CV76" s="242"/>
      <c r="CW76" s="1133"/>
      <c r="CX76" s="242">
        <f t="shared" si="13"/>
        <v>0</v>
      </c>
      <c r="CY76" s="242"/>
      <c r="CZ76" s="242"/>
      <c r="DA76" s="237"/>
      <c r="DB76" s="214"/>
      <c r="DC76" s="1131"/>
      <c r="DD76" s="190"/>
      <c r="DE76" s="242"/>
      <c r="DF76" s="242"/>
      <c r="DG76" s="1133"/>
      <c r="DH76" s="242">
        <f t="shared" si="14"/>
        <v>0</v>
      </c>
      <c r="DI76" s="242"/>
      <c r="DJ76" s="242"/>
      <c r="DK76" s="214"/>
      <c r="DL76" s="214"/>
      <c r="DM76" s="1131"/>
      <c r="DN76" s="190"/>
      <c r="DO76" s="242"/>
      <c r="DP76" s="242"/>
      <c r="DQ76" s="1133"/>
      <c r="DR76" s="242">
        <f t="shared" si="15"/>
        <v>0</v>
      </c>
      <c r="DS76" s="242"/>
      <c r="DT76" s="242"/>
      <c r="DU76" s="214"/>
      <c r="DV76" s="214"/>
      <c r="DW76" s="1131"/>
      <c r="DX76" s="190"/>
      <c r="DY76" s="242"/>
      <c r="DZ76" s="242"/>
      <c r="EA76" s="1133"/>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24"/>
      <c r="C77" s="1124"/>
      <c r="D77" s="1124"/>
      <c r="E77" s="1124" t="s">
        <v>1061</v>
      </c>
      <c r="F77" s="1125">
        <f t="shared" si="2"/>
        <v>0</v>
      </c>
      <c r="G77" s="1126" t="str">
        <f t="shared" si="3"/>
        <v/>
      </c>
      <c r="H77" s="112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7">
        <f t="shared" si="88"/>
        <v>0</v>
      </c>
      <c r="J77" s="1128">
        <f t="shared" si="88"/>
        <v>0</v>
      </c>
      <c r="K77" s="214"/>
      <c r="L77" s="242" t="str">
        <f t="array" ref="L77">IFERROR(INDEX('💻シート作成'!$D$6:$D999, MATCH(M77, '💻シート作成'!$E$6:$E999, 0)), "")</f>
        <v/>
      </c>
      <c r="M77" s="1013"/>
      <c r="N77" s="214"/>
      <c r="O77" s="1087"/>
      <c r="P77" s="214"/>
      <c r="Q77" s="1131"/>
      <c r="R77" s="190"/>
      <c r="S77" s="242"/>
      <c r="T77" s="242" t="str">
        <f>IFERROR(__xludf.DUMMYFUNCTION("""COMPUTED_VALUE"""),"")</f>
        <v/>
      </c>
      <c r="U77" s="242"/>
      <c r="V77" s="242">
        <f t="shared" si="5"/>
        <v>0</v>
      </c>
      <c r="W77" s="242"/>
      <c r="X77" s="242">
        <f>IFERROR(__xludf.DUMMYFUNCTION("""COMPUTED_VALUE"""),0.0)</f>
        <v>0</v>
      </c>
      <c r="Y77" s="214"/>
      <c r="Z77" s="214"/>
      <c r="AA77" s="1131"/>
      <c r="AB77" s="190"/>
      <c r="AC77" s="242"/>
      <c r="AD77" s="242" t="str">
        <f>IFERROR(__xludf.DUMMYFUNCTION("""COMPUTED_VALUE"""),"")</f>
        <v/>
      </c>
      <c r="AE77" s="1133"/>
      <c r="AF77" s="242">
        <f t="shared" si="6"/>
        <v>0</v>
      </c>
      <c r="AG77" s="242"/>
      <c r="AH77" s="242">
        <f>IFERROR(__xludf.DUMMYFUNCTION("""COMPUTED_VALUE"""),0.0)</f>
        <v>0</v>
      </c>
      <c r="AI77" s="214"/>
      <c r="AJ77" s="214"/>
      <c r="AK77" s="1131"/>
      <c r="AL77" s="190"/>
      <c r="AM77" s="242"/>
      <c r="AN77" s="242" t="str">
        <f>IFERROR(__xludf.DUMMYFUNCTION("""COMPUTED_VALUE"""),"")</f>
        <v/>
      </c>
      <c r="AO77" s="1133"/>
      <c r="AP77" s="242">
        <f t="shared" si="7"/>
        <v>0</v>
      </c>
      <c r="AQ77" s="242"/>
      <c r="AR77" s="242">
        <f>IFERROR(__xludf.DUMMYFUNCTION("""COMPUTED_VALUE"""),0.0)</f>
        <v>0</v>
      </c>
      <c r="AS77" s="237"/>
      <c r="AT77" s="214"/>
      <c r="AU77" s="1138"/>
      <c r="AV77" s="1154"/>
      <c r="AW77" s="1140"/>
      <c r="AX77" s="1140"/>
      <c r="AY77" s="1145"/>
      <c r="AZ77" s="1140">
        <f t="shared" si="8"/>
        <v>0</v>
      </c>
      <c r="BA77" s="1140"/>
      <c r="BB77" s="1140"/>
      <c r="BC77" s="214"/>
      <c r="BD77" s="214"/>
      <c r="BE77" s="1131"/>
      <c r="BF77" s="190"/>
      <c r="BG77" s="242"/>
      <c r="BH77" s="242"/>
      <c r="BI77" s="1133"/>
      <c r="BJ77" s="242">
        <f t="shared" si="9"/>
        <v>0</v>
      </c>
      <c r="BK77" s="242"/>
      <c r="BL77" s="242"/>
      <c r="BM77" s="214"/>
      <c r="BN77" s="214"/>
      <c r="BO77" s="1131"/>
      <c r="BP77" s="190"/>
      <c r="BQ77" s="242"/>
      <c r="BR77" s="242"/>
      <c r="BS77" s="1133"/>
      <c r="BT77" s="242">
        <f t="shared" si="10"/>
        <v>0</v>
      </c>
      <c r="BU77" s="242"/>
      <c r="BV77" s="242"/>
      <c r="BW77" s="237"/>
      <c r="BX77" s="214"/>
      <c r="BY77" s="1131"/>
      <c r="BZ77" s="190"/>
      <c r="CA77" s="242"/>
      <c r="CB77" s="242"/>
      <c r="CC77" s="1133"/>
      <c r="CD77" s="242">
        <f t="shared" si="11"/>
        <v>0</v>
      </c>
      <c r="CE77" s="242"/>
      <c r="CF77" s="242"/>
      <c r="CG77" s="214"/>
      <c r="CH77" s="214"/>
      <c r="CI77" s="1131"/>
      <c r="CJ77" s="190"/>
      <c r="CK77" s="242"/>
      <c r="CL77" s="242"/>
      <c r="CM77" s="1133"/>
      <c r="CN77" s="242">
        <f t="shared" si="12"/>
        <v>0</v>
      </c>
      <c r="CO77" s="242"/>
      <c r="CP77" s="242"/>
      <c r="CQ77" s="214"/>
      <c r="CR77" s="214"/>
      <c r="CS77" s="1131"/>
      <c r="CT77" s="190"/>
      <c r="CU77" s="242"/>
      <c r="CV77" s="242"/>
      <c r="CW77" s="1133"/>
      <c r="CX77" s="242">
        <f t="shared" si="13"/>
        <v>0</v>
      </c>
      <c r="CY77" s="242"/>
      <c r="CZ77" s="242"/>
      <c r="DA77" s="237"/>
      <c r="DB77" s="214"/>
      <c r="DC77" s="1131"/>
      <c r="DD77" s="190"/>
      <c r="DE77" s="242"/>
      <c r="DF77" s="242"/>
      <c r="DG77" s="1133"/>
      <c r="DH77" s="242">
        <f t="shared" si="14"/>
        <v>0</v>
      </c>
      <c r="DI77" s="242"/>
      <c r="DJ77" s="242"/>
      <c r="DK77" s="214"/>
      <c r="DL77" s="214"/>
      <c r="DM77" s="1131"/>
      <c r="DN77" s="190"/>
      <c r="DO77" s="242"/>
      <c r="DP77" s="242"/>
      <c r="DQ77" s="1133"/>
      <c r="DR77" s="242">
        <f t="shared" si="15"/>
        <v>0</v>
      </c>
      <c r="DS77" s="242"/>
      <c r="DT77" s="242"/>
      <c r="DU77" s="214"/>
      <c r="DV77" s="214"/>
      <c r="DW77" s="1131"/>
      <c r="DX77" s="190"/>
      <c r="DY77" s="242"/>
      <c r="DZ77" s="242"/>
      <c r="EA77" s="1133"/>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24"/>
      <c r="C78" s="1124"/>
      <c r="D78" s="1124"/>
      <c r="E78" s="1124" t="s">
        <v>1061</v>
      </c>
      <c r="F78" s="1125">
        <f t="shared" si="2"/>
        <v>0</v>
      </c>
      <c r="G78" s="1126" t="str">
        <f t="shared" si="3"/>
        <v/>
      </c>
      <c r="H78" s="112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7">
        <f t="shared" si="89"/>
        <v>0</v>
      </c>
      <c r="J78" s="1128">
        <f t="shared" si="89"/>
        <v>0</v>
      </c>
      <c r="K78" s="214"/>
      <c r="L78" s="242" t="str">
        <f t="array" ref="L78">IFERROR(INDEX('💻シート作成'!$D$6:$D999, MATCH(M78, '💻シート作成'!$E$6:$E999, 0)), "")</f>
        <v/>
      </c>
      <c r="M78" s="1013"/>
      <c r="N78" s="214"/>
      <c r="O78" s="1087"/>
      <c r="P78" s="214"/>
      <c r="Q78" s="1131"/>
      <c r="R78" s="190"/>
      <c r="S78" s="242"/>
      <c r="T78" s="242" t="str">
        <f>IFERROR(__xludf.DUMMYFUNCTION("""COMPUTED_VALUE"""),"")</f>
        <v/>
      </c>
      <c r="U78" s="242"/>
      <c r="V78" s="242">
        <f t="shared" si="5"/>
        <v>0</v>
      </c>
      <c r="W78" s="242"/>
      <c r="X78" s="242">
        <f>IFERROR(__xludf.DUMMYFUNCTION("""COMPUTED_VALUE"""),0.0)</f>
        <v>0</v>
      </c>
      <c r="Y78" s="214"/>
      <c r="Z78" s="214"/>
      <c r="AA78" s="1131"/>
      <c r="AB78" s="190"/>
      <c r="AC78" s="242"/>
      <c r="AD78" s="242" t="str">
        <f>IFERROR(__xludf.DUMMYFUNCTION("""COMPUTED_VALUE"""),"")</f>
        <v/>
      </c>
      <c r="AE78" s="1133"/>
      <c r="AF78" s="242">
        <f t="shared" si="6"/>
        <v>0</v>
      </c>
      <c r="AG78" s="242"/>
      <c r="AH78" s="242">
        <f>IFERROR(__xludf.DUMMYFUNCTION("""COMPUTED_VALUE"""),0.0)</f>
        <v>0</v>
      </c>
      <c r="AI78" s="214"/>
      <c r="AJ78" s="214"/>
      <c r="AK78" s="1131"/>
      <c r="AL78" s="190"/>
      <c r="AM78" s="242"/>
      <c r="AN78" s="242" t="str">
        <f>IFERROR(__xludf.DUMMYFUNCTION("""COMPUTED_VALUE"""),"")</f>
        <v/>
      </c>
      <c r="AO78" s="1133"/>
      <c r="AP78" s="242">
        <f t="shared" si="7"/>
        <v>0</v>
      </c>
      <c r="AQ78" s="242"/>
      <c r="AR78" s="242">
        <f>IFERROR(__xludf.DUMMYFUNCTION("""COMPUTED_VALUE"""),0.0)</f>
        <v>0</v>
      </c>
      <c r="AS78" s="237"/>
      <c r="AT78" s="214"/>
      <c r="AU78" s="1138"/>
      <c r="AV78" s="1154"/>
      <c r="AW78" s="1140"/>
      <c r="AX78" s="1140"/>
      <c r="AY78" s="1145"/>
      <c r="AZ78" s="1140">
        <f t="shared" si="8"/>
        <v>0</v>
      </c>
      <c r="BA78" s="1140"/>
      <c r="BB78" s="1140"/>
      <c r="BC78" s="214"/>
      <c r="BD78" s="214"/>
      <c r="BE78" s="1131"/>
      <c r="BF78" s="190"/>
      <c r="BG78" s="242"/>
      <c r="BH78" s="242"/>
      <c r="BI78" s="1133"/>
      <c r="BJ78" s="242">
        <f t="shared" si="9"/>
        <v>0</v>
      </c>
      <c r="BK78" s="242"/>
      <c r="BL78" s="242"/>
      <c r="BM78" s="214"/>
      <c r="BN78" s="214"/>
      <c r="BO78" s="1131"/>
      <c r="BP78" s="190"/>
      <c r="BQ78" s="242"/>
      <c r="BR78" s="242"/>
      <c r="BS78" s="1133"/>
      <c r="BT78" s="242">
        <f t="shared" si="10"/>
        <v>0</v>
      </c>
      <c r="BU78" s="242"/>
      <c r="BV78" s="242"/>
      <c r="BW78" s="237"/>
      <c r="BX78" s="214"/>
      <c r="BY78" s="1131"/>
      <c r="BZ78" s="190"/>
      <c r="CA78" s="242"/>
      <c r="CB78" s="242"/>
      <c r="CC78" s="1133"/>
      <c r="CD78" s="242">
        <f t="shared" si="11"/>
        <v>0</v>
      </c>
      <c r="CE78" s="242"/>
      <c r="CF78" s="242"/>
      <c r="CG78" s="214"/>
      <c r="CH78" s="214"/>
      <c r="CI78" s="1131"/>
      <c r="CJ78" s="190"/>
      <c r="CK78" s="242"/>
      <c r="CL78" s="242"/>
      <c r="CM78" s="1133"/>
      <c r="CN78" s="242">
        <f t="shared" si="12"/>
        <v>0</v>
      </c>
      <c r="CO78" s="242"/>
      <c r="CP78" s="242"/>
      <c r="CQ78" s="214"/>
      <c r="CR78" s="214"/>
      <c r="CS78" s="1131"/>
      <c r="CT78" s="190"/>
      <c r="CU78" s="242"/>
      <c r="CV78" s="242"/>
      <c r="CW78" s="1133"/>
      <c r="CX78" s="242">
        <f t="shared" si="13"/>
        <v>0</v>
      </c>
      <c r="CY78" s="242"/>
      <c r="CZ78" s="242"/>
      <c r="DA78" s="237"/>
      <c r="DB78" s="214"/>
      <c r="DC78" s="1131"/>
      <c r="DD78" s="190"/>
      <c r="DE78" s="242"/>
      <c r="DF78" s="242"/>
      <c r="DG78" s="1133"/>
      <c r="DH78" s="242">
        <f t="shared" si="14"/>
        <v>0</v>
      </c>
      <c r="DI78" s="242"/>
      <c r="DJ78" s="242"/>
      <c r="DK78" s="214"/>
      <c r="DL78" s="214"/>
      <c r="DM78" s="1131"/>
      <c r="DN78" s="190"/>
      <c r="DO78" s="242"/>
      <c r="DP78" s="242"/>
      <c r="DQ78" s="1133"/>
      <c r="DR78" s="242">
        <f t="shared" si="15"/>
        <v>0</v>
      </c>
      <c r="DS78" s="242"/>
      <c r="DT78" s="242"/>
      <c r="DU78" s="214"/>
      <c r="DV78" s="214"/>
      <c r="DW78" s="1131"/>
      <c r="DX78" s="190"/>
      <c r="DY78" s="242"/>
      <c r="DZ78" s="242"/>
      <c r="EA78" s="1133"/>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24"/>
      <c r="C79" s="1124"/>
      <c r="D79" s="1124"/>
      <c r="E79" s="1124" t="s">
        <v>1061</v>
      </c>
      <c r="F79" s="1125">
        <f t="shared" si="2"/>
        <v>0</v>
      </c>
      <c r="G79" s="1126" t="str">
        <f t="shared" si="3"/>
        <v/>
      </c>
      <c r="H79" s="112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7">
        <f t="shared" si="90"/>
        <v>0</v>
      </c>
      <c r="J79" s="1128">
        <f t="shared" si="90"/>
        <v>0</v>
      </c>
      <c r="K79" s="214"/>
      <c r="L79" s="242" t="str">
        <f t="array" ref="L79">IFERROR(INDEX('💻シート作成'!$D$6:$D999, MATCH(M79, '💻シート作成'!$E$6:$E999, 0)), "")</f>
        <v/>
      </c>
      <c r="M79" s="1013"/>
      <c r="N79" s="214"/>
      <c r="O79" s="1087"/>
      <c r="P79" s="214"/>
      <c r="Q79" s="1131"/>
      <c r="R79" s="190"/>
      <c r="S79" s="242"/>
      <c r="T79" s="242" t="str">
        <f>IFERROR(__xludf.DUMMYFUNCTION("""COMPUTED_VALUE"""),"")</f>
        <v/>
      </c>
      <c r="U79" s="242"/>
      <c r="V79" s="242">
        <f t="shared" si="5"/>
        <v>0</v>
      </c>
      <c r="W79" s="242"/>
      <c r="X79" s="242">
        <f>IFERROR(__xludf.DUMMYFUNCTION("""COMPUTED_VALUE"""),0.0)</f>
        <v>0</v>
      </c>
      <c r="Y79" s="214"/>
      <c r="Z79" s="214"/>
      <c r="AA79" s="1131"/>
      <c r="AB79" s="190"/>
      <c r="AC79" s="242"/>
      <c r="AD79" s="242" t="str">
        <f>IFERROR(__xludf.DUMMYFUNCTION("""COMPUTED_VALUE"""),"")</f>
        <v/>
      </c>
      <c r="AE79" s="1133"/>
      <c r="AF79" s="242">
        <f t="shared" si="6"/>
        <v>0</v>
      </c>
      <c r="AG79" s="242"/>
      <c r="AH79" s="242">
        <f>IFERROR(__xludf.DUMMYFUNCTION("""COMPUTED_VALUE"""),0.0)</f>
        <v>0</v>
      </c>
      <c r="AI79" s="214"/>
      <c r="AJ79" s="214"/>
      <c r="AK79" s="1131"/>
      <c r="AL79" s="190"/>
      <c r="AM79" s="242"/>
      <c r="AN79" s="242" t="str">
        <f>IFERROR(__xludf.DUMMYFUNCTION("""COMPUTED_VALUE"""),"")</f>
        <v/>
      </c>
      <c r="AO79" s="1133"/>
      <c r="AP79" s="242">
        <f t="shared" si="7"/>
        <v>0</v>
      </c>
      <c r="AQ79" s="242"/>
      <c r="AR79" s="242">
        <f>IFERROR(__xludf.DUMMYFUNCTION("""COMPUTED_VALUE"""),0.0)</f>
        <v>0</v>
      </c>
      <c r="AS79" s="237"/>
      <c r="AT79" s="214"/>
      <c r="AU79" s="1138"/>
      <c r="AV79" s="1154"/>
      <c r="AW79" s="1140"/>
      <c r="AX79" s="1140"/>
      <c r="AY79" s="1145"/>
      <c r="AZ79" s="1140">
        <f t="shared" si="8"/>
        <v>0</v>
      </c>
      <c r="BA79" s="1140"/>
      <c r="BB79" s="1140"/>
      <c r="BC79" s="214"/>
      <c r="BD79" s="214"/>
      <c r="BE79" s="1131"/>
      <c r="BF79" s="190"/>
      <c r="BG79" s="242"/>
      <c r="BH79" s="242"/>
      <c r="BI79" s="1133"/>
      <c r="BJ79" s="242">
        <f t="shared" si="9"/>
        <v>0</v>
      </c>
      <c r="BK79" s="242"/>
      <c r="BL79" s="242"/>
      <c r="BM79" s="214"/>
      <c r="BN79" s="214"/>
      <c r="BO79" s="1131"/>
      <c r="BP79" s="190"/>
      <c r="BQ79" s="242"/>
      <c r="BR79" s="242"/>
      <c r="BS79" s="1133"/>
      <c r="BT79" s="242">
        <f t="shared" si="10"/>
        <v>0</v>
      </c>
      <c r="BU79" s="242"/>
      <c r="BV79" s="242"/>
      <c r="BW79" s="237"/>
      <c r="BX79" s="214"/>
      <c r="BY79" s="1131"/>
      <c r="BZ79" s="190"/>
      <c r="CA79" s="242"/>
      <c r="CB79" s="242"/>
      <c r="CC79" s="1133"/>
      <c r="CD79" s="242">
        <f t="shared" si="11"/>
        <v>0</v>
      </c>
      <c r="CE79" s="242"/>
      <c r="CF79" s="242"/>
      <c r="CG79" s="214"/>
      <c r="CH79" s="214"/>
      <c r="CI79" s="1131"/>
      <c r="CJ79" s="190"/>
      <c r="CK79" s="242"/>
      <c r="CL79" s="242"/>
      <c r="CM79" s="1133"/>
      <c r="CN79" s="242">
        <f t="shared" si="12"/>
        <v>0</v>
      </c>
      <c r="CO79" s="242"/>
      <c r="CP79" s="242"/>
      <c r="CQ79" s="214"/>
      <c r="CR79" s="214"/>
      <c r="CS79" s="1131"/>
      <c r="CT79" s="190"/>
      <c r="CU79" s="242"/>
      <c r="CV79" s="242"/>
      <c r="CW79" s="1133"/>
      <c r="CX79" s="242">
        <f t="shared" si="13"/>
        <v>0</v>
      </c>
      <c r="CY79" s="242"/>
      <c r="CZ79" s="242"/>
      <c r="DA79" s="237"/>
      <c r="DB79" s="214"/>
      <c r="DC79" s="1131"/>
      <c r="DD79" s="190"/>
      <c r="DE79" s="242"/>
      <c r="DF79" s="242"/>
      <c r="DG79" s="1133"/>
      <c r="DH79" s="242">
        <f t="shared" si="14"/>
        <v>0</v>
      </c>
      <c r="DI79" s="242"/>
      <c r="DJ79" s="242"/>
      <c r="DK79" s="214"/>
      <c r="DL79" s="214"/>
      <c r="DM79" s="1131"/>
      <c r="DN79" s="190"/>
      <c r="DO79" s="242"/>
      <c r="DP79" s="242"/>
      <c r="DQ79" s="1133"/>
      <c r="DR79" s="242">
        <f t="shared" si="15"/>
        <v>0</v>
      </c>
      <c r="DS79" s="242"/>
      <c r="DT79" s="242"/>
      <c r="DU79" s="214"/>
      <c r="DV79" s="214"/>
      <c r="DW79" s="1131"/>
      <c r="DX79" s="190"/>
      <c r="DY79" s="242"/>
      <c r="DZ79" s="242"/>
      <c r="EA79" s="1133"/>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24"/>
      <c r="C80" s="1124"/>
      <c r="D80" s="1124"/>
      <c r="E80" s="1124" t="s">
        <v>1061</v>
      </c>
      <c r="F80" s="1125">
        <f t="shared" si="2"/>
        <v>0</v>
      </c>
      <c r="G80" s="1126" t="str">
        <f t="shared" si="3"/>
        <v/>
      </c>
      <c r="H80" s="112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7">
        <f t="shared" si="91"/>
        <v>0</v>
      </c>
      <c r="J80" s="1128">
        <f t="shared" si="91"/>
        <v>0</v>
      </c>
      <c r="K80" s="214"/>
      <c r="L80" s="242" t="str">
        <f t="array" ref="L80">IFERROR(INDEX('💻シート作成'!$D$6:$D999, MATCH(M80, '💻シート作成'!$E$6:$E999, 0)), "")</f>
        <v/>
      </c>
      <c r="M80" s="1013"/>
      <c r="N80" s="214"/>
      <c r="O80" s="1087"/>
      <c r="P80" s="214"/>
      <c r="Q80" s="1131"/>
      <c r="R80" s="190"/>
      <c r="S80" s="242"/>
      <c r="T80" s="242" t="str">
        <f>IFERROR(__xludf.DUMMYFUNCTION("""COMPUTED_VALUE"""),"")</f>
        <v/>
      </c>
      <c r="U80" s="242"/>
      <c r="V80" s="242">
        <f t="shared" si="5"/>
        <v>0</v>
      </c>
      <c r="W80" s="242"/>
      <c r="X80" s="242">
        <f>IFERROR(__xludf.DUMMYFUNCTION("""COMPUTED_VALUE"""),0.0)</f>
        <v>0</v>
      </c>
      <c r="Y80" s="214"/>
      <c r="Z80" s="214"/>
      <c r="AA80" s="1131"/>
      <c r="AB80" s="190"/>
      <c r="AC80" s="242"/>
      <c r="AD80" s="242" t="str">
        <f>IFERROR(__xludf.DUMMYFUNCTION("""COMPUTED_VALUE"""),"")</f>
        <v/>
      </c>
      <c r="AE80" s="1133"/>
      <c r="AF80" s="242">
        <f t="shared" si="6"/>
        <v>0</v>
      </c>
      <c r="AG80" s="242"/>
      <c r="AH80" s="242">
        <f>IFERROR(__xludf.DUMMYFUNCTION("""COMPUTED_VALUE"""),0.0)</f>
        <v>0</v>
      </c>
      <c r="AI80" s="214"/>
      <c r="AJ80" s="214"/>
      <c r="AK80" s="1131"/>
      <c r="AL80" s="190"/>
      <c r="AM80" s="242"/>
      <c r="AN80" s="242" t="str">
        <f>IFERROR(__xludf.DUMMYFUNCTION("""COMPUTED_VALUE"""),"")</f>
        <v/>
      </c>
      <c r="AO80" s="1133"/>
      <c r="AP80" s="242">
        <f t="shared" si="7"/>
        <v>0</v>
      </c>
      <c r="AQ80" s="242"/>
      <c r="AR80" s="242">
        <f>IFERROR(__xludf.DUMMYFUNCTION("""COMPUTED_VALUE"""),0.0)</f>
        <v>0</v>
      </c>
      <c r="AS80" s="237"/>
      <c r="AT80" s="214"/>
      <c r="AU80" s="1138"/>
      <c r="AV80" s="1154"/>
      <c r="AW80" s="1140"/>
      <c r="AX80" s="1140"/>
      <c r="AY80" s="1145"/>
      <c r="AZ80" s="1140">
        <f t="shared" si="8"/>
        <v>0</v>
      </c>
      <c r="BA80" s="1140"/>
      <c r="BB80" s="1140"/>
      <c r="BC80" s="214"/>
      <c r="BD80" s="214"/>
      <c r="BE80" s="1131"/>
      <c r="BF80" s="190"/>
      <c r="BG80" s="242"/>
      <c r="BH80" s="242"/>
      <c r="BI80" s="1133"/>
      <c r="BJ80" s="242">
        <f t="shared" si="9"/>
        <v>0</v>
      </c>
      <c r="BK80" s="242"/>
      <c r="BL80" s="242"/>
      <c r="BM80" s="214"/>
      <c r="BN80" s="214"/>
      <c r="BO80" s="1131"/>
      <c r="BP80" s="190"/>
      <c r="BQ80" s="242"/>
      <c r="BR80" s="242"/>
      <c r="BS80" s="1133"/>
      <c r="BT80" s="242">
        <f t="shared" si="10"/>
        <v>0</v>
      </c>
      <c r="BU80" s="242"/>
      <c r="BV80" s="242"/>
      <c r="BW80" s="237"/>
      <c r="BX80" s="214"/>
      <c r="BY80" s="1131"/>
      <c r="BZ80" s="190"/>
      <c r="CA80" s="242"/>
      <c r="CB80" s="242"/>
      <c r="CC80" s="1133"/>
      <c r="CD80" s="242">
        <f t="shared" si="11"/>
        <v>0</v>
      </c>
      <c r="CE80" s="242"/>
      <c r="CF80" s="242"/>
      <c r="CG80" s="214"/>
      <c r="CH80" s="214"/>
      <c r="CI80" s="1131"/>
      <c r="CJ80" s="190"/>
      <c r="CK80" s="242"/>
      <c r="CL80" s="242"/>
      <c r="CM80" s="1133"/>
      <c r="CN80" s="242">
        <f t="shared" si="12"/>
        <v>0</v>
      </c>
      <c r="CO80" s="242"/>
      <c r="CP80" s="242"/>
      <c r="CQ80" s="214"/>
      <c r="CR80" s="214"/>
      <c r="CS80" s="1131"/>
      <c r="CT80" s="190"/>
      <c r="CU80" s="242"/>
      <c r="CV80" s="242"/>
      <c r="CW80" s="1133"/>
      <c r="CX80" s="242">
        <f t="shared" si="13"/>
        <v>0</v>
      </c>
      <c r="CY80" s="242"/>
      <c r="CZ80" s="242"/>
      <c r="DA80" s="237"/>
      <c r="DB80" s="214"/>
      <c r="DC80" s="1131"/>
      <c r="DD80" s="190"/>
      <c r="DE80" s="242"/>
      <c r="DF80" s="242"/>
      <c r="DG80" s="1133"/>
      <c r="DH80" s="242">
        <f t="shared" si="14"/>
        <v>0</v>
      </c>
      <c r="DI80" s="242"/>
      <c r="DJ80" s="242"/>
      <c r="DK80" s="214"/>
      <c r="DL80" s="214"/>
      <c r="DM80" s="1131"/>
      <c r="DN80" s="190"/>
      <c r="DO80" s="242"/>
      <c r="DP80" s="242"/>
      <c r="DQ80" s="1133"/>
      <c r="DR80" s="242">
        <f t="shared" si="15"/>
        <v>0</v>
      </c>
      <c r="DS80" s="242"/>
      <c r="DT80" s="242"/>
      <c r="DU80" s="214"/>
      <c r="DV80" s="214"/>
      <c r="DW80" s="1131"/>
      <c r="DX80" s="190"/>
      <c r="DY80" s="242"/>
      <c r="DZ80" s="242"/>
      <c r="EA80" s="1133"/>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24"/>
      <c r="C81" s="1124"/>
      <c r="D81" s="1124"/>
      <c r="E81" s="1124" t="s">
        <v>1061</v>
      </c>
      <c r="F81" s="1125">
        <f t="shared" si="2"/>
        <v>0</v>
      </c>
      <c r="G81" s="1126" t="str">
        <f t="shared" si="3"/>
        <v/>
      </c>
      <c r="H81" s="112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7">
        <f t="shared" si="92"/>
        <v>0</v>
      </c>
      <c r="J81" s="1128">
        <f t="shared" si="92"/>
        <v>0</v>
      </c>
      <c r="K81" s="214"/>
      <c r="L81" s="242" t="str">
        <f t="array" ref="L81">IFERROR(INDEX('💻シート作成'!$D$6:$D999, MATCH(M81, '💻シート作成'!$E$6:$E999, 0)), "")</f>
        <v/>
      </c>
      <c r="M81" s="1013"/>
      <c r="N81" s="214"/>
      <c r="O81" s="1087"/>
      <c r="P81" s="214"/>
      <c r="Q81" s="1131"/>
      <c r="R81" s="190"/>
      <c r="S81" s="242"/>
      <c r="T81" s="242" t="str">
        <f>IFERROR(__xludf.DUMMYFUNCTION("""COMPUTED_VALUE"""),"")</f>
        <v/>
      </c>
      <c r="U81" s="242"/>
      <c r="V81" s="242">
        <f t="shared" si="5"/>
        <v>0</v>
      </c>
      <c r="W81" s="242"/>
      <c r="X81" s="242">
        <f>IFERROR(__xludf.DUMMYFUNCTION("""COMPUTED_VALUE"""),0.0)</f>
        <v>0</v>
      </c>
      <c r="Y81" s="214"/>
      <c r="Z81" s="214"/>
      <c r="AA81" s="1131"/>
      <c r="AB81" s="190"/>
      <c r="AC81" s="242"/>
      <c r="AD81" s="242" t="str">
        <f>IFERROR(__xludf.DUMMYFUNCTION("""COMPUTED_VALUE"""),"")</f>
        <v/>
      </c>
      <c r="AE81" s="1133"/>
      <c r="AF81" s="242">
        <f t="shared" si="6"/>
        <v>0</v>
      </c>
      <c r="AG81" s="242"/>
      <c r="AH81" s="242">
        <f>IFERROR(__xludf.DUMMYFUNCTION("""COMPUTED_VALUE"""),0.0)</f>
        <v>0</v>
      </c>
      <c r="AI81" s="214"/>
      <c r="AJ81" s="214"/>
      <c r="AK81" s="1131"/>
      <c r="AL81" s="190"/>
      <c r="AM81" s="242"/>
      <c r="AN81" s="242" t="str">
        <f>IFERROR(__xludf.DUMMYFUNCTION("""COMPUTED_VALUE"""),"")</f>
        <v/>
      </c>
      <c r="AO81" s="1133"/>
      <c r="AP81" s="242">
        <f t="shared" si="7"/>
        <v>0</v>
      </c>
      <c r="AQ81" s="242"/>
      <c r="AR81" s="242">
        <f>IFERROR(__xludf.DUMMYFUNCTION("""COMPUTED_VALUE"""),0.0)</f>
        <v>0</v>
      </c>
      <c r="AS81" s="237"/>
      <c r="AT81" s="214"/>
      <c r="AU81" s="1138"/>
      <c r="AV81" s="1154"/>
      <c r="AW81" s="1140"/>
      <c r="AX81" s="1140"/>
      <c r="AY81" s="1145"/>
      <c r="AZ81" s="1140">
        <f t="shared" si="8"/>
        <v>0</v>
      </c>
      <c r="BA81" s="1140"/>
      <c r="BB81" s="1140"/>
      <c r="BC81" s="214"/>
      <c r="BD81" s="214"/>
      <c r="BE81" s="1131"/>
      <c r="BF81" s="190"/>
      <c r="BG81" s="242"/>
      <c r="BH81" s="242"/>
      <c r="BI81" s="1133"/>
      <c r="BJ81" s="242">
        <f t="shared" si="9"/>
        <v>0</v>
      </c>
      <c r="BK81" s="242"/>
      <c r="BL81" s="242"/>
      <c r="BM81" s="214"/>
      <c r="BN81" s="214"/>
      <c r="BO81" s="1131"/>
      <c r="BP81" s="190"/>
      <c r="BQ81" s="242"/>
      <c r="BR81" s="242"/>
      <c r="BS81" s="1133"/>
      <c r="BT81" s="242">
        <f t="shared" si="10"/>
        <v>0</v>
      </c>
      <c r="BU81" s="242"/>
      <c r="BV81" s="242"/>
      <c r="BW81" s="237"/>
      <c r="BX81" s="214"/>
      <c r="BY81" s="1131"/>
      <c r="BZ81" s="190"/>
      <c r="CA81" s="242"/>
      <c r="CB81" s="242"/>
      <c r="CC81" s="1133"/>
      <c r="CD81" s="242">
        <f t="shared" si="11"/>
        <v>0</v>
      </c>
      <c r="CE81" s="242"/>
      <c r="CF81" s="242"/>
      <c r="CG81" s="214"/>
      <c r="CH81" s="214"/>
      <c r="CI81" s="1131"/>
      <c r="CJ81" s="190"/>
      <c r="CK81" s="242"/>
      <c r="CL81" s="242"/>
      <c r="CM81" s="1133"/>
      <c r="CN81" s="242">
        <f t="shared" si="12"/>
        <v>0</v>
      </c>
      <c r="CO81" s="242"/>
      <c r="CP81" s="242"/>
      <c r="CQ81" s="214"/>
      <c r="CR81" s="214"/>
      <c r="CS81" s="1131"/>
      <c r="CT81" s="190"/>
      <c r="CU81" s="242"/>
      <c r="CV81" s="242"/>
      <c r="CW81" s="1133"/>
      <c r="CX81" s="242">
        <f t="shared" si="13"/>
        <v>0</v>
      </c>
      <c r="CY81" s="242"/>
      <c r="CZ81" s="242"/>
      <c r="DA81" s="237"/>
      <c r="DB81" s="214"/>
      <c r="DC81" s="1131"/>
      <c r="DD81" s="190"/>
      <c r="DE81" s="242"/>
      <c r="DF81" s="242"/>
      <c r="DG81" s="1133"/>
      <c r="DH81" s="242">
        <f t="shared" si="14"/>
        <v>0</v>
      </c>
      <c r="DI81" s="242"/>
      <c r="DJ81" s="242"/>
      <c r="DK81" s="214"/>
      <c r="DL81" s="214"/>
      <c r="DM81" s="1131"/>
      <c r="DN81" s="190"/>
      <c r="DO81" s="242"/>
      <c r="DP81" s="242"/>
      <c r="DQ81" s="1133"/>
      <c r="DR81" s="242">
        <f t="shared" si="15"/>
        <v>0</v>
      </c>
      <c r="DS81" s="242"/>
      <c r="DT81" s="242"/>
      <c r="DU81" s="214"/>
      <c r="DV81" s="214"/>
      <c r="DW81" s="1131"/>
      <c r="DX81" s="190"/>
      <c r="DY81" s="242"/>
      <c r="DZ81" s="242"/>
      <c r="EA81" s="1133"/>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24"/>
      <c r="C82" s="1124"/>
      <c r="D82" s="1124"/>
      <c r="E82" s="1124"/>
      <c r="F82" s="1125">
        <f t="shared" si="2"/>
        <v>0</v>
      </c>
      <c r="G82" s="1126" t="str">
        <f t="shared" si="3"/>
        <v/>
      </c>
      <c r="H82" s="112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7">
        <f t="shared" si="93"/>
        <v>0</v>
      </c>
      <c r="J82" s="1128">
        <f t="shared" si="93"/>
        <v>0</v>
      </c>
      <c r="K82" s="214"/>
      <c r="L82" s="242" t="str">
        <f t="array" ref="L82">IFERROR(INDEX('💻シート作成'!$D$6:$D999, MATCH(M82, '💻シート作成'!$E$6:$E999, 0)), "")</f>
        <v/>
      </c>
      <c r="M82" s="1013"/>
      <c r="N82" s="214"/>
      <c r="O82" s="1087"/>
      <c r="P82" s="214"/>
      <c r="Q82" s="1131"/>
      <c r="R82" s="190"/>
      <c r="S82" s="242"/>
      <c r="T82" s="242" t="str">
        <f>IFERROR(__xludf.DUMMYFUNCTION("""COMPUTED_VALUE"""),"")</f>
        <v/>
      </c>
      <c r="U82" s="242"/>
      <c r="V82" s="242">
        <f t="shared" si="5"/>
        <v>0</v>
      </c>
      <c r="W82" s="242"/>
      <c r="X82" s="242">
        <f>IFERROR(__xludf.DUMMYFUNCTION("""COMPUTED_VALUE"""),0.0)</f>
        <v>0</v>
      </c>
      <c r="Y82" s="214"/>
      <c r="Z82" s="214"/>
      <c r="AA82" s="1131"/>
      <c r="AB82" s="190"/>
      <c r="AC82" s="242"/>
      <c r="AD82" s="242"/>
      <c r="AE82" s="1133"/>
      <c r="AF82" s="242">
        <f t="shared" si="6"/>
        <v>0</v>
      </c>
      <c r="AG82" s="242"/>
      <c r="AH82" s="242">
        <f>IFERROR(__xludf.DUMMYFUNCTION("""COMPUTED_VALUE"""),0.0)</f>
        <v>0</v>
      </c>
      <c r="AI82" s="214"/>
      <c r="AJ82" s="214"/>
      <c r="AK82" s="1131"/>
      <c r="AL82" s="190"/>
      <c r="AM82" s="242"/>
      <c r="AN82" s="242"/>
      <c r="AO82" s="1133"/>
      <c r="AP82" s="242">
        <f t="shared" si="7"/>
        <v>0</v>
      </c>
      <c r="AQ82" s="242"/>
      <c r="AR82" s="242">
        <f>IFERROR(__xludf.DUMMYFUNCTION("""COMPUTED_VALUE"""),0.0)</f>
        <v>0</v>
      </c>
      <c r="AS82" s="237"/>
      <c r="AT82" s="214"/>
      <c r="AU82" s="1138"/>
      <c r="AV82" s="1154"/>
      <c r="AW82" s="1140"/>
      <c r="AX82" s="1140"/>
      <c r="AY82" s="1145"/>
      <c r="AZ82" s="1140">
        <f t="shared" si="8"/>
        <v>0</v>
      </c>
      <c r="BA82" s="1140"/>
      <c r="BB82" s="1140"/>
      <c r="BC82" s="214"/>
      <c r="BD82" s="214"/>
      <c r="BE82" s="1131"/>
      <c r="BF82" s="190"/>
      <c r="BG82" s="242"/>
      <c r="BH82" s="242"/>
      <c r="BI82" s="1133"/>
      <c r="BJ82" s="242">
        <f t="shared" si="9"/>
        <v>0</v>
      </c>
      <c r="BK82" s="242"/>
      <c r="BL82" s="242"/>
      <c r="BM82" s="214"/>
      <c r="BN82" s="214"/>
      <c r="BO82" s="1131"/>
      <c r="BP82" s="190"/>
      <c r="BQ82" s="242"/>
      <c r="BR82" s="242"/>
      <c r="BS82" s="1133"/>
      <c r="BT82" s="242">
        <f t="shared" si="10"/>
        <v>0</v>
      </c>
      <c r="BU82" s="242"/>
      <c r="BV82" s="242"/>
      <c r="BW82" s="237"/>
      <c r="BX82" s="214"/>
      <c r="BY82" s="1131"/>
      <c r="BZ82" s="190"/>
      <c r="CA82" s="242"/>
      <c r="CB82" s="242"/>
      <c r="CC82" s="1133"/>
      <c r="CD82" s="242">
        <f t="shared" si="11"/>
        <v>0</v>
      </c>
      <c r="CE82" s="242"/>
      <c r="CF82" s="242"/>
      <c r="CG82" s="214"/>
      <c r="CH82" s="214"/>
      <c r="CI82" s="1131"/>
      <c r="CJ82" s="190"/>
      <c r="CK82" s="242"/>
      <c r="CL82" s="242"/>
      <c r="CM82" s="1133"/>
      <c r="CN82" s="242">
        <f t="shared" si="12"/>
        <v>0</v>
      </c>
      <c r="CO82" s="242"/>
      <c r="CP82" s="242"/>
      <c r="CQ82" s="214"/>
      <c r="CR82" s="214"/>
      <c r="CS82" s="1131"/>
      <c r="CT82" s="190"/>
      <c r="CU82" s="242"/>
      <c r="CV82" s="242"/>
      <c r="CW82" s="1133"/>
      <c r="CX82" s="242">
        <f t="shared" si="13"/>
        <v>0</v>
      </c>
      <c r="CY82" s="242"/>
      <c r="CZ82" s="242"/>
      <c r="DA82" s="237"/>
      <c r="DB82" s="214"/>
      <c r="DC82" s="1131"/>
      <c r="DD82" s="190"/>
      <c r="DE82" s="242"/>
      <c r="DF82" s="242"/>
      <c r="DG82" s="1133"/>
      <c r="DH82" s="242">
        <f t="shared" si="14"/>
        <v>0</v>
      </c>
      <c r="DI82" s="242"/>
      <c r="DJ82" s="242"/>
      <c r="DK82" s="214"/>
      <c r="DL82" s="214"/>
      <c r="DM82" s="1131"/>
      <c r="DN82" s="190"/>
      <c r="DO82" s="242"/>
      <c r="DP82" s="242"/>
      <c r="DQ82" s="1133"/>
      <c r="DR82" s="242">
        <f t="shared" si="15"/>
        <v>0</v>
      </c>
      <c r="DS82" s="242"/>
      <c r="DT82" s="242"/>
      <c r="DU82" s="214"/>
      <c r="DV82" s="214"/>
      <c r="DW82" s="1131"/>
      <c r="DX82" s="190"/>
      <c r="DY82" s="242"/>
      <c r="DZ82" s="242"/>
      <c r="EA82" s="1133"/>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24"/>
      <c r="C83" s="1124"/>
      <c r="D83" s="1124"/>
      <c r="E83" s="1124"/>
      <c r="F83" s="1125">
        <f t="shared" si="2"/>
        <v>0</v>
      </c>
      <c r="G83" s="1126" t="str">
        <f t="shared" si="3"/>
        <v/>
      </c>
      <c r="H83" s="112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7">
        <f t="shared" si="94"/>
        <v>0</v>
      </c>
      <c r="J83" s="1128">
        <f t="shared" si="94"/>
        <v>0</v>
      </c>
      <c r="K83" s="214"/>
      <c r="L83" s="242" t="str">
        <f t="array" ref="L83">IFERROR(INDEX('💻シート作成'!$D$6:$D999, MATCH(M83, '💻シート作成'!$E$6:$E999, 0)), "")</f>
        <v/>
      </c>
      <c r="M83" s="1013"/>
      <c r="N83" s="214"/>
      <c r="O83" s="1087"/>
      <c r="P83" s="214"/>
      <c r="Q83" s="1131"/>
      <c r="R83" s="190"/>
      <c r="S83" s="242"/>
      <c r="T83" s="242" t="str">
        <f>IFERROR(__xludf.DUMMYFUNCTION("""COMPUTED_VALUE"""),"")</f>
        <v/>
      </c>
      <c r="U83" s="242"/>
      <c r="V83" s="242">
        <f t="shared" si="5"/>
        <v>0</v>
      </c>
      <c r="W83" s="242"/>
      <c r="X83" s="242">
        <f>IFERROR(__xludf.DUMMYFUNCTION("""COMPUTED_VALUE"""),0.0)</f>
        <v>0</v>
      </c>
      <c r="Y83" s="214"/>
      <c r="Z83" s="214"/>
      <c r="AA83" s="1131"/>
      <c r="AB83" s="190"/>
      <c r="AC83" s="242"/>
      <c r="AD83" s="242"/>
      <c r="AE83" s="1133"/>
      <c r="AF83" s="242">
        <f t="shared" si="6"/>
        <v>0</v>
      </c>
      <c r="AG83" s="242"/>
      <c r="AH83" s="242">
        <f>IFERROR(__xludf.DUMMYFUNCTION("""COMPUTED_VALUE"""),0.0)</f>
        <v>0</v>
      </c>
      <c r="AI83" s="214"/>
      <c r="AJ83" s="214"/>
      <c r="AK83" s="1131"/>
      <c r="AL83" s="190"/>
      <c r="AM83" s="242"/>
      <c r="AN83" s="242"/>
      <c r="AO83" s="1133"/>
      <c r="AP83" s="242">
        <f t="shared" si="7"/>
        <v>0</v>
      </c>
      <c r="AQ83" s="242"/>
      <c r="AR83" s="242">
        <f>IFERROR(__xludf.DUMMYFUNCTION("""COMPUTED_VALUE"""),0.0)</f>
        <v>0</v>
      </c>
      <c r="AS83" s="237"/>
      <c r="AT83" s="214"/>
      <c r="AU83" s="1138"/>
      <c r="AV83" s="1154"/>
      <c r="AW83" s="1140"/>
      <c r="AX83" s="1140"/>
      <c r="AY83" s="1145"/>
      <c r="AZ83" s="1140">
        <f t="shared" si="8"/>
        <v>0</v>
      </c>
      <c r="BA83" s="1140"/>
      <c r="BB83" s="1140"/>
      <c r="BC83" s="214"/>
      <c r="BD83" s="214"/>
      <c r="BE83" s="1131"/>
      <c r="BF83" s="190"/>
      <c r="BG83" s="242"/>
      <c r="BH83" s="242"/>
      <c r="BI83" s="1133"/>
      <c r="BJ83" s="242">
        <f t="shared" si="9"/>
        <v>0</v>
      </c>
      <c r="BK83" s="242"/>
      <c r="BL83" s="242"/>
      <c r="BM83" s="214"/>
      <c r="BN83" s="214"/>
      <c r="BO83" s="1131"/>
      <c r="BP83" s="190"/>
      <c r="BQ83" s="242"/>
      <c r="BR83" s="242"/>
      <c r="BS83" s="1133"/>
      <c r="BT83" s="242">
        <f t="shared" si="10"/>
        <v>0</v>
      </c>
      <c r="BU83" s="242"/>
      <c r="BV83" s="242"/>
      <c r="BW83" s="237"/>
      <c r="BX83" s="214"/>
      <c r="BY83" s="1131"/>
      <c r="BZ83" s="190"/>
      <c r="CA83" s="242"/>
      <c r="CB83" s="242"/>
      <c r="CC83" s="1133"/>
      <c r="CD83" s="242">
        <f t="shared" si="11"/>
        <v>0</v>
      </c>
      <c r="CE83" s="242"/>
      <c r="CF83" s="242"/>
      <c r="CG83" s="214"/>
      <c r="CH83" s="214"/>
      <c r="CI83" s="1131"/>
      <c r="CJ83" s="190"/>
      <c r="CK83" s="242"/>
      <c r="CL83" s="242"/>
      <c r="CM83" s="1133"/>
      <c r="CN83" s="242">
        <f t="shared" si="12"/>
        <v>0</v>
      </c>
      <c r="CO83" s="242"/>
      <c r="CP83" s="242"/>
      <c r="CQ83" s="214"/>
      <c r="CR83" s="214"/>
      <c r="CS83" s="1131"/>
      <c r="CT83" s="190"/>
      <c r="CU83" s="242"/>
      <c r="CV83" s="242"/>
      <c r="CW83" s="1133"/>
      <c r="CX83" s="242">
        <f t="shared" si="13"/>
        <v>0</v>
      </c>
      <c r="CY83" s="242"/>
      <c r="CZ83" s="242"/>
      <c r="DA83" s="237"/>
      <c r="DB83" s="214"/>
      <c r="DC83" s="1131"/>
      <c r="DD83" s="190"/>
      <c r="DE83" s="242"/>
      <c r="DF83" s="242"/>
      <c r="DG83" s="1133"/>
      <c r="DH83" s="242">
        <f t="shared" si="14"/>
        <v>0</v>
      </c>
      <c r="DI83" s="242"/>
      <c r="DJ83" s="242"/>
      <c r="DK83" s="214"/>
      <c r="DL83" s="214"/>
      <c r="DM83" s="1131"/>
      <c r="DN83" s="190"/>
      <c r="DO83" s="242"/>
      <c r="DP83" s="242"/>
      <c r="DQ83" s="1133"/>
      <c r="DR83" s="242">
        <f t="shared" si="15"/>
        <v>0</v>
      </c>
      <c r="DS83" s="242"/>
      <c r="DT83" s="242"/>
      <c r="DU83" s="214"/>
      <c r="DV83" s="214"/>
      <c r="DW83" s="1131"/>
      <c r="DX83" s="190"/>
      <c r="DY83" s="242"/>
      <c r="DZ83" s="242"/>
      <c r="EA83" s="1133"/>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24"/>
      <c r="C84" s="1124"/>
      <c r="D84" s="1124"/>
      <c r="E84" s="1124"/>
      <c r="F84" s="1125">
        <f t="shared" si="2"/>
        <v>0</v>
      </c>
      <c r="G84" s="1126" t="str">
        <f t="shared" si="3"/>
        <v/>
      </c>
      <c r="H84" s="112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7">
        <f t="shared" si="95"/>
        <v>0</v>
      </c>
      <c r="J84" s="1128">
        <f t="shared" si="95"/>
        <v>0</v>
      </c>
      <c r="K84" s="214"/>
      <c r="L84" s="242" t="str">
        <f t="array" ref="L84">IFERROR(INDEX('💻シート作成'!$D$6:$D999, MATCH(M84, '💻シート作成'!$E$6:$E999, 0)), "")</f>
        <v/>
      </c>
      <c r="M84" s="1013"/>
      <c r="N84" s="214"/>
      <c r="O84" s="1087"/>
      <c r="P84" s="214"/>
      <c r="Q84" s="1131"/>
      <c r="R84" s="190"/>
      <c r="S84" s="242"/>
      <c r="T84" s="242" t="str">
        <f>IFERROR(__xludf.DUMMYFUNCTION("""COMPUTED_VALUE"""),"")</f>
        <v/>
      </c>
      <c r="U84" s="242"/>
      <c r="V84" s="242">
        <f t="shared" si="5"/>
        <v>0</v>
      </c>
      <c r="W84" s="242"/>
      <c r="X84" s="242">
        <f>IFERROR(__xludf.DUMMYFUNCTION("""COMPUTED_VALUE"""),0.0)</f>
        <v>0</v>
      </c>
      <c r="Y84" s="214"/>
      <c r="Z84" s="214"/>
      <c r="AA84" s="1131"/>
      <c r="AB84" s="190"/>
      <c r="AC84" s="242"/>
      <c r="AD84" s="242"/>
      <c r="AE84" s="1133"/>
      <c r="AF84" s="242">
        <f t="shared" si="6"/>
        <v>0</v>
      </c>
      <c r="AG84" s="242"/>
      <c r="AH84" s="242">
        <f>IFERROR(__xludf.DUMMYFUNCTION("""COMPUTED_VALUE"""),0.0)</f>
        <v>0</v>
      </c>
      <c r="AI84" s="214"/>
      <c r="AJ84" s="214"/>
      <c r="AK84" s="1131"/>
      <c r="AL84" s="190"/>
      <c r="AM84" s="242"/>
      <c r="AN84" s="242"/>
      <c r="AO84" s="1133"/>
      <c r="AP84" s="242">
        <f t="shared" si="7"/>
        <v>0</v>
      </c>
      <c r="AQ84" s="242"/>
      <c r="AR84" s="242">
        <f>IFERROR(__xludf.DUMMYFUNCTION("""COMPUTED_VALUE"""),0.0)</f>
        <v>0</v>
      </c>
      <c r="AS84" s="237"/>
      <c r="AT84" s="214"/>
      <c r="AU84" s="1138"/>
      <c r="AV84" s="1154"/>
      <c r="AW84" s="1140"/>
      <c r="AX84" s="1140"/>
      <c r="AY84" s="1145"/>
      <c r="AZ84" s="1140">
        <f t="shared" si="8"/>
        <v>0</v>
      </c>
      <c r="BA84" s="1140"/>
      <c r="BB84" s="1140"/>
      <c r="BC84" s="214"/>
      <c r="BD84" s="214"/>
      <c r="BE84" s="1131"/>
      <c r="BF84" s="190"/>
      <c r="BG84" s="242"/>
      <c r="BH84" s="242"/>
      <c r="BI84" s="1133"/>
      <c r="BJ84" s="242">
        <f t="shared" si="9"/>
        <v>0</v>
      </c>
      <c r="BK84" s="242"/>
      <c r="BL84" s="242"/>
      <c r="BM84" s="214"/>
      <c r="BN84" s="214"/>
      <c r="BO84" s="1131"/>
      <c r="BP84" s="190"/>
      <c r="BQ84" s="242"/>
      <c r="BR84" s="242"/>
      <c r="BS84" s="1133"/>
      <c r="BT84" s="242">
        <f t="shared" si="10"/>
        <v>0</v>
      </c>
      <c r="BU84" s="242"/>
      <c r="BV84" s="242"/>
      <c r="BW84" s="237"/>
      <c r="BX84" s="214"/>
      <c r="BY84" s="1131"/>
      <c r="BZ84" s="190"/>
      <c r="CA84" s="242"/>
      <c r="CB84" s="242"/>
      <c r="CC84" s="1133"/>
      <c r="CD84" s="242">
        <f t="shared" si="11"/>
        <v>0</v>
      </c>
      <c r="CE84" s="242"/>
      <c r="CF84" s="242"/>
      <c r="CG84" s="214"/>
      <c r="CH84" s="214"/>
      <c r="CI84" s="1131"/>
      <c r="CJ84" s="190"/>
      <c r="CK84" s="242"/>
      <c r="CL84" s="242"/>
      <c r="CM84" s="1133"/>
      <c r="CN84" s="242">
        <f t="shared" si="12"/>
        <v>0</v>
      </c>
      <c r="CO84" s="242"/>
      <c r="CP84" s="242"/>
      <c r="CQ84" s="214"/>
      <c r="CR84" s="214"/>
      <c r="CS84" s="1131"/>
      <c r="CT84" s="190"/>
      <c r="CU84" s="242"/>
      <c r="CV84" s="242"/>
      <c r="CW84" s="1133"/>
      <c r="CX84" s="242">
        <f t="shared" si="13"/>
        <v>0</v>
      </c>
      <c r="CY84" s="242"/>
      <c r="CZ84" s="242"/>
      <c r="DA84" s="237"/>
      <c r="DB84" s="214"/>
      <c r="DC84" s="1131"/>
      <c r="DD84" s="190"/>
      <c r="DE84" s="242"/>
      <c r="DF84" s="242"/>
      <c r="DG84" s="1133"/>
      <c r="DH84" s="242">
        <f t="shared" si="14"/>
        <v>0</v>
      </c>
      <c r="DI84" s="242"/>
      <c r="DJ84" s="242"/>
      <c r="DK84" s="214"/>
      <c r="DL84" s="214"/>
      <c r="DM84" s="1131"/>
      <c r="DN84" s="190"/>
      <c r="DO84" s="242"/>
      <c r="DP84" s="242"/>
      <c r="DQ84" s="1133"/>
      <c r="DR84" s="242">
        <f t="shared" si="15"/>
        <v>0</v>
      </c>
      <c r="DS84" s="242"/>
      <c r="DT84" s="242"/>
      <c r="DU84" s="214"/>
      <c r="DV84" s="214"/>
      <c r="DW84" s="1131"/>
      <c r="DX84" s="190"/>
      <c r="DY84" s="242"/>
      <c r="DZ84" s="242"/>
      <c r="EA84" s="1133"/>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24"/>
      <c r="C85" s="1124"/>
      <c r="D85" s="1124"/>
      <c r="E85" s="1124"/>
      <c r="F85" s="1125">
        <f t="shared" si="2"/>
        <v>0</v>
      </c>
      <c r="G85" s="1126" t="str">
        <f t="shared" si="3"/>
        <v/>
      </c>
      <c r="H85" s="112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7">
        <f t="shared" si="96"/>
        <v>0</v>
      </c>
      <c r="J85" s="1128">
        <f t="shared" si="96"/>
        <v>0</v>
      </c>
      <c r="K85" s="214"/>
      <c r="L85" s="242" t="str">
        <f t="array" ref="L85">IFERROR(INDEX('💻シート作成'!$D$6:$D999, MATCH(M85, '💻シート作成'!$E$6:$E999, 0)), "")</f>
        <v/>
      </c>
      <c r="M85" s="1013"/>
      <c r="N85" s="214"/>
      <c r="O85" s="1087"/>
      <c r="P85" s="214"/>
      <c r="Q85" s="1131"/>
      <c r="R85" s="190"/>
      <c r="S85" s="242"/>
      <c r="T85" s="242"/>
      <c r="U85" s="242"/>
      <c r="V85" s="242">
        <f t="shared" si="5"/>
        <v>0</v>
      </c>
      <c r="W85" s="242"/>
      <c r="X85" s="242">
        <f>IFERROR(__xludf.DUMMYFUNCTION("""COMPUTED_VALUE"""),0.0)</f>
        <v>0</v>
      </c>
      <c r="Y85" s="214"/>
      <c r="Z85" s="214"/>
      <c r="AA85" s="1131"/>
      <c r="AB85" s="190"/>
      <c r="AC85" s="242"/>
      <c r="AD85" s="242"/>
      <c r="AE85" s="1133"/>
      <c r="AF85" s="242">
        <f t="shared" si="6"/>
        <v>0</v>
      </c>
      <c r="AG85" s="242"/>
      <c r="AH85" s="242">
        <f>IFERROR(__xludf.DUMMYFUNCTION("""COMPUTED_VALUE"""),0.0)</f>
        <v>0</v>
      </c>
      <c r="AI85" s="214"/>
      <c r="AJ85" s="214"/>
      <c r="AK85" s="1131"/>
      <c r="AL85" s="190"/>
      <c r="AM85" s="242"/>
      <c r="AN85" s="242"/>
      <c r="AO85" s="1133"/>
      <c r="AP85" s="242">
        <f t="shared" si="7"/>
        <v>0</v>
      </c>
      <c r="AQ85" s="242"/>
      <c r="AR85" s="242">
        <f>IFERROR(__xludf.DUMMYFUNCTION("""COMPUTED_VALUE"""),0.0)</f>
        <v>0</v>
      </c>
      <c r="AS85" s="237"/>
      <c r="AT85" s="214"/>
      <c r="AU85" s="1138"/>
      <c r="AV85" s="1154"/>
      <c r="AW85" s="1140"/>
      <c r="AX85" s="1140"/>
      <c r="AY85" s="1145"/>
      <c r="AZ85" s="1140">
        <f t="shared" si="8"/>
        <v>0</v>
      </c>
      <c r="BA85" s="1140"/>
      <c r="BB85" s="1140"/>
      <c r="BC85" s="214"/>
      <c r="BD85" s="214"/>
      <c r="BE85" s="1131"/>
      <c r="BF85" s="190"/>
      <c r="BG85" s="242"/>
      <c r="BH85" s="242"/>
      <c r="BI85" s="1133"/>
      <c r="BJ85" s="242">
        <f t="shared" si="9"/>
        <v>0</v>
      </c>
      <c r="BK85" s="242"/>
      <c r="BL85" s="242"/>
      <c r="BM85" s="214"/>
      <c r="BN85" s="214"/>
      <c r="BO85" s="1131"/>
      <c r="BP85" s="190"/>
      <c r="BQ85" s="242"/>
      <c r="BR85" s="242"/>
      <c r="BS85" s="1133"/>
      <c r="BT85" s="242">
        <f t="shared" si="10"/>
        <v>0</v>
      </c>
      <c r="BU85" s="242"/>
      <c r="BV85" s="242"/>
      <c r="BW85" s="237"/>
      <c r="BX85" s="214"/>
      <c r="BY85" s="1131"/>
      <c r="BZ85" s="190"/>
      <c r="CA85" s="242"/>
      <c r="CB85" s="242"/>
      <c r="CC85" s="1133"/>
      <c r="CD85" s="242">
        <f t="shared" si="11"/>
        <v>0</v>
      </c>
      <c r="CE85" s="242"/>
      <c r="CF85" s="242"/>
      <c r="CG85" s="214"/>
      <c r="CH85" s="214"/>
      <c r="CI85" s="1131"/>
      <c r="CJ85" s="190"/>
      <c r="CK85" s="242"/>
      <c r="CL85" s="242"/>
      <c r="CM85" s="1133"/>
      <c r="CN85" s="242">
        <f t="shared" si="12"/>
        <v>0</v>
      </c>
      <c r="CO85" s="242"/>
      <c r="CP85" s="242"/>
      <c r="CQ85" s="214"/>
      <c r="CR85" s="214"/>
      <c r="CS85" s="1131"/>
      <c r="CT85" s="190"/>
      <c r="CU85" s="242"/>
      <c r="CV85" s="242"/>
      <c r="CW85" s="1133"/>
      <c r="CX85" s="242">
        <f t="shared" si="13"/>
        <v>0</v>
      </c>
      <c r="CY85" s="242"/>
      <c r="CZ85" s="242"/>
      <c r="DA85" s="237"/>
      <c r="DB85" s="214"/>
      <c r="DC85" s="1131"/>
      <c r="DD85" s="190"/>
      <c r="DE85" s="242"/>
      <c r="DF85" s="242"/>
      <c r="DG85" s="1133"/>
      <c r="DH85" s="242">
        <f t="shared" si="14"/>
        <v>0</v>
      </c>
      <c r="DI85" s="242"/>
      <c r="DJ85" s="242"/>
      <c r="DK85" s="214"/>
      <c r="DL85" s="214"/>
      <c r="DM85" s="1131"/>
      <c r="DN85" s="190"/>
      <c r="DO85" s="242"/>
      <c r="DP85" s="242"/>
      <c r="DQ85" s="1133"/>
      <c r="DR85" s="242">
        <f t="shared" si="15"/>
        <v>0</v>
      </c>
      <c r="DS85" s="242"/>
      <c r="DT85" s="242"/>
      <c r="DU85" s="214"/>
      <c r="DV85" s="214"/>
      <c r="DW85" s="1131"/>
      <c r="DX85" s="190"/>
      <c r="DY85" s="242"/>
      <c r="DZ85" s="242"/>
      <c r="EA85" s="1133"/>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24"/>
      <c r="C86" s="1124"/>
      <c r="D86" s="1124"/>
      <c r="E86" s="1124"/>
      <c r="F86" s="1125">
        <f t="shared" si="2"/>
        <v>0</v>
      </c>
      <c r="G86" s="1126" t="str">
        <f t="shared" si="3"/>
        <v/>
      </c>
      <c r="H86" s="112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7">
        <f t="shared" si="97"/>
        <v>0</v>
      </c>
      <c r="J86" s="1128">
        <f t="shared" si="97"/>
        <v>0</v>
      </c>
      <c r="K86" s="214"/>
      <c r="L86" s="242" t="str">
        <f t="array" ref="L86">IFERROR(INDEX('💻シート作成'!$D$6:$D999, MATCH(M86, '💻シート作成'!$E$6:$E999, 0)), "")</f>
        <v/>
      </c>
      <c r="M86" s="1013"/>
      <c r="N86" s="214"/>
      <c r="O86" s="1087"/>
      <c r="P86" s="214"/>
      <c r="Q86" s="1131"/>
      <c r="R86" s="190"/>
      <c r="S86" s="242"/>
      <c r="T86" s="242"/>
      <c r="U86" s="242"/>
      <c r="V86" s="242">
        <f t="shared" si="5"/>
        <v>0</v>
      </c>
      <c r="W86" s="242"/>
      <c r="X86" s="242">
        <f>IFERROR(__xludf.DUMMYFUNCTION("""COMPUTED_VALUE"""),0.0)</f>
        <v>0</v>
      </c>
      <c r="Y86" s="214"/>
      <c r="Z86" s="214"/>
      <c r="AA86" s="1131"/>
      <c r="AB86" s="190"/>
      <c r="AC86" s="242"/>
      <c r="AD86" s="242"/>
      <c r="AE86" s="1133"/>
      <c r="AF86" s="242">
        <f t="shared" si="6"/>
        <v>0</v>
      </c>
      <c r="AG86" s="242"/>
      <c r="AH86" s="242">
        <f>IFERROR(__xludf.DUMMYFUNCTION("""COMPUTED_VALUE"""),0.0)</f>
        <v>0</v>
      </c>
      <c r="AI86" s="214"/>
      <c r="AJ86" s="214"/>
      <c r="AK86" s="1131"/>
      <c r="AL86" s="190"/>
      <c r="AM86" s="242"/>
      <c r="AN86" s="242"/>
      <c r="AO86" s="1133"/>
      <c r="AP86" s="242">
        <f t="shared" si="7"/>
        <v>0</v>
      </c>
      <c r="AQ86" s="242"/>
      <c r="AR86" s="242">
        <f>IFERROR(__xludf.DUMMYFUNCTION("""COMPUTED_VALUE"""),0.0)</f>
        <v>0</v>
      </c>
      <c r="AS86" s="237"/>
      <c r="AT86" s="214"/>
      <c r="AU86" s="1138"/>
      <c r="AV86" s="1154"/>
      <c r="AW86" s="1140"/>
      <c r="AX86" s="1140"/>
      <c r="AY86" s="1145"/>
      <c r="AZ86" s="1140">
        <f t="shared" si="8"/>
        <v>0</v>
      </c>
      <c r="BA86" s="1140"/>
      <c r="BB86" s="1140"/>
      <c r="BC86" s="214"/>
      <c r="BD86" s="214"/>
      <c r="BE86" s="1131"/>
      <c r="BF86" s="190"/>
      <c r="BG86" s="242"/>
      <c r="BH86" s="242"/>
      <c r="BI86" s="1133"/>
      <c r="BJ86" s="242">
        <f t="shared" si="9"/>
        <v>0</v>
      </c>
      <c r="BK86" s="242"/>
      <c r="BL86" s="242"/>
      <c r="BM86" s="214"/>
      <c r="BN86" s="214"/>
      <c r="BO86" s="1131"/>
      <c r="BP86" s="190"/>
      <c r="BQ86" s="242"/>
      <c r="BR86" s="242"/>
      <c r="BS86" s="1133"/>
      <c r="BT86" s="242">
        <f t="shared" si="10"/>
        <v>0</v>
      </c>
      <c r="BU86" s="242"/>
      <c r="BV86" s="242"/>
      <c r="BW86" s="237"/>
      <c r="BX86" s="214"/>
      <c r="BY86" s="1131"/>
      <c r="BZ86" s="190"/>
      <c r="CA86" s="242"/>
      <c r="CB86" s="242"/>
      <c r="CC86" s="1133"/>
      <c r="CD86" s="242">
        <f t="shared" si="11"/>
        <v>0</v>
      </c>
      <c r="CE86" s="242"/>
      <c r="CF86" s="242"/>
      <c r="CG86" s="214"/>
      <c r="CH86" s="214"/>
      <c r="CI86" s="1131"/>
      <c r="CJ86" s="190"/>
      <c r="CK86" s="242"/>
      <c r="CL86" s="242"/>
      <c r="CM86" s="1133"/>
      <c r="CN86" s="242">
        <f t="shared" si="12"/>
        <v>0</v>
      </c>
      <c r="CO86" s="242"/>
      <c r="CP86" s="242"/>
      <c r="CQ86" s="214"/>
      <c r="CR86" s="214"/>
      <c r="CS86" s="1131"/>
      <c r="CT86" s="190"/>
      <c r="CU86" s="242"/>
      <c r="CV86" s="242"/>
      <c r="CW86" s="1133"/>
      <c r="CX86" s="242">
        <f t="shared" si="13"/>
        <v>0</v>
      </c>
      <c r="CY86" s="242"/>
      <c r="CZ86" s="242"/>
      <c r="DA86" s="237"/>
      <c r="DB86" s="214"/>
      <c r="DC86" s="1131"/>
      <c r="DD86" s="190"/>
      <c r="DE86" s="242"/>
      <c r="DF86" s="242"/>
      <c r="DG86" s="1133"/>
      <c r="DH86" s="242">
        <f t="shared" si="14"/>
        <v>0</v>
      </c>
      <c r="DI86" s="242"/>
      <c r="DJ86" s="242"/>
      <c r="DK86" s="214"/>
      <c r="DL86" s="214"/>
      <c r="DM86" s="1131"/>
      <c r="DN86" s="190"/>
      <c r="DO86" s="242"/>
      <c r="DP86" s="242"/>
      <c r="DQ86" s="1133"/>
      <c r="DR86" s="242">
        <f t="shared" si="15"/>
        <v>0</v>
      </c>
      <c r="DS86" s="242"/>
      <c r="DT86" s="242"/>
      <c r="DU86" s="214"/>
      <c r="DV86" s="214"/>
      <c r="DW86" s="1131"/>
      <c r="DX86" s="190"/>
      <c r="DY86" s="242"/>
      <c r="DZ86" s="242"/>
      <c r="EA86" s="1133"/>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24"/>
      <c r="C87" s="1124"/>
      <c r="D87" s="1124"/>
      <c r="E87" s="1124"/>
      <c r="F87" s="1125">
        <f t="shared" si="2"/>
        <v>0</v>
      </c>
      <c r="G87" s="1126" t="str">
        <f t="shared" si="3"/>
        <v/>
      </c>
      <c r="H87" s="112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7">
        <f t="shared" si="98"/>
        <v>0</v>
      </c>
      <c r="J87" s="1128">
        <f t="shared" si="98"/>
        <v>0</v>
      </c>
      <c r="K87" s="214"/>
      <c r="L87" s="242" t="str">
        <f t="array" ref="L87">IFERROR(INDEX('💻シート作成'!$D$6:$D999, MATCH(M87, '💻シート作成'!$E$6:$E999, 0)), "")</f>
        <v/>
      </c>
      <c r="M87" s="1013"/>
      <c r="N87" s="214"/>
      <c r="O87" s="1087"/>
      <c r="P87" s="214"/>
      <c r="Q87" s="1131"/>
      <c r="R87" s="190"/>
      <c r="S87" s="242"/>
      <c r="T87" s="242"/>
      <c r="U87" s="242"/>
      <c r="V87" s="242">
        <f t="shared" si="5"/>
        <v>0</v>
      </c>
      <c r="W87" s="242"/>
      <c r="X87" s="242">
        <f>IFERROR(__xludf.DUMMYFUNCTION("""COMPUTED_VALUE"""),0.0)</f>
        <v>0</v>
      </c>
      <c r="Y87" s="214"/>
      <c r="Z87" s="214"/>
      <c r="AA87" s="1131"/>
      <c r="AB87" s="190"/>
      <c r="AC87" s="242"/>
      <c r="AD87" s="242"/>
      <c r="AE87" s="1133"/>
      <c r="AF87" s="242">
        <f t="shared" si="6"/>
        <v>0</v>
      </c>
      <c r="AG87" s="242"/>
      <c r="AH87" s="242">
        <f>IFERROR(__xludf.DUMMYFUNCTION("""COMPUTED_VALUE"""),0.0)</f>
        <v>0</v>
      </c>
      <c r="AI87" s="214"/>
      <c r="AJ87" s="214"/>
      <c r="AK87" s="1131"/>
      <c r="AL87" s="190"/>
      <c r="AM87" s="242"/>
      <c r="AN87" s="242"/>
      <c r="AO87" s="1133"/>
      <c r="AP87" s="242">
        <f t="shared" si="7"/>
        <v>0</v>
      </c>
      <c r="AQ87" s="242"/>
      <c r="AR87" s="242">
        <f>IFERROR(__xludf.DUMMYFUNCTION("""COMPUTED_VALUE"""),0.0)</f>
        <v>0</v>
      </c>
      <c r="AS87" s="237"/>
      <c r="AT87" s="214"/>
      <c r="AU87" s="1138"/>
      <c r="AV87" s="1154"/>
      <c r="AW87" s="1140"/>
      <c r="AX87" s="1140"/>
      <c r="AY87" s="1145"/>
      <c r="AZ87" s="1140">
        <f t="shared" si="8"/>
        <v>0</v>
      </c>
      <c r="BA87" s="1140"/>
      <c r="BB87" s="1140"/>
      <c r="BC87" s="214"/>
      <c r="BD87" s="214"/>
      <c r="BE87" s="1131"/>
      <c r="BF87" s="190"/>
      <c r="BG87" s="242"/>
      <c r="BH87" s="242"/>
      <c r="BI87" s="1133"/>
      <c r="BJ87" s="242">
        <f t="shared" si="9"/>
        <v>0</v>
      </c>
      <c r="BK87" s="242"/>
      <c r="BL87" s="242"/>
      <c r="BM87" s="214"/>
      <c r="BN87" s="214"/>
      <c r="BO87" s="1131"/>
      <c r="BP87" s="190"/>
      <c r="BQ87" s="242"/>
      <c r="BR87" s="242"/>
      <c r="BS87" s="1133"/>
      <c r="BT87" s="242">
        <f t="shared" si="10"/>
        <v>0</v>
      </c>
      <c r="BU87" s="242"/>
      <c r="BV87" s="242"/>
      <c r="BW87" s="237"/>
      <c r="BX87" s="214"/>
      <c r="BY87" s="1131"/>
      <c r="BZ87" s="190"/>
      <c r="CA87" s="242"/>
      <c r="CB87" s="242"/>
      <c r="CC87" s="1133"/>
      <c r="CD87" s="242">
        <f t="shared" si="11"/>
        <v>0</v>
      </c>
      <c r="CE87" s="242"/>
      <c r="CF87" s="242"/>
      <c r="CG87" s="214"/>
      <c r="CH87" s="214"/>
      <c r="CI87" s="1131"/>
      <c r="CJ87" s="190"/>
      <c r="CK87" s="242"/>
      <c r="CL87" s="242"/>
      <c r="CM87" s="1133"/>
      <c r="CN87" s="242">
        <f t="shared" si="12"/>
        <v>0</v>
      </c>
      <c r="CO87" s="242"/>
      <c r="CP87" s="242"/>
      <c r="CQ87" s="214"/>
      <c r="CR87" s="214"/>
      <c r="CS87" s="1131"/>
      <c r="CT87" s="190"/>
      <c r="CU87" s="242"/>
      <c r="CV87" s="242"/>
      <c r="CW87" s="1133"/>
      <c r="CX87" s="242">
        <f t="shared" si="13"/>
        <v>0</v>
      </c>
      <c r="CY87" s="242"/>
      <c r="CZ87" s="242"/>
      <c r="DA87" s="237"/>
      <c r="DB87" s="214"/>
      <c r="DC87" s="1131"/>
      <c r="DD87" s="190"/>
      <c r="DE87" s="242"/>
      <c r="DF87" s="242"/>
      <c r="DG87" s="1133"/>
      <c r="DH87" s="242">
        <f t="shared" si="14"/>
        <v>0</v>
      </c>
      <c r="DI87" s="242"/>
      <c r="DJ87" s="242"/>
      <c r="DK87" s="214"/>
      <c r="DL87" s="214"/>
      <c r="DM87" s="1131"/>
      <c r="DN87" s="190"/>
      <c r="DO87" s="242"/>
      <c r="DP87" s="242"/>
      <c r="DQ87" s="1133"/>
      <c r="DR87" s="242">
        <f t="shared" si="15"/>
        <v>0</v>
      </c>
      <c r="DS87" s="242"/>
      <c r="DT87" s="242"/>
      <c r="DU87" s="214"/>
      <c r="DV87" s="214"/>
      <c r="DW87" s="1131"/>
      <c r="DX87" s="190"/>
      <c r="DY87" s="242"/>
      <c r="DZ87" s="242"/>
      <c r="EA87" s="1133"/>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24"/>
      <c r="C88" s="1124"/>
      <c r="D88" s="1124"/>
      <c r="E88" s="1124"/>
      <c r="F88" s="1125">
        <f t="shared" si="2"/>
        <v>0</v>
      </c>
      <c r="G88" s="1126" t="str">
        <f t="shared" si="3"/>
        <v/>
      </c>
      <c r="H88" s="112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7">
        <f t="shared" si="99"/>
        <v>0</v>
      </c>
      <c r="J88" s="1128">
        <f t="shared" si="99"/>
        <v>0</v>
      </c>
      <c r="K88" s="214"/>
      <c r="L88" s="242" t="str">
        <f t="array" ref="L88">IFERROR(INDEX('💻シート作成'!$D$6:$D999, MATCH(M88, '💻シート作成'!$E$6:$E999, 0)), "")</f>
        <v/>
      </c>
      <c r="M88" s="1013"/>
      <c r="N88" s="214"/>
      <c r="O88" s="1087"/>
      <c r="P88" s="214"/>
      <c r="Q88" s="1131"/>
      <c r="R88" s="190"/>
      <c r="S88" s="242"/>
      <c r="T88" s="242"/>
      <c r="U88" s="242"/>
      <c r="V88" s="242">
        <f t="shared" si="5"/>
        <v>0</v>
      </c>
      <c r="W88" s="242"/>
      <c r="X88" s="242">
        <f>IFERROR(__xludf.DUMMYFUNCTION("""COMPUTED_VALUE"""),0.0)</f>
        <v>0</v>
      </c>
      <c r="Y88" s="214"/>
      <c r="Z88" s="214"/>
      <c r="AA88" s="1131"/>
      <c r="AB88" s="190"/>
      <c r="AC88" s="242"/>
      <c r="AD88" s="242"/>
      <c r="AE88" s="1133"/>
      <c r="AF88" s="242">
        <f t="shared" si="6"/>
        <v>0</v>
      </c>
      <c r="AG88" s="242"/>
      <c r="AH88" s="242">
        <f>IFERROR(__xludf.DUMMYFUNCTION("""COMPUTED_VALUE"""),0.0)</f>
        <v>0</v>
      </c>
      <c r="AI88" s="214"/>
      <c r="AJ88" s="214"/>
      <c r="AK88" s="1131"/>
      <c r="AL88" s="190"/>
      <c r="AM88" s="242"/>
      <c r="AN88" s="242"/>
      <c r="AO88" s="1133"/>
      <c r="AP88" s="242">
        <f t="shared" si="7"/>
        <v>0</v>
      </c>
      <c r="AQ88" s="242"/>
      <c r="AR88" s="242">
        <f>IFERROR(__xludf.DUMMYFUNCTION("""COMPUTED_VALUE"""),0.0)</f>
        <v>0</v>
      </c>
      <c r="AS88" s="237"/>
      <c r="AT88" s="214"/>
      <c r="AU88" s="1138"/>
      <c r="AV88" s="1154"/>
      <c r="AW88" s="1140"/>
      <c r="AX88" s="1140"/>
      <c r="AY88" s="1145"/>
      <c r="AZ88" s="1140">
        <f t="shared" si="8"/>
        <v>0</v>
      </c>
      <c r="BA88" s="1140"/>
      <c r="BB88" s="1140"/>
      <c r="BC88" s="214"/>
      <c r="BD88" s="214"/>
      <c r="BE88" s="1131"/>
      <c r="BF88" s="190"/>
      <c r="BG88" s="242"/>
      <c r="BH88" s="242"/>
      <c r="BI88" s="1133"/>
      <c r="BJ88" s="242">
        <f t="shared" si="9"/>
        <v>0</v>
      </c>
      <c r="BK88" s="242"/>
      <c r="BL88" s="242"/>
      <c r="BM88" s="214"/>
      <c r="BN88" s="214"/>
      <c r="BO88" s="1131"/>
      <c r="BP88" s="190"/>
      <c r="BQ88" s="242"/>
      <c r="BR88" s="242"/>
      <c r="BS88" s="1133"/>
      <c r="BT88" s="242">
        <f t="shared" si="10"/>
        <v>0</v>
      </c>
      <c r="BU88" s="242"/>
      <c r="BV88" s="242"/>
      <c r="BW88" s="237"/>
      <c r="BX88" s="214"/>
      <c r="BY88" s="1131"/>
      <c r="BZ88" s="190"/>
      <c r="CA88" s="242"/>
      <c r="CB88" s="242"/>
      <c r="CC88" s="1133"/>
      <c r="CD88" s="242">
        <f t="shared" si="11"/>
        <v>0</v>
      </c>
      <c r="CE88" s="242"/>
      <c r="CF88" s="242"/>
      <c r="CG88" s="214"/>
      <c r="CH88" s="214"/>
      <c r="CI88" s="1131"/>
      <c r="CJ88" s="190"/>
      <c r="CK88" s="242"/>
      <c r="CL88" s="242"/>
      <c r="CM88" s="1133"/>
      <c r="CN88" s="242">
        <f t="shared" si="12"/>
        <v>0</v>
      </c>
      <c r="CO88" s="242"/>
      <c r="CP88" s="242"/>
      <c r="CQ88" s="214"/>
      <c r="CR88" s="214"/>
      <c r="CS88" s="1131"/>
      <c r="CT88" s="190"/>
      <c r="CU88" s="242"/>
      <c r="CV88" s="242"/>
      <c r="CW88" s="1133"/>
      <c r="CX88" s="242">
        <f t="shared" si="13"/>
        <v>0</v>
      </c>
      <c r="CY88" s="242"/>
      <c r="CZ88" s="242"/>
      <c r="DA88" s="237"/>
      <c r="DB88" s="214"/>
      <c r="DC88" s="1131"/>
      <c r="DD88" s="190"/>
      <c r="DE88" s="242"/>
      <c r="DF88" s="242"/>
      <c r="DG88" s="1133"/>
      <c r="DH88" s="242">
        <f t="shared" si="14"/>
        <v>0</v>
      </c>
      <c r="DI88" s="242"/>
      <c r="DJ88" s="242"/>
      <c r="DK88" s="214"/>
      <c r="DL88" s="214"/>
      <c r="DM88" s="1131"/>
      <c r="DN88" s="190"/>
      <c r="DO88" s="242"/>
      <c r="DP88" s="242"/>
      <c r="DQ88" s="1133"/>
      <c r="DR88" s="242">
        <f t="shared" si="15"/>
        <v>0</v>
      </c>
      <c r="DS88" s="242"/>
      <c r="DT88" s="242"/>
      <c r="DU88" s="214"/>
      <c r="DV88" s="214"/>
      <c r="DW88" s="1131"/>
      <c r="DX88" s="190"/>
      <c r="DY88" s="242"/>
      <c r="DZ88" s="242"/>
      <c r="EA88" s="1133"/>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24"/>
      <c r="C89" s="1124"/>
      <c r="D89" s="1124"/>
      <c r="E89" s="1124"/>
      <c r="F89" s="1125">
        <f t="shared" si="2"/>
        <v>0</v>
      </c>
      <c r="G89" s="1126" t="str">
        <f t="shared" si="3"/>
        <v/>
      </c>
      <c r="H89" s="112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7">
        <f t="shared" si="100"/>
        <v>0</v>
      </c>
      <c r="J89" s="1128">
        <f t="shared" si="100"/>
        <v>0</v>
      </c>
      <c r="K89" s="214"/>
      <c r="L89" s="242" t="str">
        <f t="array" ref="L89">IFERROR(INDEX('💻シート作成'!$D$6:$D999, MATCH(M89, '💻シート作成'!$E$6:$E999, 0)), "")</f>
        <v/>
      </c>
      <c r="M89" s="1013"/>
      <c r="N89" s="214"/>
      <c r="O89" s="1087"/>
      <c r="P89" s="214"/>
      <c r="Q89" s="1131"/>
      <c r="R89" s="190"/>
      <c r="S89" s="242"/>
      <c r="T89" s="242"/>
      <c r="U89" s="242"/>
      <c r="V89" s="242">
        <f t="shared" si="5"/>
        <v>0</v>
      </c>
      <c r="W89" s="242"/>
      <c r="X89" s="242">
        <f>IFERROR(__xludf.DUMMYFUNCTION("""COMPUTED_VALUE"""),0.0)</f>
        <v>0</v>
      </c>
      <c r="Y89" s="214"/>
      <c r="Z89" s="214"/>
      <c r="AA89" s="1131"/>
      <c r="AB89" s="190"/>
      <c r="AC89" s="242"/>
      <c r="AD89" s="242"/>
      <c r="AE89" s="1133"/>
      <c r="AF89" s="242">
        <f t="shared" si="6"/>
        <v>0</v>
      </c>
      <c r="AG89" s="242"/>
      <c r="AH89" s="242">
        <f>IFERROR(__xludf.DUMMYFUNCTION("""COMPUTED_VALUE"""),0.0)</f>
        <v>0</v>
      </c>
      <c r="AI89" s="214"/>
      <c r="AJ89" s="214"/>
      <c r="AK89" s="1131"/>
      <c r="AL89" s="190"/>
      <c r="AM89" s="242"/>
      <c r="AN89" s="242"/>
      <c r="AO89" s="1133"/>
      <c r="AP89" s="242">
        <f t="shared" si="7"/>
        <v>0</v>
      </c>
      <c r="AQ89" s="242"/>
      <c r="AR89" s="242">
        <f>IFERROR(__xludf.DUMMYFUNCTION("""COMPUTED_VALUE"""),0.0)</f>
        <v>0</v>
      </c>
      <c r="AS89" s="237"/>
      <c r="AT89" s="214"/>
      <c r="AU89" s="1138"/>
      <c r="AV89" s="1154"/>
      <c r="AW89" s="1140"/>
      <c r="AX89" s="1140"/>
      <c r="AY89" s="1145"/>
      <c r="AZ89" s="1140">
        <f t="shared" si="8"/>
        <v>0</v>
      </c>
      <c r="BA89" s="1140"/>
      <c r="BB89" s="1140"/>
      <c r="BC89" s="214"/>
      <c r="BD89" s="214"/>
      <c r="BE89" s="1131"/>
      <c r="BF89" s="190"/>
      <c r="BG89" s="242"/>
      <c r="BH89" s="242"/>
      <c r="BI89" s="1133"/>
      <c r="BJ89" s="242">
        <f t="shared" si="9"/>
        <v>0</v>
      </c>
      <c r="BK89" s="242"/>
      <c r="BL89" s="242"/>
      <c r="BM89" s="214"/>
      <c r="BN89" s="214"/>
      <c r="BO89" s="1131"/>
      <c r="BP89" s="190"/>
      <c r="BQ89" s="242"/>
      <c r="BR89" s="242"/>
      <c r="BS89" s="1133"/>
      <c r="BT89" s="242">
        <f t="shared" si="10"/>
        <v>0</v>
      </c>
      <c r="BU89" s="242"/>
      <c r="BV89" s="242"/>
      <c r="BW89" s="237"/>
      <c r="BX89" s="214"/>
      <c r="BY89" s="1131"/>
      <c r="BZ89" s="190"/>
      <c r="CA89" s="242"/>
      <c r="CB89" s="242"/>
      <c r="CC89" s="1133"/>
      <c r="CD89" s="242">
        <f t="shared" si="11"/>
        <v>0</v>
      </c>
      <c r="CE89" s="242"/>
      <c r="CF89" s="242"/>
      <c r="CG89" s="214"/>
      <c r="CH89" s="214"/>
      <c r="CI89" s="1131"/>
      <c r="CJ89" s="190"/>
      <c r="CK89" s="242"/>
      <c r="CL89" s="242"/>
      <c r="CM89" s="1133"/>
      <c r="CN89" s="242">
        <f t="shared" si="12"/>
        <v>0</v>
      </c>
      <c r="CO89" s="242"/>
      <c r="CP89" s="242"/>
      <c r="CQ89" s="214"/>
      <c r="CR89" s="214"/>
      <c r="CS89" s="1131"/>
      <c r="CT89" s="190"/>
      <c r="CU89" s="242"/>
      <c r="CV89" s="242"/>
      <c r="CW89" s="1133"/>
      <c r="CX89" s="242">
        <f t="shared" si="13"/>
        <v>0</v>
      </c>
      <c r="CY89" s="242"/>
      <c r="CZ89" s="242"/>
      <c r="DA89" s="237"/>
      <c r="DB89" s="214"/>
      <c r="DC89" s="1131"/>
      <c r="DD89" s="190"/>
      <c r="DE89" s="242"/>
      <c r="DF89" s="242"/>
      <c r="DG89" s="1133"/>
      <c r="DH89" s="242">
        <f t="shared" si="14"/>
        <v>0</v>
      </c>
      <c r="DI89" s="242"/>
      <c r="DJ89" s="242"/>
      <c r="DK89" s="214"/>
      <c r="DL89" s="214"/>
      <c r="DM89" s="1131"/>
      <c r="DN89" s="190"/>
      <c r="DO89" s="242"/>
      <c r="DP89" s="242"/>
      <c r="DQ89" s="1133"/>
      <c r="DR89" s="242">
        <f t="shared" si="15"/>
        <v>0</v>
      </c>
      <c r="DS89" s="242"/>
      <c r="DT89" s="242"/>
      <c r="DU89" s="214"/>
      <c r="DV89" s="214"/>
      <c r="DW89" s="1131"/>
      <c r="DX89" s="190"/>
      <c r="DY89" s="242"/>
      <c r="DZ89" s="242"/>
      <c r="EA89" s="1133"/>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24"/>
      <c r="C90" s="1124"/>
      <c r="D90" s="1124"/>
      <c r="E90" s="1124"/>
      <c r="F90" s="1125">
        <f t="shared" si="2"/>
        <v>0</v>
      </c>
      <c r="G90" s="1126" t="str">
        <f t="shared" si="3"/>
        <v/>
      </c>
      <c r="H90" s="112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7">
        <f t="shared" si="101"/>
        <v>0</v>
      </c>
      <c r="J90" s="1128">
        <f t="shared" si="101"/>
        <v>0</v>
      </c>
      <c r="K90" s="214"/>
      <c r="L90" s="242" t="str">
        <f t="array" ref="L90">IFERROR(INDEX('💻シート作成'!$D$6:$D999, MATCH(M90, '💻シート作成'!$E$6:$E999, 0)), "")</f>
        <v/>
      </c>
      <c r="M90" s="1013"/>
      <c r="N90" s="214"/>
      <c r="O90" s="1087"/>
      <c r="P90" s="214"/>
      <c r="Q90" s="1131"/>
      <c r="R90" s="190"/>
      <c r="S90" s="242"/>
      <c r="T90" s="242"/>
      <c r="U90" s="242"/>
      <c r="V90" s="242">
        <f t="shared" si="5"/>
        <v>0</v>
      </c>
      <c r="W90" s="242"/>
      <c r="X90" s="242">
        <f>IFERROR(__xludf.DUMMYFUNCTION("""COMPUTED_VALUE"""),0.0)</f>
        <v>0</v>
      </c>
      <c r="Y90" s="214"/>
      <c r="Z90" s="214"/>
      <c r="AA90" s="1131"/>
      <c r="AB90" s="190"/>
      <c r="AC90" s="242"/>
      <c r="AD90" s="242"/>
      <c r="AE90" s="1133"/>
      <c r="AF90" s="242">
        <f t="shared" si="6"/>
        <v>0</v>
      </c>
      <c r="AG90" s="242"/>
      <c r="AH90" s="242">
        <f>IFERROR(__xludf.DUMMYFUNCTION("""COMPUTED_VALUE"""),0.0)</f>
        <v>0</v>
      </c>
      <c r="AI90" s="214"/>
      <c r="AJ90" s="214"/>
      <c r="AK90" s="1131"/>
      <c r="AL90" s="190"/>
      <c r="AM90" s="242"/>
      <c r="AN90" s="242"/>
      <c r="AO90" s="1133"/>
      <c r="AP90" s="242">
        <f t="shared" si="7"/>
        <v>0</v>
      </c>
      <c r="AQ90" s="242"/>
      <c r="AR90" s="242">
        <f>IFERROR(__xludf.DUMMYFUNCTION("""COMPUTED_VALUE"""),0.0)</f>
        <v>0</v>
      </c>
      <c r="AS90" s="237"/>
      <c r="AT90" s="214"/>
      <c r="AU90" s="1138"/>
      <c r="AV90" s="1154"/>
      <c r="AW90" s="1140"/>
      <c r="AX90" s="1140"/>
      <c r="AY90" s="1145"/>
      <c r="AZ90" s="1140">
        <f t="shared" si="8"/>
        <v>0</v>
      </c>
      <c r="BA90" s="1140"/>
      <c r="BB90" s="1140"/>
      <c r="BC90" s="214"/>
      <c r="BD90" s="214"/>
      <c r="BE90" s="1131"/>
      <c r="BF90" s="190"/>
      <c r="BG90" s="242"/>
      <c r="BH90" s="242"/>
      <c r="BI90" s="1133"/>
      <c r="BJ90" s="242">
        <f t="shared" si="9"/>
        <v>0</v>
      </c>
      <c r="BK90" s="242"/>
      <c r="BL90" s="242"/>
      <c r="BM90" s="214"/>
      <c r="BN90" s="214"/>
      <c r="BO90" s="1131"/>
      <c r="BP90" s="190"/>
      <c r="BQ90" s="242"/>
      <c r="BR90" s="242"/>
      <c r="BS90" s="1133"/>
      <c r="BT90" s="242">
        <f t="shared" si="10"/>
        <v>0</v>
      </c>
      <c r="BU90" s="242"/>
      <c r="BV90" s="242"/>
      <c r="BW90" s="237"/>
      <c r="BX90" s="214"/>
      <c r="BY90" s="1131"/>
      <c r="BZ90" s="190"/>
      <c r="CA90" s="242"/>
      <c r="CB90" s="242"/>
      <c r="CC90" s="1133"/>
      <c r="CD90" s="242">
        <f t="shared" si="11"/>
        <v>0</v>
      </c>
      <c r="CE90" s="242"/>
      <c r="CF90" s="242"/>
      <c r="CG90" s="214"/>
      <c r="CH90" s="214"/>
      <c r="CI90" s="1131"/>
      <c r="CJ90" s="190"/>
      <c r="CK90" s="242"/>
      <c r="CL90" s="242"/>
      <c r="CM90" s="1133"/>
      <c r="CN90" s="242">
        <f t="shared" si="12"/>
        <v>0</v>
      </c>
      <c r="CO90" s="242"/>
      <c r="CP90" s="242"/>
      <c r="CQ90" s="214"/>
      <c r="CR90" s="214"/>
      <c r="CS90" s="1131"/>
      <c r="CT90" s="190"/>
      <c r="CU90" s="242"/>
      <c r="CV90" s="242"/>
      <c r="CW90" s="1133"/>
      <c r="CX90" s="242">
        <f t="shared" si="13"/>
        <v>0</v>
      </c>
      <c r="CY90" s="242"/>
      <c r="CZ90" s="242"/>
      <c r="DA90" s="237"/>
      <c r="DB90" s="214"/>
      <c r="DC90" s="1131"/>
      <c r="DD90" s="190"/>
      <c r="DE90" s="242"/>
      <c r="DF90" s="242"/>
      <c r="DG90" s="1133"/>
      <c r="DH90" s="242">
        <f t="shared" si="14"/>
        <v>0</v>
      </c>
      <c r="DI90" s="242"/>
      <c r="DJ90" s="242"/>
      <c r="DK90" s="214"/>
      <c r="DL90" s="214"/>
      <c r="DM90" s="1131"/>
      <c r="DN90" s="190"/>
      <c r="DO90" s="242"/>
      <c r="DP90" s="242"/>
      <c r="DQ90" s="1133"/>
      <c r="DR90" s="242">
        <f t="shared" si="15"/>
        <v>0</v>
      </c>
      <c r="DS90" s="242"/>
      <c r="DT90" s="242"/>
      <c r="DU90" s="214"/>
      <c r="DV90" s="214"/>
      <c r="DW90" s="1131"/>
      <c r="DX90" s="190"/>
      <c r="DY90" s="242"/>
      <c r="DZ90" s="242"/>
      <c r="EA90" s="1133"/>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24"/>
      <c r="C91" s="1124"/>
      <c r="D91" s="1124"/>
      <c r="E91" s="1124"/>
      <c r="F91" s="1125">
        <f t="shared" si="2"/>
        <v>0</v>
      </c>
      <c r="G91" s="1126" t="str">
        <f t="shared" si="3"/>
        <v/>
      </c>
      <c r="H91" s="112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7">
        <f t="shared" si="102"/>
        <v>0</v>
      </c>
      <c r="J91" s="1128">
        <f t="shared" si="102"/>
        <v>0</v>
      </c>
      <c r="K91" s="214"/>
      <c r="L91" s="242" t="str">
        <f t="array" ref="L91">IFERROR(INDEX('💻シート作成'!$D$6:$D999, MATCH(M91, '💻シート作成'!$E$6:$E999, 0)), "")</f>
        <v/>
      </c>
      <c r="M91" s="1013"/>
      <c r="N91" s="214"/>
      <c r="O91" s="1087"/>
      <c r="P91" s="214"/>
      <c r="Q91" s="1131"/>
      <c r="R91" s="190"/>
      <c r="S91" s="242"/>
      <c r="T91" s="242"/>
      <c r="U91" s="242"/>
      <c r="V91" s="242">
        <f t="shared" si="5"/>
        <v>0</v>
      </c>
      <c r="W91" s="242"/>
      <c r="X91" s="242">
        <f>IFERROR(__xludf.DUMMYFUNCTION("""COMPUTED_VALUE"""),0.0)</f>
        <v>0</v>
      </c>
      <c r="Y91" s="214"/>
      <c r="Z91" s="214"/>
      <c r="AA91" s="1131"/>
      <c r="AB91" s="190"/>
      <c r="AC91" s="242"/>
      <c r="AD91" s="242"/>
      <c r="AE91" s="1133"/>
      <c r="AF91" s="242">
        <f t="shared" si="6"/>
        <v>0</v>
      </c>
      <c r="AG91" s="242"/>
      <c r="AH91" s="242"/>
      <c r="AI91" s="214"/>
      <c r="AJ91" s="214"/>
      <c r="AK91" s="1131"/>
      <c r="AL91" s="190"/>
      <c r="AM91" s="242"/>
      <c r="AN91" s="242"/>
      <c r="AO91" s="1133"/>
      <c r="AP91" s="242">
        <f t="shared" si="7"/>
        <v>0</v>
      </c>
      <c r="AQ91" s="242"/>
      <c r="AR91" s="242"/>
      <c r="AS91" s="237"/>
      <c r="AT91" s="214"/>
      <c r="AU91" s="1138"/>
      <c r="AV91" s="1154"/>
      <c r="AW91" s="1140"/>
      <c r="AX91" s="1140"/>
      <c r="AY91" s="1145"/>
      <c r="AZ91" s="1140">
        <f t="shared" si="8"/>
        <v>0</v>
      </c>
      <c r="BA91" s="1140"/>
      <c r="BB91" s="1140"/>
      <c r="BC91" s="214"/>
      <c r="BD91" s="214"/>
      <c r="BE91" s="1131"/>
      <c r="BF91" s="190"/>
      <c r="BG91" s="242"/>
      <c r="BH91" s="242"/>
      <c r="BI91" s="1133"/>
      <c r="BJ91" s="242">
        <f t="shared" si="9"/>
        <v>0</v>
      </c>
      <c r="BK91" s="242"/>
      <c r="BL91" s="242"/>
      <c r="BM91" s="214"/>
      <c r="BN91" s="214"/>
      <c r="BO91" s="1131"/>
      <c r="BP91" s="190"/>
      <c r="BQ91" s="242"/>
      <c r="BR91" s="242"/>
      <c r="BS91" s="1133"/>
      <c r="BT91" s="242">
        <f t="shared" si="10"/>
        <v>0</v>
      </c>
      <c r="BU91" s="242"/>
      <c r="BV91" s="242"/>
      <c r="BW91" s="237"/>
      <c r="BX91" s="214"/>
      <c r="BY91" s="1131"/>
      <c r="BZ91" s="190"/>
      <c r="CA91" s="242"/>
      <c r="CB91" s="242"/>
      <c r="CC91" s="1133"/>
      <c r="CD91" s="242">
        <f t="shared" si="11"/>
        <v>0</v>
      </c>
      <c r="CE91" s="242"/>
      <c r="CF91" s="242"/>
      <c r="CG91" s="214"/>
      <c r="CH91" s="214"/>
      <c r="CI91" s="1131"/>
      <c r="CJ91" s="190"/>
      <c r="CK91" s="242"/>
      <c r="CL91" s="242"/>
      <c r="CM91" s="1133"/>
      <c r="CN91" s="242">
        <f t="shared" si="12"/>
        <v>0</v>
      </c>
      <c r="CO91" s="242"/>
      <c r="CP91" s="242"/>
      <c r="CQ91" s="214"/>
      <c r="CR91" s="214"/>
      <c r="CS91" s="1131"/>
      <c r="CT91" s="190"/>
      <c r="CU91" s="242"/>
      <c r="CV91" s="242"/>
      <c r="CW91" s="1133"/>
      <c r="CX91" s="242">
        <f t="shared" si="13"/>
        <v>0</v>
      </c>
      <c r="CY91" s="242"/>
      <c r="CZ91" s="242"/>
      <c r="DA91" s="237"/>
      <c r="DB91" s="214"/>
      <c r="DC91" s="1131"/>
      <c r="DD91" s="190"/>
      <c r="DE91" s="242"/>
      <c r="DF91" s="242"/>
      <c r="DG91" s="1133"/>
      <c r="DH91" s="242">
        <f t="shared" si="14"/>
        <v>0</v>
      </c>
      <c r="DI91" s="242"/>
      <c r="DJ91" s="242"/>
      <c r="DK91" s="214"/>
      <c r="DL91" s="214"/>
      <c r="DM91" s="1131"/>
      <c r="DN91" s="190"/>
      <c r="DO91" s="242"/>
      <c r="DP91" s="242"/>
      <c r="DQ91" s="1133"/>
      <c r="DR91" s="242">
        <f t="shared" si="15"/>
        <v>0</v>
      </c>
      <c r="DS91" s="242"/>
      <c r="DT91" s="242"/>
      <c r="DU91" s="214"/>
      <c r="DV91" s="214"/>
      <c r="DW91" s="1131"/>
      <c r="DX91" s="190"/>
      <c r="DY91" s="242"/>
      <c r="DZ91" s="242"/>
      <c r="EA91" s="1133"/>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24"/>
      <c r="C92" s="1124"/>
      <c r="D92" s="1124"/>
      <c r="E92" s="1124"/>
      <c r="F92" s="1125">
        <f t="shared" si="2"/>
        <v>0</v>
      </c>
      <c r="G92" s="1126" t="str">
        <f t="shared" si="3"/>
        <v/>
      </c>
      <c r="H92" s="112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7">
        <f t="shared" si="103"/>
        <v>0</v>
      </c>
      <c r="J92" s="1128">
        <f t="shared" si="103"/>
        <v>0</v>
      </c>
      <c r="K92" s="214"/>
      <c r="L92" s="242" t="str">
        <f t="array" ref="L92">IFERROR(INDEX('💻シート作成'!$D$6:$D999, MATCH(M92, '💻シート作成'!$E$6:$E999, 0)), "")</f>
        <v/>
      </c>
      <c r="M92" s="1013"/>
      <c r="N92" s="214"/>
      <c r="O92" s="1087"/>
      <c r="P92" s="214"/>
      <c r="Q92" s="1131"/>
      <c r="R92" s="190"/>
      <c r="S92" s="242"/>
      <c r="T92" s="242"/>
      <c r="U92" s="242"/>
      <c r="V92" s="242">
        <f t="shared" si="5"/>
        <v>0</v>
      </c>
      <c r="W92" s="242"/>
      <c r="X92" s="242">
        <f>IFERROR(__xludf.DUMMYFUNCTION("""COMPUTED_VALUE"""),0.0)</f>
        <v>0</v>
      </c>
      <c r="Y92" s="214"/>
      <c r="Z92" s="214"/>
      <c r="AA92" s="1131"/>
      <c r="AB92" s="190"/>
      <c r="AC92" s="242"/>
      <c r="AD92" s="242"/>
      <c r="AE92" s="1133"/>
      <c r="AF92" s="242">
        <f t="shared" si="6"/>
        <v>0</v>
      </c>
      <c r="AG92" s="242"/>
      <c r="AH92" s="242"/>
      <c r="AI92" s="214"/>
      <c r="AJ92" s="214"/>
      <c r="AK92" s="1131"/>
      <c r="AL92" s="190"/>
      <c r="AM92" s="242"/>
      <c r="AN92" s="242"/>
      <c r="AO92" s="1133"/>
      <c r="AP92" s="242">
        <f t="shared" si="7"/>
        <v>0</v>
      </c>
      <c r="AQ92" s="242"/>
      <c r="AR92" s="242"/>
      <c r="AS92" s="237"/>
      <c r="AT92" s="214"/>
      <c r="AU92" s="1138"/>
      <c r="AV92" s="1154"/>
      <c r="AW92" s="1140"/>
      <c r="AX92" s="1140"/>
      <c r="AY92" s="1145"/>
      <c r="AZ92" s="1140">
        <f t="shared" si="8"/>
        <v>0</v>
      </c>
      <c r="BA92" s="1140"/>
      <c r="BB92" s="1140"/>
      <c r="BC92" s="214"/>
      <c r="BD92" s="214"/>
      <c r="BE92" s="1131"/>
      <c r="BF92" s="190"/>
      <c r="BG92" s="242"/>
      <c r="BH92" s="242"/>
      <c r="BI92" s="1133"/>
      <c r="BJ92" s="242">
        <f t="shared" si="9"/>
        <v>0</v>
      </c>
      <c r="BK92" s="242"/>
      <c r="BL92" s="242"/>
      <c r="BM92" s="214"/>
      <c r="BN92" s="214"/>
      <c r="BO92" s="1131"/>
      <c r="BP92" s="190"/>
      <c r="BQ92" s="242"/>
      <c r="BR92" s="242"/>
      <c r="BS92" s="1133"/>
      <c r="BT92" s="242">
        <f t="shared" si="10"/>
        <v>0</v>
      </c>
      <c r="BU92" s="242"/>
      <c r="BV92" s="242"/>
      <c r="BW92" s="237"/>
      <c r="BX92" s="214"/>
      <c r="BY92" s="1131"/>
      <c r="BZ92" s="190"/>
      <c r="CA92" s="242"/>
      <c r="CB92" s="242"/>
      <c r="CC92" s="1133"/>
      <c r="CD92" s="242">
        <f t="shared" si="11"/>
        <v>0</v>
      </c>
      <c r="CE92" s="242"/>
      <c r="CF92" s="242"/>
      <c r="CG92" s="214"/>
      <c r="CH92" s="214"/>
      <c r="CI92" s="1131"/>
      <c r="CJ92" s="190"/>
      <c r="CK92" s="242"/>
      <c r="CL92" s="242"/>
      <c r="CM92" s="1133"/>
      <c r="CN92" s="242">
        <f t="shared" si="12"/>
        <v>0</v>
      </c>
      <c r="CO92" s="242"/>
      <c r="CP92" s="242"/>
      <c r="CQ92" s="214"/>
      <c r="CR92" s="214"/>
      <c r="CS92" s="1131"/>
      <c r="CT92" s="190"/>
      <c r="CU92" s="242"/>
      <c r="CV92" s="242"/>
      <c r="CW92" s="1133"/>
      <c r="CX92" s="242">
        <f t="shared" si="13"/>
        <v>0</v>
      </c>
      <c r="CY92" s="242"/>
      <c r="CZ92" s="242"/>
      <c r="DA92" s="237"/>
      <c r="DB92" s="214"/>
      <c r="DC92" s="1131"/>
      <c r="DD92" s="190"/>
      <c r="DE92" s="242"/>
      <c r="DF92" s="242"/>
      <c r="DG92" s="1133"/>
      <c r="DH92" s="242">
        <f t="shared" si="14"/>
        <v>0</v>
      </c>
      <c r="DI92" s="242"/>
      <c r="DJ92" s="242"/>
      <c r="DK92" s="214"/>
      <c r="DL92" s="214"/>
      <c r="DM92" s="1131"/>
      <c r="DN92" s="190"/>
      <c r="DO92" s="242"/>
      <c r="DP92" s="242"/>
      <c r="DQ92" s="1133"/>
      <c r="DR92" s="242">
        <f t="shared" si="15"/>
        <v>0</v>
      </c>
      <c r="DS92" s="242"/>
      <c r="DT92" s="242"/>
      <c r="DU92" s="214"/>
      <c r="DV92" s="214"/>
      <c r="DW92" s="1131"/>
      <c r="DX92" s="190"/>
      <c r="DY92" s="242"/>
      <c r="DZ92" s="242"/>
      <c r="EA92" s="1133"/>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24"/>
      <c r="C93" s="1124"/>
      <c r="D93" s="1124"/>
      <c r="E93" s="1124"/>
      <c r="F93" s="1125">
        <f t="shared" si="2"/>
        <v>0</v>
      </c>
      <c r="G93" s="1126" t="str">
        <f t="shared" si="3"/>
        <v/>
      </c>
      <c r="H93" s="112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7">
        <f t="shared" si="104"/>
        <v>0</v>
      </c>
      <c r="J93" s="1128">
        <f t="shared" si="104"/>
        <v>0</v>
      </c>
      <c r="K93" s="214"/>
      <c r="L93" s="242" t="str">
        <f t="array" ref="L93">IFERROR(INDEX('💻シート作成'!$D$6:$D999, MATCH(M93, '💻シート作成'!$E$6:$E999, 0)), "")</f>
        <v/>
      </c>
      <c r="M93" s="1013"/>
      <c r="N93" s="214"/>
      <c r="O93" s="1087"/>
      <c r="P93" s="214"/>
      <c r="Q93" s="1131"/>
      <c r="R93" s="190"/>
      <c r="S93" s="242"/>
      <c r="T93" s="242"/>
      <c r="U93" s="242"/>
      <c r="V93" s="242">
        <f t="shared" si="5"/>
        <v>0</v>
      </c>
      <c r="W93" s="242"/>
      <c r="X93" s="242">
        <f>IFERROR(__xludf.DUMMYFUNCTION("""COMPUTED_VALUE"""),0.0)</f>
        <v>0</v>
      </c>
      <c r="Y93" s="214"/>
      <c r="Z93" s="214"/>
      <c r="AA93" s="1131"/>
      <c r="AB93" s="190"/>
      <c r="AC93" s="242"/>
      <c r="AD93" s="242"/>
      <c r="AE93" s="1133"/>
      <c r="AF93" s="242">
        <f t="shared" si="6"/>
        <v>0</v>
      </c>
      <c r="AG93" s="242"/>
      <c r="AH93" s="242"/>
      <c r="AI93" s="214"/>
      <c r="AJ93" s="214"/>
      <c r="AK93" s="1131"/>
      <c r="AL93" s="190"/>
      <c r="AM93" s="242"/>
      <c r="AN93" s="242"/>
      <c r="AO93" s="1133"/>
      <c r="AP93" s="242">
        <f t="shared" si="7"/>
        <v>0</v>
      </c>
      <c r="AQ93" s="242"/>
      <c r="AR93" s="242"/>
      <c r="AS93" s="237"/>
      <c r="AT93" s="214"/>
      <c r="AU93" s="1138"/>
      <c r="AV93" s="1154"/>
      <c r="AW93" s="1140"/>
      <c r="AX93" s="1140"/>
      <c r="AY93" s="1145"/>
      <c r="AZ93" s="1140">
        <f t="shared" si="8"/>
        <v>0</v>
      </c>
      <c r="BA93" s="1140"/>
      <c r="BB93" s="1140"/>
      <c r="BC93" s="214"/>
      <c r="BD93" s="214"/>
      <c r="BE93" s="1131"/>
      <c r="BF93" s="190"/>
      <c r="BG93" s="242"/>
      <c r="BH93" s="242"/>
      <c r="BI93" s="1133"/>
      <c r="BJ93" s="242">
        <f t="shared" si="9"/>
        <v>0</v>
      </c>
      <c r="BK93" s="242"/>
      <c r="BL93" s="242"/>
      <c r="BM93" s="214"/>
      <c r="BN93" s="214"/>
      <c r="BO93" s="1131"/>
      <c r="BP93" s="190"/>
      <c r="BQ93" s="242"/>
      <c r="BR93" s="242"/>
      <c r="BS93" s="1133"/>
      <c r="BT93" s="242">
        <f t="shared" si="10"/>
        <v>0</v>
      </c>
      <c r="BU93" s="242"/>
      <c r="BV93" s="242"/>
      <c r="BW93" s="237"/>
      <c r="BX93" s="214"/>
      <c r="BY93" s="1131"/>
      <c r="BZ93" s="190"/>
      <c r="CA93" s="242"/>
      <c r="CB93" s="242"/>
      <c r="CC93" s="1133"/>
      <c r="CD93" s="242">
        <f t="shared" si="11"/>
        <v>0</v>
      </c>
      <c r="CE93" s="242"/>
      <c r="CF93" s="242"/>
      <c r="CG93" s="214"/>
      <c r="CH93" s="214"/>
      <c r="CI93" s="1131"/>
      <c r="CJ93" s="190"/>
      <c r="CK93" s="242"/>
      <c r="CL93" s="242"/>
      <c r="CM93" s="1133"/>
      <c r="CN93" s="242">
        <f t="shared" si="12"/>
        <v>0</v>
      </c>
      <c r="CO93" s="242"/>
      <c r="CP93" s="242"/>
      <c r="CQ93" s="214"/>
      <c r="CR93" s="214"/>
      <c r="CS93" s="1131"/>
      <c r="CT93" s="190"/>
      <c r="CU93" s="242"/>
      <c r="CV93" s="242"/>
      <c r="CW93" s="1133"/>
      <c r="CX93" s="242">
        <f t="shared" si="13"/>
        <v>0</v>
      </c>
      <c r="CY93" s="242"/>
      <c r="CZ93" s="242"/>
      <c r="DA93" s="237"/>
      <c r="DB93" s="214"/>
      <c r="DC93" s="1131"/>
      <c r="DD93" s="190"/>
      <c r="DE93" s="242"/>
      <c r="DF93" s="242"/>
      <c r="DG93" s="1133"/>
      <c r="DH93" s="242">
        <f t="shared" si="14"/>
        <v>0</v>
      </c>
      <c r="DI93" s="242"/>
      <c r="DJ93" s="242"/>
      <c r="DK93" s="214"/>
      <c r="DL93" s="214"/>
      <c r="DM93" s="1131"/>
      <c r="DN93" s="190"/>
      <c r="DO93" s="242"/>
      <c r="DP93" s="242"/>
      <c r="DQ93" s="1133"/>
      <c r="DR93" s="242">
        <f t="shared" si="15"/>
        <v>0</v>
      </c>
      <c r="DS93" s="242"/>
      <c r="DT93" s="242"/>
      <c r="DU93" s="214"/>
      <c r="DV93" s="214"/>
      <c r="DW93" s="1131"/>
      <c r="DX93" s="190"/>
      <c r="DY93" s="242"/>
      <c r="DZ93" s="242"/>
      <c r="EA93" s="1133"/>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24"/>
      <c r="C94" s="1124"/>
      <c r="D94" s="1124"/>
      <c r="E94" s="1124"/>
      <c r="F94" s="1125">
        <f t="shared" si="2"/>
        <v>0</v>
      </c>
      <c r="G94" s="1126" t="str">
        <f t="shared" si="3"/>
        <v/>
      </c>
      <c r="H94" s="112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7">
        <f t="shared" si="105"/>
        <v>0</v>
      </c>
      <c r="J94" s="1128">
        <f t="shared" si="105"/>
        <v>0</v>
      </c>
      <c r="K94" s="214"/>
      <c r="L94" s="242" t="str">
        <f t="array" ref="L94">IFERROR(INDEX('💻シート作成'!$D$6:$D999, MATCH(M94, '💻シート作成'!$E$6:$E999, 0)), "")</f>
        <v/>
      </c>
      <c r="M94" s="1013"/>
      <c r="N94" s="214"/>
      <c r="O94" s="1087"/>
      <c r="P94" s="214"/>
      <c r="Q94" s="1131"/>
      <c r="R94" s="190"/>
      <c r="S94" s="242"/>
      <c r="T94" s="242"/>
      <c r="U94" s="242"/>
      <c r="V94" s="242">
        <f t="shared" si="5"/>
        <v>0</v>
      </c>
      <c r="W94" s="242"/>
      <c r="X94" s="242"/>
      <c r="Y94" s="214"/>
      <c r="Z94" s="214"/>
      <c r="AA94" s="1131"/>
      <c r="AB94" s="190"/>
      <c r="AC94" s="242"/>
      <c r="AD94" s="242"/>
      <c r="AE94" s="1133"/>
      <c r="AF94" s="242">
        <f t="shared" si="6"/>
        <v>0</v>
      </c>
      <c r="AG94" s="242"/>
      <c r="AH94" s="242"/>
      <c r="AI94" s="214"/>
      <c r="AJ94" s="214"/>
      <c r="AK94" s="1131"/>
      <c r="AL94" s="190"/>
      <c r="AM94" s="242"/>
      <c r="AN94" s="242"/>
      <c r="AO94" s="1133"/>
      <c r="AP94" s="242">
        <f t="shared" si="7"/>
        <v>0</v>
      </c>
      <c r="AQ94" s="242"/>
      <c r="AR94" s="242"/>
      <c r="AS94" s="237"/>
      <c r="AT94" s="214"/>
      <c r="AU94" s="1138"/>
      <c r="AV94" s="1154"/>
      <c r="AW94" s="1140"/>
      <c r="AX94" s="1140"/>
      <c r="AY94" s="1145"/>
      <c r="AZ94" s="1140">
        <f t="shared" si="8"/>
        <v>0</v>
      </c>
      <c r="BA94" s="1140"/>
      <c r="BB94" s="1140"/>
      <c r="BC94" s="214"/>
      <c r="BD94" s="214"/>
      <c r="BE94" s="1131"/>
      <c r="BF94" s="190"/>
      <c r="BG94" s="242"/>
      <c r="BH94" s="242"/>
      <c r="BI94" s="1133"/>
      <c r="BJ94" s="242">
        <f t="shared" si="9"/>
        <v>0</v>
      </c>
      <c r="BK94" s="242"/>
      <c r="BL94" s="242"/>
      <c r="BM94" s="214"/>
      <c r="BN94" s="214"/>
      <c r="BO94" s="1131"/>
      <c r="BP94" s="190"/>
      <c r="BQ94" s="242"/>
      <c r="BR94" s="242"/>
      <c r="BS94" s="1133"/>
      <c r="BT94" s="242">
        <f t="shared" si="10"/>
        <v>0</v>
      </c>
      <c r="BU94" s="242"/>
      <c r="BV94" s="242"/>
      <c r="BW94" s="237"/>
      <c r="BX94" s="214"/>
      <c r="BY94" s="1131"/>
      <c r="BZ94" s="190"/>
      <c r="CA94" s="242"/>
      <c r="CB94" s="242"/>
      <c r="CC94" s="1133"/>
      <c r="CD94" s="242">
        <f t="shared" si="11"/>
        <v>0</v>
      </c>
      <c r="CE94" s="242"/>
      <c r="CF94" s="242"/>
      <c r="CG94" s="214"/>
      <c r="CH94" s="214"/>
      <c r="CI94" s="1131"/>
      <c r="CJ94" s="190"/>
      <c r="CK94" s="242"/>
      <c r="CL94" s="242"/>
      <c r="CM94" s="1133"/>
      <c r="CN94" s="242">
        <f t="shared" si="12"/>
        <v>0</v>
      </c>
      <c r="CO94" s="242"/>
      <c r="CP94" s="242"/>
      <c r="CQ94" s="214"/>
      <c r="CR94" s="214"/>
      <c r="CS94" s="1131"/>
      <c r="CT94" s="190"/>
      <c r="CU94" s="242"/>
      <c r="CV94" s="242"/>
      <c r="CW94" s="1133"/>
      <c r="CX94" s="242">
        <f t="shared" si="13"/>
        <v>0</v>
      </c>
      <c r="CY94" s="242"/>
      <c r="CZ94" s="242"/>
      <c r="DA94" s="237"/>
      <c r="DB94" s="214"/>
      <c r="DC94" s="1131"/>
      <c r="DD94" s="190"/>
      <c r="DE94" s="242"/>
      <c r="DF94" s="242"/>
      <c r="DG94" s="1133"/>
      <c r="DH94" s="242">
        <f t="shared" si="14"/>
        <v>0</v>
      </c>
      <c r="DI94" s="242"/>
      <c r="DJ94" s="242"/>
      <c r="DK94" s="214"/>
      <c r="DL94" s="214"/>
      <c r="DM94" s="1131"/>
      <c r="DN94" s="190"/>
      <c r="DO94" s="242"/>
      <c r="DP94" s="242"/>
      <c r="DQ94" s="1133"/>
      <c r="DR94" s="242">
        <f t="shared" si="15"/>
        <v>0</v>
      </c>
      <c r="DS94" s="242"/>
      <c r="DT94" s="242"/>
      <c r="DU94" s="214"/>
      <c r="DV94" s="214"/>
      <c r="DW94" s="1131"/>
      <c r="DX94" s="190"/>
      <c r="DY94" s="242"/>
      <c r="DZ94" s="242"/>
      <c r="EA94" s="1133"/>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24"/>
      <c r="C95" s="1124"/>
      <c r="D95" s="1124"/>
      <c r="E95" s="1124"/>
      <c r="F95" s="1125">
        <f t="shared" si="2"/>
        <v>0</v>
      </c>
      <c r="G95" s="1126" t="str">
        <f t="shared" si="3"/>
        <v/>
      </c>
      <c r="H95" s="112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7">
        <f t="shared" si="106"/>
        <v>0</v>
      </c>
      <c r="J95" s="1128">
        <f t="shared" si="106"/>
        <v>0</v>
      </c>
      <c r="K95" s="214"/>
      <c r="L95" s="242" t="str">
        <f t="array" ref="L95">IFERROR(INDEX('💻シート作成'!$D$6:$D999, MATCH(M95, '💻シート作成'!$E$6:$E999, 0)), "")</f>
        <v/>
      </c>
      <c r="M95" s="1013"/>
      <c r="N95" s="214"/>
      <c r="O95" s="1087"/>
      <c r="P95" s="214"/>
      <c r="Q95" s="1131"/>
      <c r="R95" s="190"/>
      <c r="S95" s="242"/>
      <c r="T95" s="242"/>
      <c r="U95" s="242"/>
      <c r="V95" s="242">
        <f t="shared" si="5"/>
        <v>0</v>
      </c>
      <c r="W95" s="242"/>
      <c r="X95" s="242"/>
      <c r="Y95" s="214"/>
      <c r="Z95" s="214"/>
      <c r="AA95" s="1131"/>
      <c r="AB95" s="190"/>
      <c r="AC95" s="242"/>
      <c r="AD95" s="242"/>
      <c r="AE95" s="1133"/>
      <c r="AF95" s="242">
        <f t="shared" si="6"/>
        <v>0</v>
      </c>
      <c r="AG95" s="242"/>
      <c r="AH95" s="242"/>
      <c r="AI95" s="214"/>
      <c r="AJ95" s="214"/>
      <c r="AK95" s="1131"/>
      <c r="AL95" s="190"/>
      <c r="AM95" s="242"/>
      <c r="AN95" s="242"/>
      <c r="AO95" s="1133"/>
      <c r="AP95" s="242">
        <f t="shared" si="7"/>
        <v>0</v>
      </c>
      <c r="AQ95" s="242"/>
      <c r="AR95" s="242"/>
      <c r="AS95" s="237"/>
      <c r="AT95" s="214"/>
      <c r="AU95" s="1138"/>
      <c r="AV95" s="1154"/>
      <c r="AW95" s="1140"/>
      <c r="AX95" s="1140"/>
      <c r="AY95" s="1145"/>
      <c r="AZ95" s="1140">
        <f t="shared" si="8"/>
        <v>0</v>
      </c>
      <c r="BA95" s="1140"/>
      <c r="BB95" s="1140"/>
      <c r="BC95" s="214"/>
      <c r="BD95" s="214"/>
      <c r="BE95" s="1131"/>
      <c r="BF95" s="190"/>
      <c r="BG95" s="242"/>
      <c r="BH95" s="242"/>
      <c r="BI95" s="1133"/>
      <c r="BJ95" s="242">
        <f t="shared" si="9"/>
        <v>0</v>
      </c>
      <c r="BK95" s="242"/>
      <c r="BL95" s="242"/>
      <c r="BM95" s="214"/>
      <c r="BN95" s="214"/>
      <c r="BO95" s="1131"/>
      <c r="BP95" s="190"/>
      <c r="BQ95" s="242"/>
      <c r="BR95" s="242"/>
      <c r="BS95" s="1133"/>
      <c r="BT95" s="242">
        <f t="shared" si="10"/>
        <v>0</v>
      </c>
      <c r="BU95" s="242"/>
      <c r="BV95" s="242"/>
      <c r="BW95" s="237"/>
      <c r="BX95" s="214"/>
      <c r="BY95" s="1131"/>
      <c r="BZ95" s="190"/>
      <c r="CA95" s="242"/>
      <c r="CB95" s="242"/>
      <c r="CC95" s="1133"/>
      <c r="CD95" s="242">
        <f t="shared" si="11"/>
        <v>0</v>
      </c>
      <c r="CE95" s="242"/>
      <c r="CF95" s="242"/>
      <c r="CG95" s="214"/>
      <c r="CH95" s="214"/>
      <c r="CI95" s="1131"/>
      <c r="CJ95" s="190"/>
      <c r="CK95" s="242"/>
      <c r="CL95" s="242"/>
      <c r="CM95" s="1133"/>
      <c r="CN95" s="242">
        <f t="shared" si="12"/>
        <v>0</v>
      </c>
      <c r="CO95" s="242"/>
      <c r="CP95" s="242"/>
      <c r="CQ95" s="214"/>
      <c r="CR95" s="214"/>
      <c r="CS95" s="1131"/>
      <c r="CT95" s="190"/>
      <c r="CU95" s="242"/>
      <c r="CV95" s="242"/>
      <c r="CW95" s="1133"/>
      <c r="CX95" s="242">
        <f t="shared" si="13"/>
        <v>0</v>
      </c>
      <c r="CY95" s="242"/>
      <c r="CZ95" s="242"/>
      <c r="DA95" s="237"/>
      <c r="DB95" s="214"/>
      <c r="DC95" s="1131"/>
      <c r="DD95" s="190"/>
      <c r="DE95" s="242"/>
      <c r="DF95" s="242"/>
      <c r="DG95" s="1133"/>
      <c r="DH95" s="242">
        <f t="shared" si="14"/>
        <v>0</v>
      </c>
      <c r="DI95" s="242"/>
      <c r="DJ95" s="242"/>
      <c r="DK95" s="214"/>
      <c r="DL95" s="214"/>
      <c r="DM95" s="1131"/>
      <c r="DN95" s="190"/>
      <c r="DO95" s="242"/>
      <c r="DP95" s="242"/>
      <c r="DQ95" s="1133"/>
      <c r="DR95" s="242">
        <f t="shared" si="15"/>
        <v>0</v>
      </c>
      <c r="DS95" s="242"/>
      <c r="DT95" s="242"/>
      <c r="DU95" s="214"/>
      <c r="DV95" s="214"/>
      <c r="DW95" s="1131"/>
      <c r="DX95" s="190"/>
      <c r="DY95" s="242"/>
      <c r="DZ95" s="242"/>
      <c r="EA95" s="1133"/>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24"/>
      <c r="C96" s="1124"/>
      <c r="D96" s="1124"/>
      <c r="E96" s="1124"/>
      <c r="F96" s="1125">
        <f t="shared" si="2"/>
        <v>0</v>
      </c>
      <c r="G96" s="1126" t="str">
        <f t="shared" si="3"/>
        <v/>
      </c>
      <c r="H96" s="112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7">
        <f t="shared" si="107"/>
        <v>0</v>
      </c>
      <c r="J96" s="1128">
        <f t="shared" si="107"/>
        <v>0</v>
      </c>
      <c r="K96" s="214"/>
      <c r="L96" s="242" t="str">
        <f t="array" ref="L96">IFERROR(INDEX('💻シート作成'!$D$6:$D999, MATCH(M96, '💻シート作成'!$E$6:$E999, 0)), "")</f>
        <v/>
      </c>
      <c r="M96" s="1013"/>
      <c r="N96" s="214"/>
      <c r="O96" s="1087"/>
      <c r="P96" s="214"/>
      <c r="Q96" s="1131"/>
      <c r="R96" s="190"/>
      <c r="S96" s="242"/>
      <c r="T96" s="242"/>
      <c r="U96" s="242"/>
      <c r="V96" s="242">
        <f t="shared" si="5"/>
        <v>0</v>
      </c>
      <c r="W96" s="242"/>
      <c r="X96" s="242"/>
      <c r="Y96" s="214"/>
      <c r="Z96" s="214"/>
      <c r="AA96" s="1131"/>
      <c r="AB96" s="190"/>
      <c r="AC96" s="242"/>
      <c r="AD96" s="242"/>
      <c r="AE96" s="1133"/>
      <c r="AF96" s="242">
        <f t="shared" si="6"/>
        <v>0</v>
      </c>
      <c r="AG96" s="242"/>
      <c r="AH96" s="242"/>
      <c r="AI96" s="214"/>
      <c r="AJ96" s="214"/>
      <c r="AK96" s="1131"/>
      <c r="AL96" s="190"/>
      <c r="AM96" s="242"/>
      <c r="AN96" s="242"/>
      <c r="AO96" s="1133"/>
      <c r="AP96" s="242">
        <f t="shared" si="7"/>
        <v>0</v>
      </c>
      <c r="AQ96" s="242"/>
      <c r="AR96" s="242"/>
      <c r="AS96" s="237"/>
      <c r="AT96" s="214"/>
      <c r="AU96" s="1138"/>
      <c r="AV96" s="1154"/>
      <c r="AW96" s="1140"/>
      <c r="AX96" s="1140"/>
      <c r="AY96" s="1145"/>
      <c r="AZ96" s="1140">
        <f t="shared" si="8"/>
        <v>0</v>
      </c>
      <c r="BA96" s="1140"/>
      <c r="BB96" s="1140"/>
      <c r="BC96" s="214"/>
      <c r="BD96" s="214"/>
      <c r="BE96" s="1131"/>
      <c r="BF96" s="190"/>
      <c r="BG96" s="242"/>
      <c r="BH96" s="242"/>
      <c r="BI96" s="1133"/>
      <c r="BJ96" s="242">
        <f t="shared" si="9"/>
        <v>0</v>
      </c>
      <c r="BK96" s="242"/>
      <c r="BL96" s="242"/>
      <c r="BM96" s="214"/>
      <c r="BN96" s="214"/>
      <c r="BO96" s="1131"/>
      <c r="BP96" s="190"/>
      <c r="BQ96" s="242"/>
      <c r="BR96" s="242"/>
      <c r="BS96" s="1133"/>
      <c r="BT96" s="242">
        <f t="shared" si="10"/>
        <v>0</v>
      </c>
      <c r="BU96" s="242"/>
      <c r="BV96" s="242"/>
      <c r="BW96" s="237"/>
      <c r="BX96" s="214"/>
      <c r="BY96" s="1131"/>
      <c r="BZ96" s="190"/>
      <c r="CA96" s="242"/>
      <c r="CB96" s="242"/>
      <c r="CC96" s="1133"/>
      <c r="CD96" s="242">
        <f t="shared" si="11"/>
        <v>0</v>
      </c>
      <c r="CE96" s="242"/>
      <c r="CF96" s="242"/>
      <c r="CG96" s="214"/>
      <c r="CH96" s="214"/>
      <c r="CI96" s="1131"/>
      <c r="CJ96" s="190"/>
      <c r="CK96" s="242"/>
      <c r="CL96" s="242"/>
      <c r="CM96" s="1133"/>
      <c r="CN96" s="242">
        <f t="shared" si="12"/>
        <v>0</v>
      </c>
      <c r="CO96" s="242"/>
      <c r="CP96" s="242"/>
      <c r="CQ96" s="214"/>
      <c r="CR96" s="214"/>
      <c r="CS96" s="1131"/>
      <c r="CT96" s="190"/>
      <c r="CU96" s="242"/>
      <c r="CV96" s="242"/>
      <c r="CW96" s="1133"/>
      <c r="CX96" s="242">
        <f t="shared" si="13"/>
        <v>0</v>
      </c>
      <c r="CY96" s="242"/>
      <c r="CZ96" s="242"/>
      <c r="DA96" s="237"/>
      <c r="DB96" s="214"/>
      <c r="DC96" s="1131"/>
      <c r="DD96" s="190"/>
      <c r="DE96" s="242"/>
      <c r="DF96" s="242"/>
      <c r="DG96" s="1133"/>
      <c r="DH96" s="242">
        <f t="shared" si="14"/>
        <v>0</v>
      </c>
      <c r="DI96" s="242"/>
      <c r="DJ96" s="242"/>
      <c r="DK96" s="214"/>
      <c r="DL96" s="214"/>
      <c r="DM96" s="1131"/>
      <c r="DN96" s="190"/>
      <c r="DO96" s="242"/>
      <c r="DP96" s="242"/>
      <c r="DQ96" s="1133"/>
      <c r="DR96" s="242">
        <f t="shared" si="15"/>
        <v>0</v>
      </c>
      <c r="DS96" s="242"/>
      <c r="DT96" s="242"/>
      <c r="DU96" s="214"/>
      <c r="DV96" s="214"/>
      <c r="DW96" s="1131"/>
      <c r="DX96" s="190"/>
      <c r="DY96" s="242"/>
      <c r="DZ96" s="242"/>
      <c r="EA96" s="1133"/>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24"/>
      <c r="C97" s="1124"/>
      <c r="D97" s="1124"/>
      <c r="E97" s="1124"/>
      <c r="F97" s="1125">
        <f t="shared" si="2"/>
        <v>0</v>
      </c>
      <c r="G97" s="1126" t="str">
        <f t="shared" si="3"/>
        <v/>
      </c>
      <c r="H97" s="112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7">
        <f t="shared" si="108"/>
        <v>0</v>
      </c>
      <c r="J97" s="1128">
        <f t="shared" si="108"/>
        <v>0</v>
      </c>
      <c r="K97" s="214"/>
      <c r="L97" s="242" t="str">
        <f t="array" ref="L97">IFERROR(INDEX('💻シート作成'!$D$6:$D999, MATCH(M97, '💻シート作成'!$E$6:$E999, 0)), "")</f>
        <v/>
      </c>
      <c r="M97" s="1013"/>
      <c r="N97" s="214"/>
      <c r="O97" s="1087"/>
      <c r="P97" s="214"/>
      <c r="Q97" s="1131"/>
      <c r="R97" s="190"/>
      <c r="S97" s="242"/>
      <c r="T97" s="242"/>
      <c r="U97" s="242"/>
      <c r="V97" s="242">
        <f t="shared" si="5"/>
        <v>0</v>
      </c>
      <c r="W97" s="242"/>
      <c r="X97" s="242"/>
      <c r="Y97" s="214"/>
      <c r="Z97" s="214"/>
      <c r="AA97" s="1131"/>
      <c r="AB97" s="190"/>
      <c r="AC97" s="242"/>
      <c r="AD97" s="242"/>
      <c r="AE97" s="1133"/>
      <c r="AF97" s="242">
        <f t="shared" si="6"/>
        <v>0</v>
      </c>
      <c r="AG97" s="242"/>
      <c r="AH97" s="242"/>
      <c r="AI97" s="214"/>
      <c r="AJ97" s="214"/>
      <c r="AK97" s="1131"/>
      <c r="AL97" s="190"/>
      <c r="AM97" s="242"/>
      <c r="AN97" s="242"/>
      <c r="AO97" s="1133"/>
      <c r="AP97" s="242">
        <f t="shared" si="7"/>
        <v>0</v>
      </c>
      <c r="AQ97" s="242"/>
      <c r="AR97" s="242"/>
      <c r="AS97" s="237"/>
      <c r="AT97" s="214"/>
      <c r="AU97" s="1138"/>
      <c r="AV97" s="1154"/>
      <c r="AW97" s="1140"/>
      <c r="AX97" s="1140"/>
      <c r="AY97" s="1145"/>
      <c r="AZ97" s="1140">
        <f t="shared" si="8"/>
        <v>0</v>
      </c>
      <c r="BA97" s="1140"/>
      <c r="BB97" s="1140"/>
      <c r="BC97" s="214"/>
      <c r="BD97" s="214"/>
      <c r="BE97" s="1131"/>
      <c r="BF97" s="190"/>
      <c r="BG97" s="242"/>
      <c r="BH97" s="242"/>
      <c r="BI97" s="1133"/>
      <c r="BJ97" s="242">
        <f t="shared" si="9"/>
        <v>0</v>
      </c>
      <c r="BK97" s="242"/>
      <c r="BL97" s="242"/>
      <c r="BM97" s="214"/>
      <c r="BN97" s="214"/>
      <c r="BO97" s="1131"/>
      <c r="BP97" s="190"/>
      <c r="BQ97" s="242"/>
      <c r="BR97" s="242"/>
      <c r="BS97" s="1133"/>
      <c r="BT97" s="242">
        <f t="shared" si="10"/>
        <v>0</v>
      </c>
      <c r="BU97" s="242"/>
      <c r="BV97" s="242"/>
      <c r="BW97" s="237"/>
      <c r="BX97" s="214"/>
      <c r="BY97" s="1131"/>
      <c r="BZ97" s="190"/>
      <c r="CA97" s="242"/>
      <c r="CB97" s="242"/>
      <c r="CC97" s="1133"/>
      <c r="CD97" s="242">
        <f t="shared" si="11"/>
        <v>0</v>
      </c>
      <c r="CE97" s="242"/>
      <c r="CF97" s="242"/>
      <c r="CG97" s="214"/>
      <c r="CH97" s="214"/>
      <c r="CI97" s="1131"/>
      <c r="CJ97" s="190"/>
      <c r="CK97" s="242"/>
      <c r="CL97" s="242"/>
      <c r="CM97" s="1133"/>
      <c r="CN97" s="242">
        <f t="shared" si="12"/>
        <v>0</v>
      </c>
      <c r="CO97" s="242"/>
      <c r="CP97" s="242"/>
      <c r="CQ97" s="214"/>
      <c r="CR97" s="214"/>
      <c r="CS97" s="1131"/>
      <c r="CT97" s="190"/>
      <c r="CU97" s="242"/>
      <c r="CV97" s="242"/>
      <c r="CW97" s="1133"/>
      <c r="CX97" s="242">
        <f t="shared" si="13"/>
        <v>0</v>
      </c>
      <c r="CY97" s="242"/>
      <c r="CZ97" s="242"/>
      <c r="DA97" s="237"/>
      <c r="DB97" s="214"/>
      <c r="DC97" s="1131"/>
      <c r="DD97" s="190"/>
      <c r="DE97" s="242"/>
      <c r="DF97" s="242"/>
      <c r="DG97" s="1133"/>
      <c r="DH97" s="242">
        <f t="shared" si="14"/>
        <v>0</v>
      </c>
      <c r="DI97" s="242"/>
      <c r="DJ97" s="242"/>
      <c r="DK97" s="214"/>
      <c r="DL97" s="214"/>
      <c r="DM97" s="1131"/>
      <c r="DN97" s="190"/>
      <c r="DO97" s="242"/>
      <c r="DP97" s="242"/>
      <c r="DQ97" s="1133"/>
      <c r="DR97" s="242">
        <f t="shared" si="15"/>
        <v>0</v>
      </c>
      <c r="DS97" s="242"/>
      <c r="DT97" s="242"/>
      <c r="DU97" s="214"/>
      <c r="DV97" s="214"/>
      <c r="DW97" s="1131"/>
      <c r="DX97" s="190"/>
      <c r="DY97" s="242"/>
      <c r="DZ97" s="242"/>
      <c r="EA97" s="1133"/>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24"/>
      <c r="C98" s="1124"/>
      <c r="D98" s="1124"/>
      <c r="E98" s="1124"/>
      <c r="F98" s="1125">
        <f t="shared" si="2"/>
        <v>0</v>
      </c>
      <c r="G98" s="1126" t="str">
        <f t="shared" si="3"/>
        <v/>
      </c>
      <c r="H98" s="112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7">
        <f t="shared" si="109"/>
        <v>0</v>
      </c>
      <c r="J98" s="1128">
        <f t="shared" si="109"/>
        <v>0</v>
      </c>
      <c r="K98" s="214"/>
      <c r="L98" s="242" t="str">
        <f t="array" ref="L98">IFERROR(INDEX('💻シート作成'!$D$6:$D999, MATCH(M98, '💻シート作成'!$E$6:$E999, 0)), "")</f>
        <v/>
      </c>
      <c r="M98" s="1013"/>
      <c r="N98" s="214"/>
      <c r="O98" s="1087"/>
      <c r="P98" s="214"/>
      <c r="Q98" s="1131"/>
      <c r="R98" s="190"/>
      <c r="S98" s="242"/>
      <c r="T98" s="242"/>
      <c r="U98" s="242"/>
      <c r="V98" s="242">
        <f t="shared" si="5"/>
        <v>0</v>
      </c>
      <c r="W98" s="242"/>
      <c r="X98" s="242"/>
      <c r="Y98" s="214"/>
      <c r="Z98" s="214"/>
      <c r="AA98" s="1131"/>
      <c r="AB98" s="190"/>
      <c r="AC98" s="242"/>
      <c r="AD98" s="242"/>
      <c r="AE98" s="1133"/>
      <c r="AF98" s="242">
        <f t="shared" si="6"/>
        <v>0</v>
      </c>
      <c r="AG98" s="242"/>
      <c r="AH98" s="242"/>
      <c r="AI98" s="214"/>
      <c r="AJ98" s="214"/>
      <c r="AK98" s="1131"/>
      <c r="AL98" s="190"/>
      <c r="AM98" s="242"/>
      <c r="AN98" s="242"/>
      <c r="AO98" s="1133"/>
      <c r="AP98" s="242">
        <f t="shared" si="7"/>
        <v>0</v>
      </c>
      <c r="AQ98" s="242"/>
      <c r="AR98" s="242"/>
      <c r="AS98" s="237"/>
      <c r="AT98" s="214"/>
      <c r="AU98" s="1138"/>
      <c r="AV98" s="1154"/>
      <c r="AW98" s="1140"/>
      <c r="AX98" s="1140"/>
      <c r="AY98" s="1145"/>
      <c r="AZ98" s="1140">
        <f t="shared" si="8"/>
        <v>0</v>
      </c>
      <c r="BA98" s="1140"/>
      <c r="BB98" s="1140"/>
      <c r="BC98" s="214"/>
      <c r="BD98" s="214"/>
      <c r="BE98" s="1131"/>
      <c r="BF98" s="190"/>
      <c r="BG98" s="242"/>
      <c r="BH98" s="242"/>
      <c r="BI98" s="1133"/>
      <c r="BJ98" s="242">
        <f t="shared" si="9"/>
        <v>0</v>
      </c>
      <c r="BK98" s="242"/>
      <c r="BL98" s="242"/>
      <c r="BM98" s="214"/>
      <c r="BN98" s="214"/>
      <c r="BO98" s="1131"/>
      <c r="BP98" s="190"/>
      <c r="BQ98" s="242"/>
      <c r="BR98" s="242"/>
      <c r="BS98" s="1133"/>
      <c r="BT98" s="242">
        <f t="shared" si="10"/>
        <v>0</v>
      </c>
      <c r="BU98" s="242"/>
      <c r="BV98" s="242"/>
      <c r="BW98" s="237"/>
      <c r="BX98" s="214"/>
      <c r="BY98" s="1131"/>
      <c r="BZ98" s="190"/>
      <c r="CA98" s="242"/>
      <c r="CB98" s="242"/>
      <c r="CC98" s="1133"/>
      <c r="CD98" s="242">
        <f t="shared" si="11"/>
        <v>0</v>
      </c>
      <c r="CE98" s="242"/>
      <c r="CF98" s="242"/>
      <c r="CG98" s="214"/>
      <c r="CH98" s="214"/>
      <c r="CI98" s="1131"/>
      <c r="CJ98" s="190"/>
      <c r="CK98" s="242"/>
      <c r="CL98" s="242"/>
      <c r="CM98" s="1133"/>
      <c r="CN98" s="242">
        <f t="shared" si="12"/>
        <v>0</v>
      </c>
      <c r="CO98" s="242"/>
      <c r="CP98" s="242"/>
      <c r="CQ98" s="214"/>
      <c r="CR98" s="214"/>
      <c r="CS98" s="1131"/>
      <c r="CT98" s="190"/>
      <c r="CU98" s="242"/>
      <c r="CV98" s="242"/>
      <c r="CW98" s="1133"/>
      <c r="CX98" s="242">
        <f t="shared" si="13"/>
        <v>0</v>
      </c>
      <c r="CY98" s="242"/>
      <c r="CZ98" s="242"/>
      <c r="DA98" s="237"/>
      <c r="DB98" s="214"/>
      <c r="DC98" s="1131"/>
      <c r="DD98" s="190"/>
      <c r="DE98" s="242"/>
      <c r="DF98" s="242"/>
      <c r="DG98" s="1133"/>
      <c r="DH98" s="242">
        <f t="shared" si="14"/>
        <v>0</v>
      </c>
      <c r="DI98" s="242"/>
      <c r="DJ98" s="242"/>
      <c r="DK98" s="214"/>
      <c r="DL98" s="214"/>
      <c r="DM98" s="1131"/>
      <c r="DN98" s="190"/>
      <c r="DO98" s="242"/>
      <c r="DP98" s="242"/>
      <c r="DQ98" s="1133"/>
      <c r="DR98" s="242">
        <f t="shared" si="15"/>
        <v>0</v>
      </c>
      <c r="DS98" s="242"/>
      <c r="DT98" s="242"/>
      <c r="DU98" s="214"/>
      <c r="DV98" s="214"/>
      <c r="DW98" s="1131"/>
      <c r="DX98" s="190"/>
      <c r="DY98" s="242"/>
      <c r="DZ98" s="242"/>
      <c r="EA98" s="1133"/>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24"/>
      <c r="C99" s="1124"/>
      <c r="D99" s="1124"/>
      <c r="E99" s="1124"/>
      <c r="F99" s="1125">
        <f t="shared" si="2"/>
        <v>0</v>
      </c>
      <c r="G99" s="1126" t="str">
        <f t="shared" si="3"/>
        <v/>
      </c>
      <c r="H99" s="112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7">
        <f t="shared" si="110"/>
        <v>0</v>
      </c>
      <c r="J99" s="1128">
        <f t="shared" si="110"/>
        <v>0</v>
      </c>
      <c r="K99" s="214"/>
      <c r="L99" s="242" t="str">
        <f t="array" ref="L99">IFERROR(INDEX('💻シート作成'!$D$6:$D999, MATCH(M99, '💻シート作成'!$E$6:$E999, 0)), "")</f>
        <v/>
      </c>
      <c r="M99" s="1013"/>
      <c r="N99" s="214"/>
      <c r="O99" s="1087"/>
      <c r="P99" s="214"/>
      <c r="Q99" s="1131"/>
      <c r="R99" s="1153"/>
      <c r="S99" s="242"/>
      <c r="T99" s="242"/>
      <c r="U99" s="242"/>
      <c r="V99" s="242">
        <f t="shared" si="5"/>
        <v>0</v>
      </c>
      <c r="W99" s="242"/>
      <c r="X99" s="242"/>
      <c r="Y99" s="214"/>
      <c r="Z99" s="214"/>
      <c r="AA99" s="1131"/>
      <c r="AB99" s="1153"/>
      <c r="AC99" s="242"/>
      <c r="AD99" s="242"/>
      <c r="AE99" s="242"/>
      <c r="AF99" s="242">
        <f t="shared" si="6"/>
        <v>0</v>
      </c>
      <c r="AG99" s="242"/>
      <c r="AH99" s="242"/>
      <c r="AI99" s="214"/>
      <c r="AJ99" s="214"/>
      <c r="AK99" s="1131"/>
      <c r="AL99" s="1153"/>
      <c r="AM99" s="242"/>
      <c r="AN99" s="242"/>
      <c r="AO99" s="242"/>
      <c r="AP99" s="242">
        <f t="shared" si="7"/>
        <v>0</v>
      </c>
      <c r="AQ99" s="242"/>
      <c r="AR99" s="242"/>
      <c r="AS99" s="237"/>
      <c r="AT99" s="214"/>
      <c r="AU99" s="1138"/>
      <c r="AV99" s="1155"/>
      <c r="AW99" s="1140"/>
      <c r="AX99" s="1140"/>
      <c r="AY99" s="1140"/>
      <c r="AZ99" s="1140">
        <f t="shared" si="8"/>
        <v>0</v>
      </c>
      <c r="BA99" s="1140"/>
      <c r="BB99" s="1140"/>
      <c r="BC99" s="214"/>
      <c r="BD99" s="214"/>
      <c r="BE99" s="1131"/>
      <c r="BF99" s="1153"/>
      <c r="BG99" s="242"/>
      <c r="BH99" s="242"/>
      <c r="BI99" s="242"/>
      <c r="BJ99" s="242">
        <f t="shared" si="9"/>
        <v>0</v>
      </c>
      <c r="BK99" s="242"/>
      <c r="BL99" s="242"/>
      <c r="BM99" s="214"/>
      <c r="BN99" s="214"/>
      <c r="BO99" s="1131"/>
      <c r="BP99" s="1153"/>
      <c r="BQ99" s="242"/>
      <c r="BR99" s="242"/>
      <c r="BS99" s="242"/>
      <c r="BT99" s="242">
        <f t="shared" si="10"/>
        <v>0</v>
      </c>
      <c r="BU99" s="242"/>
      <c r="BV99" s="242"/>
      <c r="BW99" s="237"/>
      <c r="BX99" s="214"/>
      <c r="BY99" s="1131"/>
      <c r="BZ99" s="1153"/>
      <c r="CA99" s="242"/>
      <c r="CB99" s="242"/>
      <c r="CC99" s="242"/>
      <c r="CD99" s="242">
        <f t="shared" si="11"/>
        <v>0</v>
      </c>
      <c r="CE99" s="242"/>
      <c r="CF99" s="242"/>
      <c r="CG99" s="214"/>
      <c r="CH99" s="214"/>
      <c r="CI99" s="1131"/>
      <c r="CJ99" s="1153"/>
      <c r="CK99" s="242"/>
      <c r="CL99" s="242"/>
      <c r="CM99" s="242"/>
      <c r="CN99" s="242">
        <f t="shared" si="12"/>
        <v>0</v>
      </c>
      <c r="CO99" s="242"/>
      <c r="CP99" s="242"/>
      <c r="CQ99" s="214"/>
      <c r="CR99" s="214"/>
      <c r="CS99" s="1131"/>
      <c r="CT99" s="1153"/>
      <c r="CU99" s="242"/>
      <c r="CV99" s="242"/>
      <c r="CW99" s="242"/>
      <c r="CX99" s="242">
        <f t="shared" si="13"/>
        <v>0</v>
      </c>
      <c r="CY99" s="242"/>
      <c r="CZ99" s="242"/>
      <c r="DA99" s="237"/>
      <c r="DB99" s="214"/>
      <c r="DC99" s="1131"/>
      <c r="DD99" s="1153"/>
      <c r="DE99" s="242"/>
      <c r="DF99" s="242"/>
      <c r="DG99" s="242"/>
      <c r="DH99" s="242">
        <f t="shared" si="14"/>
        <v>0</v>
      </c>
      <c r="DI99" s="242"/>
      <c r="DJ99" s="242"/>
      <c r="DK99" s="214"/>
      <c r="DL99" s="214"/>
      <c r="DM99" s="1131"/>
      <c r="DN99" s="1153"/>
      <c r="DO99" s="242"/>
      <c r="DP99" s="242"/>
      <c r="DQ99" s="242"/>
      <c r="DR99" s="242">
        <f t="shared" si="15"/>
        <v>0</v>
      </c>
      <c r="DS99" s="242"/>
      <c r="DT99" s="242"/>
      <c r="DU99" s="214"/>
      <c r="DV99" s="214"/>
      <c r="DW99" s="1131"/>
      <c r="DX99" s="1153"/>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24"/>
      <c r="C100" s="1124"/>
      <c r="D100" s="1124"/>
      <c r="E100" s="1124"/>
      <c r="F100" s="1125">
        <f t="shared" si="2"/>
        <v>0</v>
      </c>
      <c r="G100" s="1126" t="str">
        <f t="shared" si="3"/>
        <v/>
      </c>
      <c r="H100" s="112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7">
        <f t="shared" si="111"/>
        <v>0</v>
      </c>
      <c r="J100" s="1128">
        <f t="shared" si="111"/>
        <v>0</v>
      </c>
      <c r="K100" s="214"/>
      <c r="L100" s="242" t="str">
        <f t="array" ref="L100">IFERROR(INDEX('💻シート作成'!$D$6:$D999, MATCH(M100, '💻シート作成'!$E$6:$E999, 0)), "")</f>
        <v/>
      </c>
      <c r="M100" s="1024"/>
      <c r="N100" s="214"/>
      <c r="O100" s="1087"/>
      <c r="P100" s="214"/>
      <c r="Q100" s="1131"/>
      <c r="R100" s="1153"/>
      <c r="S100" s="242"/>
      <c r="T100" s="242"/>
      <c r="U100" s="242"/>
      <c r="V100" s="242">
        <f t="shared" si="5"/>
        <v>0</v>
      </c>
      <c r="W100" s="242"/>
      <c r="X100" s="242"/>
      <c r="Y100" s="214"/>
      <c r="Z100" s="214"/>
      <c r="AA100" s="1131"/>
      <c r="AB100" s="1153"/>
      <c r="AC100" s="242"/>
      <c r="AD100" s="242"/>
      <c r="AE100" s="242"/>
      <c r="AF100" s="242">
        <f t="shared" si="6"/>
        <v>0</v>
      </c>
      <c r="AG100" s="242"/>
      <c r="AH100" s="242"/>
      <c r="AI100" s="214"/>
      <c r="AJ100" s="214"/>
      <c r="AK100" s="1131"/>
      <c r="AL100" s="1153"/>
      <c r="AM100" s="242"/>
      <c r="AN100" s="242"/>
      <c r="AO100" s="242"/>
      <c r="AP100" s="242">
        <f t="shared" si="7"/>
        <v>0</v>
      </c>
      <c r="AQ100" s="242"/>
      <c r="AR100" s="242"/>
      <c r="AS100" s="237"/>
      <c r="AT100" s="214"/>
      <c r="AU100" s="1138"/>
      <c r="AV100" s="1155"/>
      <c r="AW100" s="1140"/>
      <c r="AX100" s="1140"/>
      <c r="AY100" s="1140"/>
      <c r="AZ100" s="1140">
        <f t="shared" si="8"/>
        <v>0</v>
      </c>
      <c r="BA100" s="1140"/>
      <c r="BB100" s="1140"/>
      <c r="BC100" s="214"/>
      <c r="BD100" s="214"/>
      <c r="BE100" s="1131"/>
      <c r="BF100" s="1153"/>
      <c r="BG100" s="242"/>
      <c r="BH100" s="242"/>
      <c r="BI100" s="242"/>
      <c r="BJ100" s="242">
        <f t="shared" si="9"/>
        <v>0</v>
      </c>
      <c r="BK100" s="242"/>
      <c r="BL100" s="242"/>
      <c r="BM100" s="214"/>
      <c r="BN100" s="214"/>
      <c r="BO100" s="1131"/>
      <c r="BP100" s="1153"/>
      <c r="BQ100" s="242"/>
      <c r="BR100" s="242"/>
      <c r="BS100" s="242"/>
      <c r="BT100" s="242">
        <f t="shared" si="10"/>
        <v>0</v>
      </c>
      <c r="BU100" s="242"/>
      <c r="BV100" s="242"/>
      <c r="BW100" s="237"/>
      <c r="BX100" s="214"/>
      <c r="BY100" s="1131"/>
      <c r="BZ100" s="1153"/>
      <c r="CA100" s="242"/>
      <c r="CB100" s="242"/>
      <c r="CC100" s="242"/>
      <c r="CD100" s="242">
        <f t="shared" si="11"/>
        <v>0</v>
      </c>
      <c r="CE100" s="242"/>
      <c r="CF100" s="242"/>
      <c r="CG100" s="214"/>
      <c r="CH100" s="214"/>
      <c r="CI100" s="1131"/>
      <c r="CJ100" s="1153"/>
      <c r="CK100" s="242"/>
      <c r="CL100" s="242"/>
      <c r="CM100" s="242"/>
      <c r="CN100" s="242">
        <f t="shared" si="12"/>
        <v>0</v>
      </c>
      <c r="CO100" s="242"/>
      <c r="CP100" s="242"/>
      <c r="CQ100" s="214"/>
      <c r="CR100" s="214"/>
      <c r="CS100" s="1131"/>
      <c r="CT100" s="1153"/>
      <c r="CU100" s="242"/>
      <c r="CV100" s="242"/>
      <c r="CW100" s="242"/>
      <c r="CX100" s="242">
        <f t="shared" si="13"/>
        <v>0</v>
      </c>
      <c r="CY100" s="242"/>
      <c r="CZ100" s="242"/>
      <c r="DA100" s="237"/>
      <c r="DB100" s="214"/>
      <c r="DC100" s="1131"/>
      <c r="DD100" s="1153"/>
      <c r="DE100" s="242"/>
      <c r="DF100" s="242"/>
      <c r="DG100" s="242"/>
      <c r="DH100" s="242">
        <f t="shared" si="14"/>
        <v>0</v>
      </c>
      <c r="DI100" s="242"/>
      <c r="DJ100" s="242"/>
      <c r="DK100" s="214"/>
      <c r="DL100" s="214"/>
      <c r="DM100" s="1131"/>
      <c r="DN100" s="1153"/>
      <c r="DO100" s="242"/>
      <c r="DP100" s="242"/>
      <c r="DQ100" s="242"/>
      <c r="DR100" s="242">
        <f t="shared" si="15"/>
        <v>0</v>
      </c>
      <c r="DS100" s="242"/>
      <c r="DT100" s="242"/>
      <c r="DU100" s="214"/>
      <c r="DV100" s="214"/>
      <c r="DW100" s="1131"/>
      <c r="DX100" s="1153"/>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24"/>
      <c r="C101" s="1124"/>
      <c r="D101" s="1124"/>
      <c r="E101" s="1124"/>
      <c r="F101" s="1125">
        <f t="shared" si="2"/>
        <v>0</v>
      </c>
      <c r="G101" s="1126" t="str">
        <f t="shared" si="3"/>
        <v/>
      </c>
      <c r="H101" s="112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7">
        <f t="shared" si="112"/>
        <v>0</v>
      </c>
      <c r="J101" s="1128">
        <f t="shared" si="112"/>
        <v>0</v>
      </c>
      <c r="K101" s="214"/>
      <c r="L101" s="242" t="str">
        <f t="array" ref="L101">IFERROR(INDEX('💻シート作成'!$D$6:$D999, MATCH(M101, '💻シート作成'!$E$6:$E999, 0)), "")</f>
        <v/>
      </c>
      <c r="M101" s="1024"/>
      <c r="N101" s="214"/>
      <c r="O101" s="1087"/>
      <c r="P101" s="214"/>
      <c r="Q101" s="1131"/>
      <c r="R101" s="1153"/>
      <c r="S101" s="242"/>
      <c r="T101" s="242"/>
      <c r="U101" s="242"/>
      <c r="V101" s="242">
        <f t="shared" si="5"/>
        <v>0</v>
      </c>
      <c r="W101" s="242"/>
      <c r="X101" s="242"/>
      <c r="Y101" s="214"/>
      <c r="Z101" s="214"/>
      <c r="AA101" s="1131"/>
      <c r="AB101" s="1153"/>
      <c r="AC101" s="242"/>
      <c r="AD101" s="242"/>
      <c r="AE101" s="242"/>
      <c r="AF101" s="242">
        <f t="shared" si="6"/>
        <v>0</v>
      </c>
      <c r="AG101" s="242"/>
      <c r="AH101" s="242"/>
      <c r="AI101" s="214"/>
      <c r="AJ101" s="214"/>
      <c r="AK101" s="1131"/>
      <c r="AL101" s="1153"/>
      <c r="AM101" s="242"/>
      <c r="AN101" s="242"/>
      <c r="AO101" s="242"/>
      <c r="AP101" s="242">
        <f t="shared" si="7"/>
        <v>0</v>
      </c>
      <c r="AQ101" s="242"/>
      <c r="AR101" s="242"/>
      <c r="AS101" s="237"/>
      <c r="AT101" s="214"/>
      <c r="AU101" s="1138"/>
      <c r="AV101" s="1155"/>
      <c r="AW101" s="1140"/>
      <c r="AX101" s="1140"/>
      <c r="AY101" s="1140"/>
      <c r="AZ101" s="1140">
        <f t="shared" si="8"/>
        <v>0</v>
      </c>
      <c r="BA101" s="1140"/>
      <c r="BB101" s="1140"/>
      <c r="BC101" s="214"/>
      <c r="BD101" s="214"/>
      <c r="BE101" s="1131"/>
      <c r="BF101" s="1153"/>
      <c r="BG101" s="242"/>
      <c r="BH101" s="242"/>
      <c r="BI101" s="242"/>
      <c r="BJ101" s="242">
        <f t="shared" si="9"/>
        <v>0</v>
      </c>
      <c r="BK101" s="242"/>
      <c r="BL101" s="242"/>
      <c r="BM101" s="214"/>
      <c r="BN101" s="214"/>
      <c r="BO101" s="1131"/>
      <c r="BP101" s="1153"/>
      <c r="BQ101" s="242"/>
      <c r="BR101" s="242"/>
      <c r="BS101" s="242"/>
      <c r="BT101" s="242">
        <f t="shared" si="10"/>
        <v>0</v>
      </c>
      <c r="BU101" s="242"/>
      <c r="BV101" s="242"/>
      <c r="BW101" s="237"/>
      <c r="BX101" s="214"/>
      <c r="BY101" s="1131"/>
      <c r="BZ101" s="1153"/>
      <c r="CA101" s="242"/>
      <c r="CB101" s="242"/>
      <c r="CC101" s="242"/>
      <c r="CD101" s="242">
        <f t="shared" si="11"/>
        <v>0</v>
      </c>
      <c r="CE101" s="242"/>
      <c r="CF101" s="242"/>
      <c r="CG101" s="214"/>
      <c r="CH101" s="214"/>
      <c r="CI101" s="1131"/>
      <c r="CJ101" s="1153"/>
      <c r="CK101" s="242"/>
      <c r="CL101" s="242"/>
      <c r="CM101" s="242"/>
      <c r="CN101" s="242">
        <f t="shared" si="12"/>
        <v>0</v>
      </c>
      <c r="CO101" s="242"/>
      <c r="CP101" s="242"/>
      <c r="CQ101" s="214"/>
      <c r="CR101" s="214"/>
      <c r="CS101" s="1131"/>
      <c r="CT101" s="1153"/>
      <c r="CU101" s="242"/>
      <c r="CV101" s="242"/>
      <c r="CW101" s="242"/>
      <c r="CX101" s="242">
        <f t="shared" si="13"/>
        <v>0</v>
      </c>
      <c r="CY101" s="242"/>
      <c r="CZ101" s="242"/>
      <c r="DA101" s="237"/>
      <c r="DB101" s="214"/>
      <c r="DC101" s="1131"/>
      <c r="DD101" s="1153"/>
      <c r="DE101" s="242"/>
      <c r="DF101" s="242"/>
      <c r="DG101" s="242"/>
      <c r="DH101" s="242">
        <f t="shared" si="14"/>
        <v>0</v>
      </c>
      <c r="DI101" s="242"/>
      <c r="DJ101" s="242"/>
      <c r="DK101" s="214"/>
      <c r="DL101" s="214"/>
      <c r="DM101" s="1131"/>
      <c r="DN101" s="1153"/>
      <c r="DO101" s="242"/>
      <c r="DP101" s="242"/>
      <c r="DQ101" s="242"/>
      <c r="DR101" s="242">
        <f t="shared" si="15"/>
        <v>0</v>
      </c>
      <c r="DS101" s="242"/>
      <c r="DT101" s="242"/>
      <c r="DU101" s="214"/>
      <c r="DV101" s="214"/>
      <c r="DW101" s="1131"/>
      <c r="DX101" s="1153"/>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24"/>
      <c r="C102" s="1124"/>
      <c r="D102" s="1124"/>
      <c r="E102" s="1124"/>
      <c r="F102" s="1125">
        <f t="shared" si="2"/>
        <v>0</v>
      </c>
      <c r="G102" s="1126" t="str">
        <f t="shared" si="3"/>
        <v/>
      </c>
      <c r="H102" s="112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7">
        <f t="shared" si="113"/>
        <v>0</v>
      </c>
      <c r="J102" s="1128">
        <f t="shared" si="113"/>
        <v>0</v>
      </c>
      <c r="K102" s="214"/>
      <c r="L102" s="242" t="str">
        <f t="array" ref="L102">IFERROR(INDEX('💻シート作成'!$D$6:$D999, MATCH(M102, '💻シート作成'!$E$6:$E999, 0)), "")</f>
        <v/>
      </c>
      <c r="M102" s="1024"/>
      <c r="N102" s="214"/>
      <c r="O102" s="1087"/>
      <c r="P102" s="214"/>
      <c r="Q102" s="1131"/>
      <c r="R102" s="1153"/>
      <c r="S102" s="242"/>
      <c r="T102" s="242"/>
      <c r="U102" s="242"/>
      <c r="V102" s="242">
        <f t="shared" si="5"/>
        <v>0</v>
      </c>
      <c r="W102" s="242"/>
      <c r="X102" s="242"/>
      <c r="Y102" s="214"/>
      <c r="Z102" s="214"/>
      <c r="AA102" s="1131"/>
      <c r="AB102" s="1153"/>
      <c r="AC102" s="242"/>
      <c r="AD102" s="242"/>
      <c r="AE102" s="242"/>
      <c r="AF102" s="242">
        <f t="shared" si="6"/>
        <v>0</v>
      </c>
      <c r="AG102" s="242"/>
      <c r="AH102" s="242"/>
      <c r="AI102" s="214"/>
      <c r="AJ102" s="214"/>
      <c r="AK102" s="1131"/>
      <c r="AL102" s="1153"/>
      <c r="AM102" s="242"/>
      <c r="AN102" s="242"/>
      <c r="AO102" s="242"/>
      <c r="AP102" s="242">
        <f t="shared" si="7"/>
        <v>0</v>
      </c>
      <c r="AQ102" s="242"/>
      <c r="AR102" s="242"/>
      <c r="AS102" s="237"/>
      <c r="AT102" s="214"/>
      <c r="AU102" s="1138"/>
      <c r="AV102" s="1155"/>
      <c r="AW102" s="1140"/>
      <c r="AX102" s="1140"/>
      <c r="AY102" s="1140"/>
      <c r="AZ102" s="1140">
        <f t="shared" si="8"/>
        <v>0</v>
      </c>
      <c r="BA102" s="1140"/>
      <c r="BB102" s="1140"/>
      <c r="BC102" s="214"/>
      <c r="BD102" s="214"/>
      <c r="BE102" s="1131"/>
      <c r="BF102" s="1153"/>
      <c r="BG102" s="242"/>
      <c r="BH102" s="242"/>
      <c r="BI102" s="242"/>
      <c r="BJ102" s="242">
        <f t="shared" si="9"/>
        <v>0</v>
      </c>
      <c r="BK102" s="242"/>
      <c r="BL102" s="242"/>
      <c r="BM102" s="214"/>
      <c r="BN102" s="214"/>
      <c r="BO102" s="1131"/>
      <c r="BP102" s="1153"/>
      <c r="BQ102" s="242"/>
      <c r="BR102" s="242"/>
      <c r="BS102" s="242"/>
      <c r="BT102" s="242">
        <f t="shared" si="10"/>
        <v>0</v>
      </c>
      <c r="BU102" s="242"/>
      <c r="BV102" s="242"/>
      <c r="BW102" s="237"/>
      <c r="BX102" s="214"/>
      <c r="BY102" s="1131"/>
      <c r="BZ102" s="1153"/>
      <c r="CA102" s="242"/>
      <c r="CB102" s="242"/>
      <c r="CC102" s="242"/>
      <c r="CD102" s="242">
        <f t="shared" si="11"/>
        <v>0</v>
      </c>
      <c r="CE102" s="242"/>
      <c r="CF102" s="242"/>
      <c r="CG102" s="214"/>
      <c r="CH102" s="214"/>
      <c r="CI102" s="1131"/>
      <c r="CJ102" s="1153"/>
      <c r="CK102" s="242"/>
      <c r="CL102" s="242"/>
      <c r="CM102" s="242"/>
      <c r="CN102" s="242">
        <f t="shared" si="12"/>
        <v>0</v>
      </c>
      <c r="CO102" s="242"/>
      <c r="CP102" s="242"/>
      <c r="CQ102" s="214"/>
      <c r="CR102" s="214"/>
      <c r="CS102" s="1131"/>
      <c r="CT102" s="1153"/>
      <c r="CU102" s="242"/>
      <c r="CV102" s="242"/>
      <c r="CW102" s="242"/>
      <c r="CX102" s="242">
        <f t="shared" si="13"/>
        <v>0</v>
      </c>
      <c r="CY102" s="242"/>
      <c r="CZ102" s="242"/>
      <c r="DA102" s="237"/>
      <c r="DB102" s="214"/>
      <c r="DC102" s="1131"/>
      <c r="DD102" s="1153"/>
      <c r="DE102" s="242"/>
      <c r="DF102" s="242"/>
      <c r="DG102" s="242"/>
      <c r="DH102" s="242">
        <f t="shared" si="14"/>
        <v>0</v>
      </c>
      <c r="DI102" s="242"/>
      <c r="DJ102" s="242"/>
      <c r="DK102" s="214"/>
      <c r="DL102" s="214"/>
      <c r="DM102" s="1131"/>
      <c r="DN102" s="1153"/>
      <c r="DO102" s="242"/>
      <c r="DP102" s="242"/>
      <c r="DQ102" s="242"/>
      <c r="DR102" s="242">
        <f t="shared" si="15"/>
        <v>0</v>
      </c>
      <c r="DS102" s="242"/>
      <c r="DT102" s="242"/>
      <c r="DU102" s="214"/>
      <c r="DV102" s="214"/>
      <c r="DW102" s="1131"/>
      <c r="DX102" s="1153"/>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24"/>
      <c r="C103" s="1124"/>
      <c r="D103" s="1124"/>
      <c r="E103" s="1124"/>
      <c r="F103" s="1125">
        <f t="shared" si="2"/>
        <v>0</v>
      </c>
      <c r="G103" s="1126" t="str">
        <f t="shared" si="3"/>
        <v/>
      </c>
      <c r="H103" s="112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7">
        <f t="shared" si="114"/>
        <v>0</v>
      </c>
      <c r="J103" s="1128">
        <f t="shared" si="114"/>
        <v>0</v>
      </c>
      <c r="K103" s="214"/>
      <c r="L103" s="242" t="str">
        <f t="array" ref="L103">IFERROR(INDEX('💻シート作成'!$D$6:$D999, MATCH(M103, '💻シート作成'!$E$6:$E999, 0)), "")</f>
        <v/>
      </c>
      <c r="M103" s="1024"/>
      <c r="N103" s="214"/>
      <c r="O103" s="1087"/>
      <c r="P103" s="214"/>
      <c r="Q103" s="1131"/>
      <c r="R103" s="1153"/>
      <c r="S103" s="242"/>
      <c r="T103" s="242"/>
      <c r="U103" s="242"/>
      <c r="V103" s="242">
        <f t="shared" si="5"/>
        <v>0</v>
      </c>
      <c r="W103" s="242"/>
      <c r="X103" s="242"/>
      <c r="Y103" s="214"/>
      <c r="Z103" s="214"/>
      <c r="AA103" s="1131"/>
      <c r="AB103" s="1153"/>
      <c r="AC103" s="242"/>
      <c r="AD103" s="242"/>
      <c r="AE103" s="242"/>
      <c r="AF103" s="242">
        <f t="shared" si="6"/>
        <v>0</v>
      </c>
      <c r="AG103" s="242"/>
      <c r="AH103" s="242"/>
      <c r="AI103" s="214"/>
      <c r="AJ103" s="214"/>
      <c r="AK103" s="1131"/>
      <c r="AL103" s="1153"/>
      <c r="AM103" s="242"/>
      <c r="AN103" s="242"/>
      <c r="AO103" s="242"/>
      <c r="AP103" s="242">
        <f t="shared" si="7"/>
        <v>0</v>
      </c>
      <c r="AQ103" s="242"/>
      <c r="AR103" s="242"/>
      <c r="AS103" s="237"/>
      <c r="AT103" s="214"/>
      <c r="AU103" s="1138"/>
      <c r="AV103" s="1155"/>
      <c r="AW103" s="1140"/>
      <c r="AX103" s="1140"/>
      <c r="AY103" s="1140"/>
      <c r="AZ103" s="1140">
        <f t="shared" si="8"/>
        <v>0</v>
      </c>
      <c r="BA103" s="1140"/>
      <c r="BB103" s="1140"/>
      <c r="BC103" s="214"/>
      <c r="BD103" s="214"/>
      <c r="BE103" s="1131"/>
      <c r="BF103" s="1153"/>
      <c r="BG103" s="242"/>
      <c r="BH103" s="242"/>
      <c r="BI103" s="242"/>
      <c r="BJ103" s="242">
        <f t="shared" si="9"/>
        <v>0</v>
      </c>
      <c r="BK103" s="242"/>
      <c r="BL103" s="242"/>
      <c r="BM103" s="214"/>
      <c r="BN103" s="214"/>
      <c r="BO103" s="1131"/>
      <c r="BP103" s="1153"/>
      <c r="BQ103" s="242"/>
      <c r="BR103" s="242"/>
      <c r="BS103" s="242"/>
      <c r="BT103" s="242">
        <f t="shared" si="10"/>
        <v>0</v>
      </c>
      <c r="BU103" s="242"/>
      <c r="BV103" s="242"/>
      <c r="BW103" s="237"/>
      <c r="BX103" s="214"/>
      <c r="BY103" s="1131"/>
      <c r="BZ103" s="1153"/>
      <c r="CA103" s="242"/>
      <c r="CB103" s="242"/>
      <c r="CC103" s="242"/>
      <c r="CD103" s="242">
        <f t="shared" si="11"/>
        <v>0</v>
      </c>
      <c r="CE103" s="242"/>
      <c r="CF103" s="242"/>
      <c r="CG103" s="214"/>
      <c r="CH103" s="214"/>
      <c r="CI103" s="1131"/>
      <c r="CJ103" s="1153"/>
      <c r="CK103" s="242"/>
      <c r="CL103" s="242"/>
      <c r="CM103" s="242"/>
      <c r="CN103" s="242">
        <f t="shared" si="12"/>
        <v>0</v>
      </c>
      <c r="CO103" s="242"/>
      <c r="CP103" s="242"/>
      <c r="CQ103" s="214"/>
      <c r="CR103" s="214"/>
      <c r="CS103" s="1131"/>
      <c r="CT103" s="1153"/>
      <c r="CU103" s="242"/>
      <c r="CV103" s="242"/>
      <c r="CW103" s="242"/>
      <c r="CX103" s="242">
        <f t="shared" si="13"/>
        <v>0</v>
      </c>
      <c r="CY103" s="242"/>
      <c r="CZ103" s="242"/>
      <c r="DA103" s="237"/>
      <c r="DB103" s="214"/>
      <c r="DC103" s="1131"/>
      <c r="DD103" s="1153"/>
      <c r="DE103" s="242"/>
      <c r="DF103" s="242"/>
      <c r="DG103" s="242"/>
      <c r="DH103" s="242">
        <f t="shared" si="14"/>
        <v>0</v>
      </c>
      <c r="DI103" s="242"/>
      <c r="DJ103" s="242"/>
      <c r="DK103" s="214"/>
      <c r="DL103" s="214"/>
      <c r="DM103" s="1131"/>
      <c r="DN103" s="1153"/>
      <c r="DO103" s="242"/>
      <c r="DP103" s="242"/>
      <c r="DQ103" s="242"/>
      <c r="DR103" s="242">
        <f t="shared" si="15"/>
        <v>0</v>
      </c>
      <c r="DS103" s="242"/>
      <c r="DT103" s="242"/>
      <c r="DU103" s="214"/>
      <c r="DV103" s="214"/>
      <c r="DW103" s="1131"/>
      <c r="DX103" s="1153"/>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24"/>
      <c r="C104" s="1124"/>
      <c r="D104" s="1124"/>
      <c r="E104" s="1124"/>
      <c r="F104" s="1125">
        <f t="shared" si="2"/>
        <v>0</v>
      </c>
      <c r="G104" s="1126" t="str">
        <f t="shared" si="3"/>
        <v/>
      </c>
      <c r="H104" s="112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7">
        <f t="shared" si="115"/>
        <v>0</v>
      </c>
      <c r="J104" s="1128">
        <f t="shared" si="115"/>
        <v>0</v>
      </c>
      <c r="K104" s="214"/>
      <c r="L104" s="242" t="str">
        <f t="array" ref="L104">IFERROR(INDEX('💻シート作成'!$D$6:$D999, MATCH(M104, '💻シート作成'!$E$6:$E999, 0)), "")</f>
        <v/>
      </c>
      <c r="M104" s="1023"/>
      <c r="N104" s="214"/>
      <c r="O104" s="1087"/>
      <c r="P104" s="214"/>
      <c r="Q104" s="1131"/>
      <c r="R104" s="1153"/>
      <c r="S104" s="242"/>
      <c r="T104" s="242"/>
      <c r="U104" s="242"/>
      <c r="V104" s="242">
        <f t="shared" si="5"/>
        <v>0</v>
      </c>
      <c r="W104" s="242"/>
      <c r="X104" s="242"/>
      <c r="Y104" s="214"/>
      <c r="Z104" s="214"/>
      <c r="AA104" s="1131"/>
      <c r="AB104" s="1153"/>
      <c r="AC104" s="242"/>
      <c r="AD104" s="242"/>
      <c r="AE104" s="242"/>
      <c r="AF104" s="242">
        <f t="shared" si="6"/>
        <v>0</v>
      </c>
      <c r="AG104" s="242"/>
      <c r="AH104" s="242"/>
      <c r="AI104" s="214"/>
      <c r="AJ104" s="214"/>
      <c r="AK104" s="1131"/>
      <c r="AL104" s="1153"/>
      <c r="AM104" s="242"/>
      <c r="AN104" s="242"/>
      <c r="AO104" s="242"/>
      <c r="AP104" s="242">
        <f t="shared" si="7"/>
        <v>0</v>
      </c>
      <c r="AQ104" s="242"/>
      <c r="AR104" s="242"/>
      <c r="AS104" s="237"/>
      <c r="AT104" s="214"/>
      <c r="AU104" s="1138"/>
      <c r="AV104" s="1155"/>
      <c r="AW104" s="1140"/>
      <c r="AX104" s="1140"/>
      <c r="AY104" s="1140"/>
      <c r="AZ104" s="1140">
        <f t="shared" si="8"/>
        <v>0</v>
      </c>
      <c r="BA104" s="1140"/>
      <c r="BB104" s="1140"/>
      <c r="BC104" s="214"/>
      <c r="BD104" s="214"/>
      <c r="BE104" s="1131"/>
      <c r="BF104" s="1153"/>
      <c r="BG104" s="242"/>
      <c r="BH104" s="242"/>
      <c r="BI104" s="242"/>
      <c r="BJ104" s="242">
        <f t="shared" si="9"/>
        <v>0</v>
      </c>
      <c r="BK104" s="242"/>
      <c r="BL104" s="242"/>
      <c r="BM104" s="214"/>
      <c r="BN104" s="214"/>
      <c r="BO104" s="1131"/>
      <c r="BP104" s="1153"/>
      <c r="BQ104" s="242"/>
      <c r="BR104" s="242"/>
      <c r="BS104" s="242"/>
      <c r="BT104" s="242">
        <f t="shared" si="10"/>
        <v>0</v>
      </c>
      <c r="BU104" s="242"/>
      <c r="BV104" s="242"/>
      <c r="BW104" s="237"/>
      <c r="BX104" s="214"/>
      <c r="BY104" s="1131"/>
      <c r="BZ104" s="1153"/>
      <c r="CA104" s="242"/>
      <c r="CB104" s="242"/>
      <c r="CC104" s="242"/>
      <c r="CD104" s="242">
        <f t="shared" si="11"/>
        <v>0</v>
      </c>
      <c r="CE104" s="242"/>
      <c r="CF104" s="242"/>
      <c r="CG104" s="214"/>
      <c r="CH104" s="214"/>
      <c r="CI104" s="1131"/>
      <c r="CJ104" s="1153"/>
      <c r="CK104" s="242"/>
      <c r="CL104" s="242"/>
      <c r="CM104" s="242"/>
      <c r="CN104" s="242">
        <f t="shared" si="12"/>
        <v>0</v>
      </c>
      <c r="CO104" s="242"/>
      <c r="CP104" s="242"/>
      <c r="CQ104" s="214"/>
      <c r="CR104" s="214"/>
      <c r="CS104" s="1131"/>
      <c r="CT104" s="1153"/>
      <c r="CU104" s="242"/>
      <c r="CV104" s="242"/>
      <c r="CW104" s="242"/>
      <c r="CX104" s="242">
        <f t="shared" si="13"/>
        <v>0</v>
      </c>
      <c r="CY104" s="242"/>
      <c r="CZ104" s="242"/>
      <c r="DA104" s="237"/>
      <c r="DB104" s="214"/>
      <c r="DC104" s="1131"/>
      <c r="DD104" s="1153"/>
      <c r="DE104" s="242"/>
      <c r="DF104" s="242"/>
      <c r="DG104" s="242"/>
      <c r="DH104" s="242">
        <f t="shared" si="14"/>
        <v>0</v>
      </c>
      <c r="DI104" s="242"/>
      <c r="DJ104" s="242"/>
      <c r="DK104" s="214"/>
      <c r="DL104" s="214"/>
      <c r="DM104" s="1131"/>
      <c r="DN104" s="1153"/>
      <c r="DO104" s="242"/>
      <c r="DP104" s="242"/>
      <c r="DQ104" s="242"/>
      <c r="DR104" s="242">
        <f t="shared" si="15"/>
        <v>0</v>
      </c>
      <c r="DS104" s="242"/>
      <c r="DT104" s="242"/>
      <c r="DU104" s="214"/>
      <c r="DV104" s="214"/>
      <c r="DW104" s="1131"/>
      <c r="DX104" s="1153"/>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24"/>
      <c r="C105" s="1124"/>
      <c r="D105" s="1124"/>
      <c r="E105" s="1124"/>
      <c r="F105" s="1125">
        <f t="shared" si="2"/>
        <v>0</v>
      </c>
      <c r="G105" s="1126" t="str">
        <f t="shared" si="3"/>
        <v/>
      </c>
      <c r="H105" s="112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7">
        <f t="shared" si="116"/>
        <v>0</v>
      </c>
      <c r="J105" s="1128">
        <f t="shared" si="116"/>
        <v>0</v>
      </c>
      <c r="K105" s="214"/>
      <c r="L105" s="242" t="str">
        <f t="array" ref="L105">IFERROR(INDEX('💻シート作成'!$D$6:$D999, MATCH(M105, '💻シート作成'!$E$6:$E999, 0)), "")</f>
        <v/>
      </c>
      <c r="M105" s="1024"/>
      <c r="N105" s="214"/>
      <c r="O105" s="1087"/>
      <c r="P105" s="214"/>
      <c r="Q105" s="1131"/>
      <c r="R105" s="1153"/>
      <c r="S105" s="242"/>
      <c r="T105" s="242"/>
      <c r="U105" s="242"/>
      <c r="V105" s="242">
        <f t="shared" si="5"/>
        <v>0</v>
      </c>
      <c r="W105" s="242"/>
      <c r="X105" s="242"/>
      <c r="Y105" s="214"/>
      <c r="Z105" s="214"/>
      <c r="AA105" s="1131"/>
      <c r="AB105" s="1153"/>
      <c r="AC105" s="242"/>
      <c r="AD105" s="242"/>
      <c r="AE105" s="242"/>
      <c r="AF105" s="242">
        <f t="shared" si="6"/>
        <v>0</v>
      </c>
      <c r="AG105" s="242"/>
      <c r="AH105" s="242"/>
      <c r="AI105" s="214"/>
      <c r="AJ105" s="214"/>
      <c r="AK105" s="1131"/>
      <c r="AL105" s="1153"/>
      <c r="AM105" s="242"/>
      <c r="AN105" s="242"/>
      <c r="AO105" s="242"/>
      <c r="AP105" s="242">
        <f t="shared" si="7"/>
        <v>0</v>
      </c>
      <c r="AQ105" s="242"/>
      <c r="AR105" s="242"/>
      <c r="AS105" s="237"/>
      <c r="AT105" s="214"/>
      <c r="AU105" s="1138"/>
      <c r="AV105" s="1155"/>
      <c r="AW105" s="1140"/>
      <c r="AX105" s="1140"/>
      <c r="AY105" s="1140"/>
      <c r="AZ105" s="1140">
        <f t="shared" si="8"/>
        <v>0</v>
      </c>
      <c r="BA105" s="1140"/>
      <c r="BB105" s="1140"/>
      <c r="BC105" s="214"/>
      <c r="BD105" s="214"/>
      <c r="BE105" s="1131"/>
      <c r="BF105" s="1153"/>
      <c r="BG105" s="242"/>
      <c r="BH105" s="242"/>
      <c r="BI105" s="242"/>
      <c r="BJ105" s="242">
        <f t="shared" si="9"/>
        <v>0</v>
      </c>
      <c r="BK105" s="242"/>
      <c r="BL105" s="242"/>
      <c r="BM105" s="214"/>
      <c r="BN105" s="214"/>
      <c r="BO105" s="1131"/>
      <c r="BP105" s="1153"/>
      <c r="BQ105" s="242"/>
      <c r="BR105" s="242"/>
      <c r="BS105" s="242"/>
      <c r="BT105" s="242">
        <f t="shared" si="10"/>
        <v>0</v>
      </c>
      <c r="BU105" s="242"/>
      <c r="BV105" s="242"/>
      <c r="BW105" s="237"/>
      <c r="BX105" s="214"/>
      <c r="BY105" s="1131"/>
      <c r="BZ105" s="1153"/>
      <c r="CA105" s="242"/>
      <c r="CB105" s="242"/>
      <c r="CC105" s="242"/>
      <c r="CD105" s="242">
        <f t="shared" si="11"/>
        <v>0</v>
      </c>
      <c r="CE105" s="242"/>
      <c r="CF105" s="242"/>
      <c r="CG105" s="214"/>
      <c r="CH105" s="214"/>
      <c r="CI105" s="1131"/>
      <c r="CJ105" s="1153"/>
      <c r="CK105" s="242"/>
      <c r="CL105" s="242"/>
      <c r="CM105" s="242"/>
      <c r="CN105" s="242">
        <f t="shared" si="12"/>
        <v>0</v>
      </c>
      <c r="CO105" s="242"/>
      <c r="CP105" s="242"/>
      <c r="CQ105" s="214"/>
      <c r="CR105" s="214"/>
      <c r="CS105" s="1131"/>
      <c r="CT105" s="1153"/>
      <c r="CU105" s="242"/>
      <c r="CV105" s="242"/>
      <c r="CW105" s="242"/>
      <c r="CX105" s="242">
        <f t="shared" si="13"/>
        <v>0</v>
      </c>
      <c r="CY105" s="242"/>
      <c r="CZ105" s="242"/>
      <c r="DA105" s="237"/>
      <c r="DB105" s="214"/>
      <c r="DC105" s="1131"/>
      <c r="DD105" s="1153"/>
      <c r="DE105" s="242"/>
      <c r="DF105" s="242"/>
      <c r="DG105" s="242"/>
      <c r="DH105" s="242">
        <f t="shared" si="14"/>
        <v>0</v>
      </c>
      <c r="DI105" s="242"/>
      <c r="DJ105" s="242"/>
      <c r="DK105" s="214"/>
      <c r="DL105" s="214"/>
      <c r="DM105" s="1131"/>
      <c r="DN105" s="1153"/>
      <c r="DO105" s="242"/>
      <c r="DP105" s="242"/>
      <c r="DQ105" s="242"/>
      <c r="DR105" s="242">
        <f t="shared" si="15"/>
        <v>0</v>
      </c>
      <c r="DS105" s="242"/>
      <c r="DT105" s="242"/>
      <c r="DU105" s="214"/>
      <c r="DV105" s="214"/>
      <c r="DW105" s="1131"/>
      <c r="DX105" s="1153"/>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24"/>
      <c r="C106" s="1124"/>
      <c r="D106" s="1124"/>
      <c r="E106" s="1124"/>
      <c r="F106" s="1125">
        <f t="shared" si="2"/>
        <v>0</v>
      </c>
      <c r="G106" s="1126" t="str">
        <f t="shared" si="3"/>
        <v/>
      </c>
      <c r="H106" s="112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7">
        <f t="shared" si="117"/>
        <v>0</v>
      </c>
      <c r="J106" s="1128">
        <f t="shared" si="117"/>
        <v>0</v>
      </c>
      <c r="K106" s="214"/>
      <c r="L106" s="242" t="str">
        <f t="array" ref="L106">IFERROR(INDEX('💻シート作成'!$D$6:$D999, MATCH(M106, '💻シート作成'!$E$6:$E999, 0)), "")</f>
        <v/>
      </c>
      <c r="M106" s="1023"/>
      <c r="N106" s="214"/>
      <c r="O106" s="1087"/>
      <c r="P106" s="214"/>
      <c r="Q106" s="1131"/>
      <c r="R106" s="1153"/>
      <c r="S106" s="242"/>
      <c r="T106" s="242"/>
      <c r="U106" s="242"/>
      <c r="V106" s="242">
        <f t="shared" si="5"/>
        <v>0</v>
      </c>
      <c r="W106" s="242"/>
      <c r="X106" s="242"/>
      <c r="Y106" s="214"/>
      <c r="Z106" s="214"/>
      <c r="AA106" s="1131"/>
      <c r="AB106" s="1153"/>
      <c r="AC106" s="242"/>
      <c r="AD106" s="242"/>
      <c r="AE106" s="242"/>
      <c r="AF106" s="242">
        <f t="shared" si="6"/>
        <v>0</v>
      </c>
      <c r="AG106" s="242"/>
      <c r="AH106" s="242"/>
      <c r="AI106" s="214"/>
      <c r="AJ106" s="214"/>
      <c r="AK106" s="1131"/>
      <c r="AL106" s="1153"/>
      <c r="AM106" s="242"/>
      <c r="AN106" s="242"/>
      <c r="AO106" s="242"/>
      <c r="AP106" s="242">
        <f t="shared" si="7"/>
        <v>0</v>
      </c>
      <c r="AQ106" s="242"/>
      <c r="AR106" s="242"/>
      <c r="AS106" s="237"/>
      <c r="AT106" s="214"/>
      <c r="AU106" s="1138"/>
      <c r="AV106" s="1155"/>
      <c r="AW106" s="1140"/>
      <c r="AX106" s="1140"/>
      <c r="AY106" s="1140"/>
      <c r="AZ106" s="1140">
        <f t="shared" si="8"/>
        <v>0</v>
      </c>
      <c r="BA106" s="1140"/>
      <c r="BB106" s="1140"/>
      <c r="BC106" s="214"/>
      <c r="BD106" s="214"/>
      <c r="BE106" s="1131"/>
      <c r="BF106" s="1153"/>
      <c r="BG106" s="242"/>
      <c r="BH106" s="242"/>
      <c r="BI106" s="242"/>
      <c r="BJ106" s="242">
        <f t="shared" si="9"/>
        <v>0</v>
      </c>
      <c r="BK106" s="242"/>
      <c r="BL106" s="242"/>
      <c r="BM106" s="214"/>
      <c r="BN106" s="214"/>
      <c r="BO106" s="1131"/>
      <c r="BP106" s="1153"/>
      <c r="BQ106" s="242"/>
      <c r="BR106" s="242"/>
      <c r="BS106" s="242"/>
      <c r="BT106" s="242">
        <f t="shared" si="10"/>
        <v>0</v>
      </c>
      <c r="BU106" s="242"/>
      <c r="BV106" s="242"/>
      <c r="BW106" s="237"/>
      <c r="BX106" s="214"/>
      <c r="BY106" s="1131"/>
      <c r="BZ106" s="1153"/>
      <c r="CA106" s="242"/>
      <c r="CB106" s="242"/>
      <c r="CC106" s="242"/>
      <c r="CD106" s="242">
        <f t="shared" si="11"/>
        <v>0</v>
      </c>
      <c r="CE106" s="242"/>
      <c r="CF106" s="242"/>
      <c r="CG106" s="214"/>
      <c r="CH106" s="214"/>
      <c r="CI106" s="1131"/>
      <c r="CJ106" s="1153"/>
      <c r="CK106" s="242"/>
      <c r="CL106" s="242"/>
      <c r="CM106" s="242"/>
      <c r="CN106" s="242">
        <f t="shared" si="12"/>
        <v>0</v>
      </c>
      <c r="CO106" s="242"/>
      <c r="CP106" s="242"/>
      <c r="CQ106" s="214"/>
      <c r="CR106" s="214"/>
      <c r="CS106" s="1131"/>
      <c r="CT106" s="1153"/>
      <c r="CU106" s="242"/>
      <c r="CV106" s="242"/>
      <c r="CW106" s="242"/>
      <c r="CX106" s="242">
        <f t="shared" si="13"/>
        <v>0</v>
      </c>
      <c r="CY106" s="242"/>
      <c r="CZ106" s="242"/>
      <c r="DA106" s="237"/>
      <c r="DB106" s="214"/>
      <c r="DC106" s="1131"/>
      <c r="DD106" s="1153"/>
      <c r="DE106" s="242"/>
      <c r="DF106" s="242"/>
      <c r="DG106" s="242"/>
      <c r="DH106" s="242">
        <f t="shared" si="14"/>
        <v>0</v>
      </c>
      <c r="DI106" s="242"/>
      <c r="DJ106" s="242"/>
      <c r="DK106" s="214"/>
      <c r="DL106" s="214"/>
      <c r="DM106" s="1131"/>
      <c r="DN106" s="1153"/>
      <c r="DO106" s="242"/>
      <c r="DP106" s="242"/>
      <c r="DQ106" s="242"/>
      <c r="DR106" s="242">
        <f t="shared" si="15"/>
        <v>0</v>
      </c>
      <c r="DS106" s="242"/>
      <c r="DT106" s="242"/>
      <c r="DU106" s="214"/>
      <c r="DV106" s="214"/>
      <c r="DW106" s="1131"/>
      <c r="DX106" s="1153"/>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24"/>
      <c r="C107" s="1124"/>
      <c r="D107" s="1124"/>
      <c r="E107" s="1124"/>
      <c r="F107" s="1125">
        <f t="shared" si="2"/>
        <v>0</v>
      </c>
      <c r="G107" s="1126" t="str">
        <f t="shared" si="3"/>
        <v/>
      </c>
      <c r="H107" s="112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7">
        <f t="shared" si="118"/>
        <v>0</v>
      </c>
      <c r="J107" s="1128">
        <f t="shared" si="118"/>
        <v>0</v>
      </c>
      <c r="K107" s="214"/>
      <c r="L107" s="242" t="str">
        <f t="array" ref="L107">IFERROR(INDEX('💻シート作成'!$D$6:$D999, MATCH(M107, '💻シート作成'!$E$6:$E999, 0)), "")</f>
        <v/>
      </c>
      <c r="M107" s="1023"/>
      <c r="N107" s="214"/>
      <c r="O107" s="1087"/>
      <c r="P107" s="214"/>
      <c r="Q107" s="1131"/>
      <c r="R107" s="1153"/>
      <c r="S107" s="242"/>
      <c r="T107" s="242"/>
      <c r="U107" s="242"/>
      <c r="V107" s="242">
        <f t="shared" si="5"/>
        <v>0</v>
      </c>
      <c r="W107" s="242"/>
      <c r="X107" s="242"/>
      <c r="Y107" s="214"/>
      <c r="Z107" s="214"/>
      <c r="AA107" s="1131"/>
      <c r="AB107" s="1153"/>
      <c r="AC107" s="242"/>
      <c r="AD107" s="242"/>
      <c r="AE107" s="242"/>
      <c r="AF107" s="242">
        <f t="shared" si="6"/>
        <v>0</v>
      </c>
      <c r="AG107" s="242"/>
      <c r="AH107" s="242"/>
      <c r="AI107" s="214"/>
      <c r="AJ107" s="214"/>
      <c r="AK107" s="1131"/>
      <c r="AL107" s="1153"/>
      <c r="AM107" s="242"/>
      <c r="AN107" s="242"/>
      <c r="AO107" s="242"/>
      <c r="AP107" s="242">
        <f t="shared" si="7"/>
        <v>0</v>
      </c>
      <c r="AQ107" s="242"/>
      <c r="AR107" s="242"/>
      <c r="AS107" s="237"/>
      <c r="AT107" s="214"/>
      <c r="AU107" s="1138"/>
      <c r="AV107" s="1155"/>
      <c r="AW107" s="1140"/>
      <c r="AX107" s="1140"/>
      <c r="AY107" s="1140"/>
      <c r="AZ107" s="1140">
        <f t="shared" si="8"/>
        <v>0</v>
      </c>
      <c r="BA107" s="1140"/>
      <c r="BB107" s="1140"/>
      <c r="BC107" s="214"/>
      <c r="BD107" s="214"/>
      <c r="BE107" s="1131"/>
      <c r="BF107" s="1153"/>
      <c r="BG107" s="242"/>
      <c r="BH107" s="242"/>
      <c r="BI107" s="242"/>
      <c r="BJ107" s="242">
        <f t="shared" si="9"/>
        <v>0</v>
      </c>
      <c r="BK107" s="242"/>
      <c r="BL107" s="242"/>
      <c r="BM107" s="214"/>
      <c r="BN107" s="214"/>
      <c r="BO107" s="1131"/>
      <c r="BP107" s="1153"/>
      <c r="BQ107" s="242"/>
      <c r="BR107" s="242"/>
      <c r="BS107" s="242"/>
      <c r="BT107" s="242">
        <f t="shared" si="10"/>
        <v>0</v>
      </c>
      <c r="BU107" s="242"/>
      <c r="BV107" s="242"/>
      <c r="BW107" s="237"/>
      <c r="BX107" s="214"/>
      <c r="BY107" s="1131"/>
      <c r="BZ107" s="1153"/>
      <c r="CA107" s="242"/>
      <c r="CB107" s="242"/>
      <c r="CC107" s="242"/>
      <c r="CD107" s="242">
        <f t="shared" si="11"/>
        <v>0</v>
      </c>
      <c r="CE107" s="242"/>
      <c r="CF107" s="242"/>
      <c r="CG107" s="214"/>
      <c r="CH107" s="214"/>
      <c r="CI107" s="1131"/>
      <c r="CJ107" s="1153"/>
      <c r="CK107" s="242"/>
      <c r="CL107" s="242"/>
      <c r="CM107" s="242"/>
      <c r="CN107" s="242">
        <f t="shared" si="12"/>
        <v>0</v>
      </c>
      <c r="CO107" s="242"/>
      <c r="CP107" s="242"/>
      <c r="CQ107" s="214"/>
      <c r="CR107" s="214"/>
      <c r="CS107" s="1131"/>
      <c r="CT107" s="1153"/>
      <c r="CU107" s="242"/>
      <c r="CV107" s="242"/>
      <c r="CW107" s="242"/>
      <c r="CX107" s="242">
        <f t="shared" si="13"/>
        <v>0</v>
      </c>
      <c r="CY107" s="242"/>
      <c r="CZ107" s="242"/>
      <c r="DA107" s="237"/>
      <c r="DB107" s="214"/>
      <c r="DC107" s="1131"/>
      <c r="DD107" s="1153"/>
      <c r="DE107" s="242"/>
      <c r="DF107" s="242"/>
      <c r="DG107" s="242"/>
      <c r="DH107" s="242">
        <f t="shared" si="14"/>
        <v>0</v>
      </c>
      <c r="DI107" s="242"/>
      <c r="DJ107" s="242"/>
      <c r="DK107" s="214"/>
      <c r="DL107" s="214"/>
      <c r="DM107" s="1131"/>
      <c r="DN107" s="1153"/>
      <c r="DO107" s="242"/>
      <c r="DP107" s="242"/>
      <c r="DQ107" s="242"/>
      <c r="DR107" s="242">
        <f t="shared" si="15"/>
        <v>0</v>
      </c>
      <c r="DS107" s="242"/>
      <c r="DT107" s="242"/>
      <c r="DU107" s="214"/>
      <c r="DV107" s="214"/>
      <c r="DW107" s="1131"/>
      <c r="DX107" s="1153"/>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24"/>
      <c r="C108" s="1124"/>
      <c r="D108" s="1124"/>
      <c r="E108" s="1124"/>
      <c r="F108" s="1125">
        <f t="shared" si="2"/>
        <v>0</v>
      </c>
      <c r="G108" s="1126" t="str">
        <f t="shared" si="3"/>
        <v/>
      </c>
      <c r="H108" s="112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7">
        <f t="shared" si="119"/>
        <v>0</v>
      </c>
      <c r="J108" s="1128">
        <f t="shared" si="119"/>
        <v>0</v>
      </c>
      <c r="K108" s="214"/>
      <c r="L108" s="242" t="str">
        <f t="array" ref="L108">IFERROR(INDEX('💻シート作成'!$D$6:$D999, MATCH(M108, '💻シート作成'!$E$6:$E999, 0)), "")</f>
        <v/>
      </c>
      <c r="M108" s="1023"/>
      <c r="N108" s="214"/>
      <c r="O108" s="1087"/>
      <c r="P108" s="214"/>
      <c r="Q108" s="1131"/>
      <c r="R108" s="1153"/>
      <c r="S108" s="242"/>
      <c r="T108" s="242"/>
      <c r="U108" s="242"/>
      <c r="V108" s="242">
        <f t="shared" si="5"/>
        <v>0</v>
      </c>
      <c r="W108" s="242"/>
      <c r="X108" s="242"/>
      <c r="Y108" s="214"/>
      <c r="Z108" s="214"/>
      <c r="AA108" s="1131"/>
      <c r="AB108" s="1153"/>
      <c r="AC108" s="242"/>
      <c r="AD108" s="242"/>
      <c r="AE108" s="242"/>
      <c r="AF108" s="242">
        <f t="shared" si="6"/>
        <v>0</v>
      </c>
      <c r="AG108" s="242"/>
      <c r="AH108" s="242"/>
      <c r="AI108" s="214"/>
      <c r="AJ108" s="214"/>
      <c r="AK108" s="1131"/>
      <c r="AL108" s="1153"/>
      <c r="AM108" s="242"/>
      <c r="AN108" s="242"/>
      <c r="AO108" s="242"/>
      <c r="AP108" s="242">
        <f t="shared" si="7"/>
        <v>0</v>
      </c>
      <c r="AQ108" s="242"/>
      <c r="AR108" s="242"/>
      <c r="AS108" s="237"/>
      <c r="AT108" s="214"/>
      <c r="AU108" s="1138"/>
      <c r="AV108" s="1155"/>
      <c r="AW108" s="1140"/>
      <c r="AX108" s="1140"/>
      <c r="AY108" s="1140"/>
      <c r="AZ108" s="1140">
        <f t="shared" si="8"/>
        <v>0</v>
      </c>
      <c r="BA108" s="1140"/>
      <c r="BB108" s="1140"/>
      <c r="BC108" s="214"/>
      <c r="BD108" s="214"/>
      <c r="BE108" s="1131"/>
      <c r="BF108" s="1153"/>
      <c r="BG108" s="242"/>
      <c r="BH108" s="242"/>
      <c r="BI108" s="242"/>
      <c r="BJ108" s="242">
        <f t="shared" si="9"/>
        <v>0</v>
      </c>
      <c r="BK108" s="242"/>
      <c r="BL108" s="242"/>
      <c r="BM108" s="214"/>
      <c r="BN108" s="214"/>
      <c r="BO108" s="1131"/>
      <c r="BP108" s="1153"/>
      <c r="BQ108" s="242"/>
      <c r="BR108" s="242"/>
      <c r="BS108" s="242"/>
      <c r="BT108" s="242">
        <f t="shared" si="10"/>
        <v>0</v>
      </c>
      <c r="BU108" s="242"/>
      <c r="BV108" s="242"/>
      <c r="BW108" s="237"/>
      <c r="BX108" s="214"/>
      <c r="BY108" s="1131"/>
      <c r="BZ108" s="1153"/>
      <c r="CA108" s="242"/>
      <c r="CB108" s="242"/>
      <c r="CC108" s="242"/>
      <c r="CD108" s="242">
        <f t="shared" si="11"/>
        <v>0</v>
      </c>
      <c r="CE108" s="242"/>
      <c r="CF108" s="242"/>
      <c r="CG108" s="214"/>
      <c r="CH108" s="214"/>
      <c r="CI108" s="1131"/>
      <c r="CJ108" s="1153"/>
      <c r="CK108" s="242"/>
      <c r="CL108" s="242"/>
      <c r="CM108" s="242"/>
      <c r="CN108" s="242">
        <f t="shared" si="12"/>
        <v>0</v>
      </c>
      <c r="CO108" s="242"/>
      <c r="CP108" s="242"/>
      <c r="CQ108" s="214"/>
      <c r="CR108" s="214"/>
      <c r="CS108" s="1131"/>
      <c r="CT108" s="1153"/>
      <c r="CU108" s="242"/>
      <c r="CV108" s="242"/>
      <c r="CW108" s="242"/>
      <c r="CX108" s="242">
        <f t="shared" si="13"/>
        <v>0</v>
      </c>
      <c r="CY108" s="242"/>
      <c r="CZ108" s="242"/>
      <c r="DA108" s="237"/>
      <c r="DB108" s="214"/>
      <c r="DC108" s="1131"/>
      <c r="DD108" s="1153"/>
      <c r="DE108" s="242"/>
      <c r="DF108" s="242"/>
      <c r="DG108" s="242"/>
      <c r="DH108" s="242">
        <f t="shared" si="14"/>
        <v>0</v>
      </c>
      <c r="DI108" s="242"/>
      <c r="DJ108" s="242"/>
      <c r="DK108" s="214"/>
      <c r="DL108" s="214"/>
      <c r="DM108" s="1131"/>
      <c r="DN108" s="1153"/>
      <c r="DO108" s="242"/>
      <c r="DP108" s="242"/>
      <c r="DQ108" s="242"/>
      <c r="DR108" s="242">
        <f t="shared" si="15"/>
        <v>0</v>
      </c>
      <c r="DS108" s="242"/>
      <c r="DT108" s="242"/>
      <c r="DU108" s="214"/>
      <c r="DV108" s="214"/>
      <c r="DW108" s="1131"/>
      <c r="DX108" s="1153"/>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24"/>
      <c r="C109" s="1124"/>
      <c r="D109" s="1124"/>
      <c r="E109" s="1124"/>
      <c r="F109" s="1125">
        <f t="shared" si="2"/>
        <v>0</v>
      </c>
      <c r="G109" s="1126" t="str">
        <f t="shared" si="3"/>
        <v/>
      </c>
      <c r="H109" s="112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7">
        <f t="shared" si="120"/>
        <v>0</v>
      </c>
      <c r="J109" s="1128">
        <f t="shared" si="120"/>
        <v>0</v>
      </c>
      <c r="K109" s="214"/>
      <c r="L109" s="242" t="str">
        <f t="array" ref="L109">IFERROR(INDEX('💻シート作成'!$D$6:$D999, MATCH(M109, '💻シート作成'!$E$6:$E999, 0)), "")</f>
        <v/>
      </c>
      <c r="M109" s="1023"/>
      <c r="N109" s="214"/>
      <c r="O109" s="1087"/>
      <c r="P109" s="214"/>
      <c r="Q109" s="1131"/>
      <c r="R109" s="1153"/>
      <c r="S109" s="242"/>
      <c r="T109" s="242"/>
      <c r="U109" s="242"/>
      <c r="V109" s="242">
        <f t="shared" si="5"/>
        <v>0</v>
      </c>
      <c r="W109" s="242"/>
      <c r="X109" s="242"/>
      <c r="Y109" s="214"/>
      <c r="Z109" s="214"/>
      <c r="AA109" s="1131"/>
      <c r="AB109" s="1153"/>
      <c r="AC109" s="242"/>
      <c r="AD109" s="242"/>
      <c r="AE109" s="242"/>
      <c r="AF109" s="242">
        <f t="shared" si="6"/>
        <v>0</v>
      </c>
      <c r="AG109" s="242"/>
      <c r="AH109" s="242"/>
      <c r="AI109" s="214"/>
      <c r="AJ109" s="214"/>
      <c r="AK109" s="1131"/>
      <c r="AL109" s="1153"/>
      <c r="AM109" s="242"/>
      <c r="AN109" s="242"/>
      <c r="AO109" s="242"/>
      <c r="AP109" s="242">
        <f t="shared" si="7"/>
        <v>0</v>
      </c>
      <c r="AQ109" s="242"/>
      <c r="AR109" s="242"/>
      <c r="AS109" s="237"/>
      <c r="AT109" s="214"/>
      <c r="AU109" s="1138"/>
      <c r="AV109" s="1155"/>
      <c r="AW109" s="1140"/>
      <c r="AX109" s="1140"/>
      <c r="AY109" s="1140"/>
      <c r="AZ109" s="1140">
        <f t="shared" si="8"/>
        <v>0</v>
      </c>
      <c r="BA109" s="1140"/>
      <c r="BB109" s="1140"/>
      <c r="BC109" s="214"/>
      <c r="BD109" s="214"/>
      <c r="BE109" s="1131"/>
      <c r="BF109" s="1153"/>
      <c r="BG109" s="242"/>
      <c r="BH109" s="242"/>
      <c r="BI109" s="242"/>
      <c r="BJ109" s="242">
        <f t="shared" si="9"/>
        <v>0</v>
      </c>
      <c r="BK109" s="242"/>
      <c r="BL109" s="242"/>
      <c r="BM109" s="214"/>
      <c r="BN109" s="214"/>
      <c r="BO109" s="1131"/>
      <c r="BP109" s="1153"/>
      <c r="BQ109" s="242"/>
      <c r="BR109" s="242"/>
      <c r="BS109" s="242"/>
      <c r="BT109" s="242">
        <f t="shared" si="10"/>
        <v>0</v>
      </c>
      <c r="BU109" s="242"/>
      <c r="BV109" s="242"/>
      <c r="BW109" s="237"/>
      <c r="BX109" s="214"/>
      <c r="BY109" s="1131"/>
      <c r="BZ109" s="1153"/>
      <c r="CA109" s="242"/>
      <c r="CB109" s="242"/>
      <c r="CC109" s="242"/>
      <c r="CD109" s="242">
        <f t="shared" si="11"/>
        <v>0</v>
      </c>
      <c r="CE109" s="242"/>
      <c r="CF109" s="242"/>
      <c r="CG109" s="214"/>
      <c r="CH109" s="214"/>
      <c r="CI109" s="1131"/>
      <c r="CJ109" s="1153"/>
      <c r="CK109" s="242"/>
      <c r="CL109" s="242"/>
      <c r="CM109" s="242"/>
      <c r="CN109" s="242">
        <f t="shared" si="12"/>
        <v>0</v>
      </c>
      <c r="CO109" s="242"/>
      <c r="CP109" s="242"/>
      <c r="CQ109" s="214"/>
      <c r="CR109" s="214"/>
      <c r="CS109" s="1131"/>
      <c r="CT109" s="1153"/>
      <c r="CU109" s="242"/>
      <c r="CV109" s="242"/>
      <c r="CW109" s="242"/>
      <c r="CX109" s="242">
        <f t="shared" si="13"/>
        <v>0</v>
      </c>
      <c r="CY109" s="242"/>
      <c r="CZ109" s="242"/>
      <c r="DA109" s="237"/>
      <c r="DB109" s="214"/>
      <c r="DC109" s="1131"/>
      <c r="DD109" s="1153"/>
      <c r="DE109" s="242"/>
      <c r="DF109" s="242"/>
      <c r="DG109" s="242"/>
      <c r="DH109" s="242">
        <f t="shared" si="14"/>
        <v>0</v>
      </c>
      <c r="DI109" s="242"/>
      <c r="DJ109" s="242"/>
      <c r="DK109" s="214"/>
      <c r="DL109" s="214"/>
      <c r="DM109" s="1131"/>
      <c r="DN109" s="1153"/>
      <c r="DO109" s="242"/>
      <c r="DP109" s="242"/>
      <c r="DQ109" s="242"/>
      <c r="DR109" s="242">
        <f t="shared" si="15"/>
        <v>0</v>
      </c>
      <c r="DS109" s="242"/>
      <c r="DT109" s="242"/>
      <c r="DU109" s="214"/>
      <c r="DV109" s="214"/>
      <c r="DW109" s="1131"/>
      <c r="DX109" s="1153"/>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24"/>
      <c r="C110" s="1124"/>
      <c r="D110" s="1124"/>
      <c r="E110" s="1124"/>
      <c r="F110" s="1125">
        <f t="shared" si="2"/>
        <v>0</v>
      </c>
      <c r="G110" s="1126" t="str">
        <f t="shared" si="3"/>
        <v/>
      </c>
      <c r="H110" s="112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7">
        <f t="shared" si="121"/>
        <v>0</v>
      </c>
      <c r="J110" s="1128">
        <f t="shared" si="121"/>
        <v>0</v>
      </c>
      <c r="K110" s="214"/>
      <c r="L110" s="242" t="str">
        <f t="array" ref="L110">IFERROR(INDEX('💻シート作成'!$D$6:$D999, MATCH(M110, '💻シート作成'!$E$6:$E999, 0)), "")</f>
        <v/>
      </c>
      <c r="M110" s="1023"/>
      <c r="N110" s="214"/>
      <c r="O110" s="1087"/>
      <c r="P110" s="214"/>
      <c r="Q110" s="1131"/>
      <c r="R110" s="1153"/>
      <c r="S110" s="242"/>
      <c r="T110" s="242"/>
      <c r="U110" s="242"/>
      <c r="V110" s="242">
        <f t="shared" si="5"/>
        <v>0</v>
      </c>
      <c r="W110" s="242"/>
      <c r="X110" s="242"/>
      <c r="Y110" s="214"/>
      <c r="Z110" s="214"/>
      <c r="AA110" s="1131"/>
      <c r="AB110" s="1153"/>
      <c r="AC110" s="242"/>
      <c r="AD110" s="242"/>
      <c r="AE110" s="242"/>
      <c r="AF110" s="242">
        <f t="shared" si="6"/>
        <v>0</v>
      </c>
      <c r="AG110" s="242"/>
      <c r="AH110" s="242"/>
      <c r="AI110" s="214"/>
      <c r="AJ110" s="214"/>
      <c r="AK110" s="1131"/>
      <c r="AL110" s="1153"/>
      <c r="AM110" s="242"/>
      <c r="AN110" s="242"/>
      <c r="AO110" s="242"/>
      <c r="AP110" s="242">
        <f t="shared" si="7"/>
        <v>0</v>
      </c>
      <c r="AQ110" s="242"/>
      <c r="AR110" s="242"/>
      <c r="AS110" s="237"/>
      <c r="AT110" s="214"/>
      <c r="AU110" s="1138"/>
      <c r="AV110" s="1155"/>
      <c r="AW110" s="1140"/>
      <c r="AX110" s="1140"/>
      <c r="AY110" s="1140"/>
      <c r="AZ110" s="1140">
        <f t="shared" si="8"/>
        <v>0</v>
      </c>
      <c r="BA110" s="1140"/>
      <c r="BB110" s="1140"/>
      <c r="BC110" s="214"/>
      <c r="BD110" s="214"/>
      <c r="BE110" s="1131"/>
      <c r="BF110" s="1153"/>
      <c r="BG110" s="242"/>
      <c r="BH110" s="242"/>
      <c r="BI110" s="242"/>
      <c r="BJ110" s="242">
        <f t="shared" si="9"/>
        <v>0</v>
      </c>
      <c r="BK110" s="242"/>
      <c r="BL110" s="242"/>
      <c r="BM110" s="214"/>
      <c r="BN110" s="214"/>
      <c r="BO110" s="1131"/>
      <c r="BP110" s="1153"/>
      <c r="BQ110" s="242"/>
      <c r="BR110" s="242"/>
      <c r="BS110" s="242"/>
      <c r="BT110" s="242">
        <f t="shared" si="10"/>
        <v>0</v>
      </c>
      <c r="BU110" s="242"/>
      <c r="BV110" s="242"/>
      <c r="BW110" s="237"/>
      <c r="BX110" s="214"/>
      <c r="BY110" s="1131"/>
      <c r="BZ110" s="1153"/>
      <c r="CA110" s="242"/>
      <c r="CB110" s="242"/>
      <c r="CC110" s="242"/>
      <c r="CD110" s="242">
        <f t="shared" si="11"/>
        <v>0</v>
      </c>
      <c r="CE110" s="242"/>
      <c r="CF110" s="242"/>
      <c r="CG110" s="214"/>
      <c r="CH110" s="214"/>
      <c r="CI110" s="1131"/>
      <c r="CJ110" s="1153"/>
      <c r="CK110" s="242"/>
      <c r="CL110" s="242"/>
      <c r="CM110" s="242"/>
      <c r="CN110" s="242">
        <f t="shared" si="12"/>
        <v>0</v>
      </c>
      <c r="CO110" s="242"/>
      <c r="CP110" s="242"/>
      <c r="CQ110" s="214"/>
      <c r="CR110" s="214"/>
      <c r="CS110" s="1131"/>
      <c r="CT110" s="1153"/>
      <c r="CU110" s="242"/>
      <c r="CV110" s="242"/>
      <c r="CW110" s="242"/>
      <c r="CX110" s="242">
        <f t="shared" si="13"/>
        <v>0</v>
      </c>
      <c r="CY110" s="242"/>
      <c r="CZ110" s="242"/>
      <c r="DA110" s="237"/>
      <c r="DB110" s="214"/>
      <c r="DC110" s="1131"/>
      <c r="DD110" s="1153"/>
      <c r="DE110" s="242"/>
      <c r="DF110" s="242"/>
      <c r="DG110" s="242"/>
      <c r="DH110" s="242">
        <f t="shared" si="14"/>
        <v>0</v>
      </c>
      <c r="DI110" s="242"/>
      <c r="DJ110" s="242"/>
      <c r="DK110" s="214"/>
      <c r="DL110" s="214"/>
      <c r="DM110" s="1131"/>
      <c r="DN110" s="1153"/>
      <c r="DO110" s="242"/>
      <c r="DP110" s="242"/>
      <c r="DQ110" s="242"/>
      <c r="DR110" s="242">
        <f t="shared" si="15"/>
        <v>0</v>
      </c>
      <c r="DS110" s="242"/>
      <c r="DT110" s="242"/>
      <c r="DU110" s="214"/>
      <c r="DV110" s="214"/>
      <c r="DW110" s="1131"/>
      <c r="DX110" s="1153"/>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24"/>
      <c r="C111" s="1124"/>
      <c r="D111" s="1124"/>
      <c r="E111" s="1124"/>
      <c r="F111" s="1125">
        <f t="shared" si="2"/>
        <v>0</v>
      </c>
      <c r="G111" s="1126" t="str">
        <f t="shared" si="3"/>
        <v/>
      </c>
      <c r="H111" s="112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7">
        <f t="shared" si="122"/>
        <v>0</v>
      </c>
      <c r="J111" s="1128">
        <f t="shared" si="122"/>
        <v>0</v>
      </c>
      <c r="K111" s="214"/>
      <c r="L111" s="242" t="str">
        <f t="array" ref="L111">IFERROR(INDEX('💻シート作成'!$D$6:$D999, MATCH(M111, '💻シート作成'!$E$6:$E999, 0)), "")</f>
        <v/>
      </c>
      <c r="M111" s="1023"/>
      <c r="N111" s="214"/>
      <c r="O111" s="1087"/>
      <c r="P111" s="214"/>
      <c r="Q111" s="1131"/>
      <c r="R111" s="1153"/>
      <c r="S111" s="242"/>
      <c r="T111" s="242"/>
      <c r="U111" s="242"/>
      <c r="V111" s="242">
        <f t="shared" si="5"/>
        <v>0</v>
      </c>
      <c r="W111" s="242"/>
      <c r="X111" s="242"/>
      <c r="Y111" s="214"/>
      <c r="Z111" s="214"/>
      <c r="AA111" s="1131"/>
      <c r="AB111" s="1153"/>
      <c r="AC111" s="242"/>
      <c r="AD111" s="242"/>
      <c r="AE111" s="242"/>
      <c r="AF111" s="242">
        <f t="shared" si="6"/>
        <v>0</v>
      </c>
      <c r="AG111" s="242"/>
      <c r="AH111" s="242"/>
      <c r="AI111" s="214"/>
      <c r="AJ111" s="214"/>
      <c r="AK111" s="1131"/>
      <c r="AL111" s="1153"/>
      <c r="AM111" s="242"/>
      <c r="AN111" s="242"/>
      <c r="AO111" s="242"/>
      <c r="AP111" s="242">
        <f t="shared" si="7"/>
        <v>0</v>
      </c>
      <c r="AQ111" s="242"/>
      <c r="AR111" s="242"/>
      <c r="AS111" s="237"/>
      <c r="AT111" s="214"/>
      <c r="AU111" s="1138"/>
      <c r="AV111" s="1155"/>
      <c r="AW111" s="1140"/>
      <c r="AX111" s="1140"/>
      <c r="AY111" s="1140"/>
      <c r="AZ111" s="1140">
        <f t="shared" si="8"/>
        <v>0</v>
      </c>
      <c r="BA111" s="1140"/>
      <c r="BB111" s="1140"/>
      <c r="BC111" s="214"/>
      <c r="BD111" s="214"/>
      <c r="BE111" s="1131"/>
      <c r="BF111" s="1153"/>
      <c r="BG111" s="242"/>
      <c r="BH111" s="242"/>
      <c r="BI111" s="242"/>
      <c r="BJ111" s="242">
        <f t="shared" si="9"/>
        <v>0</v>
      </c>
      <c r="BK111" s="242"/>
      <c r="BL111" s="242"/>
      <c r="BM111" s="214"/>
      <c r="BN111" s="214"/>
      <c r="BO111" s="1131"/>
      <c r="BP111" s="1153"/>
      <c r="BQ111" s="242"/>
      <c r="BR111" s="242"/>
      <c r="BS111" s="242"/>
      <c r="BT111" s="242">
        <f t="shared" si="10"/>
        <v>0</v>
      </c>
      <c r="BU111" s="242"/>
      <c r="BV111" s="242"/>
      <c r="BW111" s="237"/>
      <c r="BX111" s="214"/>
      <c r="BY111" s="1131"/>
      <c r="BZ111" s="1153"/>
      <c r="CA111" s="242"/>
      <c r="CB111" s="242"/>
      <c r="CC111" s="242"/>
      <c r="CD111" s="242">
        <f t="shared" si="11"/>
        <v>0</v>
      </c>
      <c r="CE111" s="242"/>
      <c r="CF111" s="242"/>
      <c r="CG111" s="214"/>
      <c r="CH111" s="214"/>
      <c r="CI111" s="1131"/>
      <c r="CJ111" s="1153"/>
      <c r="CK111" s="242"/>
      <c r="CL111" s="242"/>
      <c r="CM111" s="242"/>
      <c r="CN111" s="242">
        <f t="shared" si="12"/>
        <v>0</v>
      </c>
      <c r="CO111" s="242"/>
      <c r="CP111" s="242"/>
      <c r="CQ111" s="214"/>
      <c r="CR111" s="214"/>
      <c r="CS111" s="1131"/>
      <c r="CT111" s="1153"/>
      <c r="CU111" s="242"/>
      <c r="CV111" s="242"/>
      <c r="CW111" s="242"/>
      <c r="CX111" s="242">
        <f t="shared" si="13"/>
        <v>0</v>
      </c>
      <c r="CY111" s="242"/>
      <c r="CZ111" s="242"/>
      <c r="DA111" s="237"/>
      <c r="DB111" s="214"/>
      <c r="DC111" s="1131"/>
      <c r="DD111" s="1153"/>
      <c r="DE111" s="242"/>
      <c r="DF111" s="242"/>
      <c r="DG111" s="242"/>
      <c r="DH111" s="242">
        <f t="shared" si="14"/>
        <v>0</v>
      </c>
      <c r="DI111" s="242"/>
      <c r="DJ111" s="242"/>
      <c r="DK111" s="214"/>
      <c r="DL111" s="214"/>
      <c r="DM111" s="1131"/>
      <c r="DN111" s="1153"/>
      <c r="DO111" s="242"/>
      <c r="DP111" s="242"/>
      <c r="DQ111" s="242"/>
      <c r="DR111" s="242">
        <f t="shared" si="15"/>
        <v>0</v>
      </c>
      <c r="DS111" s="242"/>
      <c r="DT111" s="242"/>
      <c r="DU111" s="214"/>
      <c r="DV111" s="214"/>
      <c r="DW111" s="1131"/>
      <c r="DX111" s="1153"/>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24"/>
      <c r="C112" s="1124"/>
      <c r="D112" s="1124"/>
      <c r="E112" s="1124"/>
      <c r="F112" s="1125">
        <f t="shared" si="2"/>
        <v>0</v>
      </c>
      <c r="G112" s="1126" t="str">
        <f t="shared" si="3"/>
        <v/>
      </c>
      <c r="H112" s="112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7">
        <f t="shared" si="123"/>
        <v>0</v>
      </c>
      <c r="J112" s="1128">
        <f t="shared" si="123"/>
        <v>0</v>
      </c>
      <c r="K112" s="214"/>
      <c r="L112" s="242" t="str">
        <f t="array" ref="L112">IFERROR(INDEX('💻シート作成'!$D$6:$D999, MATCH(M112, '💻シート作成'!$E$6:$E999, 0)), "")</f>
        <v/>
      </c>
      <c r="M112" s="1023"/>
      <c r="N112" s="214"/>
      <c r="O112" s="1087"/>
      <c r="P112" s="214"/>
      <c r="Q112" s="1131"/>
      <c r="R112" s="1153"/>
      <c r="S112" s="242"/>
      <c r="T112" s="242"/>
      <c r="U112" s="242"/>
      <c r="V112" s="242">
        <f t="shared" si="5"/>
        <v>0</v>
      </c>
      <c r="W112" s="242"/>
      <c r="X112" s="242"/>
      <c r="Y112" s="214"/>
      <c r="Z112" s="214"/>
      <c r="AA112" s="1131"/>
      <c r="AB112" s="1153"/>
      <c r="AC112" s="242"/>
      <c r="AD112" s="242"/>
      <c r="AE112" s="242"/>
      <c r="AF112" s="242">
        <f t="shared" si="6"/>
        <v>0</v>
      </c>
      <c r="AG112" s="242"/>
      <c r="AH112" s="242"/>
      <c r="AI112" s="214"/>
      <c r="AJ112" s="214"/>
      <c r="AK112" s="1131"/>
      <c r="AL112" s="1153"/>
      <c r="AM112" s="242"/>
      <c r="AN112" s="242"/>
      <c r="AO112" s="242"/>
      <c r="AP112" s="242">
        <f t="shared" si="7"/>
        <v>0</v>
      </c>
      <c r="AQ112" s="242"/>
      <c r="AR112" s="242"/>
      <c r="AS112" s="237"/>
      <c r="AT112" s="214"/>
      <c r="AU112" s="1138"/>
      <c r="AV112" s="1155"/>
      <c r="AW112" s="1140"/>
      <c r="AX112" s="1140"/>
      <c r="AY112" s="1140"/>
      <c r="AZ112" s="1140">
        <f t="shared" si="8"/>
        <v>0</v>
      </c>
      <c r="BA112" s="1140"/>
      <c r="BB112" s="1140"/>
      <c r="BC112" s="214"/>
      <c r="BD112" s="214"/>
      <c r="BE112" s="1131"/>
      <c r="BF112" s="1153"/>
      <c r="BG112" s="242"/>
      <c r="BH112" s="242"/>
      <c r="BI112" s="242"/>
      <c r="BJ112" s="242">
        <f t="shared" si="9"/>
        <v>0</v>
      </c>
      <c r="BK112" s="242"/>
      <c r="BL112" s="242"/>
      <c r="BM112" s="214"/>
      <c r="BN112" s="214"/>
      <c r="BO112" s="1131"/>
      <c r="BP112" s="1153"/>
      <c r="BQ112" s="242"/>
      <c r="BR112" s="242"/>
      <c r="BS112" s="242"/>
      <c r="BT112" s="242">
        <f t="shared" si="10"/>
        <v>0</v>
      </c>
      <c r="BU112" s="242"/>
      <c r="BV112" s="242"/>
      <c r="BW112" s="237"/>
      <c r="BX112" s="214"/>
      <c r="BY112" s="1131"/>
      <c r="BZ112" s="1153"/>
      <c r="CA112" s="242"/>
      <c r="CB112" s="242"/>
      <c r="CC112" s="242"/>
      <c r="CD112" s="242">
        <f t="shared" si="11"/>
        <v>0</v>
      </c>
      <c r="CE112" s="242"/>
      <c r="CF112" s="242"/>
      <c r="CG112" s="214"/>
      <c r="CH112" s="214"/>
      <c r="CI112" s="1131"/>
      <c r="CJ112" s="1153"/>
      <c r="CK112" s="242"/>
      <c r="CL112" s="242"/>
      <c r="CM112" s="242"/>
      <c r="CN112" s="242">
        <f t="shared" si="12"/>
        <v>0</v>
      </c>
      <c r="CO112" s="242"/>
      <c r="CP112" s="242"/>
      <c r="CQ112" s="214"/>
      <c r="CR112" s="214"/>
      <c r="CS112" s="1131"/>
      <c r="CT112" s="1153"/>
      <c r="CU112" s="242"/>
      <c r="CV112" s="242"/>
      <c r="CW112" s="242"/>
      <c r="CX112" s="242">
        <f t="shared" si="13"/>
        <v>0</v>
      </c>
      <c r="CY112" s="242"/>
      <c r="CZ112" s="242"/>
      <c r="DA112" s="237"/>
      <c r="DB112" s="214"/>
      <c r="DC112" s="1131"/>
      <c r="DD112" s="1153"/>
      <c r="DE112" s="242"/>
      <c r="DF112" s="242"/>
      <c r="DG112" s="242"/>
      <c r="DH112" s="242">
        <f t="shared" si="14"/>
        <v>0</v>
      </c>
      <c r="DI112" s="242"/>
      <c r="DJ112" s="242"/>
      <c r="DK112" s="214"/>
      <c r="DL112" s="214"/>
      <c r="DM112" s="1131"/>
      <c r="DN112" s="1153"/>
      <c r="DO112" s="242"/>
      <c r="DP112" s="242"/>
      <c r="DQ112" s="242"/>
      <c r="DR112" s="242">
        <f t="shared" si="15"/>
        <v>0</v>
      </c>
      <c r="DS112" s="242"/>
      <c r="DT112" s="242"/>
      <c r="DU112" s="214"/>
      <c r="DV112" s="214"/>
      <c r="DW112" s="1131"/>
      <c r="DX112" s="1153"/>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24"/>
      <c r="C113" s="1124"/>
      <c r="D113" s="1124"/>
      <c r="E113" s="1124"/>
      <c r="F113" s="1125">
        <f t="shared" si="2"/>
        <v>0</v>
      </c>
      <c r="G113" s="1126" t="str">
        <f t="shared" si="3"/>
        <v/>
      </c>
      <c r="H113" s="112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7">
        <f t="shared" si="124"/>
        <v>0</v>
      </c>
      <c r="J113" s="1128">
        <f t="shared" si="124"/>
        <v>0</v>
      </c>
      <c r="K113" s="214"/>
      <c r="L113" s="242" t="str">
        <f t="array" ref="L113">IFERROR(INDEX('💻シート作成'!$D$6:$D999, MATCH(M113, '💻シート作成'!$E$6:$E999, 0)), "")</f>
        <v/>
      </c>
      <c r="M113" s="1023"/>
      <c r="N113" s="214"/>
      <c r="O113" s="1087"/>
      <c r="P113" s="214"/>
      <c r="Q113" s="1131"/>
      <c r="R113" s="1153"/>
      <c r="S113" s="242"/>
      <c r="T113" s="242"/>
      <c r="U113" s="242"/>
      <c r="V113" s="242">
        <f t="shared" si="5"/>
        <v>0</v>
      </c>
      <c r="W113" s="242"/>
      <c r="X113" s="242"/>
      <c r="Y113" s="214"/>
      <c r="Z113" s="214"/>
      <c r="AA113" s="1131"/>
      <c r="AB113" s="1153"/>
      <c r="AC113" s="242"/>
      <c r="AD113" s="242"/>
      <c r="AE113" s="242"/>
      <c r="AF113" s="242">
        <f t="shared" si="6"/>
        <v>0</v>
      </c>
      <c r="AG113" s="242"/>
      <c r="AH113" s="242"/>
      <c r="AI113" s="214"/>
      <c r="AJ113" s="214"/>
      <c r="AK113" s="1131"/>
      <c r="AL113" s="1153"/>
      <c r="AM113" s="242"/>
      <c r="AN113" s="242"/>
      <c r="AO113" s="242"/>
      <c r="AP113" s="242">
        <f t="shared" si="7"/>
        <v>0</v>
      </c>
      <c r="AQ113" s="242"/>
      <c r="AR113" s="242"/>
      <c r="AS113" s="237"/>
      <c r="AT113" s="214"/>
      <c r="AU113" s="1138"/>
      <c r="AV113" s="1155"/>
      <c r="AW113" s="1140"/>
      <c r="AX113" s="1140"/>
      <c r="AY113" s="1140"/>
      <c r="AZ113" s="1140">
        <f t="shared" si="8"/>
        <v>0</v>
      </c>
      <c r="BA113" s="1140"/>
      <c r="BB113" s="1140"/>
      <c r="BC113" s="214"/>
      <c r="BD113" s="214"/>
      <c r="BE113" s="1131"/>
      <c r="BF113" s="1153"/>
      <c r="BG113" s="242"/>
      <c r="BH113" s="242"/>
      <c r="BI113" s="242"/>
      <c r="BJ113" s="242">
        <f t="shared" si="9"/>
        <v>0</v>
      </c>
      <c r="BK113" s="242"/>
      <c r="BL113" s="242"/>
      <c r="BM113" s="214"/>
      <c r="BN113" s="214"/>
      <c r="BO113" s="1131"/>
      <c r="BP113" s="1153"/>
      <c r="BQ113" s="242"/>
      <c r="BR113" s="242"/>
      <c r="BS113" s="242"/>
      <c r="BT113" s="242">
        <f t="shared" si="10"/>
        <v>0</v>
      </c>
      <c r="BU113" s="242"/>
      <c r="BV113" s="242"/>
      <c r="BW113" s="237"/>
      <c r="BX113" s="214"/>
      <c r="BY113" s="1131"/>
      <c r="BZ113" s="1153"/>
      <c r="CA113" s="242"/>
      <c r="CB113" s="242"/>
      <c r="CC113" s="242"/>
      <c r="CD113" s="242">
        <f t="shared" si="11"/>
        <v>0</v>
      </c>
      <c r="CE113" s="242"/>
      <c r="CF113" s="242"/>
      <c r="CG113" s="214"/>
      <c r="CH113" s="214"/>
      <c r="CI113" s="1131"/>
      <c r="CJ113" s="1153"/>
      <c r="CK113" s="242"/>
      <c r="CL113" s="242"/>
      <c r="CM113" s="242"/>
      <c r="CN113" s="242">
        <f t="shared" si="12"/>
        <v>0</v>
      </c>
      <c r="CO113" s="242"/>
      <c r="CP113" s="242"/>
      <c r="CQ113" s="214"/>
      <c r="CR113" s="214"/>
      <c r="CS113" s="1131"/>
      <c r="CT113" s="1153"/>
      <c r="CU113" s="242"/>
      <c r="CV113" s="242"/>
      <c r="CW113" s="242"/>
      <c r="CX113" s="242">
        <f t="shared" si="13"/>
        <v>0</v>
      </c>
      <c r="CY113" s="242"/>
      <c r="CZ113" s="242"/>
      <c r="DA113" s="237"/>
      <c r="DB113" s="214"/>
      <c r="DC113" s="1131"/>
      <c r="DD113" s="1153"/>
      <c r="DE113" s="242"/>
      <c r="DF113" s="242"/>
      <c r="DG113" s="242"/>
      <c r="DH113" s="242">
        <f t="shared" si="14"/>
        <v>0</v>
      </c>
      <c r="DI113" s="242"/>
      <c r="DJ113" s="242"/>
      <c r="DK113" s="214"/>
      <c r="DL113" s="214"/>
      <c r="DM113" s="1131"/>
      <c r="DN113" s="1153"/>
      <c r="DO113" s="242"/>
      <c r="DP113" s="242"/>
      <c r="DQ113" s="242"/>
      <c r="DR113" s="242">
        <f t="shared" si="15"/>
        <v>0</v>
      </c>
      <c r="DS113" s="242"/>
      <c r="DT113" s="242"/>
      <c r="DU113" s="214"/>
      <c r="DV113" s="214"/>
      <c r="DW113" s="1131"/>
      <c r="DX113" s="1153"/>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24"/>
      <c r="C114" s="1124"/>
      <c r="D114" s="1124"/>
      <c r="E114" s="1124"/>
      <c r="F114" s="1125">
        <f t="shared" si="2"/>
        <v>0</v>
      </c>
      <c r="G114" s="1126" t="str">
        <f t="shared" si="3"/>
        <v/>
      </c>
      <c r="H114" s="112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7">
        <f t="shared" si="125"/>
        <v>0</v>
      </c>
      <c r="J114" s="1128">
        <f t="shared" si="125"/>
        <v>0</v>
      </c>
      <c r="K114" s="214"/>
      <c r="L114" s="242" t="str">
        <f t="array" ref="L114">IFERROR(INDEX('💻シート作成'!$D$6:$D999, MATCH(M114, '💻シート作成'!$E$6:$E999, 0)), "")</f>
        <v/>
      </c>
      <c r="M114" s="1023"/>
      <c r="N114" s="214"/>
      <c r="O114" s="1087"/>
      <c r="P114" s="214"/>
      <c r="Q114" s="1131"/>
      <c r="R114" s="1153"/>
      <c r="S114" s="242"/>
      <c r="T114" s="242"/>
      <c r="U114" s="242"/>
      <c r="V114" s="242">
        <f t="shared" si="5"/>
        <v>0</v>
      </c>
      <c r="W114" s="242"/>
      <c r="X114" s="242"/>
      <c r="Y114" s="214"/>
      <c r="Z114" s="214"/>
      <c r="AA114" s="1131"/>
      <c r="AB114" s="1153"/>
      <c r="AC114" s="242"/>
      <c r="AD114" s="242"/>
      <c r="AE114" s="242"/>
      <c r="AF114" s="242">
        <f t="shared" si="6"/>
        <v>0</v>
      </c>
      <c r="AG114" s="242"/>
      <c r="AH114" s="242"/>
      <c r="AI114" s="214"/>
      <c r="AJ114" s="214"/>
      <c r="AK114" s="1131"/>
      <c r="AL114" s="1153"/>
      <c r="AM114" s="242"/>
      <c r="AN114" s="242"/>
      <c r="AO114" s="242"/>
      <c r="AP114" s="242">
        <f t="shared" si="7"/>
        <v>0</v>
      </c>
      <c r="AQ114" s="242"/>
      <c r="AR114" s="242"/>
      <c r="AS114" s="237"/>
      <c r="AT114" s="214"/>
      <c r="AU114" s="1138"/>
      <c r="AV114" s="1155"/>
      <c r="AW114" s="1140"/>
      <c r="AX114" s="1140"/>
      <c r="AY114" s="1140"/>
      <c r="AZ114" s="1140">
        <f t="shared" si="8"/>
        <v>0</v>
      </c>
      <c r="BA114" s="1140"/>
      <c r="BB114" s="1140"/>
      <c r="BC114" s="214"/>
      <c r="BD114" s="214"/>
      <c r="BE114" s="1131"/>
      <c r="BF114" s="1153"/>
      <c r="BG114" s="242"/>
      <c r="BH114" s="242"/>
      <c r="BI114" s="242"/>
      <c r="BJ114" s="242">
        <f t="shared" si="9"/>
        <v>0</v>
      </c>
      <c r="BK114" s="242"/>
      <c r="BL114" s="242"/>
      <c r="BM114" s="214"/>
      <c r="BN114" s="214"/>
      <c r="BO114" s="1131"/>
      <c r="BP114" s="1153"/>
      <c r="BQ114" s="242"/>
      <c r="BR114" s="242"/>
      <c r="BS114" s="242"/>
      <c r="BT114" s="242">
        <f t="shared" si="10"/>
        <v>0</v>
      </c>
      <c r="BU114" s="242"/>
      <c r="BV114" s="242"/>
      <c r="BW114" s="237"/>
      <c r="BX114" s="214"/>
      <c r="BY114" s="1131"/>
      <c r="BZ114" s="1153"/>
      <c r="CA114" s="242"/>
      <c r="CB114" s="242"/>
      <c r="CC114" s="242"/>
      <c r="CD114" s="242">
        <f t="shared" si="11"/>
        <v>0</v>
      </c>
      <c r="CE114" s="242"/>
      <c r="CF114" s="242"/>
      <c r="CG114" s="214"/>
      <c r="CH114" s="214"/>
      <c r="CI114" s="1131"/>
      <c r="CJ114" s="1153"/>
      <c r="CK114" s="242"/>
      <c r="CL114" s="242"/>
      <c r="CM114" s="242"/>
      <c r="CN114" s="242">
        <f t="shared" si="12"/>
        <v>0</v>
      </c>
      <c r="CO114" s="242"/>
      <c r="CP114" s="242"/>
      <c r="CQ114" s="214"/>
      <c r="CR114" s="214"/>
      <c r="CS114" s="1131"/>
      <c r="CT114" s="1153"/>
      <c r="CU114" s="242"/>
      <c r="CV114" s="242"/>
      <c r="CW114" s="242"/>
      <c r="CX114" s="242">
        <f t="shared" si="13"/>
        <v>0</v>
      </c>
      <c r="CY114" s="242"/>
      <c r="CZ114" s="242"/>
      <c r="DA114" s="237"/>
      <c r="DB114" s="214"/>
      <c r="DC114" s="1131"/>
      <c r="DD114" s="1153"/>
      <c r="DE114" s="242"/>
      <c r="DF114" s="242"/>
      <c r="DG114" s="242"/>
      <c r="DH114" s="242">
        <f t="shared" si="14"/>
        <v>0</v>
      </c>
      <c r="DI114" s="242"/>
      <c r="DJ114" s="242"/>
      <c r="DK114" s="214"/>
      <c r="DL114" s="214"/>
      <c r="DM114" s="1131"/>
      <c r="DN114" s="1153"/>
      <c r="DO114" s="242"/>
      <c r="DP114" s="242"/>
      <c r="DQ114" s="242"/>
      <c r="DR114" s="242">
        <f t="shared" si="15"/>
        <v>0</v>
      </c>
      <c r="DS114" s="242"/>
      <c r="DT114" s="242"/>
      <c r="DU114" s="214"/>
      <c r="DV114" s="214"/>
      <c r="DW114" s="1131"/>
      <c r="DX114" s="1153"/>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24"/>
      <c r="C115" s="1124"/>
      <c r="D115" s="1124"/>
      <c r="E115" s="1124"/>
      <c r="F115" s="1125">
        <f t="shared" si="2"/>
        <v>0</v>
      </c>
      <c r="G115" s="1126" t="str">
        <f t="shared" si="3"/>
        <v/>
      </c>
      <c r="H115" s="112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7">
        <f t="shared" si="126"/>
        <v>0</v>
      </c>
      <c r="J115" s="1128">
        <f t="shared" si="126"/>
        <v>0</v>
      </c>
      <c r="K115" s="214"/>
      <c r="L115" s="242" t="str">
        <f t="array" ref="L115">IFERROR(INDEX('💻シート作成'!$D$6:$D999, MATCH(M115, '💻シート作成'!$E$6:$E999, 0)), "")</f>
        <v/>
      </c>
      <c r="M115" s="1023"/>
      <c r="N115" s="214"/>
      <c r="O115" s="1087"/>
      <c r="P115" s="214"/>
      <c r="Q115" s="1131"/>
      <c r="R115" s="1153"/>
      <c r="S115" s="242"/>
      <c r="T115" s="242"/>
      <c r="U115" s="242"/>
      <c r="V115" s="242">
        <f t="shared" si="5"/>
        <v>0</v>
      </c>
      <c r="W115" s="242"/>
      <c r="X115" s="242"/>
      <c r="Y115" s="214"/>
      <c r="Z115" s="214"/>
      <c r="AA115" s="1131"/>
      <c r="AB115" s="1153"/>
      <c r="AC115" s="242"/>
      <c r="AD115" s="242"/>
      <c r="AE115" s="242"/>
      <c r="AF115" s="242">
        <f t="shared" si="6"/>
        <v>0</v>
      </c>
      <c r="AG115" s="242"/>
      <c r="AH115" s="242"/>
      <c r="AI115" s="214"/>
      <c r="AJ115" s="214"/>
      <c r="AK115" s="1131"/>
      <c r="AL115" s="1153"/>
      <c r="AM115" s="242"/>
      <c r="AN115" s="242"/>
      <c r="AO115" s="242"/>
      <c r="AP115" s="242">
        <f t="shared" si="7"/>
        <v>0</v>
      </c>
      <c r="AQ115" s="242"/>
      <c r="AR115" s="242"/>
      <c r="AS115" s="237"/>
      <c r="AT115" s="214"/>
      <c r="AU115" s="1138"/>
      <c r="AV115" s="1155"/>
      <c r="AW115" s="1140"/>
      <c r="AX115" s="1140"/>
      <c r="AY115" s="1140"/>
      <c r="AZ115" s="1140">
        <f t="shared" si="8"/>
        <v>0</v>
      </c>
      <c r="BA115" s="1140"/>
      <c r="BB115" s="1140"/>
      <c r="BC115" s="214"/>
      <c r="BD115" s="214"/>
      <c r="BE115" s="1131"/>
      <c r="BF115" s="1153"/>
      <c r="BG115" s="242"/>
      <c r="BH115" s="242"/>
      <c r="BI115" s="242"/>
      <c r="BJ115" s="242">
        <f t="shared" si="9"/>
        <v>0</v>
      </c>
      <c r="BK115" s="242"/>
      <c r="BL115" s="242"/>
      <c r="BM115" s="214"/>
      <c r="BN115" s="214"/>
      <c r="BO115" s="1131"/>
      <c r="BP115" s="1153"/>
      <c r="BQ115" s="242"/>
      <c r="BR115" s="242"/>
      <c r="BS115" s="242"/>
      <c r="BT115" s="242">
        <f t="shared" si="10"/>
        <v>0</v>
      </c>
      <c r="BU115" s="242"/>
      <c r="BV115" s="242"/>
      <c r="BW115" s="237"/>
      <c r="BX115" s="214"/>
      <c r="BY115" s="1131"/>
      <c r="BZ115" s="1153"/>
      <c r="CA115" s="242"/>
      <c r="CB115" s="242"/>
      <c r="CC115" s="242"/>
      <c r="CD115" s="242">
        <f t="shared" si="11"/>
        <v>0</v>
      </c>
      <c r="CE115" s="242"/>
      <c r="CF115" s="242"/>
      <c r="CG115" s="214"/>
      <c r="CH115" s="214"/>
      <c r="CI115" s="1131"/>
      <c r="CJ115" s="1153"/>
      <c r="CK115" s="242"/>
      <c r="CL115" s="242"/>
      <c r="CM115" s="242"/>
      <c r="CN115" s="242">
        <f t="shared" si="12"/>
        <v>0</v>
      </c>
      <c r="CO115" s="242"/>
      <c r="CP115" s="242"/>
      <c r="CQ115" s="214"/>
      <c r="CR115" s="214"/>
      <c r="CS115" s="1131"/>
      <c r="CT115" s="1153"/>
      <c r="CU115" s="242"/>
      <c r="CV115" s="242"/>
      <c r="CW115" s="242"/>
      <c r="CX115" s="242">
        <f t="shared" si="13"/>
        <v>0</v>
      </c>
      <c r="CY115" s="242"/>
      <c r="CZ115" s="242"/>
      <c r="DA115" s="237"/>
      <c r="DB115" s="214"/>
      <c r="DC115" s="1131"/>
      <c r="DD115" s="1153"/>
      <c r="DE115" s="242"/>
      <c r="DF115" s="242"/>
      <c r="DG115" s="242"/>
      <c r="DH115" s="242">
        <f t="shared" si="14"/>
        <v>0</v>
      </c>
      <c r="DI115" s="242"/>
      <c r="DJ115" s="242"/>
      <c r="DK115" s="214"/>
      <c r="DL115" s="214"/>
      <c r="DM115" s="1131"/>
      <c r="DN115" s="1153"/>
      <c r="DO115" s="242"/>
      <c r="DP115" s="242"/>
      <c r="DQ115" s="242"/>
      <c r="DR115" s="242">
        <f t="shared" si="15"/>
        <v>0</v>
      </c>
      <c r="DS115" s="242"/>
      <c r="DT115" s="242"/>
      <c r="DU115" s="214"/>
      <c r="DV115" s="214"/>
      <c r="DW115" s="1131"/>
      <c r="DX115" s="1153"/>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24"/>
      <c r="C116" s="1124"/>
      <c r="D116" s="1124"/>
      <c r="E116" s="1124"/>
      <c r="F116" s="1125">
        <f t="shared" si="2"/>
        <v>0</v>
      </c>
      <c r="G116" s="1126" t="str">
        <f t="shared" si="3"/>
        <v/>
      </c>
      <c r="H116" s="112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7">
        <f t="shared" si="127"/>
        <v>0</v>
      </c>
      <c r="J116" s="1128">
        <f t="shared" si="127"/>
        <v>0</v>
      </c>
      <c r="K116" s="214"/>
      <c r="L116" s="242" t="str">
        <f t="array" ref="L116">IFERROR(INDEX('💻シート作成'!$D$6:$D999, MATCH(M116, '💻シート作成'!$E$6:$E999, 0)), "")</f>
        <v/>
      </c>
      <c r="M116" s="1023"/>
      <c r="N116" s="214"/>
      <c r="O116" s="1087"/>
      <c r="P116" s="214"/>
      <c r="Q116" s="1131"/>
      <c r="R116" s="1153"/>
      <c r="S116" s="242"/>
      <c r="T116" s="242"/>
      <c r="U116" s="242"/>
      <c r="V116" s="242">
        <f t="shared" si="5"/>
        <v>0</v>
      </c>
      <c r="W116" s="242"/>
      <c r="X116" s="242"/>
      <c r="Y116" s="214"/>
      <c r="Z116" s="214"/>
      <c r="AA116" s="1131"/>
      <c r="AB116" s="1153"/>
      <c r="AC116" s="242"/>
      <c r="AD116" s="242"/>
      <c r="AE116" s="242"/>
      <c r="AF116" s="242">
        <f t="shared" si="6"/>
        <v>0</v>
      </c>
      <c r="AG116" s="242"/>
      <c r="AH116" s="242"/>
      <c r="AI116" s="214"/>
      <c r="AJ116" s="214"/>
      <c r="AK116" s="1131"/>
      <c r="AL116" s="1153"/>
      <c r="AM116" s="242"/>
      <c r="AN116" s="242"/>
      <c r="AO116" s="242"/>
      <c r="AP116" s="242">
        <f t="shared" si="7"/>
        <v>0</v>
      </c>
      <c r="AQ116" s="242"/>
      <c r="AR116" s="242"/>
      <c r="AS116" s="237"/>
      <c r="AT116" s="214"/>
      <c r="AU116" s="1138"/>
      <c r="AV116" s="1155"/>
      <c r="AW116" s="1140"/>
      <c r="AX116" s="1140"/>
      <c r="AY116" s="1140"/>
      <c r="AZ116" s="1140">
        <f t="shared" si="8"/>
        <v>0</v>
      </c>
      <c r="BA116" s="1140"/>
      <c r="BB116" s="1140"/>
      <c r="BC116" s="214"/>
      <c r="BD116" s="214"/>
      <c r="BE116" s="1131"/>
      <c r="BF116" s="1153"/>
      <c r="BG116" s="242"/>
      <c r="BH116" s="242"/>
      <c r="BI116" s="242"/>
      <c r="BJ116" s="242">
        <f t="shared" si="9"/>
        <v>0</v>
      </c>
      <c r="BK116" s="242"/>
      <c r="BL116" s="242"/>
      <c r="BM116" s="214"/>
      <c r="BN116" s="214"/>
      <c r="BO116" s="1131"/>
      <c r="BP116" s="1153"/>
      <c r="BQ116" s="242"/>
      <c r="BR116" s="242"/>
      <c r="BS116" s="242"/>
      <c r="BT116" s="242">
        <f t="shared" si="10"/>
        <v>0</v>
      </c>
      <c r="BU116" s="242"/>
      <c r="BV116" s="242"/>
      <c r="BW116" s="237"/>
      <c r="BX116" s="214"/>
      <c r="BY116" s="1131"/>
      <c r="BZ116" s="1153"/>
      <c r="CA116" s="242"/>
      <c r="CB116" s="242"/>
      <c r="CC116" s="242"/>
      <c r="CD116" s="242">
        <f t="shared" si="11"/>
        <v>0</v>
      </c>
      <c r="CE116" s="242"/>
      <c r="CF116" s="242"/>
      <c r="CG116" s="214"/>
      <c r="CH116" s="214"/>
      <c r="CI116" s="1131"/>
      <c r="CJ116" s="1153"/>
      <c r="CK116" s="242"/>
      <c r="CL116" s="242"/>
      <c r="CM116" s="242"/>
      <c r="CN116" s="242">
        <f t="shared" si="12"/>
        <v>0</v>
      </c>
      <c r="CO116" s="242"/>
      <c r="CP116" s="242"/>
      <c r="CQ116" s="214"/>
      <c r="CR116" s="214"/>
      <c r="CS116" s="1131"/>
      <c r="CT116" s="1153"/>
      <c r="CU116" s="242"/>
      <c r="CV116" s="242"/>
      <c r="CW116" s="242"/>
      <c r="CX116" s="242">
        <f t="shared" si="13"/>
        <v>0</v>
      </c>
      <c r="CY116" s="242"/>
      <c r="CZ116" s="242"/>
      <c r="DA116" s="237"/>
      <c r="DB116" s="214"/>
      <c r="DC116" s="1131"/>
      <c r="DD116" s="1153"/>
      <c r="DE116" s="242"/>
      <c r="DF116" s="242"/>
      <c r="DG116" s="242"/>
      <c r="DH116" s="242">
        <f t="shared" si="14"/>
        <v>0</v>
      </c>
      <c r="DI116" s="242"/>
      <c r="DJ116" s="242"/>
      <c r="DK116" s="214"/>
      <c r="DL116" s="214"/>
      <c r="DM116" s="1131"/>
      <c r="DN116" s="1153"/>
      <c r="DO116" s="242"/>
      <c r="DP116" s="242"/>
      <c r="DQ116" s="242"/>
      <c r="DR116" s="242">
        <f t="shared" si="15"/>
        <v>0</v>
      </c>
      <c r="DS116" s="242"/>
      <c r="DT116" s="242"/>
      <c r="DU116" s="214"/>
      <c r="DV116" s="214"/>
      <c r="DW116" s="1131"/>
      <c r="DX116" s="1153"/>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24"/>
      <c r="C117" s="1124"/>
      <c r="D117" s="1124"/>
      <c r="E117" s="1124"/>
      <c r="F117" s="1125">
        <f t="shared" si="2"/>
        <v>0</v>
      </c>
      <c r="G117" s="1126" t="str">
        <f t="shared" si="3"/>
        <v/>
      </c>
      <c r="H117" s="112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7">
        <f t="shared" si="128"/>
        <v>0</v>
      </c>
      <c r="J117" s="1128">
        <f t="shared" si="128"/>
        <v>0</v>
      </c>
      <c r="K117" s="214"/>
      <c r="L117" s="242" t="str">
        <f t="array" ref="L117">IFERROR(INDEX('💻シート作成'!$D$6:$D999, MATCH(M117, '💻シート作成'!$E$6:$E999, 0)), "")</f>
        <v/>
      </c>
      <c r="M117" s="1023"/>
      <c r="N117" s="214"/>
      <c r="O117" s="1087"/>
      <c r="P117" s="214"/>
      <c r="Q117" s="1131"/>
      <c r="R117" s="1153"/>
      <c r="S117" s="242"/>
      <c r="T117" s="242"/>
      <c r="U117" s="242"/>
      <c r="V117" s="242">
        <f t="shared" si="5"/>
        <v>0</v>
      </c>
      <c r="W117" s="242"/>
      <c r="X117" s="242"/>
      <c r="Y117" s="214"/>
      <c r="Z117" s="214"/>
      <c r="AA117" s="1131"/>
      <c r="AB117" s="1153"/>
      <c r="AC117" s="242"/>
      <c r="AD117" s="242"/>
      <c r="AE117" s="242"/>
      <c r="AF117" s="242">
        <f t="shared" si="6"/>
        <v>0</v>
      </c>
      <c r="AG117" s="242"/>
      <c r="AH117" s="242"/>
      <c r="AI117" s="214"/>
      <c r="AJ117" s="214"/>
      <c r="AK117" s="1131"/>
      <c r="AL117" s="1153"/>
      <c r="AM117" s="242"/>
      <c r="AN117" s="242"/>
      <c r="AO117" s="242"/>
      <c r="AP117" s="242">
        <f t="shared" si="7"/>
        <v>0</v>
      </c>
      <c r="AQ117" s="242"/>
      <c r="AR117" s="242"/>
      <c r="AS117" s="237"/>
      <c r="AT117" s="214"/>
      <c r="AU117" s="1138"/>
      <c r="AV117" s="1155"/>
      <c r="AW117" s="1140"/>
      <c r="AX117" s="1140"/>
      <c r="AY117" s="1140"/>
      <c r="AZ117" s="1140">
        <f t="shared" si="8"/>
        <v>0</v>
      </c>
      <c r="BA117" s="1140"/>
      <c r="BB117" s="1140"/>
      <c r="BC117" s="214"/>
      <c r="BD117" s="214"/>
      <c r="BE117" s="1131"/>
      <c r="BF117" s="1153"/>
      <c r="BG117" s="242"/>
      <c r="BH117" s="242"/>
      <c r="BI117" s="242"/>
      <c r="BJ117" s="242">
        <f t="shared" si="9"/>
        <v>0</v>
      </c>
      <c r="BK117" s="242"/>
      <c r="BL117" s="242"/>
      <c r="BM117" s="214"/>
      <c r="BN117" s="214"/>
      <c r="BO117" s="1131"/>
      <c r="BP117" s="1153"/>
      <c r="BQ117" s="242"/>
      <c r="BR117" s="242"/>
      <c r="BS117" s="242"/>
      <c r="BT117" s="242">
        <f t="shared" si="10"/>
        <v>0</v>
      </c>
      <c r="BU117" s="242"/>
      <c r="BV117" s="242"/>
      <c r="BW117" s="237"/>
      <c r="BX117" s="214"/>
      <c r="BY117" s="1131"/>
      <c r="BZ117" s="1153"/>
      <c r="CA117" s="242"/>
      <c r="CB117" s="242"/>
      <c r="CC117" s="242"/>
      <c r="CD117" s="242">
        <f t="shared" si="11"/>
        <v>0</v>
      </c>
      <c r="CE117" s="242"/>
      <c r="CF117" s="242"/>
      <c r="CG117" s="214"/>
      <c r="CH117" s="214"/>
      <c r="CI117" s="1131"/>
      <c r="CJ117" s="1153"/>
      <c r="CK117" s="242"/>
      <c r="CL117" s="242"/>
      <c r="CM117" s="242"/>
      <c r="CN117" s="242">
        <f t="shared" si="12"/>
        <v>0</v>
      </c>
      <c r="CO117" s="242"/>
      <c r="CP117" s="242"/>
      <c r="CQ117" s="214"/>
      <c r="CR117" s="214"/>
      <c r="CS117" s="1131"/>
      <c r="CT117" s="1153"/>
      <c r="CU117" s="242"/>
      <c r="CV117" s="242"/>
      <c r="CW117" s="242"/>
      <c r="CX117" s="242">
        <f t="shared" si="13"/>
        <v>0</v>
      </c>
      <c r="CY117" s="242"/>
      <c r="CZ117" s="242"/>
      <c r="DA117" s="237"/>
      <c r="DB117" s="214"/>
      <c r="DC117" s="1131"/>
      <c r="DD117" s="1153"/>
      <c r="DE117" s="242"/>
      <c r="DF117" s="242"/>
      <c r="DG117" s="242"/>
      <c r="DH117" s="242">
        <f t="shared" si="14"/>
        <v>0</v>
      </c>
      <c r="DI117" s="242"/>
      <c r="DJ117" s="242"/>
      <c r="DK117" s="214"/>
      <c r="DL117" s="214"/>
      <c r="DM117" s="1131"/>
      <c r="DN117" s="1153"/>
      <c r="DO117" s="242"/>
      <c r="DP117" s="242"/>
      <c r="DQ117" s="242"/>
      <c r="DR117" s="242">
        <f t="shared" si="15"/>
        <v>0</v>
      </c>
      <c r="DS117" s="242"/>
      <c r="DT117" s="242"/>
      <c r="DU117" s="214"/>
      <c r="DV117" s="214"/>
      <c r="DW117" s="1131"/>
      <c r="DX117" s="1153"/>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24"/>
      <c r="C118" s="1124"/>
      <c r="D118" s="1124"/>
      <c r="E118" s="1124"/>
      <c r="F118" s="1125">
        <f t="shared" si="2"/>
        <v>0</v>
      </c>
      <c r="G118" s="1126" t="str">
        <f t="shared" si="3"/>
        <v/>
      </c>
      <c r="H118" s="112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7">
        <f t="shared" si="129"/>
        <v>0</v>
      </c>
      <c r="J118" s="1128">
        <f t="shared" si="129"/>
        <v>0</v>
      </c>
      <c r="K118" s="214"/>
      <c r="L118" s="242" t="str">
        <f t="array" ref="L118">IFERROR(INDEX('💻シート作成'!$D$6:$D999, MATCH(M118, '💻シート作成'!$E$6:$E999, 0)), "")</f>
        <v/>
      </c>
      <c r="M118" s="1023"/>
      <c r="N118" s="214"/>
      <c r="O118" s="1087"/>
      <c r="P118" s="214"/>
      <c r="Q118" s="1131"/>
      <c r="R118" s="1153"/>
      <c r="S118" s="242"/>
      <c r="T118" s="242"/>
      <c r="U118" s="242"/>
      <c r="V118" s="242">
        <f t="shared" si="5"/>
        <v>0</v>
      </c>
      <c r="W118" s="242"/>
      <c r="X118" s="242"/>
      <c r="Y118" s="214"/>
      <c r="Z118" s="214"/>
      <c r="AA118" s="1131"/>
      <c r="AB118" s="1153"/>
      <c r="AC118" s="242"/>
      <c r="AD118" s="242"/>
      <c r="AE118" s="242"/>
      <c r="AF118" s="242">
        <f t="shared" si="6"/>
        <v>0</v>
      </c>
      <c r="AG118" s="242"/>
      <c r="AH118" s="242"/>
      <c r="AI118" s="214"/>
      <c r="AJ118" s="214"/>
      <c r="AK118" s="1131"/>
      <c r="AL118" s="1153"/>
      <c r="AM118" s="242"/>
      <c r="AN118" s="242"/>
      <c r="AO118" s="242"/>
      <c r="AP118" s="242">
        <f t="shared" si="7"/>
        <v>0</v>
      </c>
      <c r="AQ118" s="242"/>
      <c r="AR118" s="242"/>
      <c r="AS118" s="237"/>
      <c r="AT118" s="214"/>
      <c r="AU118" s="1138"/>
      <c r="AV118" s="1155"/>
      <c r="AW118" s="1140"/>
      <c r="AX118" s="1140"/>
      <c r="AY118" s="1140"/>
      <c r="AZ118" s="1140">
        <f t="shared" si="8"/>
        <v>0</v>
      </c>
      <c r="BA118" s="1140"/>
      <c r="BB118" s="1140"/>
      <c r="BC118" s="214"/>
      <c r="BD118" s="214"/>
      <c r="BE118" s="1131"/>
      <c r="BF118" s="1153"/>
      <c r="BG118" s="242"/>
      <c r="BH118" s="242"/>
      <c r="BI118" s="242"/>
      <c r="BJ118" s="242">
        <f t="shared" si="9"/>
        <v>0</v>
      </c>
      <c r="BK118" s="242"/>
      <c r="BL118" s="242"/>
      <c r="BM118" s="214"/>
      <c r="BN118" s="214"/>
      <c r="BO118" s="1131"/>
      <c r="BP118" s="1153"/>
      <c r="BQ118" s="242"/>
      <c r="BR118" s="242"/>
      <c r="BS118" s="242"/>
      <c r="BT118" s="242">
        <f t="shared" si="10"/>
        <v>0</v>
      </c>
      <c r="BU118" s="242"/>
      <c r="BV118" s="242"/>
      <c r="BW118" s="237"/>
      <c r="BX118" s="214"/>
      <c r="BY118" s="1131"/>
      <c r="BZ118" s="1153"/>
      <c r="CA118" s="242"/>
      <c r="CB118" s="242"/>
      <c r="CC118" s="242"/>
      <c r="CD118" s="242">
        <f t="shared" si="11"/>
        <v>0</v>
      </c>
      <c r="CE118" s="242"/>
      <c r="CF118" s="242"/>
      <c r="CG118" s="214"/>
      <c r="CH118" s="214"/>
      <c r="CI118" s="1131"/>
      <c r="CJ118" s="1153"/>
      <c r="CK118" s="242"/>
      <c r="CL118" s="242"/>
      <c r="CM118" s="242"/>
      <c r="CN118" s="242">
        <f t="shared" si="12"/>
        <v>0</v>
      </c>
      <c r="CO118" s="242"/>
      <c r="CP118" s="242"/>
      <c r="CQ118" s="214"/>
      <c r="CR118" s="214"/>
      <c r="CS118" s="1131"/>
      <c r="CT118" s="1153"/>
      <c r="CU118" s="242"/>
      <c r="CV118" s="242"/>
      <c r="CW118" s="242"/>
      <c r="CX118" s="242">
        <f t="shared" si="13"/>
        <v>0</v>
      </c>
      <c r="CY118" s="242"/>
      <c r="CZ118" s="242"/>
      <c r="DA118" s="237"/>
      <c r="DB118" s="214"/>
      <c r="DC118" s="1131"/>
      <c r="DD118" s="1153"/>
      <c r="DE118" s="242"/>
      <c r="DF118" s="242"/>
      <c r="DG118" s="242"/>
      <c r="DH118" s="242">
        <f t="shared" si="14"/>
        <v>0</v>
      </c>
      <c r="DI118" s="242"/>
      <c r="DJ118" s="242"/>
      <c r="DK118" s="214"/>
      <c r="DL118" s="214"/>
      <c r="DM118" s="1131"/>
      <c r="DN118" s="1153"/>
      <c r="DO118" s="242"/>
      <c r="DP118" s="242"/>
      <c r="DQ118" s="242"/>
      <c r="DR118" s="242">
        <f t="shared" si="15"/>
        <v>0</v>
      </c>
      <c r="DS118" s="242"/>
      <c r="DT118" s="242"/>
      <c r="DU118" s="214"/>
      <c r="DV118" s="214"/>
      <c r="DW118" s="1131"/>
      <c r="DX118" s="1153"/>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24"/>
      <c r="C119" s="1124"/>
      <c r="D119" s="1124"/>
      <c r="E119" s="1124"/>
      <c r="F119" s="1125">
        <f t="shared" si="2"/>
        <v>0</v>
      </c>
      <c r="G119" s="1126" t="str">
        <f t="shared" si="3"/>
        <v/>
      </c>
      <c r="H119" s="112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7">
        <f t="shared" si="130"/>
        <v>0</v>
      </c>
      <c r="J119" s="1128">
        <f t="shared" si="130"/>
        <v>0</v>
      </c>
      <c r="K119" s="214"/>
      <c r="L119" s="242" t="str">
        <f t="array" ref="L119">IFERROR(INDEX('💻シート作成'!$D$6:$D999, MATCH(M119, '💻シート作成'!$E$6:$E999, 0)), "")</f>
        <v/>
      </c>
      <c r="M119" s="1023"/>
      <c r="N119" s="214"/>
      <c r="O119" s="1087"/>
      <c r="P119" s="214"/>
      <c r="Q119" s="1131"/>
      <c r="R119" s="1153"/>
      <c r="S119" s="242"/>
      <c r="T119" s="242"/>
      <c r="U119" s="242"/>
      <c r="V119" s="242">
        <f t="shared" si="5"/>
        <v>0</v>
      </c>
      <c r="W119" s="242"/>
      <c r="X119" s="242"/>
      <c r="Y119" s="214"/>
      <c r="Z119" s="214"/>
      <c r="AA119" s="1131"/>
      <c r="AB119" s="1153"/>
      <c r="AC119" s="242"/>
      <c r="AD119" s="242"/>
      <c r="AE119" s="242"/>
      <c r="AF119" s="242">
        <f t="shared" si="6"/>
        <v>0</v>
      </c>
      <c r="AG119" s="242"/>
      <c r="AH119" s="242"/>
      <c r="AI119" s="214"/>
      <c r="AJ119" s="214"/>
      <c r="AK119" s="1131"/>
      <c r="AL119" s="1153"/>
      <c r="AM119" s="242"/>
      <c r="AN119" s="242"/>
      <c r="AO119" s="242"/>
      <c r="AP119" s="242">
        <f t="shared" si="7"/>
        <v>0</v>
      </c>
      <c r="AQ119" s="242"/>
      <c r="AR119" s="242"/>
      <c r="AS119" s="237"/>
      <c r="AT119" s="214"/>
      <c r="AU119" s="1138"/>
      <c r="AV119" s="1155"/>
      <c r="AW119" s="1140"/>
      <c r="AX119" s="1140"/>
      <c r="AY119" s="1140"/>
      <c r="AZ119" s="1140">
        <f t="shared" si="8"/>
        <v>0</v>
      </c>
      <c r="BA119" s="1140"/>
      <c r="BB119" s="1140"/>
      <c r="BC119" s="214"/>
      <c r="BD119" s="214"/>
      <c r="BE119" s="1131"/>
      <c r="BF119" s="1153"/>
      <c r="BG119" s="242"/>
      <c r="BH119" s="242"/>
      <c r="BI119" s="242"/>
      <c r="BJ119" s="242">
        <f t="shared" si="9"/>
        <v>0</v>
      </c>
      <c r="BK119" s="242"/>
      <c r="BL119" s="242"/>
      <c r="BM119" s="214"/>
      <c r="BN119" s="214"/>
      <c r="BO119" s="1131"/>
      <c r="BP119" s="1153"/>
      <c r="BQ119" s="242"/>
      <c r="BR119" s="242"/>
      <c r="BS119" s="242"/>
      <c r="BT119" s="242">
        <f t="shared" si="10"/>
        <v>0</v>
      </c>
      <c r="BU119" s="242"/>
      <c r="BV119" s="242"/>
      <c r="BW119" s="237"/>
      <c r="BX119" s="214"/>
      <c r="BY119" s="1131"/>
      <c r="BZ119" s="1153"/>
      <c r="CA119" s="242"/>
      <c r="CB119" s="242"/>
      <c r="CC119" s="242"/>
      <c r="CD119" s="242">
        <f t="shared" si="11"/>
        <v>0</v>
      </c>
      <c r="CE119" s="242"/>
      <c r="CF119" s="242"/>
      <c r="CG119" s="214"/>
      <c r="CH119" s="214"/>
      <c r="CI119" s="1131"/>
      <c r="CJ119" s="1153"/>
      <c r="CK119" s="242"/>
      <c r="CL119" s="242"/>
      <c r="CM119" s="242"/>
      <c r="CN119" s="242">
        <f t="shared" si="12"/>
        <v>0</v>
      </c>
      <c r="CO119" s="242"/>
      <c r="CP119" s="242"/>
      <c r="CQ119" s="214"/>
      <c r="CR119" s="214"/>
      <c r="CS119" s="1131"/>
      <c r="CT119" s="1153"/>
      <c r="CU119" s="242"/>
      <c r="CV119" s="242"/>
      <c r="CW119" s="242"/>
      <c r="CX119" s="242">
        <f t="shared" si="13"/>
        <v>0</v>
      </c>
      <c r="CY119" s="242"/>
      <c r="CZ119" s="242"/>
      <c r="DA119" s="237"/>
      <c r="DB119" s="214"/>
      <c r="DC119" s="1131"/>
      <c r="DD119" s="1153"/>
      <c r="DE119" s="242"/>
      <c r="DF119" s="242"/>
      <c r="DG119" s="242"/>
      <c r="DH119" s="242">
        <f t="shared" si="14"/>
        <v>0</v>
      </c>
      <c r="DI119" s="242"/>
      <c r="DJ119" s="242"/>
      <c r="DK119" s="214"/>
      <c r="DL119" s="214"/>
      <c r="DM119" s="1131"/>
      <c r="DN119" s="1153"/>
      <c r="DO119" s="242"/>
      <c r="DP119" s="242"/>
      <c r="DQ119" s="242"/>
      <c r="DR119" s="242">
        <f t="shared" si="15"/>
        <v>0</v>
      </c>
      <c r="DS119" s="242"/>
      <c r="DT119" s="242"/>
      <c r="DU119" s="214"/>
      <c r="DV119" s="214"/>
      <c r="DW119" s="1131"/>
      <c r="DX119" s="1153"/>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24"/>
      <c r="C120" s="1124"/>
      <c r="D120" s="1124"/>
      <c r="E120" s="1124"/>
      <c r="F120" s="1125">
        <f t="shared" si="2"/>
        <v>0</v>
      </c>
      <c r="G120" s="1126" t="str">
        <f t="shared" si="3"/>
        <v/>
      </c>
      <c r="H120" s="112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7">
        <f t="shared" si="131"/>
        <v>0</v>
      </c>
      <c r="J120" s="1128">
        <f t="shared" si="131"/>
        <v>0</v>
      </c>
      <c r="K120" s="214"/>
      <c r="L120" s="242" t="str">
        <f t="array" ref="L120">IFERROR(INDEX('💻シート作成'!$D$6:$D999, MATCH(M120, '💻シート作成'!$E$6:$E999, 0)), "")</f>
        <v/>
      </c>
      <c r="M120" s="1023"/>
      <c r="N120" s="214"/>
      <c r="O120" s="1087"/>
      <c r="P120" s="214"/>
      <c r="Q120" s="1131"/>
      <c r="R120" s="1153"/>
      <c r="S120" s="242"/>
      <c r="T120" s="242"/>
      <c r="U120" s="242"/>
      <c r="V120" s="242">
        <f t="shared" si="5"/>
        <v>0</v>
      </c>
      <c r="W120" s="242"/>
      <c r="X120" s="242"/>
      <c r="Y120" s="214"/>
      <c r="Z120" s="214"/>
      <c r="AA120" s="1131"/>
      <c r="AB120" s="1153"/>
      <c r="AC120" s="242"/>
      <c r="AD120" s="242"/>
      <c r="AE120" s="242"/>
      <c r="AF120" s="242">
        <f t="shared" si="6"/>
        <v>0</v>
      </c>
      <c r="AG120" s="242"/>
      <c r="AH120" s="242"/>
      <c r="AI120" s="214"/>
      <c r="AJ120" s="214"/>
      <c r="AK120" s="1131"/>
      <c r="AL120" s="1153"/>
      <c r="AM120" s="242"/>
      <c r="AN120" s="242"/>
      <c r="AO120" s="242"/>
      <c r="AP120" s="242">
        <f t="shared" si="7"/>
        <v>0</v>
      </c>
      <c r="AQ120" s="242"/>
      <c r="AR120" s="242"/>
      <c r="AS120" s="237"/>
      <c r="AT120" s="214"/>
      <c r="AU120" s="1138"/>
      <c r="AV120" s="1155"/>
      <c r="AW120" s="1140"/>
      <c r="AX120" s="1140"/>
      <c r="AY120" s="1140"/>
      <c r="AZ120" s="1140">
        <f t="shared" si="8"/>
        <v>0</v>
      </c>
      <c r="BA120" s="1140"/>
      <c r="BB120" s="1140"/>
      <c r="BC120" s="214"/>
      <c r="BD120" s="214"/>
      <c r="BE120" s="1131"/>
      <c r="BF120" s="1153"/>
      <c r="BG120" s="242"/>
      <c r="BH120" s="242"/>
      <c r="BI120" s="242"/>
      <c r="BJ120" s="242">
        <f t="shared" si="9"/>
        <v>0</v>
      </c>
      <c r="BK120" s="242"/>
      <c r="BL120" s="242"/>
      <c r="BM120" s="214"/>
      <c r="BN120" s="214"/>
      <c r="BO120" s="1131"/>
      <c r="BP120" s="1153"/>
      <c r="BQ120" s="242"/>
      <c r="BR120" s="242"/>
      <c r="BS120" s="242"/>
      <c r="BT120" s="242">
        <f t="shared" si="10"/>
        <v>0</v>
      </c>
      <c r="BU120" s="242"/>
      <c r="BV120" s="242"/>
      <c r="BW120" s="237"/>
      <c r="BX120" s="214"/>
      <c r="BY120" s="1131"/>
      <c r="BZ120" s="1153"/>
      <c r="CA120" s="242"/>
      <c r="CB120" s="242"/>
      <c r="CC120" s="242"/>
      <c r="CD120" s="242">
        <f t="shared" si="11"/>
        <v>0</v>
      </c>
      <c r="CE120" s="242"/>
      <c r="CF120" s="242"/>
      <c r="CG120" s="214"/>
      <c r="CH120" s="214"/>
      <c r="CI120" s="1131"/>
      <c r="CJ120" s="1153"/>
      <c r="CK120" s="242"/>
      <c r="CL120" s="242"/>
      <c r="CM120" s="242"/>
      <c r="CN120" s="242">
        <f t="shared" si="12"/>
        <v>0</v>
      </c>
      <c r="CO120" s="242"/>
      <c r="CP120" s="242"/>
      <c r="CQ120" s="214"/>
      <c r="CR120" s="214"/>
      <c r="CS120" s="1131"/>
      <c r="CT120" s="1153"/>
      <c r="CU120" s="242"/>
      <c r="CV120" s="242"/>
      <c r="CW120" s="242"/>
      <c r="CX120" s="242">
        <f t="shared" si="13"/>
        <v>0</v>
      </c>
      <c r="CY120" s="242"/>
      <c r="CZ120" s="242"/>
      <c r="DA120" s="237"/>
      <c r="DB120" s="214"/>
      <c r="DC120" s="1131"/>
      <c r="DD120" s="1153"/>
      <c r="DE120" s="242"/>
      <c r="DF120" s="242"/>
      <c r="DG120" s="242"/>
      <c r="DH120" s="242">
        <f t="shared" si="14"/>
        <v>0</v>
      </c>
      <c r="DI120" s="242"/>
      <c r="DJ120" s="242"/>
      <c r="DK120" s="214"/>
      <c r="DL120" s="214"/>
      <c r="DM120" s="1131"/>
      <c r="DN120" s="1153"/>
      <c r="DO120" s="242"/>
      <c r="DP120" s="242"/>
      <c r="DQ120" s="242"/>
      <c r="DR120" s="242">
        <f t="shared" si="15"/>
        <v>0</v>
      </c>
      <c r="DS120" s="242"/>
      <c r="DT120" s="242"/>
      <c r="DU120" s="214"/>
      <c r="DV120" s="214"/>
      <c r="DW120" s="1131"/>
      <c r="DX120" s="1153"/>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24"/>
      <c r="C121" s="1124"/>
      <c r="D121" s="1124"/>
      <c r="E121" s="1124"/>
      <c r="F121" s="1125">
        <f t="shared" si="2"/>
        <v>0</v>
      </c>
      <c r="G121" s="1126" t="str">
        <f t="shared" si="3"/>
        <v/>
      </c>
      <c r="H121" s="112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7">
        <f t="shared" si="132"/>
        <v>0</v>
      </c>
      <c r="J121" s="1128">
        <f t="shared" si="132"/>
        <v>0</v>
      </c>
      <c r="K121" s="214"/>
      <c r="L121" s="242" t="str">
        <f t="array" ref="L121">IFERROR(INDEX('💻シート作成'!$D$6:$D999, MATCH(M121, '💻シート作成'!$E$6:$E999, 0)), "")</f>
        <v/>
      </c>
      <c r="M121" s="1023"/>
      <c r="N121" s="214"/>
      <c r="O121" s="1087"/>
      <c r="P121" s="214"/>
      <c r="Q121" s="1131"/>
      <c r="R121" s="1153"/>
      <c r="S121" s="242"/>
      <c r="T121" s="242"/>
      <c r="U121" s="242"/>
      <c r="V121" s="242">
        <f t="shared" si="5"/>
        <v>0</v>
      </c>
      <c r="W121" s="242"/>
      <c r="X121" s="242"/>
      <c r="Y121" s="214"/>
      <c r="Z121" s="214"/>
      <c r="AA121" s="1131"/>
      <c r="AB121" s="1153"/>
      <c r="AC121" s="242"/>
      <c r="AD121" s="242"/>
      <c r="AE121" s="242"/>
      <c r="AF121" s="242">
        <f t="shared" si="6"/>
        <v>0</v>
      </c>
      <c r="AG121" s="242"/>
      <c r="AH121" s="242"/>
      <c r="AI121" s="214"/>
      <c r="AJ121" s="214"/>
      <c r="AK121" s="1131"/>
      <c r="AL121" s="1153"/>
      <c r="AM121" s="242"/>
      <c r="AN121" s="242"/>
      <c r="AO121" s="242"/>
      <c r="AP121" s="242">
        <f t="shared" si="7"/>
        <v>0</v>
      </c>
      <c r="AQ121" s="242"/>
      <c r="AR121" s="242"/>
      <c r="AS121" s="237"/>
      <c r="AT121" s="214"/>
      <c r="AU121" s="1138"/>
      <c r="AV121" s="1155"/>
      <c r="AW121" s="1140"/>
      <c r="AX121" s="1140"/>
      <c r="AY121" s="1140"/>
      <c r="AZ121" s="1140">
        <f t="shared" si="8"/>
        <v>0</v>
      </c>
      <c r="BA121" s="1140"/>
      <c r="BB121" s="1140"/>
      <c r="BC121" s="214"/>
      <c r="BD121" s="214"/>
      <c r="BE121" s="1131"/>
      <c r="BF121" s="1153"/>
      <c r="BG121" s="242"/>
      <c r="BH121" s="242"/>
      <c r="BI121" s="242"/>
      <c r="BJ121" s="242">
        <f t="shared" si="9"/>
        <v>0</v>
      </c>
      <c r="BK121" s="242"/>
      <c r="BL121" s="242"/>
      <c r="BM121" s="214"/>
      <c r="BN121" s="214"/>
      <c r="BO121" s="1131"/>
      <c r="BP121" s="1153"/>
      <c r="BQ121" s="242"/>
      <c r="BR121" s="242"/>
      <c r="BS121" s="242"/>
      <c r="BT121" s="242">
        <f t="shared" si="10"/>
        <v>0</v>
      </c>
      <c r="BU121" s="242"/>
      <c r="BV121" s="242"/>
      <c r="BW121" s="237"/>
      <c r="BX121" s="214"/>
      <c r="BY121" s="1131"/>
      <c r="BZ121" s="1153"/>
      <c r="CA121" s="242"/>
      <c r="CB121" s="242"/>
      <c r="CC121" s="242"/>
      <c r="CD121" s="242">
        <f t="shared" si="11"/>
        <v>0</v>
      </c>
      <c r="CE121" s="242"/>
      <c r="CF121" s="242"/>
      <c r="CG121" s="214"/>
      <c r="CH121" s="214"/>
      <c r="CI121" s="1131"/>
      <c r="CJ121" s="1153"/>
      <c r="CK121" s="242"/>
      <c r="CL121" s="242"/>
      <c r="CM121" s="242"/>
      <c r="CN121" s="242">
        <f t="shared" si="12"/>
        <v>0</v>
      </c>
      <c r="CO121" s="242"/>
      <c r="CP121" s="242"/>
      <c r="CQ121" s="214"/>
      <c r="CR121" s="214"/>
      <c r="CS121" s="1131"/>
      <c r="CT121" s="1153"/>
      <c r="CU121" s="242"/>
      <c r="CV121" s="242"/>
      <c r="CW121" s="242"/>
      <c r="CX121" s="242">
        <f t="shared" si="13"/>
        <v>0</v>
      </c>
      <c r="CY121" s="242"/>
      <c r="CZ121" s="242"/>
      <c r="DA121" s="237"/>
      <c r="DB121" s="214"/>
      <c r="DC121" s="1131"/>
      <c r="DD121" s="1153"/>
      <c r="DE121" s="242"/>
      <c r="DF121" s="242"/>
      <c r="DG121" s="242"/>
      <c r="DH121" s="242">
        <f t="shared" si="14"/>
        <v>0</v>
      </c>
      <c r="DI121" s="242"/>
      <c r="DJ121" s="242"/>
      <c r="DK121" s="214"/>
      <c r="DL121" s="214"/>
      <c r="DM121" s="1131"/>
      <c r="DN121" s="1153"/>
      <c r="DO121" s="242"/>
      <c r="DP121" s="242"/>
      <c r="DQ121" s="242"/>
      <c r="DR121" s="242">
        <f t="shared" si="15"/>
        <v>0</v>
      </c>
      <c r="DS121" s="242"/>
      <c r="DT121" s="242"/>
      <c r="DU121" s="214"/>
      <c r="DV121" s="214"/>
      <c r="DW121" s="1131"/>
      <c r="DX121" s="1153"/>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24"/>
      <c r="C122" s="1124"/>
      <c r="D122" s="1124"/>
      <c r="E122" s="1124"/>
      <c r="F122" s="1125">
        <f t="shared" si="2"/>
        <v>0</v>
      </c>
      <c r="G122" s="1126" t="str">
        <f t="shared" si="3"/>
        <v/>
      </c>
      <c r="H122" s="112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7">
        <f t="shared" si="133"/>
        <v>0</v>
      </c>
      <c r="J122" s="1128">
        <f t="shared" si="133"/>
        <v>0</v>
      </c>
      <c r="K122" s="214"/>
      <c r="L122" s="242" t="str">
        <f t="array" ref="L122">IFERROR(INDEX('💻シート作成'!$D$6:$D999, MATCH(M122, '💻シート作成'!$E$6:$E999, 0)), "")</f>
        <v/>
      </c>
      <c r="M122" s="1023"/>
      <c r="N122" s="214"/>
      <c r="O122" s="1087"/>
      <c r="P122" s="214"/>
      <c r="Q122" s="1131"/>
      <c r="R122" s="1153"/>
      <c r="S122" s="242"/>
      <c r="T122" s="242"/>
      <c r="U122" s="242"/>
      <c r="V122" s="242">
        <f t="shared" si="5"/>
        <v>0</v>
      </c>
      <c r="W122" s="242"/>
      <c r="X122" s="242"/>
      <c r="Y122" s="214"/>
      <c r="Z122" s="214"/>
      <c r="AA122" s="1131"/>
      <c r="AB122" s="1153"/>
      <c r="AC122" s="242"/>
      <c r="AD122" s="242"/>
      <c r="AE122" s="242"/>
      <c r="AF122" s="242">
        <f t="shared" si="6"/>
        <v>0</v>
      </c>
      <c r="AG122" s="242"/>
      <c r="AH122" s="242"/>
      <c r="AI122" s="214"/>
      <c r="AJ122" s="214"/>
      <c r="AK122" s="1131"/>
      <c r="AL122" s="1153"/>
      <c r="AM122" s="242"/>
      <c r="AN122" s="242"/>
      <c r="AO122" s="242"/>
      <c r="AP122" s="242">
        <f t="shared" si="7"/>
        <v>0</v>
      </c>
      <c r="AQ122" s="242"/>
      <c r="AR122" s="242"/>
      <c r="AS122" s="237"/>
      <c r="AT122" s="214"/>
      <c r="AU122" s="1138"/>
      <c r="AV122" s="1155"/>
      <c r="AW122" s="1140"/>
      <c r="AX122" s="1140"/>
      <c r="AY122" s="1140"/>
      <c r="AZ122" s="1140">
        <f t="shared" si="8"/>
        <v>0</v>
      </c>
      <c r="BA122" s="1140"/>
      <c r="BB122" s="1140"/>
      <c r="BC122" s="214"/>
      <c r="BD122" s="214"/>
      <c r="BE122" s="1131"/>
      <c r="BF122" s="1153"/>
      <c r="BG122" s="242"/>
      <c r="BH122" s="242"/>
      <c r="BI122" s="242"/>
      <c r="BJ122" s="242">
        <f t="shared" si="9"/>
        <v>0</v>
      </c>
      <c r="BK122" s="242"/>
      <c r="BL122" s="242"/>
      <c r="BM122" s="214"/>
      <c r="BN122" s="214"/>
      <c r="BO122" s="1131"/>
      <c r="BP122" s="1153"/>
      <c r="BQ122" s="242"/>
      <c r="BR122" s="242"/>
      <c r="BS122" s="242"/>
      <c r="BT122" s="242">
        <f t="shared" si="10"/>
        <v>0</v>
      </c>
      <c r="BU122" s="242"/>
      <c r="BV122" s="242"/>
      <c r="BW122" s="237"/>
      <c r="BX122" s="214"/>
      <c r="BY122" s="1131"/>
      <c r="BZ122" s="1153"/>
      <c r="CA122" s="242"/>
      <c r="CB122" s="242"/>
      <c r="CC122" s="242"/>
      <c r="CD122" s="242">
        <f t="shared" si="11"/>
        <v>0</v>
      </c>
      <c r="CE122" s="242"/>
      <c r="CF122" s="242"/>
      <c r="CG122" s="214"/>
      <c r="CH122" s="214"/>
      <c r="CI122" s="1131"/>
      <c r="CJ122" s="1153"/>
      <c r="CK122" s="242"/>
      <c r="CL122" s="242"/>
      <c r="CM122" s="242"/>
      <c r="CN122" s="242">
        <f t="shared" si="12"/>
        <v>0</v>
      </c>
      <c r="CO122" s="242"/>
      <c r="CP122" s="242"/>
      <c r="CQ122" s="214"/>
      <c r="CR122" s="214"/>
      <c r="CS122" s="1131"/>
      <c r="CT122" s="1153"/>
      <c r="CU122" s="242"/>
      <c r="CV122" s="242"/>
      <c r="CW122" s="242"/>
      <c r="CX122" s="242">
        <f t="shared" si="13"/>
        <v>0</v>
      </c>
      <c r="CY122" s="242"/>
      <c r="CZ122" s="242"/>
      <c r="DA122" s="237"/>
      <c r="DB122" s="214"/>
      <c r="DC122" s="1131"/>
      <c r="DD122" s="1153"/>
      <c r="DE122" s="242"/>
      <c r="DF122" s="242"/>
      <c r="DG122" s="242"/>
      <c r="DH122" s="242">
        <f t="shared" si="14"/>
        <v>0</v>
      </c>
      <c r="DI122" s="242"/>
      <c r="DJ122" s="242"/>
      <c r="DK122" s="214"/>
      <c r="DL122" s="214"/>
      <c r="DM122" s="1131"/>
      <c r="DN122" s="1153"/>
      <c r="DO122" s="242"/>
      <c r="DP122" s="242"/>
      <c r="DQ122" s="242"/>
      <c r="DR122" s="242">
        <f t="shared" si="15"/>
        <v>0</v>
      </c>
      <c r="DS122" s="242"/>
      <c r="DT122" s="242"/>
      <c r="DU122" s="214"/>
      <c r="DV122" s="214"/>
      <c r="DW122" s="1131"/>
      <c r="DX122" s="1153"/>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24"/>
      <c r="C123" s="1124"/>
      <c r="D123" s="1124"/>
      <c r="E123" s="1124"/>
      <c r="F123" s="1125">
        <f t="shared" si="2"/>
        <v>0</v>
      </c>
      <c r="G123" s="1126" t="str">
        <f t="shared" si="3"/>
        <v/>
      </c>
      <c r="H123" s="112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7">
        <f t="shared" si="134"/>
        <v>0</v>
      </c>
      <c r="J123" s="1128">
        <f t="shared" si="134"/>
        <v>0</v>
      </c>
      <c r="K123" s="214"/>
      <c r="L123" s="242" t="str">
        <f t="array" ref="L123">IFERROR(INDEX('💻シート作成'!$D$6:$D999, MATCH(M123, '💻シート作成'!$E$6:$E999, 0)), "")</f>
        <v/>
      </c>
      <c r="M123" s="1023"/>
      <c r="N123" s="214"/>
      <c r="O123" s="1087"/>
      <c r="P123" s="214"/>
      <c r="Q123" s="1131"/>
      <c r="R123" s="1153"/>
      <c r="S123" s="242"/>
      <c r="T123" s="242"/>
      <c r="U123" s="242"/>
      <c r="V123" s="242">
        <f t="shared" si="5"/>
        <v>0</v>
      </c>
      <c r="W123" s="242"/>
      <c r="X123" s="242"/>
      <c r="Y123" s="214"/>
      <c r="Z123" s="214"/>
      <c r="AA123" s="1131"/>
      <c r="AB123" s="1153"/>
      <c r="AC123" s="242"/>
      <c r="AD123" s="242"/>
      <c r="AE123" s="242"/>
      <c r="AF123" s="242">
        <f t="shared" si="6"/>
        <v>0</v>
      </c>
      <c r="AG123" s="242"/>
      <c r="AH123" s="242"/>
      <c r="AI123" s="214"/>
      <c r="AJ123" s="214"/>
      <c r="AK123" s="1131"/>
      <c r="AL123" s="1153"/>
      <c r="AM123" s="242"/>
      <c r="AN123" s="242"/>
      <c r="AO123" s="242"/>
      <c r="AP123" s="242">
        <f t="shared" si="7"/>
        <v>0</v>
      </c>
      <c r="AQ123" s="242"/>
      <c r="AR123" s="242"/>
      <c r="AS123" s="237"/>
      <c r="AT123" s="214"/>
      <c r="AU123" s="1138"/>
      <c r="AV123" s="1155"/>
      <c r="AW123" s="1140"/>
      <c r="AX123" s="1140"/>
      <c r="AY123" s="1140"/>
      <c r="AZ123" s="1140">
        <f t="shared" si="8"/>
        <v>0</v>
      </c>
      <c r="BA123" s="1140"/>
      <c r="BB123" s="1140"/>
      <c r="BC123" s="214"/>
      <c r="BD123" s="214"/>
      <c r="BE123" s="1131"/>
      <c r="BF123" s="1153"/>
      <c r="BG123" s="242"/>
      <c r="BH123" s="242"/>
      <c r="BI123" s="242"/>
      <c r="BJ123" s="242">
        <f t="shared" si="9"/>
        <v>0</v>
      </c>
      <c r="BK123" s="242"/>
      <c r="BL123" s="242"/>
      <c r="BM123" s="214"/>
      <c r="BN123" s="214"/>
      <c r="BO123" s="1131"/>
      <c r="BP123" s="1153"/>
      <c r="BQ123" s="242"/>
      <c r="BR123" s="242"/>
      <c r="BS123" s="242"/>
      <c r="BT123" s="242">
        <f t="shared" si="10"/>
        <v>0</v>
      </c>
      <c r="BU123" s="242"/>
      <c r="BV123" s="242"/>
      <c r="BW123" s="237"/>
      <c r="BX123" s="214"/>
      <c r="BY123" s="1131"/>
      <c r="BZ123" s="1153"/>
      <c r="CA123" s="242"/>
      <c r="CB123" s="242"/>
      <c r="CC123" s="242"/>
      <c r="CD123" s="242">
        <f t="shared" si="11"/>
        <v>0</v>
      </c>
      <c r="CE123" s="242"/>
      <c r="CF123" s="242"/>
      <c r="CG123" s="214"/>
      <c r="CH123" s="214"/>
      <c r="CI123" s="1131"/>
      <c r="CJ123" s="1153"/>
      <c r="CK123" s="242"/>
      <c r="CL123" s="242"/>
      <c r="CM123" s="242"/>
      <c r="CN123" s="242">
        <f t="shared" si="12"/>
        <v>0</v>
      </c>
      <c r="CO123" s="242"/>
      <c r="CP123" s="242"/>
      <c r="CQ123" s="214"/>
      <c r="CR123" s="214"/>
      <c r="CS123" s="1131"/>
      <c r="CT123" s="1153"/>
      <c r="CU123" s="242"/>
      <c r="CV123" s="242"/>
      <c r="CW123" s="242"/>
      <c r="CX123" s="242">
        <f t="shared" si="13"/>
        <v>0</v>
      </c>
      <c r="CY123" s="242"/>
      <c r="CZ123" s="242"/>
      <c r="DA123" s="237"/>
      <c r="DB123" s="214"/>
      <c r="DC123" s="1131"/>
      <c r="DD123" s="1153"/>
      <c r="DE123" s="242"/>
      <c r="DF123" s="242"/>
      <c r="DG123" s="242"/>
      <c r="DH123" s="242">
        <f t="shared" si="14"/>
        <v>0</v>
      </c>
      <c r="DI123" s="242"/>
      <c r="DJ123" s="242"/>
      <c r="DK123" s="214"/>
      <c r="DL123" s="214"/>
      <c r="DM123" s="1131"/>
      <c r="DN123" s="1153"/>
      <c r="DO123" s="242"/>
      <c r="DP123" s="242"/>
      <c r="DQ123" s="242"/>
      <c r="DR123" s="242">
        <f t="shared" si="15"/>
        <v>0</v>
      </c>
      <c r="DS123" s="242"/>
      <c r="DT123" s="242"/>
      <c r="DU123" s="214"/>
      <c r="DV123" s="214"/>
      <c r="DW123" s="1131"/>
      <c r="DX123" s="1153"/>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24"/>
      <c r="C124" s="1124"/>
      <c r="D124" s="1124"/>
      <c r="E124" s="1124"/>
      <c r="F124" s="1125">
        <f t="shared" si="2"/>
        <v>0</v>
      </c>
      <c r="G124" s="1126" t="str">
        <f t="shared" si="3"/>
        <v/>
      </c>
      <c r="H124" s="112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7">
        <f t="shared" si="135"/>
        <v>0</v>
      </c>
      <c r="J124" s="1128">
        <f t="shared" si="135"/>
        <v>0</v>
      </c>
      <c r="K124" s="214"/>
      <c r="L124" s="242" t="str">
        <f t="array" ref="L124">IFERROR(INDEX('💻シート作成'!$D$6:$D999, MATCH(M124, '💻シート作成'!$E$6:$E999, 0)), "")</f>
        <v/>
      </c>
      <c r="M124" s="1023"/>
      <c r="N124" s="214"/>
      <c r="O124" s="1087"/>
      <c r="P124" s="214"/>
      <c r="Q124" s="1131"/>
      <c r="R124" s="1153"/>
      <c r="S124" s="242"/>
      <c r="T124" s="242"/>
      <c r="U124" s="242"/>
      <c r="V124" s="242">
        <f t="shared" si="5"/>
        <v>0</v>
      </c>
      <c r="W124" s="242"/>
      <c r="X124" s="242"/>
      <c r="Y124" s="214"/>
      <c r="Z124" s="214"/>
      <c r="AA124" s="1131"/>
      <c r="AB124" s="1153"/>
      <c r="AC124" s="242"/>
      <c r="AD124" s="242"/>
      <c r="AE124" s="242"/>
      <c r="AF124" s="242">
        <f t="shared" si="6"/>
        <v>0</v>
      </c>
      <c r="AG124" s="242"/>
      <c r="AH124" s="242"/>
      <c r="AI124" s="214"/>
      <c r="AJ124" s="214"/>
      <c r="AK124" s="1131"/>
      <c r="AL124" s="1153"/>
      <c r="AM124" s="242"/>
      <c r="AN124" s="242"/>
      <c r="AO124" s="242"/>
      <c r="AP124" s="242">
        <f t="shared" si="7"/>
        <v>0</v>
      </c>
      <c r="AQ124" s="242"/>
      <c r="AR124" s="242"/>
      <c r="AS124" s="237"/>
      <c r="AT124" s="214"/>
      <c r="AU124" s="1138"/>
      <c r="AV124" s="1155"/>
      <c r="AW124" s="1140"/>
      <c r="AX124" s="1140"/>
      <c r="AY124" s="1140"/>
      <c r="AZ124" s="1140">
        <f t="shared" si="8"/>
        <v>0</v>
      </c>
      <c r="BA124" s="1140"/>
      <c r="BB124" s="1140"/>
      <c r="BC124" s="214"/>
      <c r="BD124" s="214"/>
      <c r="BE124" s="1131"/>
      <c r="BF124" s="1153"/>
      <c r="BG124" s="242"/>
      <c r="BH124" s="242"/>
      <c r="BI124" s="242"/>
      <c r="BJ124" s="242">
        <f t="shared" si="9"/>
        <v>0</v>
      </c>
      <c r="BK124" s="242"/>
      <c r="BL124" s="242"/>
      <c r="BM124" s="214"/>
      <c r="BN124" s="214"/>
      <c r="BO124" s="1131"/>
      <c r="BP124" s="1153"/>
      <c r="BQ124" s="242"/>
      <c r="BR124" s="242"/>
      <c r="BS124" s="242"/>
      <c r="BT124" s="242">
        <f t="shared" si="10"/>
        <v>0</v>
      </c>
      <c r="BU124" s="242"/>
      <c r="BV124" s="242"/>
      <c r="BW124" s="237"/>
      <c r="BX124" s="214"/>
      <c r="BY124" s="1131"/>
      <c r="BZ124" s="1153"/>
      <c r="CA124" s="242"/>
      <c r="CB124" s="242"/>
      <c r="CC124" s="242"/>
      <c r="CD124" s="242">
        <f t="shared" si="11"/>
        <v>0</v>
      </c>
      <c r="CE124" s="242"/>
      <c r="CF124" s="242"/>
      <c r="CG124" s="214"/>
      <c r="CH124" s="214"/>
      <c r="CI124" s="1131"/>
      <c r="CJ124" s="1153"/>
      <c r="CK124" s="242"/>
      <c r="CL124" s="242"/>
      <c r="CM124" s="242"/>
      <c r="CN124" s="242">
        <f t="shared" si="12"/>
        <v>0</v>
      </c>
      <c r="CO124" s="242"/>
      <c r="CP124" s="242"/>
      <c r="CQ124" s="214"/>
      <c r="CR124" s="214"/>
      <c r="CS124" s="1131"/>
      <c r="CT124" s="1153"/>
      <c r="CU124" s="242"/>
      <c r="CV124" s="242"/>
      <c r="CW124" s="242"/>
      <c r="CX124" s="242">
        <f t="shared" si="13"/>
        <v>0</v>
      </c>
      <c r="CY124" s="242"/>
      <c r="CZ124" s="242"/>
      <c r="DA124" s="237"/>
      <c r="DB124" s="214"/>
      <c r="DC124" s="1131"/>
      <c r="DD124" s="1153"/>
      <c r="DE124" s="242"/>
      <c r="DF124" s="242"/>
      <c r="DG124" s="242"/>
      <c r="DH124" s="242">
        <f t="shared" si="14"/>
        <v>0</v>
      </c>
      <c r="DI124" s="242"/>
      <c r="DJ124" s="242"/>
      <c r="DK124" s="214"/>
      <c r="DL124" s="214"/>
      <c r="DM124" s="1131"/>
      <c r="DN124" s="1153"/>
      <c r="DO124" s="242"/>
      <c r="DP124" s="242"/>
      <c r="DQ124" s="242"/>
      <c r="DR124" s="242">
        <f t="shared" si="15"/>
        <v>0</v>
      </c>
      <c r="DS124" s="242"/>
      <c r="DT124" s="242"/>
      <c r="DU124" s="214"/>
      <c r="DV124" s="214"/>
      <c r="DW124" s="1131"/>
      <c r="DX124" s="1153"/>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24"/>
      <c r="C125" s="1124"/>
      <c r="D125" s="1124"/>
      <c r="E125" s="1124"/>
      <c r="F125" s="1125">
        <f t="shared" si="2"/>
        <v>0</v>
      </c>
      <c r="G125" s="1126" t="str">
        <f t="shared" si="3"/>
        <v/>
      </c>
      <c r="H125" s="112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7">
        <f t="shared" si="136"/>
        <v>0</v>
      </c>
      <c r="J125" s="1128">
        <f t="shared" si="136"/>
        <v>0</v>
      </c>
      <c r="K125" s="214"/>
      <c r="L125" s="242" t="str">
        <f t="array" ref="L125">IFERROR(INDEX('💻シート作成'!$D$6:$D999, MATCH(M125, '💻シート作成'!$E$6:$E999, 0)), "")</f>
        <v/>
      </c>
      <c r="M125" s="1023"/>
      <c r="N125" s="214"/>
      <c r="O125" s="1087"/>
      <c r="P125" s="214"/>
      <c r="Q125" s="1131"/>
      <c r="R125" s="1153"/>
      <c r="S125" s="242"/>
      <c r="T125" s="242"/>
      <c r="U125" s="242"/>
      <c r="V125" s="242">
        <f t="shared" si="5"/>
        <v>0</v>
      </c>
      <c r="W125" s="242"/>
      <c r="X125" s="242"/>
      <c r="Y125" s="214"/>
      <c r="Z125" s="214"/>
      <c r="AA125" s="1131"/>
      <c r="AB125" s="1153"/>
      <c r="AC125" s="242"/>
      <c r="AD125" s="242"/>
      <c r="AE125" s="242"/>
      <c r="AF125" s="242">
        <f t="shared" si="6"/>
        <v>0</v>
      </c>
      <c r="AG125" s="242"/>
      <c r="AH125" s="242"/>
      <c r="AI125" s="214"/>
      <c r="AJ125" s="214"/>
      <c r="AK125" s="1131"/>
      <c r="AL125" s="1153"/>
      <c r="AM125" s="242"/>
      <c r="AN125" s="242"/>
      <c r="AO125" s="242"/>
      <c r="AP125" s="242">
        <f t="shared" si="7"/>
        <v>0</v>
      </c>
      <c r="AQ125" s="242"/>
      <c r="AR125" s="242"/>
      <c r="AS125" s="237"/>
      <c r="AT125" s="214"/>
      <c r="AU125" s="1138"/>
      <c r="AV125" s="1155"/>
      <c r="AW125" s="1140"/>
      <c r="AX125" s="1140"/>
      <c r="AY125" s="1140"/>
      <c r="AZ125" s="1140">
        <f t="shared" si="8"/>
        <v>0</v>
      </c>
      <c r="BA125" s="1140"/>
      <c r="BB125" s="1140"/>
      <c r="BC125" s="214"/>
      <c r="BD125" s="214"/>
      <c r="BE125" s="1131"/>
      <c r="BF125" s="1153"/>
      <c r="BG125" s="242"/>
      <c r="BH125" s="242"/>
      <c r="BI125" s="242"/>
      <c r="BJ125" s="242">
        <f t="shared" si="9"/>
        <v>0</v>
      </c>
      <c r="BK125" s="242"/>
      <c r="BL125" s="242"/>
      <c r="BM125" s="214"/>
      <c r="BN125" s="214"/>
      <c r="BO125" s="1131"/>
      <c r="BP125" s="1153"/>
      <c r="BQ125" s="242"/>
      <c r="BR125" s="242"/>
      <c r="BS125" s="242"/>
      <c r="BT125" s="242">
        <f t="shared" si="10"/>
        <v>0</v>
      </c>
      <c r="BU125" s="242"/>
      <c r="BV125" s="242"/>
      <c r="BW125" s="237"/>
      <c r="BX125" s="214"/>
      <c r="BY125" s="1131"/>
      <c r="BZ125" s="1153"/>
      <c r="CA125" s="242"/>
      <c r="CB125" s="242"/>
      <c r="CC125" s="242"/>
      <c r="CD125" s="242">
        <f t="shared" si="11"/>
        <v>0</v>
      </c>
      <c r="CE125" s="242"/>
      <c r="CF125" s="242"/>
      <c r="CG125" s="214"/>
      <c r="CH125" s="214"/>
      <c r="CI125" s="1131"/>
      <c r="CJ125" s="1153"/>
      <c r="CK125" s="242"/>
      <c r="CL125" s="242"/>
      <c r="CM125" s="242"/>
      <c r="CN125" s="242">
        <f t="shared" si="12"/>
        <v>0</v>
      </c>
      <c r="CO125" s="242"/>
      <c r="CP125" s="242"/>
      <c r="CQ125" s="214"/>
      <c r="CR125" s="214"/>
      <c r="CS125" s="1131"/>
      <c r="CT125" s="1153"/>
      <c r="CU125" s="242"/>
      <c r="CV125" s="242"/>
      <c r="CW125" s="242"/>
      <c r="CX125" s="242">
        <f t="shared" si="13"/>
        <v>0</v>
      </c>
      <c r="CY125" s="242"/>
      <c r="CZ125" s="242"/>
      <c r="DA125" s="237"/>
      <c r="DB125" s="214"/>
      <c r="DC125" s="1131"/>
      <c r="DD125" s="1153"/>
      <c r="DE125" s="242"/>
      <c r="DF125" s="242"/>
      <c r="DG125" s="242"/>
      <c r="DH125" s="242">
        <f t="shared" si="14"/>
        <v>0</v>
      </c>
      <c r="DI125" s="242"/>
      <c r="DJ125" s="242"/>
      <c r="DK125" s="214"/>
      <c r="DL125" s="214"/>
      <c r="DM125" s="1131"/>
      <c r="DN125" s="1153"/>
      <c r="DO125" s="242"/>
      <c r="DP125" s="242"/>
      <c r="DQ125" s="242"/>
      <c r="DR125" s="242">
        <f t="shared" si="15"/>
        <v>0</v>
      </c>
      <c r="DS125" s="242"/>
      <c r="DT125" s="242"/>
      <c r="DU125" s="214"/>
      <c r="DV125" s="214"/>
      <c r="DW125" s="1131"/>
      <c r="DX125" s="1153"/>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24"/>
      <c r="C126" s="1124"/>
      <c r="D126" s="1124"/>
      <c r="E126" s="1124"/>
      <c r="F126" s="1125">
        <f t="shared" si="2"/>
        <v>0</v>
      </c>
      <c r="G126" s="1126" t="str">
        <f t="shared" si="3"/>
        <v/>
      </c>
      <c r="H126" s="112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7">
        <f t="shared" si="137"/>
        <v>0</v>
      </c>
      <c r="J126" s="1128">
        <f t="shared" si="137"/>
        <v>0</v>
      </c>
      <c r="K126" s="214"/>
      <c r="L126" s="242" t="str">
        <f t="array" ref="L126">IFERROR(INDEX('💻シート作成'!$D$6:$D999, MATCH(M126, '💻シート作成'!$E$6:$E999, 0)), "")</f>
        <v/>
      </c>
      <c r="M126" s="1023"/>
      <c r="N126" s="214"/>
      <c r="O126" s="1087"/>
      <c r="P126" s="214"/>
      <c r="Q126" s="1131"/>
      <c r="R126" s="1153"/>
      <c r="S126" s="242"/>
      <c r="T126" s="242"/>
      <c r="U126" s="242"/>
      <c r="V126" s="242">
        <f t="shared" si="5"/>
        <v>0</v>
      </c>
      <c r="W126" s="242"/>
      <c r="X126" s="242"/>
      <c r="Y126" s="214"/>
      <c r="Z126" s="214"/>
      <c r="AA126" s="1131"/>
      <c r="AB126" s="1153"/>
      <c r="AC126" s="242"/>
      <c r="AD126" s="242"/>
      <c r="AE126" s="242"/>
      <c r="AF126" s="242">
        <f t="shared" si="6"/>
        <v>0</v>
      </c>
      <c r="AG126" s="242"/>
      <c r="AH126" s="242"/>
      <c r="AI126" s="214"/>
      <c r="AJ126" s="214"/>
      <c r="AK126" s="1131"/>
      <c r="AL126" s="1153"/>
      <c r="AM126" s="242"/>
      <c r="AN126" s="242"/>
      <c r="AO126" s="242"/>
      <c r="AP126" s="242">
        <f t="shared" si="7"/>
        <v>0</v>
      </c>
      <c r="AQ126" s="242"/>
      <c r="AR126" s="242"/>
      <c r="AS126" s="237"/>
      <c r="AT126" s="214"/>
      <c r="AU126" s="1138"/>
      <c r="AV126" s="1155"/>
      <c r="AW126" s="1140"/>
      <c r="AX126" s="1140"/>
      <c r="AY126" s="1140"/>
      <c r="AZ126" s="1140">
        <f t="shared" si="8"/>
        <v>0</v>
      </c>
      <c r="BA126" s="1140"/>
      <c r="BB126" s="1140"/>
      <c r="BC126" s="214"/>
      <c r="BD126" s="214"/>
      <c r="BE126" s="1131"/>
      <c r="BF126" s="1153"/>
      <c r="BG126" s="242"/>
      <c r="BH126" s="242"/>
      <c r="BI126" s="242"/>
      <c r="BJ126" s="242">
        <f t="shared" si="9"/>
        <v>0</v>
      </c>
      <c r="BK126" s="242"/>
      <c r="BL126" s="242"/>
      <c r="BM126" s="214"/>
      <c r="BN126" s="214"/>
      <c r="BO126" s="1131"/>
      <c r="BP126" s="1153"/>
      <c r="BQ126" s="242"/>
      <c r="BR126" s="242"/>
      <c r="BS126" s="242"/>
      <c r="BT126" s="242">
        <f t="shared" si="10"/>
        <v>0</v>
      </c>
      <c r="BU126" s="242"/>
      <c r="BV126" s="242"/>
      <c r="BW126" s="237"/>
      <c r="BX126" s="214"/>
      <c r="BY126" s="1131"/>
      <c r="BZ126" s="1153"/>
      <c r="CA126" s="242"/>
      <c r="CB126" s="242"/>
      <c r="CC126" s="242"/>
      <c r="CD126" s="242">
        <f t="shared" si="11"/>
        <v>0</v>
      </c>
      <c r="CE126" s="242"/>
      <c r="CF126" s="242"/>
      <c r="CG126" s="214"/>
      <c r="CH126" s="214"/>
      <c r="CI126" s="1131"/>
      <c r="CJ126" s="1153"/>
      <c r="CK126" s="242"/>
      <c r="CL126" s="242"/>
      <c r="CM126" s="242"/>
      <c r="CN126" s="242">
        <f t="shared" si="12"/>
        <v>0</v>
      </c>
      <c r="CO126" s="242"/>
      <c r="CP126" s="242"/>
      <c r="CQ126" s="214"/>
      <c r="CR126" s="214"/>
      <c r="CS126" s="1131"/>
      <c r="CT126" s="1153"/>
      <c r="CU126" s="242"/>
      <c r="CV126" s="242"/>
      <c r="CW126" s="242"/>
      <c r="CX126" s="242">
        <f t="shared" si="13"/>
        <v>0</v>
      </c>
      <c r="CY126" s="242"/>
      <c r="CZ126" s="242"/>
      <c r="DA126" s="237"/>
      <c r="DB126" s="214"/>
      <c r="DC126" s="1131"/>
      <c r="DD126" s="1153"/>
      <c r="DE126" s="242"/>
      <c r="DF126" s="242"/>
      <c r="DG126" s="242"/>
      <c r="DH126" s="242">
        <f t="shared" si="14"/>
        <v>0</v>
      </c>
      <c r="DI126" s="242"/>
      <c r="DJ126" s="242"/>
      <c r="DK126" s="214"/>
      <c r="DL126" s="214"/>
      <c r="DM126" s="1131"/>
      <c r="DN126" s="1153"/>
      <c r="DO126" s="242"/>
      <c r="DP126" s="242"/>
      <c r="DQ126" s="242"/>
      <c r="DR126" s="242">
        <f t="shared" si="15"/>
        <v>0</v>
      </c>
      <c r="DS126" s="242"/>
      <c r="DT126" s="242"/>
      <c r="DU126" s="214"/>
      <c r="DV126" s="214"/>
      <c r="DW126" s="1131"/>
      <c r="DX126" s="1153"/>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24"/>
      <c r="C127" s="1124"/>
      <c r="D127" s="1124"/>
      <c r="E127" s="1124"/>
      <c r="F127" s="1125">
        <f t="shared" si="2"/>
        <v>0</v>
      </c>
      <c r="G127" s="1126" t="str">
        <f t="shared" si="3"/>
        <v/>
      </c>
      <c r="H127" s="112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7">
        <f t="shared" si="138"/>
        <v>0</v>
      </c>
      <c r="J127" s="1128">
        <f t="shared" si="138"/>
        <v>0</v>
      </c>
      <c r="K127" s="214"/>
      <c r="L127" s="242" t="str">
        <f t="array" ref="L127">IFERROR(INDEX('💻シート作成'!$D$6:$D999, MATCH(M127, '💻シート作成'!$E$6:$E999, 0)), "")</f>
        <v/>
      </c>
      <c r="M127" s="1023"/>
      <c r="N127" s="214"/>
      <c r="O127" s="1087"/>
      <c r="P127" s="214"/>
      <c r="Q127" s="1131"/>
      <c r="R127" s="1153"/>
      <c r="S127" s="242"/>
      <c r="T127" s="242"/>
      <c r="U127" s="242"/>
      <c r="V127" s="242">
        <f t="shared" si="5"/>
        <v>0</v>
      </c>
      <c r="W127" s="242"/>
      <c r="X127" s="242"/>
      <c r="Y127" s="214"/>
      <c r="Z127" s="214"/>
      <c r="AA127" s="1131"/>
      <c r="AB127" s="1153"/>
      <c r="AC127" s="242"/>
      <c r="AD127" s="242"/>
      <c r="AE127" s="242"/>
      <c r="AF127" s="242">
        <f t="shared" si="6"/>
        <v>0</v>
      </c>
      <c r="AG127" s="242"/>
      <c r="AH127" s="242"/>
      <c r="AI127" s="214"/>
      <c r="AJ127" s="214"/>
      <c r="AK127" s="1131"/>
      <c r="AL127" s="1153"/>
      <c r="AM127" s="242"/>
      <c r="AN127" s="242"/>
      <c r="AO127" s="242"/>
      <c r="AP127" s="242">
        <f t="shared" si="7"/>
        <v>0</v>
      </c>
      <c r="AQ127" s="242"/>
      <c r="AR127" s="242"/>
      <c r="AS127" s="237"/>
      <c r="AT127" s="214"/>
      <c r="AU127" s="1138"/>
      <c r="AV127" s="1155"/>
      <c r="AW127" s="1140"/>
      <c r="AX127" s="1140"/>
      <c r="AY127" s="1140"/>
      <c r="AZ127" s="1140">
        <f t="shared" si="8"/>
        <v>0</v>
      </c>
      <c r="BA127" s="1140"/>
      <c r="BB127" s="1140"/>
      <c r="BC127" s="214"/>
      <c r="BD127" s="214"/>
      <c r="BE127" s="1131"/>
      <c r="BF127" s="1153"/>
      <c r="BG127" s="242"/>
      <c r="BH127" s="242"/>
      <c r="BI127" s="242"/>
      <c r="BJ127" s="242">
        <f t="shared" si="9"/>
        <v>0</v>
      </c>
      <c r="BK127" s="242"/>
      <c r="BL127" s="242"/>
      <c r="BM127" s="214"/>
      <c r="BN127" s="214"/>
      <c r="BO127" s="1131"/>
      <c r="BP127" s="1153"/>
      <c r="BQ127" s="242"/>
      <c r="BR127" s="242"/>
      <c r="BS127" s="242"/>
      <c r="BT127" s="242">
        <f t="shared" si="10"/>
        <v>0</v>
      </c>
      <c r="BU127" s="242"/>
      <c r="BV127" s="242"/>
      <c r="BW127" s="237"/>
      <c r="BX127" s="214"/>
      <c r="BY127" s="1131"/>
      <c r="BZ127" s="1153"/>
      <c r="CA127" s="242"/>
      <c r="CB127" s="242"/>
      <c r="CC127" s="242"/>
      <c r="CD127" s="242">
        <f t="shared" si="11"/>
        <v>0</v>
      </c>
      <c r="CE127" s="242"/>
      <c r="CF127" s="242"/>
      <c r="CG127" s="214"/>
      <c r="CH127" s="214"/>
      <c r="CI127" s="1131"/>
      <c r="CJ127" s="1153"/>
      <c r="CK127" s="242"/>
      <c r="CL127" s="242"/>
      <c r="CM127" s="242"/>
      <c r="CN127" s="242">
        <f t="shared" si="12"/>
        <v>0</v>
      </c>
      <c r="CO127" s="242"/>
      <c r="CP127" s="242"/>
      <c r="CQ127" s="214"/>
      <c r="CR127" s="214"/>
      <c r="CS127" s="1131"/>
      <c r="CT127" s="1153"/>
      <c r="CU127" s="242"/>
      <c r="CV127" s="242"/>
      <c r="CW127" s="242"/>
      <c r="CX127" s="242">
        <f t="shared" si="13"/>
        <v>0</v>
      </c>
      <c r="CY127" s="242"/>
      <c r="CZ127" s="242"/>
      <c r="DA127" s="237"/>
      <c r="DB127" s="214"/>
      <c r="DC127" s="1131"/>
      <c r="DD127" s="1153"/>
      <c r="DE127" s="242"/>
      <c r="DF127" s="242"/>
      <c r="DG127" s="242"/>
      <c r="DH127" s="242">
        <f t="shared" si="14"/>
        <v>0</v>
      </c>
      <c r="DI127" s="242"/>
      <c r="DJ127" s="242"/>
      <c r="DK127" s="214"/>
      <c r="DL127" s="214"/>
      <c r="DM127" s="1131"/>
      <c r="DN127" s="1153"/>
      <c r="DO127" s="242"/>
      <c r="DP127" s="242"/>
      <c r="DQ127" s="242"/>
      <c r="DR127" s="242">
        <f t="shared" si="15"/>
        <v>0</v>
      </c>
      <c r="DS127" s="242"/>
      <c r="DT127" s="242"/>
      <c r="DU127" s="214"/>
      <c r="DV127" s="214"/>
      <c r="DW127" s="1131"/>
      <c r="DX127" s="1153"/>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24"/>
      <c r="C128" s="1124"/>
      <c r="D128" s="1124"/>
      <c r="E128" s="1124"/>
      <c r="F128" s="1125">
        <f t="shared" si="2"/>
        <v>0</v>
      </c>
      <c r="G128" s="1126" t="str">
        <f t="shared" si="3"/>
        <v/>
      </c>
      <c r="H128" s="112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7">
        <f t="shared" si="139"/>
        <v>0</v>
      </c>
      <c r="J128" s="1128">
        <f t="shared" si="139"/>
        <v>0</v>
      </c>
      <c r="K128" s="214"/>
      <c r="L128" s="242" t="str">
        <f t="array" ref="L128">IFERROR(INDEX('💻シート作成'!$D$6:$D999, MATCH(M128, '💻シート作成'!$E$6:$E999, 0)), "")</f>
        <v/>
      </c>
      <c r="M128" s="1023"/>
      <c r="N128" s="214"/>
      <c r="O128" s="1087"/>
      <c r="P128" s="214"/>
      <c r="Q128" s="1131"/>
      <c r="R128" s="1153"/>
      <c r="S128" s="242"/>
      <c r="T128" s="242"/>
      <c r="U128" s="242"/>
      <c r="V128" s="242">
        <f t="shared" si="5"/>
        <v>0</v>
      </c>
      <c r="W128" s="242"/>
      <c r="X128" s="242"/>
      <c r="Y128" s="214"/>
      <c r="Z128" s="214"/>
      <c r="AA128" s="1131"/>
      <c r="AB128" s="1153"/>
      <c r="AC128" s="242"/>
      <c r="AD128" s="242"/>
      <c r="AE128" s="242"/>
      <c r="AF128" s="242">
        <f t="shared" si="6"/>
        <v>0</v>
      </c>
      <c r="AG128" s="242"/>
      <c r="AH128" s="242"/>
      <c r="AI128" s="214"/>
      <c r="AJ128" s="214"/>
      <c r="AK128" s="1131"/>
      <c r="AL128" s="1153"/>
      <c r="AM128" s="242"/>
      <c r="AN128" s="242"/>
      <c r="AO128" s="242"/>
      <c r="AP128" s="242">
        <f t="shared" si="7"/>
        <v>0</v>
      </c>
      <c r="AQ128" s="242"/>
      <c r="AR128" s="242"/>
      <c r="AS128" s="237"/>
      <c r="AT128" s="214"/>
      <c r="AU128" s="1138"/>
      <c r="AV128" s="1155"/>
      <c r="AW128" s="1140"/>
      <c r="AX128" s="1140"/>
      <c r="AY128" s="1140"/>
      <c r="AZ128" s="1140">
        <f t="shared" si="8"/>
        <v>0</v>
      </c>
      <c r="BA128" s="1140"/>
      <c r="BB128" s="1140"/>
      <c r="BC128" s="214"/>
      <c r="BD128" s="214"/>
      <c r="BE128" s="1131"/>
      <c r="BF128" s="1153"/>
      <c r="BG128" s="242"/>
      <c r="BH128" s="242"/>
      <c r="BI128" s="242"/>
      <c r="BJ128" s="242">
        <f t="shared" si="9"/>
        <v>0</v>
      </c>
      <c r="BK128" s="242"/>
      <c r="BL128" s="242"/>
      <c r="BM128" s="214"/>
      <c r="BN128" s="214"/>
      <c r="BO128" s="1131"/>
      <c r="BP128" s="1153"/>
      <c r="BQ128" s="242"/>
      <c r="BR128" s="242"/>
      <c r="BS128" s="242"/>
      <c r="BT128" s="242">
        <f t="shared" si="10"/>
        <v>0</v>
      </c>
      <c r="BU128" s="242"/>
      <c r="BV128" s="242"/>
      <c r="BW128" s="237"/>
      <c r="BX128" s="214"/>
      <c r="BY128" s="1131"/>
      <c r="BZ128" s="1153"/>
      <c r="CA128" s="242"/>
      <c r="CB128" s="242"/>
      <c r="CC128" s="242"/>
      <c r="CD128" s="242">
        <f t="shared" si="11"/>
        <v>0</v>
      </c>
      <c r="CE128" s="242"/>
      <c r="CF128" s="242"/>
      <c r="CG128" s="214"/>
      <c r="CH128" s="214"/>
      <c r="CI128" s="1131"/>
      <c r="CJ128" s="1153"/>
      <c r="CK128" s="242"/>
      <c r="CL128" s="242"/>
      <c r="CM128" s="242"/>
      <c r="CN128" s="242">
        <f t="shared" si="12"/>
        <v>0</v>
      </c>
      <c r="CO128" s="242"/>
      <c r="CP128" s="242"/>
      <c r="CQ128" s="214"/>
      <c r="CR128" s="214"/>
      <c r="CS128" s="1131"/>
      <c r="CT128" s="1153"/>
      <c r="CU128" s="242"/>
      <c r="CV128" s="242"/>
      <c r="CW128" s="242"/>
      <c r="CX128" s="242">
        <f t="shared" si="13"/>
        <v>0</v>
      </c>
      <c r="CY128" s="242"/>
      <c r="CZ128" s="242"/>
      <c r="DA128" s="237"/>
      <c r="DB128" s="214"/>
      <c r="DC128" s="1131"/>
      <c r="DD128" s="1153"/>
      <c r="DE128" s="242"/>
      <c r="DF128" s="242"/>
      <c r="DG128" s="242"/>
      <c r="DH128" s="242">
        <f t="shared" si="14"/>
        <v>0</v>
      </c>
      <c r="DI128" s="242"/>
      <c r="DJ128" s="242"/>
      <c r="DK128" s="214"/>
      <c r="DL128" s="214"/>
      <c r="DM128" s="1131"/>
      <c r="DN128" s="1153"/>
      <c r="DO128" s="242"/>
      <c r="DP128" s="242"/>
      <c r="DQ128" s="242"/>
      <c r="DR128" s="242">
        <f t="shared" si="15"/>
        <v>0</v>
      </c>
      <c r="DS128" s="242"/>
      <c r="DT128" s="242"/>
      <c r="DU128" s="214"/>
      <c r="DV128" s="214"/>
      <c r="DW128" s="1131"/>
      <c r="DX128" s="1153"/>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24"/>
      <c r="C129" s="1124"/>
      <c r="D129" s="1124"/>
      <c r="E129" s="1124"/>
      <c r="F129" s="1125">
        <f t="shared" si="2"/>
        <v>0</v>
      </c>
      <c r="G129" s="1126" t="str">
        <f t="shared" si="3"/>
        <v/>
      </c>
      <c r="H129" s="112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7">
        <f t="shared" si="140"/>
        <v>0</v>
      </c>
      <c r="J129" s="1128">
        <f t="shared" si="140"/>
        <v>0</v>
      </c>
      <c r="K129" s="214"/>
      <c r="L129" s="242" t="str">
        <f t="array" ref="L129">IFERROR(INDEX('💻シート作成'!$D$6:$D999, MATCH(M129, '💻シート作成'!$E$6:$E999, 0)), "")</f>
        <v/>
      </c>
      <c r="M129" s="1023"/>
      <c r="N129" s="214"/>
      <c r="O129" s="1087"/>
      <c r="P129" s="214"/>
      <c r="Q129" s="1131"/>
      <c r="R129" s="1153"/>
      <c r="S129" s="242"/>
      <c r="T129" s="242"/>
      <c r="U129" s="242"/>
      <c r="V129" s="242">
        <f t="shared" si="5"/>
        <v>0</v>
      </c>
      <c r="W129" s="242"/>
      <c r="X129" s="242"/>
      <c r="Y129" s="214"/>
      <c r="Z129" s="214"/>
      <c r="AA129" s="1131"/>
      <c r="AB129" s="1153"/>
      <c r="AC129" s="242"/>
      <c r="AD129" s="242"/>
      <c r="AE129" s="242"/>
      <c r="AF129" s="242">
        <f t="shared" si="6"/>
        <v>0</v>
      </c>
      <c r="AG129" s="242"/>
      <c r="AH129" s="242"/>
      <c r="AI129" s="214"/>
      <c r="AJ129" s="214"/>
      <c r="AK129" s="1131"/>
      <c r="AL129" s="1153"/>
      <c r="AM129" s="242"/>
      <c r="AN129" s="242"/>
      <c r="AO129" s="242"/>
      <c r="AP129" s="242">
        <f t="shared" si="7"/>
        <v>0</v>
      </c>
      <c r="AQ129" s="242"/>
      <c r="AR129" s="242"/>
      <c r="AS129" s="237"/>
      <c r="AT129" s="214"/>
      <c r="AU129" s="1138"/>
      <c r="AV129" s="1155"/>
      <c r="AW129" s="1140"/>
      <c r="AX129" s="1140"/>
      <c r="AY129" s="1140"/>
      <c r="AZ129" s="1140">
        <f t="shared" si="8"/>
        <v>0</v>
      </c>
      <c r="BA129" s="1140"/>
      <c r="BB129" s="1140"/>
      <c r="BC129" s="214"/>
      <c r="BD129" s="214"/>
      <c r="BE129" s="1131"/>
      <c r="BF129" s="1153"/>
      <c r="BG129" s="242"/>
      <c r="BH129" s="242"/>
      <c r="BI129" s="242"/>
      <c r="BJ129" s="242">
        <f t="shared" si="9"/>
        <v>0</v>
      </c>
      <c r="BK129" s="242"/>
      <c r="BL129" s="242"/>
      <c r="BM129" s="214"/>
      <c r="BN129" s="214"/>
      <c r="BO129" s="1131"/>
      <c r="BP129" s="1153"/>
      <c r="BQ129" s="242"/>
      <c r="BR129" s="242"/>
      <c r="BS129" s="242"/>
      <c r="BT129" s="242">
        <f t="shared" si="10"/>
        <v>0</v>
      </c>
      <c r="BU129" s="242"/>
      <c r="BV129" s="242"/>
      <c r="BW129" s="237"/>
      <c r="BX129" s="214"/>
      <c r="BY129" s="1131"/>
      <c r="BZ129" s="1153"/>
      <c r="CA129" s="242"/>
      <c r="CB129" s="242"/>
      <c r="CC129" s="242"/>
      <c r="CD129" s="242">
        <f t="shared" si="11"/>
        <v>0</v>
      </c>
      <c r="CE129" s="242"/>
      <c r="CF129" s="242"/>
      <c r="CG129" s="214"/>
      <c r="CH129" s="214"/>
      <c r="CI129" s="1131"/>
      <c r="CJ129" s="1153"/>
      <c r="CK129" s="242"/>
      <c r="CL129" s="242"/>
      <c r="CM129" s="242"/>
      <c r="CN129" s="242">
        <f t="shared" si="12"/>
        <v>0</v>
      </c>
      <c r="CO129" s="242"/>
      <c r="CP129" s="242"/>
      <c r="CQ129" s="214"/>
      <c r="CR129" s="214"/>
      <c r="CS129" s="1131"/>
      <c r="CT129" s="1153"/>
      <c r="CU129" s="242"/>
      <c r="CV129" s="242"/>
      <c r="CW129" s="242"/>
      <c r="CX129" s="242">
        <f t="shared" si="13"/>
        <v>0</v>
      </c>
      <c r="CY129" s="242"/>
      <c r="CZ129" s="242"/>
      <c r="DA129" s="237"/>
      <c r="DB129" s="214"/>
      <c r="DC129" s="1131"/>
      <c r="DD129" s="1153"/>
      <c r="DE129" s="242"/>
      <c r="DF129" s="242"/>
      <c r="DG129" s="242"/>
      <c r="DH129" s="242">
        <f t="shared" si="14"/>
        <v>0</v>
      </c>
      <c r="DI129" s="242"/>
      <c r="DJ129" s="242"/>
      <c r="DK129" s="214"/>
      <c r="DL129" s="214"/>
      <c r="DM129" s="1131"/>
      <c r="DN129" s="1153"/>
      <c r="DO129" s="242"/>
      <c r="DP129" s="242"/>
      <c r="DQ129" s="242"/>
      <c r="DR129" s="242">
        <f t="shared" si="15"/>
        <v>0</v>
      </c>
      <c r="DS129" s="242"/>
      <c r="DT129" s="242"/>
      <c r="DU129" s="214"/>
      <c r="DV129" s="214"/>
      <c r="DW129" s="1131"/>
      <c r="DX129" s="1153"/>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24"/>
      <c r="C130" s="1124"/>
      <c r="D130" s="1124"/>
      <c r="E130" s="1124"/>
      <c r="F130" s="1125">
        <f t="shared" si="2"/>
        <v>0</v>
      </c>
      <c r="G130" s="1126" t="str">
        <f t="shared" si="3"/>
        <v/>
      </c>
      <c r="H130" s="112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7">
        <f t="shared" si="141"/>
        <v>0</v>
      </c>
      <c r="J130" s="1128">
        <f t="shared" si="141"/>
        <v>0</v>
      </c>
      <c r="K130" s="214"/>
      <c r="L130" s="242" t="str">
        <f t="array" ref="L130">IFERROR(INDEX('💻シート作成'!$D$6:$D999, MATCH(M130, '💻シート作成'!$E$6:$E999, 0)), "")</f>
        <v/>
      </c>
      <c r="M130" s="1023"/>
      <c r="N130" s="214"/>
      <c r="O130" s="1087"/>
      <c r="P130" s="214"/>
      <c r="Q130" s="1131"/>
      <c r="R130" s="1153"/>
      <c r="S130" s="242"/>
      <c r="T130" s="242"/>
      <c r="U130" s="242"/>
      <c r="V130" s="242">
        <f t="shared" si="5"/>
        <v>0</v>
      </c>
      <c r="W130" s="242"/>
      <c r="X130" s="242"/>
      <c r="Y130" s="214"/>
      <c r="Z130" s="214"/>
      <c r="AA130" s="1131"/>
      <c r="AB130" s="1153"/>
      <c r="AC130" s="242"/>
      <c r="AD130" s="242"/>
      <c r="AE130" s="242"/>
      <c r="AF130" s="242">
        <f t="shared" si="6"/>
        <v>0</v>
      </c>
      <c r="AG130" s="242"/>
      <c r="AH130" s="242"/>
      <c r="AI130" s="214"/>
      <c r="AJ130" s="214"/>
      <c r="AK130" s="1131"/>
      <c r="AL130" s="1153"/>
      <c r="AM130" s="242"/>
      <c r="AN130" s="242"/>
      <c r="AO130" s="242"/>
      <c r="AP130" s="242">
        <f t="shared" si="7"/>
        <v>0</v>
      </c>
      <c r="AQ130" s="242"/>
      <c r="AR130" s="242"/>
      <c r="AS130" s="237"/>
      <c r="AT130" s="214"/>
      <c r="AU130" s="1138"/>
      <c r="AV130" s="1155"/>
      <c r="AW130" s="1140"/>
      <c r="AX130" s="1140"/>
      <c r="AY130" s="1140"/>
      <c r="AZ130" s="1140">
        <f t="shared" si="8"/>
        <v>0</v>
      </c>
      <c r="BA130" s="1140"/>
      <c r="BB130" s="1140"/>
      <c r="BC130" s="214"/>
      <c r="BD130" s="214"/>
      <c r="BE130" s="1131"/>
      <c r="BF130" s="1153"/>
      <c r="BG130" s="242"/>
      <c r="BH130" s="242"/>
      <c r="BI130" s="242"/>
      <c r="BJ130" s="242">
        <f t="shared" si="9"/>
        <v>0</v>
      </c>
      <c r="BK130" s="242"/>
      <c r="BL130" s="242"/>
      <c r="BM130" s="214"/>
      <c r="BN130" s="214"/>
      <c r="BO130" s="1131"/>
      <c r="BP130" s="1153"/>
      <c r="BQ130" s="242"/>
      <c r="BR130" s="242"/>
      <c r="BS130" s="242"/>
      <c r="BT130" s="242">
        <f t="shared" si="10"/>
        <v>0</v>
      </c>
      <c r="BU130" s="242"/>
      <c r="BV130" s="242"/>
      <c r="BW130" s="237"/>
      <c r="BX130" s="214"/>
      <c r="BY130" s="1131"/>
      <c r="BZ130" s="1153"/>
      <c r="CA130" s="242"/>
      <c r="CB130" s="242"/>
      <c r="CC130" s="242"/>
      <c r="CD130" s="242">
        <f t="shared" si="11"/>
        <v>0</v>
      </c>
      <c r="CE130" s="242"/>
      <c r="CF130" s="242"/>
      <c r="CG130" s="214"/>
      <c r="CH130" s="214"/>
      <c r="CI130" s="1131"/>
      <c r="CJ130" s="1153"/>
      <c r="CK130" s="242"/>
      <c r="CL130" s="242"/>
      <c r="CM130" s="242"/>
      <c r="CN130" s="242">
        <f t="shared" si="12"/>
        <v>0</v>
      </c>
      <c r="CO130" s="242"/>
      <c r="CP130" s="242"/>
      <c r="CQ130" s="214"/>
      <c r="CR130" s="214"/>
      <c r="CS130" s="1131"/>
      <c r="CT130" s="1153"/>
      <c r="CU130" s="242"/>
      <c r="CV130" s="242"/>
      <c r="CW130" s="242"/>
      <c r="CX130" s="242">
        <f t="shared" si="13"/>
        <v>0</v>
      </c>
      <c r="CY130" s="242"/>
      <c r="CZ130" s="242"/>
      <c r="DA130" s="237"/>
      <c r="DB130" s="214"/>
      <c r="DC130" s="1131"/>
      <c r="DD130" s="1153"/>
      <c r="DE130" s="242"/>
      <c r="DF130" s="242"/>
      <c r="DG130" s="242"/>
      <c r="DH130" s="242">
        <f t="shared" si="14"/>
        <v>0</v>
      </c>
      <c r="DI130" s="242"/>
      <c r="DJ130" s="242"/>
      <c r="DK130" s="214"/>
      <c r="DL130" s="214"/>
      <c r="DM130" s="1131"/>
      <c r="DN130" s="1153"/>
      <c r="DO130" s="242"/>
      <c r="DP130" s="242"/>
      <c r="DQ130" s="242"/>
      <c r="DR130" s="242">
        <f t="shared" si="15"/>
        <v>0</v>
      </c>
      <c r="DS130" s="242"/>
      <c r="DT130" s="242"/>
      <c r="DU130" s="214"/>
      <c r="DV130" s="214"/>
      <c r="DW130" s="1131"/>
      <c r="DX130" s="1153"/>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24"/>
      <c r="C131" s="1124"/>
      <c r="D131" s="1124"/>
      <c r="E131" s="1124"/>
      <c r="F131" s="1125">
        <f t="shared" si="2"/>
        <v>0</v>
      </c>
      <c r="G131" s="1126" t="str">
        <f t="shared" si="3"/>
        <v/>
      </c>
      <c r="H131" s="112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7">
        <f t="shared" si="142"/>
        <v>0</v>
      </c>
      <c r="J131" s="1128">
        <f t="shared" si="142"/>
        <v>0</v>
      </c>
      <c r="K131" s="214"/>
      <c r="L131" s="242" t="str">
        <f t="array" ref="L131">IFERROR(INDEX('💻シート作成'!$D$6:$D999, MATCH(M131, '💻シート作成'!$E$6:$E999, 0)), "")</f>
        <v/>
      </c>
      <c r="M131" s="1023"/>
      <c r="N131" s="214"/>
      <c r="O131" s="1087"/>
      <c r="P131" s="214"/>
      <c r="Q131" s="1131"/>
      <c r="R131" s="1153"/>
      <c r="S131" s="242"/>
      <c r="T131" s="242"/>
      <c r="U131" s="242"/>
      <c r="V131" s="242">
        <f t="shared" si="5"/>
        <v>0</v>
      </c>
      <c r="W131" s="242"/>
      <c r="X131" s="242"/>
      <c r="Y131" s="214"/>
      <c r="Z131" s="214"/>
      <c r="AA131" s="1131"/>
      <c r="AB131" s="1153"/>
      <c r="AC131" s="242"/>
      <c r="AD131" s="242"/>
      <c r="AE131" s="242"/>
      <c r="AF131" s="242">
        <f t="shared" si="6"/>
        <v>0</v>
      </c>
      <c r="AG131" s="242"/>
      <c r="AH131" s="242"/>
      <c r="AI131" s="214"/>
      <c r="AJ131" s="214"/>
      <c r="AK131" s="1131"/>
      <c r="AL131" s="1153"/>
      <c r="AM131" s="242"/>
      <c r="AN131" s="242"/>
      <c r="AO131" s="242"/>
      <c r="AP131" s="242">
        <f t="shared" si="7"/>
        <v>0</v>
      </c>
      <c r="AQ131" s="242"/>
      <c r="AR131" s="242"/>
      <c r="AS131" s="237"/>
      <c r="AT131" s="214"/>
      <c r="AU131" s="1138"/>
      <c r="AV131" s="1155"/>
      <c r="AW131" s="1140"/>
      <c r="AX131" s="1140"/>
      <c r="AY131" s="1140"/>
      <c r="AZ131" s="1140">
        <f t="shared" si="8"/>
        <v>0</v>
      </c>
      <c r="BA131" s="1140"/>
      <c r="BB131" s="1140"/>
      <c r="BC131" s="214"/>
      <c r="BD131" s="214"/>
      <c r="BE131" s="1131"/>
      <c r="BF131" s="1153"/>
      <c r="BG131" s="242"/>
      <c r="BH131" s="242"/>
      <c r="BI131" s="242"/>
      <c r="BJ131" s="242">
        <f t="shared" si="9"/>
        <v>0</v>
      </c>
      <c r="BK131" s="242"/>
      <c r="BL131" s="242"/>
      <c r="BM131" s="214"/>
      <c r="BN131" s="214"/>
      <c r="BO131" s="1131"/>
      <c r="BP131" s="1153"/>
      <c r="BQ131" s="242"/>
      <c r="BR131" s="242"/>
      <c r="BS131" s="242"/>
      <c r="BT131" s="242">
        <f t="shared" si="10"/>
        <v>0</v>
      </c>
      <c r="BU131" s="242"/>
      <c r="BV131" s="242"/>
      <c r="BW131" s="237"/>
      <c r="BX131" s="214"/>
      <c r="BY131" s="1131"/>
      <c r="BZ131" s="1153"/>
      <c r="CA131" s="242"/>
      <c r="CB131" s="242"/>
      <c r="CC131" s="242"/>
      <c r="CD131" s="242">
        <f t="shared" si="11"/>
        <v>0</v>
      </c>
      <c r="CE131" s="242"/>
      <c r="CF131" s="242"/>
      <c r="CG131" s="214"/>
      <c r="CH131" s="214"/>
      <c r="CI131" s="1131"/>
      <c r="CJ131" s="1153"/>
      <c r="CK131" s="242"/>
      <c r="CL131" s="242"/>
      <c r="CM131" s="242"/>
      <c r="CN131" s="242">
        <f t="shared" si="12"/>
        <v>0</v>
      </c>
      <c r="CO131" s="242"/>
      <c r="CP131" s="242"/>
      <c r="CQ131" s="214"/>
      <c r="CR131" s="214"/>
      <c r="CS131" s="1131"/>
      <c r="CT131" s="1153"/>
      <c r="CU131" s="242"/>
      <c r="CV131" s="242"/>
      <c r="CW131" s="242"/>
      <c r="CX131" s="242">
        <f t="shared" si="13"/>
        <v>0</v>
      </c>
      <c r="CY131" s="242"/>
      <c r="CZ131" s="242"/>
      <c r="DA131" s="237"/>
      <c r="DB131" s="214"/>
      <c r="DC131" s="1131"/>
      <c r="DD131" s="1153"/>
      <c r="DE131" s="242"/>
      <c r="DF131" s="242"/>
      <c r="DG131" s="242"/>
      <c r="DH131" s="242">
        <f t="shared" si="14"/>
        <v>0</v>
      </c>
      <c r="DI131" s="242"/>
      <c r="DJ131" s="242"/>
      <c r="DK131" s="214"/>
      <c r="DL131" s="214"/>
      <c r="DM131" s="1131"/>
      <c r="DN131" s="1153"/>
      <c r="DO131" s="242"/>
      <c r="DP131" s="242"/>
      <c r="DQ131" s="242"/>
      <c r="DR131" s="242">
        <f t="shared" si="15"/>
        <v>0</v>
      </c>
      <c r="DS131" s="242"/>
      <c r="DT131" s="242"/>
      <c r="DU131" s="214"/>
      <c r="DV131" s="214"/>
      <c r="DW131" s="1131"/>
      <c r="DX131" s="1153"/>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24"/>
      <c r="C132" s="1124"/>
      <c r="D132" s="1124"/>
      <c r="E132" s="1124"/>
      <c r="F132" s="1125">
        <f t="shared" si="2"/>
        <v>0</v>
      </c>
      <c r="G132" s="1126" t="str">
        <f t="shared" si="3"/>
        <v/>
      </c>
      <c r="H132" s="112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7">
        <f t="shared" si="143"/>
        <v>0</v>
      </c>
      <c r="J132" s="1128">
        <f t="shared" si="143"/>
        <v>0</v>
      </c>
      <c r="K132" s="214"/>
      <c r="L132" s="242" t="str">
        <f t="array" ref="L132">IFERROR(INDEX('💻シート作成'!$D$6:$D999, MATCH(M132, '💻シート作成'!$E$6:$E999, 0)), "")</f>
        <v/>
      </c>
      <c r="M132" s="1023"/>
      <c r="N132" s="214"/>
      <c r="O132" s="1087"/>
      <c r="P132" s="214"/>
      <c r="Q132" s="1131"/>
      <c r="R132" s="1153"/>
      <c r="S132" s="242"/>
      <c r="T132" s="242"/>
      <c r="U132" s="242"/>
      <c r="V132" s="242">
        <f t="shared" si="5"/>
        <v>0</v>
      </c>
      <c r="W132" s="242"/>
      <c r="X132" s="242"/>
      <c r="Y132" s="214"/>
      <c r="Z132" s="214"/>
      <c r="AA132" s="1131"/>
      <c r="AB132" s="1153"/>
      <c r="AC132" s="242"/>
      <c r="AD132" s="242"/>
      <c r="AE132" s="242"/>
      <c r="AF132" s="242">
        <f t="shared" si="6"/>
        <v>0</v>
      </c>
      <c r="AG132" s="242"/>
      <c r="AH132" s="242"/>
      <c r="AI132" s="214"/>
      <c r="AJ132" s="214"/>
      <c r="AK132" s="1131"/>
      <c r="AL132" s="1153"/>
      <c r="AM132" s="242"/>
      <c r="AN132" s="242"/>
      <c r="AO132" s="242"/>
      <c r="AP132" s="242">
        <f t="shared" si="7"/>
        <v>0</v>
      </c>
      <c r="AQ132" s="242"/>
      <c r="AR132" s="242"/>
      <c r="AS132" s="237"/>
      <c r="AT132" s="214"/>
      <c r="AU132" s="1138"/>
      <c r="AV132" s="1155"/>
      <c r="AW132" s="1140"/>
      <c r="AX132" s="1140"/>
      <c r="AY132" s="1140"/>
      <c r="AZ132" s="1140">
        <f t="shared" si="8"/>
        <v>0</v>
      </c>
      <c r="BA132" s="1140"/>
      <c r="BB132" s="1140"/>
      <c r="BC132" s="214"/>
      <c r="BD132" s="214"/>
      <c r="BE132" s="1131"/>
      <c r="BF132" s="1153"/>
      <c r="BG132" s="242"/>
      <c r="BH132" s="242"/>
      <c r="BI132" s="242"/>
      <c r="BJ132" s="242">
        <f t="shared" si="9"/>
        <v>0</v>
      </c>
      <c r="BK132" s="242"/>
      <c r="BL132" s="242"/>
      <c r="BM132" s="214"/>
      <c r="BN132" s="214"/>
      <c r="BO132" s="1131"/>
      <c r="BP132" s="1153"/>
      <c r="BQ132" s="242"/>
      <c r="BR132" s="242"/>
      <c r="BS132" s="242"/>
      <c r="BT132" s="242">
        <f t="shared" si="10"/>
        <v>0</v>
      </c>
      <c r="BU132" s="242"/>
      <c r="BV132" s="242"/>
      <c r="BW132" s="237"/>
      <c r="BX132" s="214"/>
      <c r="BY132" s="1131"/>
      <c r="BZ132" s="1153"/>
      <c r="CA132" s="242"/>
      <c r="CB132" s="242"/>
      <c r="CC132" s="242"/>
      <c r="CD132" s="242">
        <f t="shared" si="11"/>
        <v>0</v>
      </c>
      <c r="CE132" s="242"/>
      <c r="CF132" s="242"/>
      <c r="CG132" s="214"/>
      <c r="CH132" s="214"/>
      <c r="CI132" s="1131"/>
      <c r="CJ132" s="1153"/>
      <c r="CK132" s="242"/>
      <c r="CL132" s="242"/>
      <c r="CM132" s="242"/>
      <c r="CN132" s="242">
        <f t="shared" si="12"/>
        <v>0</v>
      </c>
      <c r="CO132" s="242"/>
      <c r="CP132" s="242"/>
      <c r="CQ132" s="214"/>
      <c r="CR132" s="214"/>
      <c r="CS132" s="1131"/>
      <c r="CT132" s="1153"/>
      <c r="CU132" s="242"/>
      <c r="CV132" s="242"/>
      <c r="CW132" s="242"/>
      <c r="CX132" s="242">
        <f t="shared" si="13"/>
        <v>0</v>
      </c>
      <c r="CY132" s="242"/>
      <c r="CZ132" s="242"/>
      <c r="DA132" s="237"/>
      <c r="DB132" s="214"/>
      <c r="DC132" s="1131"/>
      <c r="DD132" s="1153"/>
      <c r="DE132" s="242"/>
      <c r="DF132" s="242"/>
      <c r="DG132" s="242"/>
      <c r="DH132" s="242">
        <f t="shared" si="14"/>
        <v>0</v>
      </c>
      <c r="DI132" s="242"/>
      <c r="DJ132" s="242"/>
      <c r="DK132" s="214"/>
      <c r="DL132" s="214"/>
      <c r="DM132" s="1131"/>
      <c r="DN132" s="1153"/>
      <c r="DO132" s="242"/>
      <c r="DP132" s="242"/>
      <c r="DQ132" s="242"/>
      <c r="DR132" s="242">
        <f t="shared" si="15"/>
        <v>0</v>
      </c>
      <c r="DS132" s="242"/>
      <c r="DT132" s="242"/>
      <c r="DU132" s="214"/>
      <c r="DV132" s="214"/>
      <c r="DW132" s="1131"/>
      <c r="DX132" s="1153"/>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24"/>
      <c r="C133" s="1124"/>
      <c r="D133" s="1124"/>
      <c r="E133" s="1124"/>
      <c r="F133" s="1125">
        <f t="shared" si="2"/>
        <v>0</v>
      </c>
      <c r="G133" s="1126" t="str">
        <f t="shared" si="3"/>
        <v/>
      </c>
      <c r="H133" s="112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7">
        <f t="shared" si="144"/>
        <v>0</v>
      </c>
      <c r="J133" s="1128">
        <f t="shared" si="144"/>
        <v>0</v>
      </c>
      <c r="K133" s="214"/>
      <c r="L133" s="242" t="str">
        <f t="array" ref="L133">IFERROR(INDEX('💻シート作成'!$D$6:$D999, MATCH(M133, '💻シート作成'!$E$6:$E999, 0)), "")</f>
        <v/>
      </c>
      <c r="M133" s="1023"/>
      <c r="N133" s="214"/>
      <c r="O133" s="1087"/>
      <c r="P133" s="214"/>
      <c r="Q133" s="1131"/>
      <c r="R133" s="1153"/>
      <c r="S133" s="242"/>
      <c r="T133" s="242"/>
      <c r="U133" s="242"/>
      <c r="V133" s="242">
        <f t="shared" si="5"/>
        <v>0</v>
      </c>
      <c r="W133" s="242"/>
      <c r="X133" s="242"/>
      <c r="Y133" s="214"/>
      <c r="Z133" s="214"/>
      <c r="AA133" s="1131"/>
      <c r="AB133" s="1153"/>
      <c r="AC133" s="242"/>
      <c r="AD133" s="242"/>
      <c r="AE133" s="242"/>
      <c r="AF133" s="242">
        <f t="shared" si="6"/>
        <v>0</v>
      </c>
      <c r="AG133" s="242"/>
      <c r="AH133" s="242"/>
      <c r="AI133" s="214"/>
      <c r="AJ133" s="214"/>
      <c r="AK133" s="1131"/>
      <c r="AL133" s="1153"/>
      <c r="AM133" s="242"/>
      <c r="AN133" s="242"/>
      <c r="AO133" s="242"/>
      <c r="AP133" s="242">
        <f t="shared" si="7"/>
        <v>0</v>
      </c>
      <c r="AQ133" s="242"/>
      <c r="AR133" s="242"/>
      <c r="AS133" s="237"/>
      <c r="AT133" s="214"/>
      <c r="AU133" s="1138"/>
      <c r="AV133" s="1155"/>
      <c r="AW133" s="1140"/>
      <c r="AX133" s="1140"/>
      <c r="AY133" s="1140"/>
      <c r="AZ133" s="1140">
        <f t="shared" si="8"/>
        <v>0</v>
      </c>
      <c r="BA133" s="1140"/>
      <c r="BB133" s="1140"/>
      <c r="BC133" s="214"/>
      <c r="BD133" s="214"/>
      <c r="BE133" s="1131"/>
      <c r="BF133" s="1153"/>
      <c r="BG133" s="242"/>
      <c r="BH133" s="242"/>
      <c r="BI133" s="242"/>
      <c r="BJ133" s="242">
        <f t="shared" si="9"/>
        <v>0</v>
      </c>
      <c r="BK133" s="242"/>
      <c r="BL133" s="242"/>
      <c r="BM133" s="214"/>
      <c r="BN133" s="214"/>
      <c r="BO133" s="1131"/>
      <c r="BP133" s="1153"/>
      <c r="BQ133" s="242"/>
      <c r="BR133" s="242"/>
      <c r="BS133" s="242"/>
      <c r="BT133" s="242">
        <f t="shared" si="10"/>
        <v>0</v>
      </c>
      <c r="BU133" s="242"/>
      <c r="BV133" s="242"/>
      <c r="BW133" s="237"/>
      <c r="BX133" s="214"/>
      <c r="BY133" s="1131"/>
      <c r="BZ133" s="1153"/>
      <c r="CA133" s="242"/>
      <c r="CB133" s="242"/>
      <c r="CC133" s="242"/>
      <c r="CD133" s="242">
        <f t="shared" si="11"/>
        <v>0</v>
      </c>
      <c r="CE133" s="242"/>
      <c r="CF133" s="242"/>
      <c r="CG133" s="214"/>
      <c r="CH133" s="214"/>
      <c r="CI133" s="1131"/>
      <c r="CJ133" s="1153"/>
      <c r="CK133" s="242"/>
      <c r="CL133" s="242"/>
      <c r="CM133" s="242"/>
      <c r="CN133" s="242">
        <f t="shared" si="12"/>
        <v>0</v>
      </c>
      <c r="CO133" s="242"/>
      <c r="CP133" s="242"/>
      <c r="CQ133" s="214"/>
      <c r="CR133" s="214"/>
      <c r="CS133" s="1131"/>
      <c r="CT133" s="1153"/>
      <c r="CU133" s="242"/>
      <c r="CV133" s="242"/>
      <c r="CW133" s="242"/>
      <c r="CX133" s="242">
        <f t="shared" si="13"/>
        <v>0</v>
      </c>
      <c r="CY133" s="242"/>
      <c r="CZ133" s="242"/>
      <c r="DA133" s="237"/>
      <c r="DB133" s="214"/>
      <c r="DC133" s="1131"/>
      <c r="DD133" s="1153"/>
      <c r="DE133" s="242"/>
      <c r="DF133" s="242"/>
      <c r="DG133" s="242"/>
      <c r="DH133" s="242">
        <f t="shared" si="14"/>
        <v>0</v>
      </c>
      <c r="DI133" s="242"/>
      <c r="DJ133" s="242"/>
      <c r="DK133" s="214"/>
      <c r="DL133" s="214"/>
      <c r="DM133" s="1131"/>
      <c r="DN133" s="1153"/>
      <c r="DO133" s="242"/>
      <c r="DP133" s="242"/>
      <c r="DQ133" s="242"/>
      <c r="DR133" s="242">
        <f t="shared" si="15"/>
        <v>0</v>
      </c>
      <c r="DS133" s="242"/>
      <c r="DT133" s="242"/>
      <c r="DU133" s="214"/>
      <c r="DV133" s="214"/>
      <c r="DW133" s="1131"/>
      <c r="DX133" s="1153"/>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24"/>
      <c r="C134" s="1124"/>
      <c r="D134" s="1124"/>
      <c r="E134" s="1124"/>
      <c r="F134" s="1125">
        <f t="shared" si="2"/>
        <v>0</v>
      </c>
      <c r="G134" s="1126" t="str">
        <f t="shared" si="3"/>
        <v/>
      </c>
      <c r="H134" s="112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7">
        <f t="shared" si="145"/>
        <v>0</v>
      </c>
      <c r="J134" s="1128">
        <f t="shared" si="145"/>
        <v>0</v>
      </c>
      <c r="K134" s="214"/>
      <c r="L134" s="242" t="str">
        <f t="array" ref="L134">IFERROR(INDEX('💻シート作成'!$D$6:$D999, MATCH(M134, '💻シート作成'!$E$6:$E999, 0)), "")</f>
        <v/>
      </c>
      <c r="M134" s="1023"/>
      <c r="N134" s="214"/>
      <c r="O134" s="1087"/>
      <c r="P134" s="214"/>
      <c r="Q134" s="1131"/>
      <c r="R134" s="1153"/>
      <c r="S134" s="242"/>
      <c r="T134" s="242"/>
      <c r="U134" s="242"/>
      <c r="V134" s="242">
        <f t="shared" si="5"/>
        <v>0</v>
      </c>
      <c r="W134" s="242"/>
      <c r="X134" s="242"/>
      <c r="Y134" s="214"/>
      <c r="Z134" s="214"/>
      <c r="AA134" s="1131"/>
      <c r="AB134" s="1153"/>
      <c r="AC134" s="242"/>
      <c r="AD134" s="242"/>
      <c r="AE134" s="242"/>
      <c r="AF134" s="242">
        <f t="shared" si="6"/>
        <v>0</v>
      </c>
      <c r="AG134" s="242"/>
      <c r="AH134" s="242"/>
      <c r="AI134" s="214"/>
      <c r="AJ134" s="214"/>
      <c r="AK134" s="1131"/>
      <c r="AL134" s="1153"/>
      <c r="AM134" s="242"/>
      <c r="AN134" s="242"/>
      <c r="AO134" s="242"/>
      <c r="AP134" s="242">
        <f t="shared" si="7"/>
        <v>0</v>
      </c>
      <c r="AQ134" s="242"/>
      <c r="AR134" s="242"/>
      <c r="AS134" s="237"/>
      <c r="AT134" s="214"/>
      <c r="AU134" s="1138"/>
      <c r="AV134" s="1155"/>
      <c r="AW134" s="1140"/>
      <c r="AX134" s="1140"/>
      <c r="AY134" s="1140"/>
      <c r="AZ134" s="1140">
        <f t="shared" si="8"/>
        <v>0</v>
      </c>
      <c r="BA134" s="1140"/>
      <c r="BB134" s="1140"/>
      <c r="BC134" s="214"/>
      <c r="BD134" s="214"/>
      <c r="BE134" s="1131"/>
      <c r="BF134" s="1153"/>
      <c r="BG134" s="242"/>
      <c r="BH134" s="242"/>
      <c r="BI134" s="242"/>
      <c r="BJ134" s="242">
        <f t="shared" si="9"/>
        <v>0</v>
      </c>
      <c r="BK134" s="242"/>
      <c r="BL134" s="242"/>
      <c r="BM134" s="214"/>
      <c r="BN134" s="214"/>
      <c r="BO134" s="1131"/>
      <c r="BP134" s="1153"/>
      <c r="BQ134" s="242"/>
      <c r="BR134" s="242"/>
      <c r="BS134" s="242"/>
      <c r="BT134" s="242">
        <f t="shared" si="10"/>
        <v>0</v>
      </c>
      <c r="BU134" s="242"/>
      <c r="BV134" s="242"/>
      <c r="BW134" s="237"/>
      <c r="BX134" s="214"/>
      <c r="BY134" s="1131"/>
      <c r="BZ134" s="1153"/>
      <c r="CA134" s="242"/>
      <c r="CB134" s="242"/>
      <c r="CC134" s="242"/>
      <c r="CD134" s="242">
        <f t="shared" si="11"/>
        <v>0</v>
      </c>
      <c r="CE134" s="242"/>
      <c r="CF134" s="242"/>
      <c r="CG134" s="214"/>
      <c r="CH134" s="214"/>
      <c r="CI134" s="1131"/>
      <c r="CJ134" s="1153"/>
      <c r="CK134" s="242"/>
      <c r="CL134" s="242"/>
      <c r="CM134" s="242"/>
      <c r="CN134" s="242">
        <f t="shared" si="12"/>
        <v>0</v>
      </c>
      <c r="CO134" s="242"/>
      <c r="CP134" s="242"/>
      <c r="CQ134" s="214"/>
      <c r="CR134" s="214"/>
      <c r="CS134" s="1131"/>
      <c r="CT134" s="1153"/>
      <c r="CU134" s="242"/>
      <c r="CV134" s="242"/>
      <c r="CW134" s="242"/>
      <c r="CX134" s="242">
        <f t="shared" si="13"/>
        <v>0</v>
      </c>
      <c r="CY134" s="242"/>
      <c r="CZ134" s="242"/>
      <c r="DA134" s="237"/>
      <c r="DB134" s="214"/>
      <c r="DC134" s="1131"/>
      <c r="DD134" s="1153"/>
      <c r="DE134" s="242"/>
      <c r="DF134" s="242"/>
      <c r="DG134" s="242"/>
      <c r="DH134" s="242">
        <f t="shared" si="14"/>
        <v>0</v>
      </c>
      <c r="DI134" s="242"/>
      <c r="DJ134" s="242"/>
      <c r="DK134" s="214"/>
      <c r="DL134" s="214"/>
      <c r="DM134" s="1131"/>
      <c r="DN134" s="1153"/>
      <c r="DO134" s="242"/>
      <c r="DP134" s="242"/>
      <c r="DQ134" s="242"/>
      <c r="DR134" s="242">
        <f t="shared" si="15"/>
        <v>0</v>
      </c>
      <c r="DS134" s="242"/>
      <c r="DT134" s="242"/>
      <c r="DU134" s="214"/>
      <c r="DV134" s="214"/>
      <c r="DW134" s="1131"/>
      <c r="DX134" s="1153"/>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24"/>
      <c r="C135" s="1124"/>
      <c r="D135" s="1124"/>
      <c r="E135" s="1124"/>
      <c r="F135" s="1125">
        <f t="shared" si="2"/>
        <v>0</v>
      </c>
      <c r="G135" s="1126" t="str">
        <f t="shared" si="3"/>
        <v/>
      </c>
      <c r="H135" s="112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7">
        <f t="shared" si="146"/>
        <v>0</v>
      </c>
      <c r="J135" s="1128">
        <f t="shared" si="146"/>
        <v>0</v>
      </c>
      <c r="K135" s="214"/>
      <c r="L135" s="242" t="str">
        <f t="array" ref="L135">IFERROR(INDEX('💻シート作成'!$D$6:$D999, MATCH(M135, '💻シート作成'!$E$6:$E999, 0)), "")</f>
        <v/>
      </c>
      <c r="M135" s="1023"/>
      <c r="N135" s="214"/>
      <c r="O135" s="1087"/>
      <c r="P135" s="214"/>
      <c r="Q135" s="1131"/>
      <c r="R135" s="1153"/>
      <c r="S135" s="242"/>
      <c r="T135" s="242"/>
      <c r="U135" s="242"/>
      <c r="V135" s="242">
        <f t="shared" si="5"/>
        <v>0</v>
      </c>
      <c r="W135" s="242"/>
      <c r="X135" s="242"/>
      <c r="Y135" s="214"/>
      <c r="Z135" s="214"/>
      <c r="AA135" s="1131"/>
      <c r="AB135" s="1153"/>
      <c r="AC135" s="242"/>
      <c r="AD135" s="242"/>
      <c r="AE135" s="242"/>
      <c r="AF135" s="242">
        <f t="shared" si="6"/>
        <v>0</v>
      </c>
      <c r="AG135" s="242"/>
      <c r="AH135" s="242"/>
      <c r="AI135" s="214"/>
      <c r="AJ135" s="214"/>
      <c r="AK135" s="1131"/>
      <c r="AL135" s="1153"/>
      <c r="AM135" s="242"/>
      <c r="AN135" s="242"/>
      <c r="AO135" s="242"/>
      <c r="AP135" s="242">
        <f t="shared" si="7"/>
        <v>0</v>
      </c>
      <c r="AQ135" s="242"/>
      <c r="AR135" s="242"/>
      <c r="AS135" s="237"/>
      <c r="AT135" s="214"/>
      <c r="AU135" s="1138"/>
      <c r="AV135" s="1155"/>
      <c r="AW135" s="1140"/>
      <c r="AX135" s="1140"/>
      <c r="AY135" s="1140"/>
      <c r="AZ135" s="1140">
        <f t="shared" si="8"/>
        <v>0</v>
      </c>
      <c r="BA135" s="1140"/>
      <c r="BB135" s="1140"/>
      <c r="BC135" s="214"/>
      <c r="BD135" s="214"/>
      <c r="BE135" s="1131"/>
      <c r="BF135" s="1153"/>
      <c r="BG135" s="242"/>
      <c r="BH135" s="242"/>
      <c r="BI135" s="242"/>
      <c r="BJ135" s="242">
        <f t="shared" si="9"/>
        <v>0</v>
      </c>
      <c r="BK135" s="242"/>
      <c r="BL135" s="242"/>
      <c r="BM135" s="214"/>
      <c r="BN135" s="214"/>
      <c r="BO135" s="1131"/>
      <c r="BP135" s="1153"/>
      <c r="BQ135" s="242"/>
      <c r="BR135" s="242"/>
      <c r="BS135" s="242"/>
      <c r="BT135" s="242">
        <f t="shared" si="10"/>
        <v>0</v>
      </c>
      <c r="BU135" s="242"/>
      <c r="BV135" s="242"/>
      <c r="BW135" s="237"/>
      <c r="BX135" s="214"/>
      <c r="BY135" s="1131"/>
      <c r="BZ135" s="1153"/>
      <c r="CA135" s="242"/>
      <c r="CB135" s="242"/>
      <c r="CC135" s="242"/>
      <c r="CD135" s="242">
        <f t="shared" si="11"/>
        <v>0</v>
      </c>
      <c r="CE135" s="242"/>
      <c r="CF135" s="242"/>
      <c r="CG135" s="214"/>
      <c r="CH135" s="214"/>
      <c r="CI135" s="1131"/>
      <c r="CJ135" s="1153"/>
      <c r="CK135" s="242"/>
      <c r="CL135" s="242"/>
      <c r="CM135" s="242"/>
      <c r="CN135" s="242">
        <f t="shared" si="12"/>
        <v>0</v>
      </c>
      <c r="CO135" s="242"/>
      <c r="CP135" s="242"/>
      <c r="CQ135" s="214"/>
      <c r="CR135" s="214"/>
      <c r="CS135" s="1131"/>
      <c r="CT135" s="1153"/>
      <c r="CU135" s="242"/>
      <c r="CV135" s="242"/>
      <c r="CW135" s="242"/>
      <c r="CX135" s="242">
        <f t="shared" si="13"/>
        <v>0</v>
      </c>
      <c r="CY135" s="242"/>
      <c r="CZ135" s="242"/>
      <c r="DA135" s="237"/>
      <c r="DB135" s="214"/>
      <c r="DC135" s="1131"/>
      <c r="DD135" s="1153"/>
      <c r="DE135" s="242"/>
      <c r="DF135" s="242"/>
      <c r="DG135" s="242"/>
      <c r="DH135" s="242">
        <f t="shared" si="14"/>
        <v>0</v>
      </c>
      <c r="DI135" s="242"/>
      <c r="DJ135" s="242"/>
      <c r="DK135" s="214"/>
      <c r="DL135" s="214"/>
      <c r="DM135" s="1131"/>
      <c r="DN135" s="1153"/>
      <c r="DO135" s="242"/>
      <c r="DP135" s="242"/>
      <c r="DQ135" s="242"/>
      <c r="DR135" s="242">
        <f t="shared" si="15"/>
        <v>0</v>
      </c>
      <c r="DS135" s="242"/>
      <c r="DT135" s="242"/>
      <c r="DU135" s="214"/>
      <c r="DV135" s="214"/>
      <c r="DW135" s="1131"/>
      <c r="DX135" s="1153"/>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24"/>
      <c r="C136" s="1124"/>
      <c r="D136" s="1124"/>
      <c r="E136" s="1124"/>
      <c r="F136" s="1125">
        <f t="shared" si="2"/>
        <v>0</v>
      </c>
      <c r="G136" s="1126" t="str">
        <f t="shared" si="3"/>
        <v/>
      </c>
      <c r="H136" s="112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7">
        <f t="shared" si="147"/>
        <v>0</v>
      </c>
      <c r="J136" s="1128">
        <f t="shared" si="147"/>
        <v>0</v>
      </c>
      <c r="K136" s="214"/>
      <c r="L136" s="242" t="str">
        <f t="array" ref="L136">IFERROR(INDEX('💻シート作成'!$D$6:$D999, MATCH(M136, '💻シート作成'!$E$6:$E999, 0)), "")</f>
        <v/>
      </c>
      <c r="M136" s="1023"/>
      <c r="N136" s="214"/>
      <c r="O136" s="1087"/>
      <c r="P136" s="214"/>
      <c r="Q136" s="1131"/>
      <c r="R136" s="1153"/>
      <c r="S136" s="242"/>
      <c r="T136" s="242"/>
      <c r="U136" s="242"/>
      <c r="V136" s="242">
        <f t="shared" si="5"/>
        <v>0</v>
      </c>
      <c r="W136" s="242"/>
      <c r="X136" s="242"/>
      <c r="Y136" s="214"/>
      <c r="Z136" s="214"/>
      <c r="AA136" s="1131"/>
      <c r="AB136" s="1153"/>
      <c r="AC136" s="242"/>
      <c r="AD136" s="242"/>
      <c r="AE136" s="242"/>
      <c r="AF136" s="242">
        <f t="shared" si="6"/>
        <v>0</v>
      </c>
      <c r="AG136" s="242"/>
      <c r="AH136" s="242"/>
      <c r="AI136" s="214"/>
      <c r="AJ136" s="214"/>
      <c r="AK136" s="1131"/>
      <c r="AL136" s="1153"/>
      <c r="AM136" s="242"/>
      <c r="AN136" s="242"/>
      <c r="AO136" s="242"/>
      <c r="AP136" s="242">
        <f t="shared" si="7"/>
        <v>0</v>
      </c>
      <c r="AQ136" s="242"/>
      <c r="AR136" s="242"/>
      <c r="AS136" s="237"/>
      <c r="AT136" s="214"/>
      <c r="AU136" s="1138"/>
      <c r="AV136" s="1155"/>
      <c r="AW136" s="1140"/>
      <c r="AX136" s="1140"/>
      <c r="AY136" s="1140"/>
      <c r="AZ136" s="1140">
        <f t="shared" si="8"/>
        <v>0</v>
      </c>
      <c r="BA136" s="1140"/>
      <c r="BB136" s="1140"/>
      <c r="BC136" s="214"/>
      <c r="BD136" s="214"/>
      <c r="BE136" s="1131"/>
      <c r="BF136" s="1153"/>
      <c r="BG136" s="242"/>
      <c r="BH136" s="242"/>
      <c r="BI136" s="242"/>
      <c r="BJ136" s="242">
        <f t="shared" si="9"/>
        <v>0</v>
      </c>
      <c r="BK136" s="242"/>
      <c r="BL136" s="242"/>
      <c r="BM136" s="214"/>
      <c r="BN136" s="214"/>
      <c r="BO136" s="1131"/>
      <c r="BP136" s="1153"/>
      <c r="BQ136" s="242"/>
      <c r="BR136" s="242"/>
      <c r="BS136" s="242"/>
      <c r="BT136" s="242">
        <f t="shared" si="10"/>
        <v>0</v>
      </c>
      <c r="BU136" s="242"/>
      <c r="BV136" s="242"/>
      <c r="BW136" s="237"/>
      <c r="BX136" s="214"/>
      <c r="BY136" s="1131"/>
      <c r="BZ136" s="1153"/>
      <c r="CA136" s="242"/>
      <c r="CB136" s="242"/>
      <c r="CC136" s="242"/>
      <c r="CD136" s="242">
        <f t="shared" si="11"/>
        <v>0</v>
      </c>
      <c r="CE136" s="242"/>
      <c r="CF136" s="242"/>
      <c r="CG136" s="214"/>
      <c r="CH136" s="214"/>
      <c r="CI136" s="1131"/>
      <c r="CJ136" s="1153"/>
      <c r="CK136" s="242"/>
      <c r="CL136" s="242"/>
      <c r="CM136" s="242"/>
      <c r="CN136" s="242">
        <f t="shared" si="12"/>
        <v>0</v>
      </c>
      <c r="CO136" s="242"/>
      <c r="CP136" s="242"/>
      <c r="CQ136" s="214"/>
      <c r="CR136" s="214"/>
      <c r="CS136" s="1131"/>
      <c r="CT136" s="1153"/>
      <c r="CU136" s="242"/>
      <c r="CV136" s="242"/>
      <c r="CW136" s="242"/>
      <c r="CX136" s="242">
        <f t="shared" si="13"/>
        <v>0</v>
      </c>
      <c r="CY136" s="242"/>
      <c r="CZ136" s="242"/>
      <c r="DA136" s="237"/>
      <c r="DB136" s="214"/>
      <c r="DC136" s="1131"/>
      <c r="DD136" s="1153"/>
      <c r="DE136" s="242"/>
      <c r="DF136" s="242"/>
      <c r="DG136" s="242"/>
      <c r="DH136" s="242">
        <f t="shared" si="14"/>
        <v>0</v>
      </c>
      <c r="DI136" s="242"/>
      <c r="DJ136" s="242"/>
      <c r="DK136" s="214"/>
      <c r="DL136" s="214"/>
      <c r="DM136" s="1131"/>
      <c r="DN136" s="1153"/>
      <c r="DO136" s="242"/>
      <c r="DP136" s="242"/>
      <c r="DQ136" s="242"/>
      <c r="DR136" s="242">
        <f t="shared" si="15"/>
        <v>0</v>
      </c>
      <c r="DS136" s="242"/>
      <c r="DT136" s="242"/>
      <c r="DU136" s="214"/>
      <c r="DV136" s="214"/>
      <c r="DW136" s="1131"/>
      <c r="DX136" s="1153"/>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24"/>
      <c r="C137" s="1124"/>
      <c r="D137" s="1124"/>
      <c r="E137" s="1124"/>
      <c r="F137" s="1125">
        <f t="shared" si="2"/>
        <v>0</v>
      </c>
      <c r="G137" s="1126" t="str">
        <f t="shared" si="3"/>
        <v/>
      </c>
      <c r="H137" s="112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7">
        <f t="shared" si="148"/>
        <v>0</v>
      </c>
      <c r="J137" s="1128">
        <f t="shared" si="148"/>
        <v>0</v>
      </c>
      <c r="K137" s="214"/>
      <c r="L137" s="242" t="str">
        <f t="array" ref="L137">IFERROR(INDEX('💻シート作成'!$D$6:$D999, MATCH(M137, '💻シート作成'!$E$6:$E999, 0)), "")</f>
        <v/>
      </c>
      <c r="M137" s="1023"/>
      <c r="N137" s="214"/>
      <c r="O137" s="1087"/>
      <c r="P137" s="214"/>
      <c r="Q137" s="1131"/>
      <c r="R137" s="1153"/>
      <c r="S137" s="242"/>
      <c r="T137" s="242"/>
      <c r="U137" s="242"/>
      <c r="V137" s="242">
        <f t="shared" si="5"/>
        <v>0</v>
      </c>
      <c r="W137" s="242"/>
      <c r="X137" s="242"/>
      <c r="Y137" s="214"/>
      <c r="Z137" s="214"/>
      <c r="AA137" s="1131"/>
      <c r="AB137" s="1153"/>
      <c r="AC137" s="242"/>
      <c r="AD137" s="242"/>
      <c r="AE137" s="242"/>
      <c r="AF137" s="242">
        <f t="shared" si="6"/>
        <v>0</v>
      </c>
      <c r="AG137" s="242"/>
      <c r="AH137" s="242"/>
      <c r="AI137" s="214"/>
      <c r="AJ137" s="214"/>
      <c r="AK137" s="1131"/>
      <c r="AL137" s="1153"/>
      <c r="AM137" s="242"/>
      <c r="AN137" s="242"/>
      <c r="AO137" s="242"/>
      <c r="AP137" s="242">
        <f t="shared" si="7"/>
        <v>0</v>
      </c>
      <c r="AQ137" s="242"/>
      <c r="AR137" s="242"/>
      <c r="AS137" s="237"/>
      <c r="AT137" s="214"/>
      <c r="AU137" s="1138"/>
      <c r="AV137" s="1155"/>
      <c r="AW137" s="1140"/>
      <c r="AX137" s="1140"/>
      <c r="AY137" s="1140"/>
      <c r="AZ137" s="1140">
        <f t="shared" si="8"/>
        <v>0</v>
      </c>
      <c r="BA137" s="1140"/>
      <c r="BB137" s="1140"/>
      <c r="BC137" s="214"/>
      <c r="BD137" s="214"/>
      <c r="BE137" s="1131"/>
      <c r="BF137" s="1153"/>
      <c r="BG137" s="242"/>
      <c r="BH137" s="242"/>
      <c r="BI137" s="242"/>
      <c r="BJ137" s="242">
        <f t="shared" si="9"/>
        <v>0</v>
      </c>
      <c r="BK137" s="242"/>
      <c r="BL137" s="242"/>
      <c r="BM137" s="214"/>
      <c r="BN137" s="214"/>
      <c r="BO137" s="1131"/>
      <c r="BP137" s="1153"/>
      <c r="BQ137" s="242"/>
      <c r="BR137" s="242"/>
      <c r="BS137" s="242"/>
      <c r="BT137" s="242">
        <f t="shared" si="10"/>
        <v>0</v>
      </c>
      <c r="BU137" s="242"/>
      <c r="BV137" s="242"/>
      <c r="BW137" s="237"/>
      <c r="BX137" s="214"/>
      <c r="BY137" s="1131"/>
      <c r="BZ137" s="1153"/>
      <c r="CA137" s="242"/>
      <c r="CB137" s="242"/>
      <c r="CC137" s="242"/>
      <c r="CD137" s="242">
        <f t="shared" si="11"/>
        <v>0</v>
      </c>
      <c r="CE137" s="242"/>
      <c r="CF137" s="242"/>
      <c r="CG137" s="214"/>
      <c r="CH137" s="214"/>
      <c r="CI137" s="1131"/>
      <c r="CJ137" s="1153"/>
      <c r="CK137" s="242"/>
      <c r="CL137" s="242"/>
      <c r="CM137" s="242"/>
      <c r="CN137" s="242">
        <f t="shared" si="12"/>
        <v>0</v>
      </c>
      <c r="CO137" s="242"/>
      <c r="CP137" s="242"/>
      <c r="CQ137" s="214"/>
      <c r="CR137" s="214"/>
      <c r="CS137" s="1131"/>
      <c r="CT137" s="1153"/>
      <c r="CU137" s="242"/>
      <c r="CV137" s="242"/>
      <c r="CW137" s="242"/>
      <c r="CX137" s="242">
        <f t="shared" si="13"/>
        <v>0</v>
      </c>
      <c r="CY137" s="242"/>
      <c r="CZ137" s="242"/>
      <c r="DA137" s="237"/>
      <c r="DB137" s="214"/>
      <c r="DC137" s="1131"/>
      <c r="DD137" s="1153"/>
      <c r="DE137" s="242"/>
      <c r="DF137" s="242"/>
      <c r="DG137" s="242"/>
      <c r="DH137" s="242">
        <f t="shared" si="14"/>
        <v>0</v>
      </c>
      <c r="DI137" s="242"/>
      <c r="DJ137" s="242"/>
      <c r="DK137" s="214"/>
      <c r="DL137" s="214"/>
      <c r="DM137" s="1131"/>
      <c r="DN137" s="1153"/>
      <c r="DO137" s="242"/>
      <c r="DP137" s="242"/>
      <c r="DQ137" s="242"/>
      <c r="DR137" s="242">
        <f t="shared" si="15"/>
        <v>0</v>
      </c>
      <c r="DS137" s="242"/>
      <c r="DT137" s="242"/>
      <c r="DU137" s="214"/>
      <c r="DV137" s="214"/>
      <c r="DW137" s="1131"/>
      <c r="DX137" s="1153"/>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24"/>
      <c r="C138" s="1124"/>
      <c r="D138" s="1124"/>
      <c r="E138" s="1124"/>
      <c r="F138" s="1125">
        <f t="shared" si="2"/>
        <v>0</v>
      </c>
      <c r="G138" s="1126" t="str">
        <f t="shared" si="3"/>
        <v/>
      </c>
      <c r="H138" s="112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7">
        <f t="shared" si="149"/>
        <v>0</v>
      </c>
      <c r="J138" s="1128">
        <f t="shared" si="149"/>
        <v>0</v>
      </c>
      <c r="K138" s="214"/>
      <c r="L138" s="242" t="str">
        <f t="array" ref="L138">IFERROR(INDEX('💻シート作成'!$D$6:$D999, MATCH(M138, '💻シート作成'!$E$6:$E999, 0)), "")</f>
        <v/>
      </c>
      <c r="M138" s="1023"/>
      <c r="N138" s="214"/>
      <c r="O138" s="1087"/>
      <c r="P138" s="214"/>
      <c r="Q138" s="1131"/>
      <c r="R138" s="1153"/>
      <c r="S138" s="242"/>
      <c r="T138" s="242"/>
      <c r="U138" s="242"/>
      <c r="V138" s="242">
        <f t="shared" si="5"/>
        <v>0</v>
      </c>
      <c r="W138" s="242"/>
      <c r="X138" s="242"/>
      <c r="Y138" s="214"/>
      <c r="Z138" s="214"/>
      <c r="AA138" s="1131"/>
      <c r="AB138" s="1153"/>
      <c r="AC138" s="242"/>
      <c r="AD138" s="242"/>
      <c r="AE138" s="242"/>
      <c r="AF138" s="242">
        <f t="shared" si="6"/>
        <v>0</v>
      </c>
      <c r="AG138" s="242"/>
      <c r="AH138" s="242"/>
      <c r="AI138" s="214"/>
      <c r="AJ138" s="214"/>
      <c r="AK138" s="1131"/>
      <c r="AL138" s="1153"/>
      <c r="AM138" s="242"/>
      <c r="AN138" s="242"/>
      <c r="AO138" s="242"/>
      <c r="AP138" s="242">
        <f t="shared" si="7"/>
        <v>0</v>
      </c>
      <c r="AQ138" s="242"/>
      <c r="AR138" s="242"/>
      <c r="AS138" s="237"/>
      <c r="AT138" s="214"/>
      <c r="AU138" s="1138"/>
      <c r="AV138" s="1155"/>
      <c r="AW138" s="1140"/>
      <c r="AX138" s="1140"/>
      <c r="AY138" s="1140"/>
      <c r="AZ138" s="1140">
        <f t="shared" si="8"/>
        <v>0</v>
      </c>
      <c r="BA138" s="1140"/>
      <c r="BB138" s="1140"/>
      <c r="BC138" s="214"/>
      <c r="BD138" s="214"/>
      <c r="BE138" s="1131"/>
      <c r="BF138" s="1153"/>
      <c r="BG138" s="242"/>
      <c r="BH138" s="242"/>
      <c r="BI138" s="242"/>
      <c r="BJ138" s="242">
        <f t="shared" si="9"/>
        <v>0</v>
      </c>
      <c r="BK138" s="242"/>
      <c r="BL138" s="242"/>
      <c r="BM138" s="214"/>
      <c r="BN138" s="214"/>
      <c r="BO138" s="1131"/>
      <c r="BP138" s="1153"/>
      <c r="BQ138" s="242"/>
      <c r="BR138" s="242"/>
      <c r="BS138" s="242"/>
      <c r="BT138" s="242">
        <f t="shared" si="10"/>
        <v>0</v>
      </c>
      <c r="BU138" s="242"/>
      <c r="BV138" s="242"/>
      <c r="BW138" s="237"/>
      <c r="BX138" s="214"/>
      <c r="BY138" s="1131"/>
      <c r="BZ138" s="1153"/>
      <c r="CA138" s="242"/>
      <c r="CB138" s="242"/>
      <c r="CC138" s="242"/>
      <c r="CD138" s="242">
        <f t="shared" si="11"/>
        <v>0</v>
      </c>
      <c r="CE138" s="242"/>
      <c r="CF138" s="242"/>
      <c r="CG138" s="214"/>
      <c r="CH138" s="214"/>
      <c r="CI138" s="1131"/>
      <c r="CJ138" s="1153"/>
      <c r="CK138" s="242"/>
      <c r="CL138" s="242"/>
      <c r="CM138" s="242"/>
      <c r="CN138" s="242">
        <f t="shared" si="12"/>
        <v>0</v>
      </c>
      <c r="CO138" s="242"/>
      <c r="CP138" s="242"/>
      <c r="CQ138" s="214"/>
      <c r="CR138" s="214"/>
      <c r="CS138" s="1131"/>
      <c r="CT138" s="1153"/>
      <c r="CU138" s="242"/>
      <c r="CV138" s="242"/>
      <c r="CW138" s="242"/>
      <c r="CX138" s="242">
        <f t="shared" si="13"/>
        <v>0</v>
      </c>
      <c r="CY138" s="242"/>
      <c r="CZ138" s="242"/>
      <c r="DA138" s="237"/>
      <c r="DB138" s="214"/>
      <c r="DC138" s="1131"/>
      <c r="DD138" s="1153"/>
      <c r="DE138" s="242"/>
      <c r="DF138" s="242"/>
      <c r="DG138" s="242"/>
      <c r="DH138" s="242">
        <f t="shared" si="14"/>
        <v>0</v>
      </c>
      <c r="DI138" s="242"/>
      <c r="DJ138" s="242"/>
      <c r="DK138" s="214"/>
      <c r="DL138" s="214"/>
      <c r="DM138" s="1131"/>
      <c r="DN138" s="1153"/>
      <c r="DO138" s="242"/>
      <c r="DP138" s="242"/>
      <c r="DQ138" s="242"/>
      <c r="DR138" s="242">
        <f t="shared" si="15"/>
        <v>0</v>
      </c>
      <c r="DS138" s="242"/>
      <c r="DT138" s="242"/>
      <c r="DU138" s="214"/>
      <c r="DV138" s="214"/>
      <c r="DW138" s="1131"/>
      <c r="DX138" s="1153"/>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24"/>
      <c r="C139" s="1124"/>
      <c r="D139" s="1124"/>
      <c r="E139" s="1124"/>
      <c r="F139" s="1125">
        <f t="shared" si="2"/>
        <v>0</v>
      </c>
      <c r="G139" s="1126" t="str">
        <f t="shared" si="3"/>
        <v/>
      </c>
      <c r="H139" s="112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7">
        <f t="shared" si="150"/>
        <v>0</v>
      </c>
      <c r="J139" s="1128">
        <f t="shared" si="150"/>
        <v>0</v>
      </c>
      <c r="K139" s="214"/>
      <c r="L139" s="242" t="str">
        <f t="array" ref="L139">IFERROR(INDEX('💻シート作成'!$D$6:$D999, MATCH(M139, '💻シート作成'!$E$6:$E999, 0)), "")</f>
        <v/>
      </c>
      <c r="M139" s="1023"/>
      <c r="N139" s="214"/>
      <c r="O139" s="1087"/>
      <c r="P139" s="214"/>
      <c r="Q139" s="1131"/>
      <c r="R139" s="1153"/>
      <c r="S139" s="242"/>
      <c r="T139" s="242"/>
      <c r="U139" s="242"/>
      <c r="V139" s="242">
        <f t="shared" si="5"/>
        <v>0</v>
      </c>
      <c r="W139" s="242"/>
      <c r="X139" s="242"/>
      <c r="Y139" s="214"/>
      <c r="Z139" s="214"/>
      <c r="AA139" s="1131"/>
      <c r="AB139" s="1153"/>
      <c r="AC139" s="242"/>
      <c r="AD139" s="242"/>
      <c r="AE139" s="242"/>
      <c r="AF139" s="242">
        <f t="shared" si="6"/>
        <v>0</v>
      </c>
      <c r="AG139" s="242"/>
      <c r="AH139" s="242"/>
      <c r="AI139" s="214"/>
      <c r="AJ139" s="214"/>
      <c r="AK139" s="1131"/>
      <c r="AL139" s="1153"/>
      <c r="AM139" s="242"/>
      <c r="AN139" s="242"/>
      <c r="AO139" s="242"/>
      <c r="AP139" s="242">
        <f t="shared" si="7"/>
        <v>0</v>
      </c>
      <c r="AQ139" s="242"/>
      <c r="AR139" s="242"/>
      <c r="AS139" s="237"/>
      <c r="AT139" s="214"/>
      <c r="AU139" s="1138"/>
      <c r="AV139" s="1155"/>
      <c r="AW139" s="1140"/>
      <c r="AX139" s="1140"/>
      <c r="AY139" s="1140"/>
      <c r="AZ139" s="1140">
        <f t="shared" si="8"/>
        <v>0</v>
      </c>
      <c r="BA139" s="1140"/>
      <c r="BB139" s="1140"/>
      <c r="BC139" s="214"/>
      <c r="BD139" s="214"/>
      <c r="BE139" s="1131"/>
      <c r="BF139" s="1153"/>
      <c r="BG139" s="242"/>
      <c r="BH139" s="242"/>
      <c r="BI139" s="242"/>
      <c r="BJ139" s="242">
        <f t="shared" si="9"/>
        <v>0</v>
      </c>
      <c r="BK139" s="242"/>
      <c r="BL139" s="242"/>
      <c r="BM139" s="214"/>
      <c r="BN139" s="214"/>
      <c r="BO139" s="1131"/>
      <c r="BP139" s="1153"/>
      <c r="BQ139" s="242"/>
      <c r="BR139" s="242"/>
      <c r="BS139" s="242"/>
      <c r="BT139" s="242">
        <f t="shared" si="10"/>
        <v>0</v>
      </c>
      <c r="BU139" s="242"/>
      <c r="BV139" s="242"/>
      <c r="BW139" s="237"/>
      <c r="BX139" s="214"/>
      <c r="BY139" s="1131"/>
      <c r="BZ139" s="1153"/>
      <c r="CA139" s="242"/>
      <c r="CB139" s="242"/>
      <c r="CC139" s="242"/>
      <c r="CD139" s="242">
        <f t="shared" si="11"/>
        <v>0</v>
      </c>
      <c r="CE139" s="242"/>
      <c r="CF139" s="242"/>
      <c r="CG139" s="214"/>
      <c r="CH139" s="214"/>
      <c r="CI139" s="1131"/>
      <c r="CJ139" s="1153"/>
      <c r="CK139" s="242"/>
      <c r="CL139" s="242"/>
      <c r="CM139" s="242"/>
      <c r="CN139" s="242">
        <f t="shared" si="12"/>
        <v>0</v>
      </c>
      <c r="CO139" s="242"/>
      <c r="CP139" s="242"/>
      <c r="CQ139" s="214"/>
      <c r="CR139" s="214"/>
      <c r="CS139" s="1131"/>
      <c r="CT139" s="1153"/>
      <c r="CU139" s="242"/>
      <c r="CV139" s="242"/>
      <c r="CW139" s="242"/>
      <c r="CX139" s="242">
        <f t="shared" si="13"/>
        <v>0</v>
      </c>
      <c r="CY139" s="242"/>
      <c r="CZ139" s="242"/>
      <c r="DA139" s="237"/>
      <c r="DB139" s="214"/>
      <c r="DC139" s="1131"/>
      <c r="DD139" s="1153"/>
      <c r="DE139" s="242"/>
      <c r="DF139" s="242"/>
      <c r="DG139" s="242"/>
      <c r="DH139" s="242">
        <f t="shared" si="14"/>
        <v>0</v>
      </c>
      <c r="DI139" s="242"/>
      <c r="DJ139" s="242"/>
      <c r="DK139" s="214"/>
      <c r="DL139" s="214"/>
      <c r="DM139" s="1131"/>
      <c r="DN139" s="1153"/>
      <c r="DO139" s="242"/>
      <c r="DP139" s="242"/>
      <c r="DQ139" s="242"/>
      <c r="DR139" s="242">
        <f t="shared" si="15"/>
        <v>0</v>
      </c>
      <c r="DS139" s="242"/>
      <c r="DT139" s="242"/>
      <c r="DU139" s="214"/>
      <c r="DV139" s="214"/>
      <c r="DW139" s="1131"/>
      <c r="DX139" s="1153"/>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24"/>
      <c r="C140" s="1124"/>
      <c r="D140" s="1124"/>
      <c r="E140" s="1124"/>
      <c r="F140" s="1125">
        <f t="shared" si="2"/>
        <v>0</v>
      </c>
      <c r="G140" s="1126" t="str">
        <f t="shared" si="3"/>
        <v/>
      </c>
      <c r="H140" s="112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7">
        <f t="shared" si="151"/>
        <v>0</v>
      </c>
      <c r="J140" s="1128">
        <f t="shared" si="151"/>
        <v>0</v>
      </c>
      <c r="K140" s="214"/>
      <c r="L140" s="242" t="str">
        <f t="array" ref="L140">IFERROR(INDEX('💻シート作成'!$D$6:$D999, MATCH(M140, '💻シート作成'!$E$6:$E999, 0)), "")</f>
        <v/>
      </c>
      <c r="M140" s="1023"/>
      <c r="N140" s="214"/>
      <c r="O140" s="1087"/>
      <c r="P140" s="214"/>
      <c r="Q140" s="1131"/>
      <c r="R140" s="1153"/>
      <c r="S140" s="242"/>
      <c r="T140" s="242"/>
      <c r="U140" s="242"/>
      <c r="V140" s="242">
        <f t="shared" si="5"/>
        <v>0</v>
      </c>
      <c r="W140" s="242"/>
      <c r="X140" s="242"/>
      <c r="Y140" s="214"/>
      <c r="Z140" s="214"/>
      <c r="AA140" s="1131"/>
      <c r="AB140" s="1153"/>
      <c r="AC140" s="242"/>
      <c r="AD140" s="242"/>
      <c r="AE140" s="242"/>
      <c r="AF140" s="242">
        <f t="shared" si="6"/>
        <v>0</v>
      </c>
      <c r="AG140" s="242"/>
      <c r="AH140" s="242"/>
      <c r="AI140" s="214"/>
      <c r="AJ140" s="214"/>
      <c r="AK140" s="1131"/>
      <c r="AL140" s="1153"/>
      <c r="AM140" s="242"/>
      <c r="AN140" s="242"/>
      <c r="AO140" s="242"/>
      <c r="AP140" s="242">
        <f t="shared" si="7"/>
        <v>0</v>
      </c>
      <c r="AQ140" s="242"/>
      <c r="AR140" s="242"/>
      <c r="AS140" s="237"/>
      <c r="AT140" s="214"/>
      <c r="AU140" s="1138"/>
      <c r="AV140" s="1155"/>
      <c r="AW140" s="1140"/>
      <c r="AX140" s="1140"/>
      <c r="AY140" s="1140"/>
      <c r="AZ140" s="1140">
        <f t="shared" si="8"/>
        <v>0</v>
      </c>
      <c r="BA140" s="1140"/>
      <c r="BB140" s="1140"/>
      <c r="BC140" s="214"/>
      <c r="BD140" s="214"/>
      <c r="BE140" s="1131"/>
      <c r="BF140" s="1153"/>
      <c r="BG140" s="242"/>
      <c r="BH140" s="242"/>
      <c r="BI140" s="242"/>
      <c r="BJ140" s="242">
        <f t="shared" si="9"/>
        <v>0</v>
      </c>
      <c r="BK140" s="242"/>
      <c r="BL140" s="242"/>
      <c r="BM140" s="214"/>
      <c r="BN140" s="214"/>
      <c r="BO140" s="1131"/>
      <c r="BP140" s="1153"/>
      <c r="BQ140" s="242"/>
      <c r="BR140" s="242"/>
      <c r="BS140" s="242"/>
      <c r="BT140" s="242">
        <f t="shared" si="10"/>
        <v>0</v>
      </c>
      <c r="BU140" s="242"/>
      <c r="BV140" s="242"/>
      <c r="BW140" s="237"/>
      <c r="BX140" s="214"/>
      <c r="BY140" s="1131"/>
      <c r="BZ140" s="1153"/>
      <c r="CA140" s="242"/>
      <c r="CB140" s="242"/>
      <c r="CC140" s="242"/>
      <c r="CD140" s="242">
        <f t="shared" si="11"/>
        <v>0</v>
      </c>
      <c r="CE140" s="242"/>
      <c r="CF140" s="242"/>
      <c r="CG140" s="214"/>
      <c r="CH140" s="214"/>
      <c r="CI140" s="1131"/>
      <c r="CJ140" s="1153"/>
      <c r="CK140" s="242"/>
      <c r="CL140" s="242"/>
      <c r="CM140" s="242"/>
      <c r="CN140" s="242">
        <f t="shared" si="12"/>
        <v>0</v>
      </c>
      <c r="CO140" s="242"/>
      <c r="CP140" s="242"/>
      <c r="CQ140" s="214"/>
      <c r="CR140" s="214"/>
      <c r="CS140" s="1131"/>
      <c r="CT140" s="1153"/>
      <c r="CU140" s="242"/>
      <c r="CV140" s="242"/>
      <c r="CW140" s="242"/>
      <c r="CX140" s="242">
        <f t="shared" si="13"/>
        <v>0</v>
      </c>
      <c r="CY140" s="242"/>
      <c r="CZ140" s="242"/>
      <c r="DA140" s="237"/>
      <c r="DB140" s="214"/>
      <c r="DC140" s="1131"/>
      <c r="DD140" s="1153"/>
      <c r="DE140" s="242"/>
      <c r="DF140" s="242"/>
      <c r="DG140" s="242"/>
      <c r="DH140" s="242">
        <f t="shared" si="14"/>
        <v>0</v>
      </c>
      <c r="DI140" s="242"/>
      <c r="DJ140" s="242"/>
      <c r="DK140" s="214"/>
      <c r="DL140" s="214"/>
      <c r="DM140" s="1131"/>
      <c r="DN140" s="1153"/>
      <c r="DO140" s="242"/>
      <c r="DP140" s="242"/>
      <c r="DQ140" s="242"/>
      <c r="DR140" s="242">
        <f t="shared" si="15"/>
        <v>0</v>
      </c>
      <c r="DS140" s="242"/>
      <c r="DT140" s="242"/>
      <c r="DU140" s="214"/>
      <c r="DV140" s="214"/>
      <c r="DW140" s="1131"/>
      <c r="DX140" s="1153"/>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24"/>
      <c r="C141" s="1124"/>
      <c r="D141" s="1124"/>
      <c r="E141" s="1124"/>
      <c r="F141" s="1125">
        <f t="shared" si="2"/>
        <v>0</v>
      </c>
      <c r="G141" s="1126" t="str">
        <f t="shared" si="3"/>
        <v/>
      </c>
      <c r="H141" s="112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7">
        <f t="shared" si="152"/>
        <v>0</v>
      </c>
      <c r="J141" s="1128">
        <f t="shared" si="152"/>
        <v>0</v>
      </c>
      <c r="K141" s="214"/>
      <c r="L141" s="242" t="str">
        <f t="array" ref="L141">IFERROR(INDEX('💻シート作成'!$D$6:$D999, MATCH(M141, '💻シート作成'!$E$6:$E999, 0)), "")</f>
        <v/>
      </c>
      <c r="M141" s="1023"/>
      <c r="N141" s="214"/>
      <c r="O141" s="1087"/>
      <c r="P141" s="214"/>
      <c r="Q141" s="1131"/>
      <c r="R141" s="1153"/>
      <c r="S141" s="242"/>
      <c r="T141" s="242"/>
      <c r="U141" s="242"/>
      <c r="V141" s="242">
        <f t="shared" si="5"/>
        <v>0</v>
      </c>
      <c r="W141" s="242"/>
      <c r="X141" s="242"/>
      <c r="Y141" s="214"/>
      <c r="Z141" s="214"/>
      <c r="AA141" s="1131"/>
      <c r="AB141" s="1153"/>
      <c r="AC141" s="242"/>
      <c r="AD141" s="242"/>
      <c r="AE141" s="242"/>
      <c r="AF141" s="242">
        <f t="shared" si="6"/>
        <v>0</v>
      </c>
      <c r="AG141" s="242"/>
      <c r="AH141" s="242"/>
      <c r="AI141" s="214"/>
      <c r="AJ141" s="214"/>
      <c r="AK141" s="1131"/>
      <c r="AL141" s="1153"/>
      <c r="AM141" s="242"/>
      <c r="AN141" s="242"/>
      <c r="AO141" s="242"/>
      <c r="AP141" s="242">
        <f t="shared" si="7"/>
        <v>0</v>
      </c>
      <c r="AQ141" s="242"/>
      <c r="AR141" s="242"/>
      <c r="AS141" s="237"/>
      <c r="AT141" s="214"/>
      <c r="AU141" s="1138"/>
      <c r="AV141" s="1155"/>
      <c r="AW141" s="1140"/>
      <c r="AX141" s="1140"/>
      <c r="AY141" s="1140"/>
      <c r="AZ141" s="1140">
        <f t="shared" si="8"/>
        <v>0</v>
      </c>
      <c r="BA141" s="1140"/>
      <c r="BB141" s="1140"/>
      <c r="BC141" s="214"/>
      <c r="BD141" s="214"/>
      <c r="BE141" s="1131"/>
      <c r="BF141" s="1153"/>
      <c r="BG141" s="242"/>
      <c r="BH141" s="242"/>
      <c r="BI141" s="242"/>
      <c r="BJ141" s="242">
        <f t="shared" si="9"/>
        <v>0</v>
      </c>
      <c r="BK141" s="242"/>
      <c r="BL141" s="242"/>
      <c r="BM141" s="214"/>
      <c r="BN141" s="214"/>
      <c r="BO141" s="1131"/>
      <c r="BP141" s="1153"/>
      <c r="BQ141" s="242"/>
      <c r="BR141" s="242"/>
      <c r="BS141" s="242"/>
      <c r="BT141" s="242">
        <f t="shared" si="10"/>
        <v>0</v>
      </c>
      <c r="BU141" s="242"/>
      <c r="BV141" s="242"/>
      <c r="BW141" s="237"/>
      <c r="BX141" s="214"/>
      <c r="BY141" s="1131"/>
      <c r="BZ141" s="1153"/>
      <c r="CA141" s="242"/>
      <c r="CB141" s="242"/>
      <c r="CC141" s="242"/>
      <c r="CD141" s="242">
        <f t="shared" si="11"/>
        <v>0</v>
      </c>
      <c r="CE141" s="242"/>
      <c r="CF141" s="242"/>
      <c r="CG141" s="214"/>
      <c r="CH141" s="214"/>
      <c r="CI141" s="1131"/>
      <c r="CJ141" s="1153"/>
      <c r="CK141" s="242"/>
      <c r="CL141" s="242"/>
      <c r="CM141" s="242"/>
      <c r="CN141" s="242">
        <f t="shared" si="12"/>
        <v>0</v>
      </c>
      <c r="CO141" s="242"/>
      <c r="CP141" s="242"/>
      <c r="CQ141" s="214"/>
      <c r="CR141" s="214"/>
      <c r="CS141" s="1131"/>
      <c r="CT141" s="1153"/>
      <c r="CU141" s="242"/>
      <c r="CV141" s="242"/>
      <c r="CW141" s="242"/>
      <c r="CX141" s="242">
        <f t="shared" si="13"/>
        <v>0</v>
      </c>
      <c r="CY141" s="242"/>
      <c r="CZ141" s="242"/>
      <c r="DA141" s="237"/>
      <c r="DB141" s="214"/>
      <c r="DC141" s="1131"/>
      <c r="DD141" s="1153"/>
      <c r="DE141" s="242"/>
      <c r="DF141" s="242"/>
      <c r="DG141" s="242"/>
      <c r="DH141" s="242">
        <f t="shared" si="14"/>
        <v>0</v>
      </c>
      <c r="DI141" s="242"/>
      <c r="DJ141" s="242"/>
      <c r="DK141" s="214"/>
      <c r="DL141" s="214"/>
      <c r="DM141" s="1131"/>
      <c r="DN141" s="1153"/>
      <c r="DO141" s="242"/>
      <c r="DP141" s="242"/>
      <c r="DQ141" s="242"/>
      <c r="DR141" s="242">
        <f t="shared" si="15"/>
        <v>0</v>
      </c>
      <c r="DS141" s="242"/>
      <c r="DT141" s="242"/>
      <c r="DU141" s="214"/>
      <c r="DV141" s="214"/>
      <c r="DW141" s="1131"/>
      <c r="DX141" s="1153"/>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24"/>
      <c r="C142" s="1124"/>
      <c r="D142" s="1124"/>
      <c r="E142" s="1124"/>
      <c r="F142" s="1125">
        <f t="shared" si="2"/>
        <v>0</v>
      </c>
      <c r="G142" s="1126" t="str">
        <f t="shared" si="3"/>
        <v/>
      </c>
      <c r="H142" s="112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7">
        <f t="shared" si="153"/>
        <v>0</v>
      </c>
      <c r="J142" s="1128">
        <f t="shared" si="153"/>
        <v>0</v>
      </c>
      <c r="K142" s="214"/>
      <c r="L142" s="242" t="str">
        <f t="array" ref="L142">IFERROR(INDEX('💻シート作成'!$D$6:$D999, MATCH(M142, '💻シート作成'!$E$6:$E999, 0)), "")</f>
        <v/>
      </c>
      <c r="M142" s="1023"/>
      <c r="N142" s="214"/>
      <c r="O142" s="1087"/>
      <c r="P142" s="214"/>
      <c r="Q142" s="1131"/>
      <c r="R142" s="1153"/>
      <c r="S142" s="242"/>
      <c r="T142" s="242"/>
      <c r="U142" s="242"/>
      <c r="V142" s="242">
        <f t="shared" si="5"/>
        <v>0</v>
      </c>
      <c r="W142" s="242"/>
      <c r="X142" s="242"/>
      <c r="Y142" s="214"/>
      <c r="Z142" s="214"/>
      <c r="AA142" s="1131"/>
      <c r="AB142" s="1153"/>
      <c r="AC142" s="242"/>
      <c r="AD142" s="242"/>
      <c r="AE142" s="242"/>
      <c r="AF142" s="242">
        <f t="shared" si="6"/>
        <v>0</v>
      </c>
      <c r="AG142" s="242"/>
      <c r="AH142" s="242"/>
      <c r="AI142" s="214"/>
      <c r="AJ142" s="214"/>
      <c r="AK142" s="1131"/>
      <c r="AL142" s="1153"/>
      <c r="AM142" s="242"/>
      <c r="AN142" s="242"/>
      <c r="AO142" s="242"/>
      <c r="AP142" s="242">
        <f t="shared" si="7"/>
        <v>0</v>
      </c>
      <c r="AQ142" s="242"/>
      <c r="AR142" s="242"/>
      <c r="AS142" s="237"/>
      <c r="AT142" s="214"/>
      <c r="AU142" s="1138"/>
      <c r="AV142" s="1155"/>
      <c r="AW142" s="1140"/>
      <c r="AX142" s="1140"/>
      <c r="AY142" s="1140"/>
      <c r="AZ142" s="1140">
        <f t="shared" si="8"/>
        <v>0</v>
      </c>
      <c r="BA142" s="1140"/>
      <c r="BB142" s="1140"/>
      <c r="BC142" s="214"/>
      <c r="BD142" s="214"/>
      <c r="BE142" s="1131"/>
      <c r="BF142" s="1153"/>
      <c r="BG142" s="242"/>
      <c r="BH142" s="242"/>
      <c r="BI142" s="242"/>
      <c r="BJ142" s="242">
        <f t="shared" si="9"/>
        <v>0</v>
      </c>
      <c r="BK142" s="242"/>
      <c r="BL142" s="242"/>
      <c r="BM142" s="214"/>
      <c r="BN142" s="214"/>
      <c r="BO142" s="1131"/>
      <c r="BP142" s="1153"/>
      <c r="BQ142" s="242"/>
      <c r="BR142" s="242"/>
      <c r="BS142" s="242"/>
      <c r="BT142" s="242">
        <f t="shared" si="10"/>
        <v>0</v>
      </c>
      <c r="BU142" s="242"/>
      <c r="BV142" s="242"/>
      <c r="BW142" s="237"/>
      <c r="BX142" s="214"/>
      <c r="BY142" s="1131"/>
      <c r="BZ142" s="1153"/>
      <c r="CA142" s="242"/>
      <c r="CB142" s="242"/>
      <c r="CC142" s="242"/>
      <c r="CD142" s="242">
        <f t="shared" si="11"/>
        <v>0</v>
      </c>
      <c r="CE142" s="242"/>
      <c r="CF142" s="242"/>
      <c r="CG142" s="214"/>
      <c r="CH142" s="214"/>
      <c r="CI142" s="1131"/>
      <c r="CJ142" s="1153"/>
      <c r="CK142" s="242"/>
      <c r="CL142" s="242"/>
      <c r="CM142" s="242"/>
      <c r="CN142" s="242">
        <f t="shared" si="12"/>
        <v>0</v>
      </c>
      <c r="CO142" s="242"/>
      <c r="CP142" s="242"/>
      <c r="CQ142" s="214"/>
      <c r="CR142" s="214"/>
      <c r="CS142" s="1131"/>
      <c r="CT142" s="1153"/>
      <c r="CU142" s="242"/>
      <c r="CV142" s="242"/>
      <c r="CW142" s="242"/>
      <c r="CX142" s="242">
        <f t="shared" si="13"/>
        <v>0</v>
      </c>
      <c r="CY142" s="242"/>
      <c r="CZ142" s="242"/>
      <c r="DA142" s="237"/>
      <c r="DB142" s="214"/>
      <c r="DC142" s="1131"/>
      <c r="DD142" s="1153"/>
      <c r="DE142" s="242"/>
      <c r="DF142" s="242"/>
      <c r="DG142" s="242"/>
      <c r="DH142" s="242">
        <f t="shared" si="14"/>
        <v>0</v>
      </c>
      <c r="DI142" s="242"/>
      <c r="DJ142" s="242"/>
      <c r="DK142" s="214"/>
      <c r="DL142" s="214"/>
      <c r="DM142" s="1131"/>
      <c r="DN142" s="1153"/>
      <c r="DO142" s="242"/>
      <c r="DP142" s="242"/>
      <c r="DQ142" s="242"/>
      <c r="DR142" s="242">
        <f t="shared" si="15"/>
        <v>0</v>
      </c>
      <c r="DS142" s="242"/>
      <c r="DT142" s="242"/>
      <c r="DU142" s="214"/>
      <c r="DV142" s="214"/>
      <c r="DW142" s="1131"/>
      <c r="DX142" s="1153"/>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24"/>
      <c r="C143" s="1124"/>
      <c r="D143" s="1124"/>
      <c r="E143" s="1124"/>
      <c r="F143" s="1125">
        <f t="shared" si="2"/>
        <v>0</v>
      </c>
      <c r="G143" s="1126" t="str">
        <f t="shared" si="3"/>
        <v/>
      </c>
      <c r="H143" s="112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7">
        <f t="shared" si="154"/>
        <v>0</v>
      </c>
      <c r="J143" s="1128">
        <f t="shared" si="154"/>
        <v>0</v>
      </c>
      <c r="K143" s="214"/>
      <c r="L143" s="242" t="str">
        <f t="array" ref="L143">IFERROR(INDEX('💻シート作成'!$D$6:$D999, MATCH(M143, '💻シート作成'!$E$6:$E999, 0)), "")</f>
        <v/>
      </c>
      <c r="M143" s="1023"/>
      <c r="N143" s="214"/>
      <c r="O143" s="1087"/>
      <c r="P143" s="214"/>
      <c r="Q143" s="1131"/>
      <c r="R143" s="1153"/>
      <c r="S143" s="242"/>
      <c r="T143" s="242"/>
      <c r="U143" s="242"/>
      <c r="V143" s="242">
        <f t="shared" si="5"/>
        <v>0</v>
      </c>
      <c r="W143" s="242"/>
      <c r="X143" s="242"/>
      <c r="Y143" s="214"/>
      <c r="Z143" s="214"/>
      <c r="AA143" s="1131"/>
      <c r="AB143" s="1153"/>
      <c r="AC143" s="242"/>
      <c r="AD143" s="242"/>
      <c r="AE143" s="242"/>
      <c r="AF143" s="242">
        <f t="shared" si="6"/>
        <v>0</v>
      </c>
      <c r="AG143" s="242"/>
      <c r="AH143" s="242"/>
      <c r="AI143" s="214"/>
      <c r="AJ143" s="214"/>
      <c r="AK143" s="1131"/>
      <c r="AL143" s="1153"/>
      <c r="AM143" s="242"/>
      <c r="AN143" s="242"/>
      <c r="AO143" s="242"/>
      <c r="AP143" s="242">
        <f t="shared" si="7"/>
        <v>0</v>
      </c>
      <c r="AQ143" s="242"/>
      <c r="AR143" s="242"/>
      <c r="AS143" s="237"/>
      <c r="AT143" s="214"/>
      <c r="AU143" s="1138"/>
      <c r="AV143" s="1155"/>
      <c r="AW143" s="1140"/>
      <c r="AX143" s="1140"/>
      <c r="AY143" s="1140"/>
      <c r="AZ143" s="1140">
        <f t="shared" si="8"/>
        <v>0</v>
      </c>
      <c r="BA143" s="1140"/>
      <c r="BB143" s="1140"/>
      <c r="BC143" s="214"/>
      <c r="BD143" s="214"/>
      <c r="BE143" s="1131"/>
      <c r="BF143" s="1153"/>
      <c r="BG143" s="242"/>
      <c r="BH143" s="242"/>
      <c r="BI143" s="242"/>
      <c r="BJ143" s="242">
        <f t="shared" si="9"/>
        <v>0</v>
      </c>
      <c r="BK143" s="242"/>
      <c r="BL143" s="242"/>
      <c r="BM143" s="214"/>
      <c r="BN143" s="214"/>
      <c r="BO143" s="1131"/>
      <c r="BP143" s="1153"/>
      <c r="BQ143" s="242"/>
      <c r="BR143" s="242"/>
      <c r="BS143" s="242"/>
      <c r="BT143" s="242">
        <f t="shared" si="10"/>
        <v>0</v>
      </c>
      <c r="BU143" s="242"/>
      <c r="BV143" s="242"/>
      <c r="BW143" s="237"/>
      <c r="BX143" s="214"/>
      <c r="BY143" s="1131"/>
      <c r="BZ143" s="1153"/>
      <c r="CA143" s="242"/>
      <c r="CB143" s="242"/>
      <c r="CC143" s="242"/>
      <c r="CD143" s="242">
        <f t="shared" si="11"/>
        <v>0</v>
      </c>
      <c r="CE143" s="242"/>
      <c r="CF143" s="242"/>
      <c r="CG143" s="214"/>
      <c r="CH143" s="214"/>
      <c r="CI143" s="1131"/>
      <c r="CJ143" s="1153"/>
      <c r="CK143" s="242"/>
      <c r="CL143" s="242"/>
      <c r="CM143" s="242"/>
      <c r="CN143" s="242">
        <f t="shared" si="12"/>
        <v>0</v>
      </c>
      <c r="CO143" s="242"/>
      <c r="CP143" s="242"/>
      <c r="CQ143" s="214"/>
      <c r="CR143" s="214"/>
      <c r="CS143" s="1131"/>
      <c r="CT143" s="1153"/>
      <c r="CU143" s="242"/>
      <c r="CV143" s="242"/>
      <c r="CW143" s="242"/>
      <c r="CX143" s="242">
        <f t="shared" si="13"/>
        <v>0</v>
      </c>
      <c r="CY143" s="242"/>
      <c r="CZ143" s="242"/>
      <c r="DA143" s="237"/>
      <c r="DB143" s="214"/>
      <c r="DC143" s="1131"/>
      <c r="DD143" s="1153"/>
      <c r="DE143" s="242"/>
      <c r="DF143" s="242"/>
      <c r="DG143" s="242"/>
      <c r="DH143" s="242">
        <f t="shared" si="14"/>
        <v>0</v>
      </c>
      <c r="DI143" s="242"/>
      <c r="DJ143" s="242"/>
      <c r="DK143" s="214"/>
      <c r="DL143" s="214"/>
      <c r="DM143" s="1131"/>
      <c r="DN143" s="1153"/>
      <c r="DO143" s="242"/>
      <c r="DP143" s="242"/>
      <c r="DQ143" s="242"/>
      <c r="DR143" s="242">
        <f t="shared" si="15"/>
        <v>0</v>
      </c>
      <c r="DS143" s="242"/>
      <c r="DT143" s="242"/>
      <c r="DU143" s="214"/>
      <c r="DV143" s="214"/>
      <c r="DW143" s="1131"/>
      <c r="DX143" s="1153"/>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24"/>
      <c r="C144" s="1124"/>
      <c r="D144" s="1124"/>
      <c r="E144" s="1124"/>
      <c r="F144" s="1125">
        <f t="shared" si="2"/>
        <v>0</v>
      </c>
      <c r="G144" s="1126" t="str">
        <f t="shared" si="3"/>
        <v/>
      </c>
      <c r="H144" s="112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7">
        <f t="shared" si="155"/>
        <v>0</v>
      </c>
      <c r="J144" s="1128">
        <f t="shared" si="155"/>
        <v>0</v>
      </c>
      <c r="K144" s="214"/>
      <c r="L144" s="242" t="str">
        <f t="array" ref="L144">IFERROR(INDEX('💻シート作成'!$D$6:$D999, MATCH(M144, '💻シート作成'!$E$6:$E999, 0)), "")</f>
        <v/>
      </c>
      <c r="M144" s="1023"/>
      <c r="N144" s="214"/>
      <c r="O144" s="1087"/>
      <c r="P144" s="214"/>
      <c r="Q144" s="1131"/>
      <c r="R144" s="1153"/>
      <c r="S144" s="242"/>
      <c r="T144" s="242"/>
      <c r="U144" s="242"/>
      <c r="V144" s="242">
        <f t="shared" si="5"/>
        <v>0</v>
      </c>
      <c r="W144" s="242"/>
      <c r="X144" s="242"/>
      <c r="Y144" s="214"/>
      <c r="Z144" s="214"/>
      <c r="AA144" s="1131"/>
      <c r="AB144" s="1153"/>
      <c r="AC144" s="242"/>
      <c r="AD144" s="242"/>
      <c r="AE144" s="242"/>
      <c r="AF144" s="242">
        <f t="shared" si="6"/>
        <v>0</v>
      </c>
      <c r="AG144" s="242"/>
      <c r="AH144" s="242"/>
      <c r="AI144" s="214"/>
      <c r="AJ144" s="214"/>
      <c r="AK144" s="1131"/>
      <c r="AL144" s="1153"/>
      <c r="AM144" s="242"/>
      <c r="AN144" s="242"/>
      <c r="AO144" s="242"/>
      <c r="AP144" s="242">
        <f t="shared" si="7"/>
        <v>0</v>
      </c>
      <c r="AQ144" s="242"/>
      <c r="AR144" s="242"/>
      <c r="AS144" s="237"/>
      <c r="AT144" s="214"/>
      <c r="AU144" s="1138"/>
      <c r="AV144" s="1155"/>
      <c r="AW144" s="1140"/>
      <c r="AX144" s="1140"/>
      <c r="AY144" s="1140"/>
      <c r="AZ144" s="1140">
        <f t="shared" si="8"/>
        <v>0</v>
      </c>
      <c r="BA144" s="1140"/>
      <c r="BB144" s="1140"/>
      <c r="BC144" s="214"/>
      <c r="BD144" s="214"/>
      <c r="BE144" s="1131"/>
      <c r="BF144" s="1153"/>
      <c r="BG144" s="242"/>
      <c r="BH144" s="242"/>
      <c r="BI144" s="242"/>
      <c r="BJ144" s="242">
        <f t="shared" si="9"/>
        <v>0</v>
      </c>
      <c r="BK144" s="242"/>
      <c r="BL144" s="242"/>
      <c r="BM144" s="214"/>
      <c r="BN144" s="214"/>
      <c r="BO144" s="1131"/>
      <c r="BP144" s="1153"/>
      <c r="BQ144" s="242"/>
      <c r="BR144" s="242"/>
      <c r="BS144" s="242"/>
      <c r="BT144" s="242">
        <f t="shared" si="10"/>
        <v>0</v>
      </c>
      <c r="BU144" s="242"/>
      <c r="BV144" s="242"/>
      <c r="BW144" s="237"/>
      <c r="BX144" s="214"/>
      <c r="BY144" s="1131"/>
      <c r="BZ144" s="1153"/>
      <c r="CA144" s="242"/>
      <c r="CB144" s="242"/>
      <c r="CC144" s="242"/>
      <c r="CD144" s="242">
        <f t="shared" si="11"/>
        <v>0</v>
      </c>
      <c r="CE144" s="242"/>
      <c r="CF144" s="242"/>
      <c r="CG144" s="214"/>
      <c r="CH144" s="214"/>
      <c r="CI144" s="1131"/>
      <c r="CJ144" s="1153"/>
      <c r="CK144" s="242"/>
      <c r="CL144" s="242"/>
      <c r="CM144" s="242"/>
      <c r="CN144" s="242">
        <f t="shared" si="12"/>
        <v>0</v>
      </c>
      <c r="CO144" s="242"/>
      <c r="CP144" s="242"/>
      <c r="CQ144" s="214"/>
      <c r="CR144" s="214"/>
      <c r="CS144" s="1131"/>
      <c r="CT144" s="1153"/>
      <c r="CU144" s="242"/>
      <c r="CV144" s="242"/>
      <c r="CW144" s="242"/>
      <c r="CX144" s="242">
        <f t="shared" si="13"/>
        <v>0</v>
      </c>
      <c r="CY144" s="242"/>
      <c r="CZ144" s="242"/>
      <c r="DA144" s="237"/>
      <c r="DB144" s="214"/>
      <c r="DC144" s="1131"/>
      <c r="DD144" s="1153"/>
      <c r="DE144" s="242"/>
      <c r="DF144" s="242"/>
      <c r="DG144" s="242"/>
      <c r="DH144" s="242">
        <f t="shared" si="14"/>
        <v>0</v>
      </c>
      <c r="DI144" s="242"/>
      <c r="DJ144" s="242"/>
      <c r="DK144" s="214"/>
      <c r="DL144" s="214"/>
      <c r="DM144" s="1131"/>
      <c r="DN144" s="1153"/>
      <c r="DO144" s="242"/>
      <c r="DP144" s="242"/>
      <c r="DQ144" s="242"/>
      <c r="DR144" s="242">
        <f t="shared" si="15"/>
        <v>0</v>
      </c>
      <c r="DS144" s="242"/>
      <c r="DT144" s="242"/>
      <c r="DU144" s="214"/>
      <c r="DV144" s="214"/>
      <c r="DW144" s="1131"/>
      <c r="DX144" s="1153"/>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24"/>
      <c r="C145" s="1124"/>
      <c r="D145" s="1124"/>
      <c r="E145" s="1124"/>
      <c r="F145" s="1125">
        <f t="shared" si="2"/>
        <v>0</v>
      </c>
      <c r="G145" s="1126" t="str">
        <f t="shared" si="3"/>
        <v/>
      </c>
      <c r="H145" s="112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7">
        <f t="shared" si="156"/>
        <v>0</v>
      </c>
      <c r="J145" s="1128">
        <f t="shared" si="156"/>
        <v>0</v>
      </c>
      <c r="K145" s="214"/>
      <c r="L145" s="242" t="str">
        <f t="array" ref="L145">IFERROR(INDEX('💻シート作成'!$D$6:$D999, MATCH(M145, '💻シート作成'!$E$6:$E999, 0)), "")</f>
        <v/>
      </c>
      <c r="M145" s="1023"/>
      <c r="N145" s="214"/>
      <c r="O145" s="1087"/>
      <c r="P145" s="214"/>
      <c r="Q145" s="1131"/>
      <c r="R145" s="1153"/>
      <c r="S145" s="242"/>
      <c r="T145" s="242"/>
      <c r="U145" s="242"/>
      <c r="V145" s="242">
        <f t="shared" si="5"/>
        <v>0</v>
      </c>
      <c r="W145" s="242"/>
      <c r="X145" s="242"/>
      <c r="Y145" s="214"/>
      <c r="Z145" s="214"/>
      <c r="AA145" s="1131"/>
      <c r="AB145" s="1153"/>
      <c r="AC145" s="242"/>
      <c r="AD145" s="242"/>
      <c r="AE145" s="242"/>
      <c r="AF145" s="242">
        <f t="shared" si="6"/>
        <v>0</v>
      </c>
      <c r="AG145" s="242"/>
      <c r="AH145" s="242"/>
      <c r="AI145" s="214"/>
      <c r="AJ145" s="214"/>
      <c r="AK145" s="1131"/>
      <c r="AL145" s="1153"/>
      <c r="AM145" s="242"/>
      <c r="AN145" s="242"/>
      <c r="AO145" s="242"/>
      <c r="AP145" s="242">
        <f t="shared" si="7"/>
        <v>0</v>
      </c>
      <c r="AQ145" s="242"/>
      <c r="AR145" s="242"/>
      <c r="AS145" s="237"/>
      <c r="AT145" s="214"/>
      <c r="AU145" s="1138"/>
      <c r="AV145" s="1155"/>
      <c r="AW145" s="1140"/>
      <c r="AX145" s="1140"/>
      <c r="AY145" s="1140"/>
      <c r="AZ145" s="1140">
        <f t="shared" si="8"/>
        <v>0</v>
      </c>
      <c r="BA145" s="1140"/>
      <c r="BB145" s="1140"/>
      <c r="BC145" s="214"/>
      <c r="BD145" s="214"/>
      <c r="BE145" s="1131"/>
      <c r="BF145" s="1153"/>
      <c r="BG145" s="242"/>
      <c r="BH145" s="242"/>
      <c r="BI145" s="242"/>
      <c r="BJ145" s="242">
        <f t="shared" si="9"/>
        <v>0</v>
      </c>
      <c r="BK145" s="242"/>
      <c r="BL145" s="242"/>
      <c r="BM145" s="214"/>
      <c r="BN145" s="214"/>
      <c r="BO145" s="1131"/>
      <c r="BP145" s="1153"/>
      <c r="BQ145" s="242"/>
      <c r="BR145" s="242"/>
      <c r="BS145" s="242"/>
      <c r="BT145" s="242">
        <f t="shared" si="10"/>
        <v>0</v>
      </c>
      <c r="BU145" s="242"/>
      <c r="BV145" s="242"/>
      <c r="BW145" s="237"/>
      <c r="BX145" s="214"/>
      <c r="BY145" s="1131"/>
      <c r="BZ145" s="1153"/>
      <c r="CA145" s="242"/>
      <c r="CB145" s="242"/>
      <c r="CC145" s="242"/>
      <c r="CD145" s="242">
        <f t="shared" si="11"/>
        <v>0</v>
      </c>
      <c r="CE145" s="242"/>
      <c r="CF145" s="242"/>
      <c r="CG145" s="214"/>
      <c r="CH145" s="214"/>
      <c r="CI145" s="1131"/>
      <c r="CJ145" s="1153"/>
      <c r="CK145" s="242"/>
      <c r="CL145" s="242"/>
      <c r="CM145" s="242"/>
      <c r="CN145" s="242">
        <f t="shared" si="12"/>
        <v>0</v>
      </c>
      <c r="CO145" s="242"/>
      <c r="CP145" s="242"/>
      <c r="CQ145" s="214"/>
      <c r="CR145" s="214"/>
      <c r="CS145" s="1131"/>
      <c r="CT145" s="1153"/>
      <c r="CU145" s="242"/>
      <c r="CV145" s="242"/>
      <c r="CW145" s="242"/>
      <c r="CX145" s="242">
        <f t="shared" si="13"/>
        <v>0</v>
      </c>
      <c r="CY145" s="242"/>
      <c r="CZ145" s="242"/>
      <c r="DA145" s="237"/>
      <c r="DB145" s="214"/>
      <c r="DC145" s="1131"/>
      <c r="DD145" s="1153"/>
      <c r="DE145" s="242"/>
      <c r="DF145" s="242"/>
      <c r="DG145" s="242"/>
      <c r="DH145" s="242">
        <f t="shared" si="14"/>
        <v>0</v>
      </c>
      <c r="DI145" s="242"/>
      <c r="DJ145" s="242"/>
      <c r="DK145" s="214"/>
      <c r="DL145" s="214"/>
      <c r="DM145" s="1131"/>
      <c r="DN145" s="1153"/>
      <c r="DO145" s="242"/>
      <c r="DP145" s="242"/>
      <c r="DQ145" s="242"/>
      <c r="DR145" s="242">
        <f t="shared" si="15"/>
        <v>0</v>
      </c>
      <c r="DS145" s="242"/>
      <c r="DT145" s="242"/>
      <c r="DU145" s="214"/>
      <c r="DV145" s="214"/>
      <c r="DW145" s="1131"/>
      <c r="DX145" s="1153"/>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24"/>
      <c r="C146" s="1124"/>
      <c r="D146" s="1124"/>
      <c r="E146" s="1124"/>
      <c r="F146" s="1125">
        <f t="shared" si="2"/>
        <v>0</v>
      </c>
      <c r="G146" s="1126" t="str">
        <f t="shared" si="3"/>
        <v/>
      </c>
      <c r="H146" s="112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7">
        <f t="shared" si="157"/>
        <v>0</v>
      </c>
      <c r="J146" s="1128">
        <f t="shared" si="157"/>
        <v>0</v>
      </c>
      <c r="K146" s="214"/>
      <c r="L146" s="242" t="str">
        <f t="array" ref="L146">IFERROR(INDEX('💻シート作成'!$D$6:$D999, MATCH(M146, '💻シート作成'!$E$6:$E999, 0)), "")</f>
        <v/>
      </c>
      <c r="M146" s="1023"/>
      <c r="N146" s="214"/>
      <c r="O146" s="1087"/>
      <c r="P146" s="214"/>
      <c r="Q146" s="1131"/>
      <c r="R146" s="1153"/>
      <c r="S146" s="242"/>
      <c r="T146" s="242"/>
      <c r="U146" s="242"/>
      <c r="V146" s="242">
        <f t="shared" si="5"/>
        <v>0</v>
      </c>
      <c r="W146" s="242"/>
      <c r="X146" s="242"/>
      <c r="Y146" s="214"/>
      <c r="Z146" s="214"/>
      <c r="AA146" s="1131"/>
      <c r="AB146" s="1153"/>
      <c r="AC146" s="242"/>
      <c r="AD146" s="242"/>
      <c r="AE146" s="242"/>
      <c r="AF146" s="242">
        <f t="shared" si="6"/>
        <v>0</v>
      </c>
      <c r="AG146" s="242"/>
      <c r="AH146" s="242"/>
      <c r="AI146" s="214"/>
      <c r="AJ146" s="214"/>
      <c r="AK146" s="1131"/>
      <c r="AL146" s="1153"/>
      <c r="AM146" s="242"/>
      <c r="AN146" s="242"/>
      <c r="AO146" s="242"/>
      <c r="AP146" s="242">
        <f t="shared" si="7"/>
        <v>0</v>
      </c>
      <c r="AQ146" s="242"/>
      <c r="AR146" s="242"/>
      <c r="AS146" s="237"/>
      <c r="AT146" s="214"/>
      <c r="AU146" s="1138"/>
      <c r="AV146" s="1155"/>
      <c r="AW146" s="1140"/>
      <c r="AX146" s="1140"/>
      <c r="AY146" s="1140"/>
      <c r="AZ146" s="1140">
        <f t="shared" si="8"/>
        <v>0</v>
      </c>
      <c r="BA146" s="1140"/>
      <c r="BB146" s="1140"/>
      <c r="BC146" s="214"/>
      <c r="BD146" s="214"/>
      <c r="BE146" s="1131"/>
      <c r="BF146" s="1153"/>
      <c r="BG146" s="242"/>
      <c r="BH146" s="242"/>
      <c r="BI146" s="242"/>
      <c r="BJ146" s="242">
        <f t="shared" si="9"/>
        <v>0</v>
      </c>
      <c r="BK146" s="242"/>
      <c r="BL146" s="242"/>
      <c r="BM146" s="214"/>
      <c r="BN146" s="214"/>
      <c r="BO146" s="1131"/>
      <c r="BP146" s="1153"/>
      <c r="BQ146" s="242"/>
      <c r="BR146" s="242"/>
      <c r="BS146" s="242"/>
      <c r="BT146" s="242">
        <f t="shared" si="10"/>
        <v>0</v>
      </c>
      <c r="BU146" s="242"/>
      <c r="BV146" s="242"/>
      <c r="BW146" s="237"/>
      <c r="BX146" s="214"/>
      <c r="BY146" s="1131"/>
      <c r="BZ146" s="1153"/>
      <c r="CA146" s="242"/>
      <c r="CB146" s="242"/>
      <c r="CC146" s="242"/>
      <c r="CD146" s="242">
        <f t="shared" si="11"/>
        <v>0</v>
      </c>
      <c r="CE146" s="242"/>
      <c r="CF146" s="242"/>
      <c r="CG146" s="214"/>
      <c r="CH146" s="214"/>
      <c r="CI146" s="1131"/>
      <c r="CJ146" s="1153"/>
      <c r="CK146" s="242"/>
      <c r="CL146" s="242"/>
      <c r="CM146" s="242"/>
      <c r="CN146" s="242">
        <f t="shared" si="12"/>
        <v>0</v>
      </c>
      <c r="CO146" s="242"/>
      <c r="CP146" s="242"/>
      <c r="CQ146" s="214"/>
      <c r="CR146" s="214"/>
      <c r="CS146" s="1131"/>
      <c r="CT146" s="1153"/>
      <c r="CU146" s="242"/>
      <c r="CV146" s="242"/>
      <c r="CW146" s="242"/>
      <c r="CX146" s="242">
        <f t="shared" si="13"/>
        <v>0</v>
      </c>
      <c r="CY146" s="242"/>
      <c r="CZ146" s="242"/>
      <c r="DA146" s="237"/>
      <c r="DB146" s="214"/>
      <c r="DC146" s="1131"/>
      <c r="DD146" s="1153"/>
      <c r="DE146" s="242"/>
      <c r="DF146" s="242"/>
      <c r="DG146" s="242"/>
      <c r="DH146" s="242">
        <f t="shared" si="14"/>
        <v>0</v>
      </c>
      <c r="DI146" s="242"/>
      <c r="DJ146" s="242"/>
      <c r="DK146" s="214"/>
      <c r="DL146" s="214"/>
      <c r="DM146" s="1131"/>
      <c r="DN146" s="1153"/>
      <c r="DO146" s="242"/>
      <c r="DP146" s="242"/>
      <c r="DQ146" s="242"/>
      <c r="DR146" s="242">
        <f t="shared" si="15"/>
        <v>0</v>
      </c>
      <c r="DS146" s="242"/>
      <c r="DT146" s="242"/>
      <c r="DU146" s="214"/>
      <c r="DV146" s="214"/>
      <c r="DW146" s="1131"/>
      <c r="DX146" s="1153"/>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24"/>
      <c r="C147" s="1124"/>
      <c r="D147" s="1124"/>
      <c r="E147" s="1124"/>
      <c r="F147" s="1125">
        <f t="shared" si="2"/>
        <v>0</v>
      </c>
      <c r="G147" s="1126" t="str">
        <f t="shared" si="3"/>
        <v/>
      </c>
      <c r="H147" s="112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7">
        <f t="shared" si="158"/>
        <v>0</v>
      </c>
      <c r="J147" s="1128">
        <f t="shared" si="158"/>
        <v>0</v>
      </c>
      <c r="K147" s="214"/>
      <c r="L147" s="242" t="str">
        <f t="array" ref="L147">IFERROR(INDEX('💻シート作成'!$D$6:$D999, MATCH(M147, '💻シート作成'!$E$6:$E999, 0)), "")</f>
        <v/>
      </c>
      <c r="M147" s="1023"/>
      <c r="N147" s="214"/>
      <c r="O147" s="1087"/>
      <c r="P147" s="214"/>
      <c r="Q147" s="1131"/>
      <c r="R147" s="1153"/>
      <c r="S147" s="242"/>
      <c r="T147" s="242"/>
      <c r="U147" s="242"/>
      <c r="V147" s="242">
        <f t="shared" si="5"/>
        <v>0</v>
      </c>
      <c r="W147" s="242"/>
      <c r="X147" s="242"/>
      <c r="Y147" s="214"/>
      <c r="Z147" s="214"/>
      <c r="AA147" s="1131"/>
      <c r="AB147" s="1153"/>
      <c r="AC147" s="242"/>
      <c r="AD147" s="242"/>
      <c r="AE147" s="242"/>
      <c r="AF147" s="242">
        <f t="shared" si="6"/>
        <v>0</v>
      </c>
      <c r="AG147" s="242"/>
      <c r="AH147" s="242"/>
      <c r="AI147" s="214"/>
      <c r="AJ147" s="214"/>
      <c r="AK147" s="1131"/>
      <c r="AL147" s="1153"/>
      <c r="AM147" s="242"/>
      <c r="AN147" s="242"/>
      <c r="AO147" s="242"/>
      <c r="AP147" s="242">
        <f t="shared" si="7"/>
        <v>0</v>
      </c>
      <c r="AQ147" s="242"/>
      <c r="AR147" s="242"/>
      <c r="AS147" s="237"/>
      <c r="AT147" s="214"/>
      <c r="AU147" s="1138"/>
      <c r="AV147" s="1155"/>
      <c r="AW147" s="1140"/>
      <c r="AX147" s="1140"/>
      <c r="AY147" s="1140"/>
      <c r="AZ147" s="1140">
        <f t="shared" si="8"/>
        <v>0</v>
      </c>
      <c r="BA147" s="1140"/>
      <c r="BB147" s="1140"/>
      <c r="BC147" s="214"/>
      <c r="BD147" s="214"/>
      <c r="BE147" s="1131"/>
      <c r="BF147" s="1153"/>
      <c r="BG147" s="242"/>
      <c r="BH147" s="242"/>
      <c r="BI147" s="242"/>
      <c r="BJ147" s="242">
        <f t="shared" si="9"/>
        <v>0</v>
      </c>
      <c r="BK147" s="242"/>
      <c r="BL147" s="242"/>
      <c r="BM147" s="214"/>
      <c r="BN147" s="214"/>
      <c r="BO147" s="1131"/>
      <c r="BP147" s="1153"/>
      <c r="BQ147" s="242"/>
      <c r="BR147" s="242"/>
      <c r="BS147" s="242"/>
      <c r="BT147" s="242">
        <f t="shared" si="10"/>
        <v>0</v>
      </c>
      <c r="BU147" s="242"/>
      <c r="BV147" s="242"/>
      <c r="BW147" s="237"/>
      <c r="BX147" s="214"/>
      <c r="BY147" s="1131"/>
      <c r="BZ147" s="1153"/>
      <c r="CA147" s="242"/>
      <c r="CB147" s="242"/>
      <c r="CC147" s="242"/>
      <c r="CD147" s="242">
        <f t="shared" si="11"/>
        <v>0</v>
      </c>
      <c r="CE147" s="242"/>
      <c r="CF147" s="242"/>
      <c r="CG147" s="214"/>
      <c r="CH147" s="214"/>
      <c r="CI147" s="1131"/>
      <c r="CJ147" s="1153"/>
      <c r="CK147" s="242"/>
      <c r="CL147" s="242"/>
      <c r="CM147" s="242"/>
      <c r="CN147" s="242">
        <f t="shared" si="12"/>
        <v>0</v>
      </c>
      <c r="CO147" s="242"/>
      <c r="CP147" s="242"/>
      <c r="CQ147" s="214"/>
      <c r="CR147" s="214"/>
      <c r="CS147" s="1131"/>
      <c r="CT147" s="1153"/>
      <c r="CU147" s="242"/>
      <c r="CV147" s="242"/>
      <c r="CW147" s="242"/>
      <c r="CX147" s="242">
        <f t="shared" si="13"/>
        <v>0</v>
      </c>
      <c r="CY147" s="242"/>
      <c r="CZ147" s="242"/>
      <c r="DA147" s="237"/>
      <c r="DB147" s="214"/>
      <c r="DC147" s="1131"/>
      <c r="DD147" s="1153"/>
      <c r="DE147" s="242"/>
      <c r="DF147" s="242"/>
      <c r="DG147" s="242"/>
      <c r="DH147" s="242">
        <f t="shared" si="14"/>
        <v>0</v>
      </c>
      <c r="DI147" s="242"/>
      <c r="DJ147" s="242"/>
      <c r="DK147" s="214"/>
      <c r="DL147" s="214"/>
      <c r="DM147" s="1131"/>
      <c r="DN147" s="1153"/>
      <c r="DO147" s="242"/>
      <c r="DP147" s="242"/>
      <c r="DQ147" s="242"/>
      <c r="DR147" s="242">
        <f t="shared" si="15"/>
        <v>0</v>
      </c>
      <c r="DS147" s="242"/>
      <c r="DT147" s="242"/>
      <c r="DU147" s="214"/>
      <c r="DV147" s="214"/>
      <c r="DW147" s="1131"/>
      <c r="DX147" s="1153"/>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24"/>
      <c r="C148" s="1124"/>
      <c r="D148" s="1124"/>
      <c r="E148" s="1124"/>
      <c r="F148" s="1125">
        <f t="shared" si="2"/>
        <v>0</v>
      </c>
      <c r="G148" s="1126" t="str">
        <f t="shared" si="3"/>
        <v/>
      </c>
      <c r="H148" s="112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7">
        <f t="shared" si="159"/>
        <v>0</v>
      </c>
      <c r="J148" s="1128">
        <f t="shared" si="159"/>
        <v>0</v>
      </c>
      <c r="K148" s="214"/>
      <c r="L148" s="242" t="str">
        <f t="array" ref="L148">IFERROR(INDEX('💻シート作成'!$D$6:$D999, MATCH(M148, '💻シート作成'!$E$6:$E999, 0)), "")</f>
        <v/>
      </c>
      <c r="M148" s="1023"/>
      <c r="N148" s="214"/>
      <c r="O148" s="1087"/>
      <c r="P148" s="214"/>
      <c r="Q148" s="1131"/>
      <c r="R148" s="1153"/>
      <c r="S148" s="242"/>
      <c r="T148" s="242"/>
      <c r="U148" s="242"/>
      <c r="V148" s="242">
        <f t="shared" si="5"/>
        <v>0</v>
      </c>
      <c r="W148" s="242"/>
      <c r="X148" s="242"/>
      <c r="Y148" s="214"/>
      <c r="Z148" s="214"/>
      <c r="AA148" s="1131"/>
      <c r="AB148" s="1153"/>
      <c r="AC148" s="242"/>
      <c r="AD148" s="242"/>
      <c r="AE148" s="242"/>
      <c r="AF148" s="242">
        <f t="shared" si="6"/>
        <v>0</v>
      </c>
      <c r="AG148" s="242"/>
      <c r="AH148" s="242"/>
      <c r="AI148" s="214"/>
      <c r="AJ148" s="214"/>
      <c r="AK148" s="1131"/>
      <c r="AL148" s="1153"/>
      <c r="AM148" s="242"/>
      <c r="AN148" s="242"/>
      <c r="AO148" s="242"/>
      <c r="AP148" s="242">
        <f t="shared" si="7"/>
        <v>0</v>
      </c>
      <c r="AQ148" s="242"/>
      <c r="AR148" s="242"/>
      <c r="AS148" s="237"/>
      <c r="AT148" s="214"/>
      <c r="AU148" s="1138"/>
      <c r="AV148" s="1155"/>
      <c r="AW148" s="1140"/>
      <c r="AX148" s="1140"/>
      <c r="AY148" s="1140"/>
      <c r="AZ148" s="1140">
        <f t="shared" si="8"/>
        <v>0</v>
      </c>
      <c r="BA148" s="1140"/>
      <c r="BB148" s="1140"/>
      <c r="BC148" s="214"/>
      <c r="BD148" s="214"/>
      <c r="BE148" s="1131"/>
      <c r="BF148" s="1153"/>
      <c r="BG148" s="242"/>
      <c r="BH148" s="242"/>
      <c r="BI148" s="242"/>
      <c r="BJ148" s="242">
        <f t="shared" si="9"/>
        <v>0</v>
      </c>
      <c r="BK148" s="242"/>
      <c r="BL148" s="242"/>
      <c r="BM148" s="214"/>
      <c r="BN148" s="214"/>
      <c r="BO148" s="1131"/>
      <c r="BP148" s="1153"/>
      <c r="BQ148" s="242"/>
      <c r="BR148" s="242"/>
      <c r="BS148" s="242"/>
      <c r="BT148" s="242">
        <f t="shared" si="10"/>
        <v>0</v>
      </c>
      <c r="BU148" s="242"/>
      <c r="BV148" s="242"/>
      <c r="BW148" s="237"/>
      <c r="BX148" s="214"/>
      <c r="BY148" s="1131"/>
      <c r="BZ148" s="1153"/>
      <c r="CA148" s="242"/>
      <c r="CB148" s="242"/>
      <c r="CC148" s="242"/>
      <c r="CD148" s="242">
        <f t="shared" si="11"/>
        <v>0</v>
      </c>
      <c r="CE148" s="242"/>
      <c r="CF148" s="242"/>
      <c r="CG148" s="214"/>
      <c r="CH148" s="214"/>
      <c r="CI148" s="1131"/>
      <c r="CJ148" s="1153"/>
      <c r="CK148" s="242"/>
      <c r="CL148" s="242"/>
      <c r="CM148" s="242"/>
      <c r="CN148" s="242">
        <f t="shared" si="12"/>
        <v>0</v>
      </c>
      <c r="CO148" s="242"/>
      <c r="CP148" s="242"/>
      <c r="CQ148" s="214"/>
      <c r="CR148" s="214"/>
      <c r="CS148" s="1131"/>
      <c r="CT148" s="1153"/>
      <c r="CU148" s="242"/>
      <c r="CV148" s="242"/>
      <c r="CW148" s="242"/>
      <c r="CX148" s="242">
        <f t="shared" si="13"/>
        <v>0</v>
      </c>
      <c r="CY148" s="242"/>
      <c r="CZ148" s="242"/>
      <c r="DA148" s="237"/>
      <c r="DB148" s="214"/>
      <c r="DC148" s="1131"/>
      <c r="DD148" s="1153"/>
      <c r="DE148" s="242"/>
      <c r="DF148" s="242"/>
      <c r="DG148" s="242"/>
      <c r="DH148" s="242">
        <f t="shared" si="14"/>
        <v>0</v>
      </c>
      <c r="DI148" s="242"/>
      <c r="DJ148" s="242"/>
      <c r="DK148" s="214"/>
      <c r="DL148" s="214"/>
      <c r="DM148" s="1131"/>
      <c r="DN148" s="1153"/>
      <c r="DO148" s="242"/>
      <c r="DP148" s="242"/>
      <c r="DQ148" s="242"/>
      <c r="DR148" s="242">
        <f t="shared" si="15"/>
        <v>0</v>
      </c>
      <c r="DS148" s="242"/>
      <c r="DT148" s="242"/>
      <c r="DU148" s="214"/>
      <c r="DV148" s="214"/>
      <c r="DW148" s="1131"/>
      <c r="DX148" s="1153"/>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24"/>
      <c r="C149" s="1124"/>
      <c r="D149" s="1124"/>
      <c r="E149" s="1124"/>
      <c r="F149" s="1125">
        <f t="shared" si="2"/>
        <v>0</v>
      </c>
      <c r="G149" s="1126" t="str">
        <f t="shared" si="3"/>
        <v/>
      </c>
      <c r="H149" s="112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7">
        <f t="shared" si="160"/>
        <v>0</v>
      </c>
      <c r="J149" s="1128">
        <f t="shared" si="160"/>
        <v>0</v>
      </c>
      <c r="K149" s="214"/>
      <c r="L149" s="242" t="str">
        <f t="array" ref="L149">IFERROR(INDEX('💻シート作成'!$D$6:$D999, MATCH(M149, '💻シート作成'!$E$6:$E999, 0)), "")</f>
        <v/>
      </c>
      <c r="M149" s="1023"/>
      <c r="N149" s="214"/>
      <c r="O149" s="1087"/>
      <c r="P149" s="214"/>
      <c r="Q149" s="1131"/>
      <c r="R149" s="1153"/>
      <c r="S149" s="242"/>
      <c r="T149" s="242"/>
      <c r="U149" s="242"/>
      <c r="V149" s="242">
        <f t="shared" si="5"/>
        <v>0</v>
      </c>
      <c r="W149" s="242"/>
      <c r="X149" s="242"/>
      <c r="Y149" s="214"/>
      <c r="Z149" s="214"/>
      <c r="AA149" s="1131"/>
      <c r="AB149" s="1153"/>
      <c r="AC149" s="242"/>
      <c r="AD149" s="242"/>
      <c r="AE149" s="242"/>
      <c r="AF149" s="242">
        <f t="shared" si="6"/>
        <v>0</v>
      </c>
      <c r="AG149" s="242"/>
      <c r="AH149" s="242"/>
      <c r="AI149" s="214"/>
      <c r="AJ149" s="214"/>
      <c r="AK149" s="1131"/>
      <c r="AL149" s="1153"/>
      <c r="AM149" s="242"/>
      <c r="AN149" s="242"/>
      <c r="AO149" s="242"/>
      <c r="AP149" s="242">
        <f t="shared" si="7"/>
        <v>0</v>
      </c>
      <c r="AQ149" s="242"/>
      <c r="AR149" s="242"/>
      <c r="AS149" s="237"/>
      <c r="AT149" s="214"/>
      <c r="AU149" s="1138"/>
      <c r="AV149" s="1155"/>
      <c r="AW149" s="1140"/>
      <c r="AX149" s="1140"/>
      <c r="AY149" s="1140"/>
      <c r="AZ149" s="1140">
        <f t="shared" si="8"/>
        <v>0</v>
      </c>
      <c r="BA149" s="1140"/>
      <c r="BB149" s="1140"/>
      <c r="BC149" s="214"/>
      <c r="BD149" s="214"/>
      <c r="BE149" s="1131"/>
      <c r="BF149" s="1153"/>
      <c r="BG149" s="242"/>
      <c r="BH149" s="242"/>
      <c r="BI149" s="242"/>
      <c r="BJ149" s="242">
        <f t="shared" si="9"/>
        <v>0</v>
      </c>
      <c r="BK149" s="242"/>
      <c r="BL149" s="242"/>
      <c r="BM149" s="214"/>
      <c r="BN149" s="214"/>
      <c r="BO149" s="1131"/>
      <c r="BP149" s="1153"/>
      <c r="BQ149" s="242"/>
      <c r="BR149" s="242"/>
      <c r="BS149" s="242"/>
      <c r="BT149" s="242">
        <f t="shared" si="10"/>
        <v>0</v>
      </c>
      <c r="BU149" s="242"/>
      <c r="BV149" s="242"/>
      <c r="BW149" s="237"/>
      <c r="BX149" s="214"/>
      <c r="BY149" s="1131"/>
      <c r="BZ149" s="1153"/>
      <c r="CA149" s="242"/>
      <c r="CB149" s="242"/>
      <c r="CC149" s="242"/>
      <c r="CD149" s="242">
        <f t="shared" si="11"/>
        <v>0</v>
      </c>
      <c r="CE149" s="242"/>
      <c r="CF149" s="242"/>
      <c r="CG149" s="214"/>
      <c r="CH149" s="214"/>
      <c r="CI149" s="1131"/>
      <c r="CJ149" s="1153"/>
      <c r="CK149" s="242"/>
      <c r="CL149" s="242"/>
      <c r="CM149" s="242"/>
      <c r="CN149" s="242">
        <f t="shared" si="12"/>
        <v>0</v>
      </c>
      <c r="CO149" s="242"/>
      <c r="CP149" s="242"/>
      <c r="CQ149" s="214"/>
      <c r="CR149" s="214"/>
      <c r="CS149" s="1131"/>
      <c r="CT149" s="1153"/>
      <c r="CU149" s="242"/>
      <c r="CV149" s="242"/>
      <c r="CW149" s="242"/>
      <c r="CX149" s="242">
        <f t="shared" si="13"/>
        <v>0</v>
      </c>
      <c r="CY149" s="242"/>
      <c r="CZ149" s="242"/>
      <c r="DA149" s="237"/>
      <c r="DB149" s="214"/>
      <c r="DC149" s="1131"/>
      <c r="DD149" s="1153"/>
      <c r="DE149" s="242"/>
      <c r="DF149" s="242"/>
      <c r="DG149" s="242"/>
      <c r="DH149" s="242">
        <f t="shared" si="14"/>
        <v>0</v>
      </c>
      <c r="DI149" s="242"/>
      <c r="DJ149" s="242"/>
      <c r="DK149" s="214"/>
      <c r="DL149" s="214"/>
      <c r="DM149" s="1131"/>
      <c r="DN149" s="1153"/>
      <c r="DO149" s="242"/>
      <c r="DP149" s="242"/>
      <c r="DQ149" s="242"/>
      <c r="DR149" s="242">
        <f t="shared" si="15"/>
        <v>0</v>
      </c>
      <c r="DS149" s="242"/>
      <c r="DT149" s="242"/>
      <c r="DU149" s="214"/>
      <c r="DV149" s="214"/>
      <c r="DW149" s="1131"/>
      <c r="DX149" s="1153"/>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24"/>
      <c r="C150" s="1124"/>
      <c r="D150" s="1124"/>
      <c r="E150" s="1124"/>
      <c r="F150" s="1125">
        <f t="shared" si="2"/>
        <v>0</v>
      </c>
      <c r="G150" s="1126" t="str">
        <f t="shared" si="3"/>
        <v/>
      </c>
      <c r="H150" s="112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7">
        <f t="shared" si="161"/>
        <v>0</v>
      </c>
      <c r="J150" s="1128">
        <f t="shared" si="161"/>
        <v>0</v>
      </c>
      <c r="K150" s="214"/>
      <c r="L150" s="242" t="str">
        <f t="array" ref="L150">IFERROR(INDEX('💻シート作成'!$D$6:$D999, MATCH(M150, '💻シート作成'!$E$6:$E999, 0)), "")</f>
        <v/>
      </c>
      <c r="M150" s="1023"/>
      <c r="N150" s="214"/>
      <c r="O150" s="1087"/>
      <c r="P150" s="214"/>
      <c r="Q150" s="1131"/>
      <c r="R150" s="1153"/>
      <c r="S150" s="242"/>
      <c r="T150" s="242"/>
      <c r="U150" s="242"/>
      <c r="V150" s="242">
        <f t="shared" si="5"/>
        <v>0</v>
      </c>
      <c r="W150" s="242"/>
      <c r="X150" s="242"/>
      <c r="Y150" s="214"/>
      <c r="Z150" s="214"/>
      <c r="AA150" s="1131"/>
      <c r="AB150" s="1153"/>
      <c r="AC150" s="242"/>
      <c r="AD150" s="242"/>
      <c r="AE150" s="242"/>
      <c r="AF150" s="242">
        <f t="shared" si="6"/>
        <v>0</v>
      </c>
      <c r="AG150" s="242"/>
      <c r="AH150" s="242"/>
      <c r="AI150" s="214"/>
      <c r="AJ150" s="214"/>
      <c r="AK150" s="1131"/>
      <c r="AL150" s="1153"/>
      <c r="AM150" s="242"/>
      <c r="AN150" s="242"/>
      <c r="AO150" s="242"/>
      <c r="AP150" s="242">
        <f t="shared" si="7"/>
        <v>0</v>
      </c>
      <c r="AQ150" s="242"/>
      <c r="AR150" s="242"/>
      <c r="AS150" s="237"/>
      <c r="AT150" s="214"/>
      <c r="AU150" s="1138"/>
      <c r="AV150" s="1155"/>
      <c r="AW150" s="1140"/>
      <c r="AX150" s="1140"/>
      <c r="AY150" s="1140"/>
      <c r="AZ150" s="1140">
        <f t="shared" si="8"/>
        <v>0</v>
      </c>
      <c r="BA150" s="1140"/>
      <c r="BB150" s="1140"/>
      <c r="BC150" s="214"/>
      <c r="BD150" s="214"/>
      <c r="BE150" s="1131"/>
      <c r="BF150" s="1153"/>
      <c r="BG150" s="242"/>
      <c r="BH150" s="242"/>
      <c r="BI150" s="242"/>
      <c r="BJ150" s="242">
        <f t="shared" si="9"/>
        <v>0</v>
      </c>
      <c r="BK150" s="242"/>
      <c r="BL150" s="242"/>
      <c r="BM150" s="214"/>
      <c r="BN150" s="214"/>
      <c r="BO150" s="1131"/>
      <c r="BP150" s="1153"/>
      <c r="BQ150" s="242"/>
      <c r="BR150" s="242"/>
      <c r="BS150" s="242"/>
      <c r="BT150" s="242">
        <f t="shared" si="10"/>
        <v>0</v>
      </c>
      <c r="BU150" s="242"/>
      <c r="BV150" s="242"/>
      <c r="BW150" s="237"/>
      <c r="BX150" s="214"/>
      <c r="BY150" s="1131"/>
      <c r="BZ150" s="1153"/>
      <c r="CA150" s="242"/>
      <c r="CB150" s="242"/>
      <c r="CC150" s="242"/>
      <c r="CD150" s="242">
        <f t="shared" si="11"/>
        <v>0</v>
      </c>
      <c r="CE150" s="242"/>
      <c r="CF150" s="242"/>
      <c r="CG150" s="214"/>
      <c r="CH150" s="214"/>
      <c r="CI150" s="1131"/>
      <c r="CJ150" s="1153"/>
      <c r="CK150" s="242"/>
      <c r="CL150" s="242"/>
      <c r="CM150" s="242"/>
      <c r="CN150" s="242">
        <f t="shared" si="12"/>
        <v>0</v>
      </c>
      <c r="CO150" s="242"/>
      <c r="CP150" s="242"/>
      <c r="CQ150" s="214"/>
      <c r="CR150" s="214"/>
      <c r="CS150" s="1131"/>
      <c r="CT150" s="1153"/>
      <c r="CU150" s="242"/>
      <c r="CV150" s="242"/>
      <c r="CW150" s="242"/>
      <c r="CX150" s="242">
        <f t="shared" si="13"/>
        <v>0</v>
      </c>
      <c r="CY150" s="242"/>
      <c r="CZ150" s="242"/>
      <c r="DA150" s="237"/>
      <c r="DB150" s="214"/>
      <c r="DC150" s="1131"/>
      <c r="DD150" s="1153"/>
      <c r="DE150" s="242"/>
      <c r="DF150" s="242"/>
      <c r="DG150" s="242"/>
      <c r="DH150" s="242">
        <f t="shared" si="14"/>
        <v>0</v>
      </c>
      <c r="DI150" s="242"/>
      <c r="DJ150" s="242"/>
      <c r="DK150" s="214"/>
      <c r="DL150" s="214"/>
      <c r="DM150" s="1131"/>
      <c r="DN150" s="1153"/>
      <c r="DO150" s="242"/>
      <c r="DP150" s="242"/>
      <c r="DQ150" s="242"/>
      <c r="DR150" s="242">
        <f t="shared" si="15"/>
        <v>0</v>
      </c>
      <c r="DS150" s="242"/>
      <c r="DT150" s="242"/>
      <c r="DU150" s="214"/>
      <c r="DV150" s="214"/>
      <c r="DW150" s="1131"/>
      <c r="DX150" s="1153"/>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24"/>
      <c r="C151" s="1124"/>
      <c r="D151" s="1124"/>
      <c r="E151" s="1124"/>
      <c r="F151" s="1125">
        <f t="shared" si="2"/>
        <v>0</v>
      </c>
      <c r="G151" s="1126" t="str">
        <f t="shared" si="3"/>
        <v/>
      </c>
      <c r="H151" s="112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7">
        <f t="shared" si="162"/>
        <v>0</v>
      </c>
      <c r="J151" s="1128">
        <f t="shared" si="162"/>
        <v>0</v>
      </c>
      <c r="K151" s="214"/>
      <c r="L151" s="242" t="str">
        <f t="array" ref="L151">IFERROR(INDEX('💻シート作成'!$D$6:$D999, MATCH(M151, '💻シート作成'!$E$6:$E999, 0)), "")</f>
        <v/>
      </c>
      <c r="M151" s="1023"/>
      <c r="N151" s="214"/>
      <c r="O151" s="1087"/>
      <c r="P151" s="214"/>
      <c r="Q151" s="1131"/>
      <c r="R151" s="1153"/>
      <c r="S151" s="242"/>
      <c r="T151" s="242"/>
      <c r="U151" s="242"/>
      <c r="V151" s="242">
        <f t="shared" si="5"/>
        <v>0</v>
      </c>
      <c r="W151" s="242"/>
      <c r="X151" s="242"/>
      <c r="Y151" s="214"/>
      <c r="Z151" s="214"/>
      <c r="AA151" s="1131"/>
      <c r="AB151" s="1153"/>
      <c r="AC151" s="242"/>
      <c r="AD151" s="242"/>
      <c r="AE151" s="242"/>
      <c r="AF151" s="242">
        <f t="shared" si="6"/>
        <v>0</v>
      </c>
      <c r="AG151" s="242"/>
      <c r="AH151" s="242"/>
      <c r="AI151" s="214"/>
      <c r="AJ151" s="214"/>
      <c r="AK151" s="1131"/>
      <c r="AL151" s="1153"/>
      <c r="AM151" s="242"/>
      <c r="AN151" s="242"/>
      <c r="AO151" s="242"/>
      <c r="AP151" s="242">
        <f t="shared" si="7"/>
        <v>0</v>
      </c>
      <c r="AQ151" s="242"/>
      <c r="AR151" s="242"/>
      <c r="AS151" s="237"/>
      <c r="AT151" s="214"/>
      <c r="AU151" s="1138"/>
      <c r="AV151" s="1155"/>
      <c r="AW151" s="1140"/>
      <c r="AX151" s="1140"/>
      <c r="AY151" s="1140"/>
      <c r="AZ151" s="1140">
        <f t="shared" si="8"/>
        <v>0</v>
      </c>
      <c r="BA151" s="1140"/>
      <c r="BB151" s="1140"/>
      <c r="BC151" s="214"/>
      <c r="BD151" s="214"/>
      <c r="BE151" s="1131"/>
      <c r="BF151" s="1153"/>
      <c r="BG151" s="242"/>
      <c r="BH151" s="242"/>
      <c r="BI151" s="242"/>
      <c r="BJ151" s="242">
        <f t="shared" si="9"/>
        <v>0</v>
      </c>
      <c r="BK151" s="242"/>
      <c r="BL151" s="242"/>
      <c r="BM151" s="214"/>
      <c r="BN151" s="214"/>
      <c r="BO151" s="1131"/>
      <c r="BP151" s="1153"/>
      <c r="BQ151" s="242"/>
      <c r="BR151" s="242"/>
      <c r="BS151" s="242"/>
      <c r="BT151" s="242">
        <f t="shared" si="10"/>
        <v>0</v>
      </c>
      <c r="BU151" s="242"/>
      <c r="BV151" s="242"/>
      <c r="BW151" s="237"/>
      <c r="BX151" s="214"/>
      <c r="BY151" s="1131"/>
      <c r="BZ151" s="1153"/>
      <c r="CA151" s="242"/>
      <c r="CB151" s="242"/>
      <c r="CC151" s="242"/>
      <c r="CD151" s="242">
        <f t="shared" si="11"/>
        <v>0</v>
      </c>
      <c r="CE151" s="242"/>
      <c r="CF151" s="242"/>
      <c r="CG151" s="214"/>
      <c r="CH151" s="214"/>
      <c r="CI151" s="1131"/>
      <c r="CJ151" s="1153"/>
      <c r="CK151" s="242"/>
      <c r="CL151" s="242"/>
      <c r="CM151" s="242"/>
      <c r="CN151" s="242">
        <f t="shared" si="12"/>
        <v>0</v>
      </c>
      <c r="CO151" s="242"/>
      <c r="CP151" s="242"/>
      <c r="CQ151" s="214"/>
      <c r="CR151" s="214"/>
      <c r="CS151" s="1131"/>
      <c r="CT151" s="1153"/>
      <c r="CU151" s="242"/>
      <c r="CV151" s="242"/>
      <c r="CW151" s="242"/>
      <c r="CX151" s="242">
        <f t="shared" si="13"/>
        <v>0</v>
      </c>
      <c r="CY151" s="242"/>
      <c r="CZ151" s="242"/>
      <c r="DA151" s="237"/>
      <c r="DB151" s="214"/>
      <c r="DC151" s="1131"/>
      <c r="DD151" s="1153"/>
      <c r="DE151" s="242"/>
      <c r="DF151" s="242"/>
      <c r="DG151" s="242"/>
      <c r="DH151" s="242">
        <f t="shared" si="14"/>
        <v>0</v>
      </c>
      <c r="DI151" s="242"/>
      <c r="DJ151" s="242"/>
      <c r="DK151" s="214"/>
      <c r="DL151" s="214"/>
      <c r="DM151" s="1131"/>
      <c r="DN151" s="1153"/>
      <c r="DO151" s="242"/>
      <c r="DP151" s="242"/>
      <c r="DQ151" s="242"/>
      <c r="DR151" s="242">
        <f t="shared" si="15"/>
        <v>0</v>
      </c>
      <c r="DS151" s="242"/>
      <c r="DT151" s="242"/>
      <c r="DU151" s="214"/>
      <c r="DV151" s="214"/>
      <c r="DW151" s="1131"/>
      <c r="DX151" s="1153"/>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24"/>
      <c r="C152" s="1124"/>
      <c r="D152" s="1124"/>
      <c r="E152" s="1124"/>
      <c r="F152" s="1125">
        <f t="shared" si="2"/>
        <v>0</v>
      </c>
      <c r="G152" s="1126" t="str">
        <f t="shared" si="3"/>
        <v/>
      </c>
      <c r="H152" s="112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7">
        <f t="shared" si="163"/>
        <v>0</v>
      </c>
      <c r="J152" s="1128">
        <f t="shared" si="163"/>
        <v>0</v>
      </c>
      <c r="K152" s="214"/>
      <c r="L152" s="242" t="str">
        <f t="array" ref="L152">IFERROR(INDEX('💻シート作成'!$D$6:$D999, MATCH(M152, '💻シート作成'!$E$6:$E999, 0)), "")</f>
        <v/>
      </c>
      <c r="M152" s="1023"/>
      <c r="N152" s="214"/>
      <c r="O152" s="1087"/>
      <c r="P152" s="214"/>
      <c r="Q152" s="1131"/>
      <c r="R152" s="1153"/>
      <c r="S152" s="242"/>
      <c r="T152" s="242"/>
      <c r="U152" s="242"/>
      <c r="V152" s="242">
        <f t="shared" si="5"/>
        <v>0</v>
      </c>
      <c r="W152" s="242"/>
      <c r="X152" s="242"/>
      <c r="Y152" s="214"/>
      <c r="Z152" s="214"/>
      <c r="AA152" s="1131"/>
      <c r="AB152" s="1153"/>
      <c r="AC152" s="242"/>
      <c r="AD152" s="242"/>
      <c r="AE152" s="242"/>
      <c r="AF152" s="242">
        <f t="shared" si="6"/>
        <v>0</v>
      </c>
      <c r="AG152" s="242"/>
      <c r="AH152" s="242"/>
      <c r="AI152" s="214"/>
      <c r="AJ152" s="214"/>
      <c r="AK152" s="1131"/>
      <c r="AL152" s="1153"/>
      <c r="AM152" s="242"/>
      <c r="AN152" s="242"/>
      <c r="AO152" s="242"/>
      <c r="AP152" s="242">
        <f t="shared" si="7"/>
        <v>0</v>
      </c>
      <c r="AQ152" s="242"/>
      <c r="AR152" s="242"/>
      <c r="AS152" s="237"/>
      <c r="AT152" s="214"/>
      <c r="AU152" s="1138"/>
      <c r="AV152" s="1155"/>
      <c r="AW152" s="1140"/>
      <c r="AX152" s="1140"/>
      <c r="AY152" s="1140"/>
      <c r="AZ152" s="1140">
        <f t="shared" si="8"/>
        <v>0</v>
      </c>
      <c r="BA152" s="1140"/>
      <c r="BB152" s="1140"/>
      <c r="BC152" s="214"/>
      <c r="BD152" s="214"/>
      <c r="BE152" s="1131"/>
      <c r="BF152" s="1153"/>
      <c r="BG152" s="242"/>
      <c r="BH152" s="242"/>
      <c r="BI152" s="242"/>
      <c r="BJ152" s="242">
        <f t="shared" si="9"/>
        <v>0</v>
      </c>
      <c r="BK152" s="242"/>
      <c r="BL152" s="242"/>
      <c r="BM152" s="214"/>
      <c r="BN152" s="214"/>
      <c r="BO152" s="1131"/>
      <c r="BP152" s="1153"/>
      <c r="BQ152" s="242"/>
      <c r="BR152" s="242"/>
      <c r="BS152" s="242"/>
      <c r="BT152" s="242">
        <f t="shared" si="10"/>
        <v>0</v>
      </c>
      <c r="BU152" s="242"/>
      <c r="BV152" s="242"/>
      <c r="BW152" s="237"/>
      <c r="BX152" s="214"/>
      <c r="BY152" s="1131"/>
      <c r="BZ152" s="1153"/>
      <c r="CA152" s="242"/>
      <c r="CB152" s="242"/>
      <c r="CC152" s="242"/>
      <c r="CD152" s="242">
        <f t="shared" si="11"/>
        <v>0</v>
      </c>
      <c r="CE152" s="242"/>
      <c r="CF152" s="242"/>
      <c r="CG152" s="214"/>
      <c r="CH152" s="214"/>
      <c r="CI152" s="1131"/>
      <c r="CJ152" s="1153"/>
      <c r="CK152" s="242"/>
      <c r="CL152" s="242"/>
      <c r="CM152" s="242"/>
      <c r="CN152" s="242">
        <f t="shared" si="12"/>
        <v>0</v>
      </c>
      <c r="CO152" s="242"/>
      <c r="CP152" s="242"/>
      <c r="CQ152" s="214"/>
      <c r="CR152" s="214"/>
      <c r="CS152" s="1131"/>
      <c r="CT152" s="1153"/>
      <c r="CU152" s="242"/>
      <c r="CV152" s="242"/>
      <c r="CW152" s="242"/>
      <c r="CX152" s="242">
        <f t="shared" si="13"/>
        <v>0</v>
      </c>
      <c r="CY152" s="242"/>
      <c r="CZ152" s="242"/>
      <c r="DA152" s="237"/>
      <c r="DB152" s="214"/>
      <c r="DC152" s="1131"/>
      <c r="DD152" s="1153"/>
      <c r="DE152" s="242"/>
      <c r="DF152" s="242"/>
      <c r="DG152" s="242"/>
      <c r="DH152" s="242">
        <f t="shared" si="14"/>
        <v>0</v>
      </c>
      <c r="DI152" s="242"/>
      <c r="DJ152" s="242"/>
      <c r="DK152" s="214"/>
      <c r="DL152" s="214"/>
      <c r="DM152" s="1131"/>
      <c r="DN152" s="1153"/>
      <c r="DO152" s="242"/>
      <c r="DP152" s="242"/>
      <c r="DQ152" s="242"/>
      <c r="DR152" s="242">
        <f t="shared" si="15"/>
        <v>0</v>
      </c>
      <c r="DS152" s="242"/>
      <c r="DT152" s="242"/>
      <c r="DU152" s="214"/>
      <c r="DV152" s="214"/>
      <c r="DW152" s="1131"/>
      <c r="DX152" s="1153"/>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24"/>
      <c r="C153" s="1124"/>
      <c r="D153" s="1124"/>
      <c r="E153" s="1124"/>
      <c r="F153" s="1125">
        <f t="shared" si="2"/>
        <v>0</v>
      </c>
      <c r="G153" s="1126" t="str">
        <f t="shared" si="3"/>
        <v/>
      </c>
      <c r="H153" s="112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7">
        <f t="shared" si="164"/>
        <v>0</v>
      </c>
      <c r="J153" s="1128">
        <f t="shared" si="164"/>
        <v>0</v>
      </c>
      <c r="K153" s="214"/>
      <c r="L153" s="242" t="str">
        <f t="array" ref="L153">IFERROR(INDEX('💻シート作成'!$D$6:$D999, MATCH(M153, '💻シート作成'!$E$6:$E999, 0)), "")</f>
        <v/>
      </c>
      <c r="M153" s="1023"/>
      <c r="N153" s="214"/>
      <c r="O153" s="1087"/>
      <c r="P153" s="214"/>
      <c r="Q153" s="1131"/>
      <c r="R153" s="1153"/>
      <c r="S153" s="242"/>
      <c r="T153" s="242"/>
      <c r="U153" s="242"/>
      <c r="V153" s="242">
        <f t="shared" si="5"/>
        <v>0</v>
      </c>
      <c r="W153" s="242"/>
      <c r="X153" s="242"/>
      <c r="Y153" s="214"/>
      <c r="Z153" s="214"/>
      <c r="AA153" s="1131"/>
      <c r="AB153" s="1153"/>
      <c r="AC153" s="242"/>
      <c r="AD153" s="242"/>
      <c r="AE153" s="242"/>
      <c r="AF153" s="242">
        <f t="shared" si="6"/>
        <v>0</v>
      </c>
      <c r="AG153" s="242"/>
      <c r="AH153" s="242"/>
      <c r="AI153" s="214"/>
      <c r="AJ153" s="214"/>
      <c r="AK153" s="1131"/>
      <c r="AL153" s="1153"/>
      <c r="AM153" s="242"/>
      <c r="AN153" s="242"/>
      <c r="AO153" s="242"/>
      <c r="AP153" s="242">
        <f t="shared" si="7"/>
        <v>0</v>
      </c>
      <c r="AQ153" s="242"/>
      <c r="AR153" s="242"/>
      <c r="AS153" s="237"/>
      <c r="AT153" s="214"/>
      <c r="AU153" s="1138"/>
      <c r="AV153" s="1155"/>
      <c r="AW153" s="1140"/>
      <c r="AX153" s="1140"/>
      <c r="AY153" s="1140"/>
      <c r="AZ153" s="1140">
        <f t="shared" si="8"/>
        <v>0</v>
      </c>
      <c r="BA153" s="1140"/>
      <c r="BB153" s="1140"/>
      <c r="BC153" s="214"/>
      <c r="BD153" s="214"/>
      <c r="BE153" s="1131"/>
      <c r="BF153" s="1153"/>
      <c r="BG153" s="242"/>
      <c r="BH153" s="242"/>
      <c r="BI153" s="242"/>
      <c r="BJ153" s="242">
        <f t="shared" si="9"/>
        <v>0</v>
      </c>
      <c r="BK153" s="242"/>
      <c r="BL153" s="242"/>
      <c r="BM153" s="214"/>
      <c r="BN153" s="214"/>
      <c r="BO153" s="1131"/>
      <c r="BP153" s="1153"/>
      <c r="BQ153" s="242"/>
      <c r="BR153" s="242"/>
      <c r="BS153" s="242"/>
      <c r="BT153" s="242">
        <f t="shared" si="10"/>
        <v>0</v>
      </c>
      <c r="BU153" s="242"/>
      <c r="BV153" s="242"/>
      <c r="BW153" s="237"/>
      <c r="BX153" s="214"/>
      <c r="BY153" s="1131"/>
      <c r="BZ153" s="1153"/>
      <c r="CA153" s="242"/>
      <c r="CB153" s="242"/>
      <c r="CC153" s="242"/>
      <c r="CD153" s="242">
        <f t="shared" si="11"/>
        <v>0</v>
      </c>
      <c r="CE153" s="242"/>
      <c r="CF153" s="242"/>
      <c r="CG153" s="214"/>
      <c r="CH153" s="214"/>
      <c r="CI153" s="1131"/>
      <c r="CJ153" s="1153"/>
      <c r="CK153" s="242"/>
      <c r="CL153" s="242"/>
      <c r="CM153" s="242"/>
      <c r="CN153" s="242">
        <f t="shared" si="12"/>
        <v>0</v>
      </c>
      <c r="CO153" s="242"/>
      <c r="CP153" s="242"/>
      <c r="CQ153" s="214"/>
      <c r="CR153" s="214"/>
      <c r="CS153" s="1131"/>
      <c r="CT153" s="1153"/>
      <c r="CU153" s="242"/>
      <c r="CV153" s="242"/>
      <c r="CW153" s="242"/>
      <c r="CX153" s="242">
        <f t="shared" si="13"/>
        <v>0</v>
      </c>
      <c r="CY153" s="242"/>
      <c r="CZ153" s="242"/>
      <c r="DA153" s="237"/>
      <c r="DB153" s="214"/>
      <c r="DC153" s="1131"/>
      <c r="DD153" s="1153"/>
      <c r="DE153" s="242"/>
      <c r="DF153" s="242"/>
      <c r="DG153" s="242"/>
      <c r="DH153" s="242">
        <f t="shared" si="14"/>
        <v>0</v>
      </c>
      <c r="DI153" s="242"/>
      <c r="DJ153" s="242"/>
      <c r="DK153" s="214"/>
      <c r="DL153" s="214"/>
      <c r="DM153" s="1131"/>
      <c r="DN153" s="1153"/>
      <c r="DO153" s="242"/>
      <c r="DP153" s="242"/>
      <c r="DQ153" s="242"/>
      <c r="DR153" s="242">
        <f t="shared" si="15"/>
        <v>0</v>
      </c>
      <c r="DS153" s="242"/>
      <c r="DT153" s="242"/>
      <c r="DU153" s="214"/>
      <c r="DV153" s="214"/>
      <c r="DW153" s="1131"/>
      <c r="DX153" s="1153"/>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24"/>
      <c r="C154" s="1124"/>
      <c r="D154" s="1124"/>
      <c r="E154" s="1124"/>
      <c r="F154" s="1125">
        <f t="shared" si="2"/>
        <v>0</v>
      </c>
      <c r="G154" s="1126" t="str">
        <f t="shared" si="3"/>
        <v/>
      </c>
      <c r="H154" s="112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7">
        <f t="shared" si="165"/>
        <v>0</v>
      </c>
      <c r="J154" s="1128">
        <f t="shared" si="165"/>
        <v>0</v>
      </c>
      <c r="K154" s="214"/>
      <c r="L154" s="242" t="str">
        <f t="array" ref="L154">IFERROR(INDEX('💻シート作成'!$D$6:$D999, MATCH(M154, '💻シート作成'!$E$6:$E999, 0)), "")</f>
        <v/>
      </c>
      <c r="M154" s="1023"/>
      <c r="N154" s="214"/>
      <c r="O154" s="1087"/>
      <c r="P154" s="214"/>
      <c r="Q154" s="1131"/>
      <c r="R154" s="1153"/>
      <c r="S154" s="242"/>
      <c r="T154" s="242"/>
      <c r="U154" s="242"/>
      <c r="V154" s="242">
        <f t="shared" si="5"/>
        <v>0</v>
      </c>
      <c r="W154" s="242"/>
      <c r="X154" s="242"/>
      <c r="Y154" s="214"/>
      <c r="Z154" s="214"/>
      <c r="AA154" s="1131"/>
      <c r="AB154" s="1153"/>
      <c r="AC154" s="242"/>
      <c r="AD154" s="242"/>
      <c r="AE154" s="242"/>
      <c r="AF154" s="242">
        <f t="shared" si="6"/>
        <v>0</v>
      </c>
      <c r="AG154" s="242"/>
      <c r="AH154" s="242"/>
      <c r="AI154" s="214"/>
      <c r="AJ154" s="214"/>
      <c r="AK154" s="1131"/>
      <c r="AL154" s="1153"/>
      <c r="AM154" s="242"/>
      <c r="AN154" s="242"/>
      <c r="AO154" s="242"/>
      <c r="AP154" s="242">
        <f t="shared" si="7"/>
        <v>0</v>
      </c>
      <c r="AQ154" s="242"/>
      <c r="AR154" s="242"/>
      <c r="AS154" s="237"/>
      <c r="AT154" s="214"/>
      <c r="AU154" s="1138"/>
      <c r="AV154" s="1155"/>
      <c r="AW154" s="1140"/>
      <c r="AX154" s="1140"/>
      <c r="AY154" s="1140"/>
      <c r="AZ154" s="1140">
        <f t="shared" si="8"/>
        <v>0</v>
      </c>
      <c r="BA154" s="1140"/>
      <c r="BB154" s="1140"/>
      <c r="BC154" s="214"/>
      <c r="BD154" s="214"/>
      <c r="BE154" s="1131"/>
      <c r="BF154" s="1153"/>
      <c r="BG154" s="242"/>
      <c r="BH154" s="242"/>
      <c r="BI154" s="242"/>
      <c r="BJ154" s="242">
        <f t="shared" si="9"/>
        <v>0</v>
      </c>
      <c r="BK154" s="242"/>
      <c r="BL154" s="242"/>
      <c r="BM154" s="214"/>
      <c r="BN154" s="214"/>
      <c r="BO154" s="1131"/>
      <c r="BP154" s="1153"/>
      <c r="BQ154" s="242"/>
      <c r="BR154" s="242"/>
      <c r="BS154" s="242"/>
      <c r="BT154" s="242">
        <f t="shared" si="10"/>
        <v>0</v>
      </c>
      <c r="BU154" s="242"/>
      <c r="BV154" s="242"/>
      <c r="BW154" s="237"/>
      <c r="BX154" s="214"/>
      <c r="BY154" s="1131"/>
      <c r="BZ154" s="1153"/>
      <c r="CA154" s="242"/>
      <c r="CB154" s="242"/>
      <c r="CC154" s="242"/>
      <c r="CD154" s="242">
        <f t="shared" si="11"/>
        <v>0</v>
      </c>
      <c r="CE154" s="242"/>
      <c r="CF154" s="242"/>
      <c r="CG154" s="214"/>
      <c r="CH154" s="214"/>
      <c r="CI154" s="1131"/>
      <c r="CJ154" s="1153"/>
      <c r="CK154" s="242"/>
      <c r="CL154" s="242"/>
      <c r="CM154" s="242"/>
      <c r="CN154" s="242">
        <f t="shared" si="12"/>
        <v>0</v>
      </c>
      <c r="CO154" s="242"/>
      <c r="CP154" s="242"/>
      <c r="CQ154" s="214"/>
      <c r="CR154" s="214"/>
      <c r="CS154" s="1131"/>
      <c r="CT154" s="1153"/>
      <c r="CU154" s="242"/>
      <c r="CV154" s="242"/>
      <c r="CW154" s="242"/>
      <c r="CX154" s="242">
        <f t="shared" si="13"/>
        <v>0</v>
      </c>
      <c r="CY154" s="242"/>
      <c r="CZ154" s="242"/>
      <c r="DA154" s="237"/>
      <c r="DB154" s="214"/>
      <c r="DC154" s="1131"/>
      <c r="DD154" s="1153"/>
      <c r="DE154" s="242"/>
      <c r="DF154" s="242"/>
      <c r="DG154" s="242"/>
      <c r="DH154" s="242">
        <f t="shared" si="14"/>
        <v>0</v>
      </c>
      <c r="DI154" s="242"/>
      <c r="DJ154" s="242"/>
      <c r="DK154" s="214"/>
      <c r="DL154" s="214"/>
      <c r="DM154" s="1131"/>
      <c r="DN154" s="1153"/>
      <c r="DO154" s="242"/>
      <c r="DP154" s="242"/>
      <c r="DQ154" s="242"/>
      <c r="DR154" s="242">
        <f t="shared" si="15"/>
        <v>0</v>
      </c>
      <c r="DS154" s="242"/>
      <c r="DT154" s="242"/>
      <c r="DU154" s="214"/>
      <c r="DV154" s="214"/>
      <c r="DW154" s="1131"/>
      <c r="DX154" s="1153"/>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24"/>
      <c r="C155" s="1124"/>
      <c r="D155" s="1124"/>
      <c r="E155" s="1124"/>
      <c r="F155" s="1125">
        <f t="shared" si="2"/>
        <v>0</v>
      </c>
      <c r="G155" s="1126" t="str">
        <f t="shared" si="3"/>
        <v/>
      </c>
      <c r="H155" s="112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7">
        <f t="shared" si="166"/>
        <v>0</v>
      </c>
      <c r="J155" s="1128">
        <f t="shared" si="166"/>
        <v>0</v>
      </c>
      <c r="K155" s="214"/>
      <c r="L155" s="242" t="str">
        <f t="array" ref="L155">IFERROR(INDEX('💻シート作成'!$D$6:$D999, MATCH(M155, '💻シート作成'!$E$6:$E999, 0)), "")</f>
        <v/>
      </c>
      <c r="M155" s="1023"/>
      <c r="N155" s="214"/>
      <c r="O155" s="1087"/>
      <c r="P155" s="214"/>
      <c r="Q155" s="1131"/>
      <c r="R155" s="1153"/>
      <c r="S155" s="242"/>
      <c r="T155" s="242"/>
      <c r="U155" s="242"/>
      <c r="V155" s="242">
        <f t="shared" si="5"/>
        <v>0</v>
      </c>
      <c r="W155" s="242"/>
      <c r="X155" s="242"/>
      <c r="Y155" s="214"/>
      <c r="Z155" s="214"/>
      <c r="AA155" s="1131"/>
      <c r="AB155" s="1153"/>
      <c r="AC155" s="242"/>
      <c r="AD155" s="242"/>
      <c r="AE155" s="242"/>
      <c r="AF155" s="242">
        <f t="shared" si="6"/>
        <v>0</v>
      </c>
      <c r="AG155" s="242"/>
      <c r="AH155" s="242"/>
      <c r="AI155" s="214"/>
      <c r="AJ155" s="214"/>
      <c r="AK155" s="1131"/>
      <c r="AL155" s="1153"/>
      <c r="AM155" s="242"/>
      <c r="AN155" s="242"/>
      <c r="AO155" s="242"/>
      <c r="AP155" s="242">
        <f t="shared" si="7"/>
        <v>0</v>
      </c>
      <c r="AQ155" s="242"/>
      <c r="AR155" s="242"/>
      <c r="AS155" s="237"/>
      <c r="AT155" s="214"/>
      <c r="AU155" s="1138"/>
      <c r="AV155" s="1155"/>
      <c r="AW155" s="1140"/>
      <c r="AX155" s="1140"/>
      <c r="AY155" s="1140"/>
      <c r="AZ155" s="1140">
        <f t="shared" si="8"/>
        <v>0</v>
      </c>
      <c r="BA155" s="1140"/>
      <c r="BB155" s="1140"/>
      <c r="BC155" s="214"/>
      <c r="BD155" s="214"/>
      <c r="BE155" s="1131"/>
      <c r="BF155" s="1153"/>
      <c r="BG155" s="242"/>
      <c r="BH155" s="242"/>
      <c r="BI155" s="242"/>
      <c r="BJ155" s="242">
        <f t="shared" si="9"/>
        <v>0</v>
      </c>
      <c r="BK155" s="242"/>
      <c r="BL155" s="242"/>
      <c r="BM155" s="214"/>
      <c r="BN155" s="214"/>
      <c r="BO155" s="1131"/>
      <c r="BP155" s="1153"/>
      <c r="BQ155" s="242"/>
      <c r="BR155" s="242"/>
      <c r="BS155" s="242"/>
      <c r="BT155" s="242">
        <f t="shared" si="10"/>
        <v>0</v>
      </c>
      <c r="BU155" s="242"/>
      <c r="BV155" s="242"/>
      <c r="BW155" s="237"/>
      <c r="BX155" s="214"/>
      <c r="BY155" s="1131"/>
      <c r="BZ155" s="1153"/>
      <c r="CA155" s="242"/>
      <c r="CB155" s="242"/>
      <c r="CC155" s="242"/>
      <c r="CD155" s="242">
        <f t="shared" si="11"/>
        <v>0</v>
      </c>
      <c r="CE155" s="242"/>
      <c r="CF155" s="242"/>
      <c r="CG155" s="214"/>
      <c r="CH155" s="214"/>
      <c r="CI155" s="1131"/>
      <c r="CJ155" s="1153"/>
      <c r="CK155" s="242"/>
      <c r="CL155" s="242"/>
      <c r="CM155" s="242"/>
      <c r="CN155" s="242">
        <f t="shared" si="12"/>
        <v>0</v>
      </c>
      <c r="CO155" s="242"/>
      <c r="CP155" s="242"/>
      <c r="CQ155" s="214"/>
      <c r="CR155" s="214"/>
      <c r="CS155" s="1131"/>
      <c r="CT155" s="1153"/>
      <c r="CU155" s="242"/>
      <c r="CV155" s="242"/>
      <c r="CW155" s="242"/>
      <c r="CX155" s="242">
        <f t="shared" si="13"/>
        <v>0</v>
      </c>
      <c r="CY155" s="242"/>
      <c r="CZ155" s="242"/>
      <c r="DA155" s="237"/>
      <c r="DB155" s="214"/>
      <c r="DC155" s="1131"/>
      <c r="DD155" s="1153"/>
      <c r="DE155" s="242"/>
      <c r="DF155" s="242"/>
      <c r="DG155" s="242"/>
      <c r="DH155" s="242">
        <f t="shared" si="14"/>
        <v>0</v>
      </c>
      <c r="DI155" s="242"/>
      <c r="DJ155" s="242"/>
      <c r="DK155" s="214"/>
      <c r="DL155" s="214"/>
      <c r="DM155" s="1131"/>
      <c r="DN155" s="1153"/>
      <c r="DO155" s="242"/>
      <c r="DP155" s="242"/>
      <c r="DQ155" s="242"/>
      <c r="DR155" s="242">
        <f t="shared" si="15"/>
        <v>0</v>
      </c>
      <c r="DS155" s="242"/>
      <c r="DT155" s="242"/>
      <c r="DU155" s="214"/>
      <c r="DV155" s="214"/>
      <c r="DW155" s="1131"/>
      <c r="DX155" s="1153"/>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24"/>
      <c r="C156" s="1124"/>
      <c r="D156" s="1124"/>
      <c r="E156" s="1124"/>
      <c r="F156" s="1125">
        <f t="shared" si="2"/>
        <v>0</v>
      </c>
      <c r="G156" s="1126" t="str">
        <f t="shared" si="3"/>
        <v/>
      </c>
      <c r="H156" s="112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7">
        <f t="shared" si="167"/>
        <v>0</v>
      </c>
      <c r="J156" s="1128">
        <f t="shared" si="167"/>
        <v>0</v>
      </c>
      <c r="K156" s="214"/>
      <c r="L156" s="242" t="str">
        <f t="array" ref="L156">IFERROR(INDEX('💻シート作成'!$D$6:$D999, MATCH(M156, '💻シート作成'!$E$6:$E999, 0)), "")</f>
        <v/>
      </c>
      <c r="M156" s="1023"/>
      <c r="N156" s="214"/>
      <c r="O156" s="1087"/>
      <c r="P156" s="214"/>
      <c r="Q156" s="1131"/>
      <c r="R156" s="1153"/>
      <c r="S156" s="242"/>
      <c r="T156" s="242"/>
      <c r="U156" s="242"/>
      <c r="V156" s="242">
        <f t="shared" si="5"/>
        <v>0</v>
      </c>
      <c r="W156" s="242"/>
      <c r="X156" s="242"/>
      <c r="Y156" s="214"/>
      <c r="Z156" s="214"/>
      <c r="AA156" s="1131"/>
      <c r="AB156" s="1153"/>
      <c r="AC156" s="242"/>
      <c r="AD156" s="242"/>
      <c r="AE156" s="242"/>
      <c r="AF156" s="242">
        <f t="shared" si="6"/>
        <v>0</v>
      </c>
      <c r="AG156" s="242"/>
      <c r="AH156" s="242"/>
      <c r="AI156" s="214"/>
      <c r="AJ156" s="214"/>
      <c r="AK156" s="1131"/>
      <c r="AL156" s="1153"/>
      <c r="AM156" s="242"/>
      <c r="AN156" s="242"/>
      <c r="AO156" s="242"/>
      <c r="AP156" s="242">
        <f t="shared" si="7"/>
        <v>0</v>
      </c>
      <c r="AQ156" s="242"/>
      <c r="AR156" s="242"/>
      <c r="AS156" s="237"/>
      <c r="AT156" s="214"/>
      <c r="AU156" s="1138"/>
      <c r="AV156" s="1155"/>
      <c r="AW156" s="1140"/>
      <c r="AX156" s="1140"/>
      <c r="AY156" s="1140"/>
      <c r="AZ156" s="1140">
        <f t="shared" si="8"/>
        <v>0</v>
      </c>
      <c r="BA156" s="1140"/>
      <c r="BB156" s="1140"/>
      <c r="BC156" s="214"/>
      <c r="BD156" s="214"/>
      <c r="BE156" s="1131"/>
      <c r="BF156" s="1153"/>
      <c r="BG156" s="242"/>
      <c r="BH156" s="242"/>
      <c r="BI156" s="242"/>
      <c r="BJ156" s="242">
        <f t="shared" si="9"/>
        <v>0</v>
      </c>
      <c r="BK156" s="242"/>
      <c r="BL156" s="242"/>
      <c r="BM156" s="214"/>
      <c r="BN156" s="214"/>
      <c r="BO156" s="1131"/>
      <c r="BP156" s="1153"/>
      <c r="BQ156" s="242"/>
      <c r="BR156" s="242"/>
      <c r="BS156" s="242"/>
      <c r="BT156" s="242">
        <f t="shared" si="10"/>
        <v>0</v>
      </c>
      <c r="BU156" s="242"/>
      <c r="BV156" s="242"/>
      <c r="BW156" s="237"/>
      <c r="BX156" s="214"/>
      <c r="BY156" s="1131"/>
      <c r="BZ156" s="1153"/>
      <c r="CA156" s="242"/>
      <c r="CB156" s="242"/>
      <c r="CC156" s="242"/>
      <c r="CD156" s="242">
        <f t="shared" si="11"/>
        <v>0</v>
      </c>
      <c r="CE156" s="242"/>
      <c r="CF156" s="242"/>
      <c r="CG156" s="214"/>
      <c r="CH156" s="214"/>
      <c r="CI156" s="1131"/>
      <c r="CJ156" s="1153"/>
      <c r="CK156" s="242"/>
      <c r="CL156" s="242"/>
      <c r="CM156" s="242"/>
      <c r="CN156" s="242">
        <f t="shared" si="12"/>
        <v>0</v>
      </c>
      <c r="CO156" s="242"/>
      <c r="CP156" s="242"/>
      <c r="CQ156" s="214"/>
      <c r="CR156" s="214"/>
      <c r="CS156" s="1131"/>
      <c r="CT156" s="1153"/>
      <c r="CU156" s="242"/>
      <c r="CV156" s="242"/>
      <c r="CW156" s="242"/>
      <c r="CX156" s="242">
        <f t="shared" si="13"/>
        <v>0</v>
      </c>
      <c r="CY156" s="242"/>
      <c r="CZ156" s="242"/>
      <c r="DA156" s="237"/>
      <c r="DB156" s="214"/>
      <c r="DC156" s="1131"/>
      <c r="DD156" s="1153"/>
      <c r="DE156" s="242"/>
      <c r="DF156" s="242"/>
      <c r="DG156" s="242"/>
      <c r="DH156" s="242">
        <f t="shared" si="14"/>
        <v>0</v>
      </c>
      <c r="DI156" s="242"/>
      <c r="DJ156" s="242"/>
      <c r="DK156" s="214"/>
      <c r="DL156" s="214"/>
      <c r="DM156" s="1131"/>
      <c r="DN156" s="1153"/>
      <c r="DO156" s="242"/>
      <c r="DP156" s="242"/>
      <c r="DQ156" s="242"/>
      <c r="DR156" s="242">
        <f t="shared" si="15"/>
        <v>0</v>
      </c>
      <c r="DS156" s="242"/>
      <c r="DT156" s="242"/>
      <c r="DU156" s="214"/>
      <c r="DV156" s="214"/>
      <c r="DW156" s="1131"/>
      <c r="DX156" s="1153"/>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24"/>
      <c r="C157" s="1124"/>
      <c r="D157" s="1124"/>
      <c r="E157" s="1124"/>
      <c r="F157" s="1125">
        <f t="shared" si="2"/>
        <v>0</v>
      </c>
      <c r="G157" s="1126" t="str">
        <f t="shared" si="3"/>
        <v/>
      </c>
      <c r="H157" s="112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7">
        <f t="shared" si="168"/>
        <v>0</v>
      </c>
      <c r="J157" s="1128">
        <f t="shared" si="168"/>
        <v>0</v>
      </c>
      <c r="K157" s="214"/>
      <c r="L157" s="242" t="str">
        <f t="array" ref="L157">IFERROR(INDEX('💻シート作成'!$D$6:$D999, MATCH(M157, '💻シート作成'!$E$6:$E999, 0)), "")</f>
        <v/>
      </c>
      <c r="M157" s="1023"/>
      <c r="N157" s="214"/>
      <c r="O157" s="1087"/>
      <c r="P157" s="214"/>
      <c r="Q157" s="1131"/>
      <c r="R157" s="1153"/>
      <c r="S157" s="242"/>
      <c r="T157" s="242"/>
      <c r="U157" s="242"/>
      <c r="V157" s="242">
        <f t="shared" si="5"/>
        <v>0</v>
      </c>
      <c r="W157" s="242"/>
      <c r="X157" s="242"/>
      <c r="Y157" s="214"/>
      <c r="Z157" s="214"/>
      <c r="AA157" s="1131"/>
      <c r="AB157" s="1153"/>
      <c r="AC157" s="242"/>
      <c r="AD157" s="242"/>
      <c r="AE157" s="242"/>
      <c r="AF157" s="242">
        <f t="shared" si="6"/>
        <v>0</v>
      </c>
      <c r="AG157" s="242"/>
      <c r="AH157" s="242"/>
      <c r="AI157" s="214"/>
      <c r="AJ157" s="214"/>
      <c r="AK157" s="1131"/>
      <c r="AL157" s="1153"/>
      <c r="AM157" s="242"/>
      <c r="AN157" s="242"/>
      <c r="AO157" s="242"/>
      <c r="AP157" s="242">
        <f t="shared" si="7"/>
        <v>0</v>
      </c>
      <c r="AQ157" s="242"/>
      <c r="AR157" s="242"/>
      <c r="AS157" s="237"/>
      <c r="AT157" s="214"/>
      <c r="AU157" s="1138"/>
      <c r="AV157" s="1155"/>
      <c r="AW157" s="1140"/>
      <c r="AX157" s="1140"/>
      <c r="AY157" s="1140"/>
      <c r="AZ157" s="1140">
        <f t="shared" si="8"/>
        <v>0</v>
      </c>
      <c r="BA157" s="1140"/>
      <c r="BB157" s="1140"/>
      <c r="BC157" s="214"/>
      <c r="BD157" s="214"/>
      <c r="BE157" s="1131"/>
      <c r="BF157" s="1153"/>
      <c r="BG157" s="242"/>
      <c r="BH157" s="242"/>
      <c r="BI157" s="242"/>
      <c r="BJ157" s="242">
        <f t="shared" si="9"/>
        <v>0</v>
      </c>
      <c r="BK157" s="242"/>
      <c r="BL157" s="242"/>
      <c r="BM157" s="214"/>
      <c r="BN157" s="214"/>
      <c r="BO157" s="1131"/>
      <c r="BP157" s="1153"/>
      <c r="BQ157" s="242"/>
      <c r="BR157" s="242"/>
      <c r="BS157" s="242"/>
      <c r="BT157" s="242">
        <f t="shared" si="10"/>
        <v>0</v>
      </c>
      <c r="BU157" s="242"/>
      <c r="BV157" s="242"/>
      <c r="BW157" s="237"/>
      <c r="BX157" s="214"/>
      <c r="BY157" s="1131"/>
      <c r="BZ157" s="1153"/>
      <c r="CA157" s="242"/>
      <c r="CB157" s="242"/>
      <c r="CC157" s="242"/>
      <c r="CD157" s="242">
        <f t="shared" si="11"/>
        <v>0</v>
      </c>
      <c r="CE157" s="242"/>
      <c r="CF157" s="242"/>
      <c r="CG157" s="214"/>
      <c r="CH157" s="214"/>
      <c r="CI157" s="1131"/>
      <c r="CJ157" s="1153"/>
      <c r="CK157" s="242"/>
      <c r="CL157" s="242"/>
      <c r="CM157" s="242"/>
      <c r="CN157" s="242">
        <f t="shared" si="12"/>
        <v>0</v>
      </c>
      <c r="CO157" s="242"/>
      <c r="CP157" s="242"/>
      <c r="CQ157" s="214"/>
      <c r="CR157" s="214"/>
      <c r="CS157" s="1131"/>
      <c r="CT157" s="1153"/>
      <c r="CU157" s="242"/>
      <c r="CV157" s="242"/>
      <c r="CW157" s="242"/>
      <c r="CX157" s="242">
        <f t="shared" si="13"/>
        <v>0</v>
      </c>
      <c r="CY157" s="242"/>
      <c r="CZ157" s="242"/>
      <c r="DA157" s="237"/>
      <c r="DB157" s="214"/>
      <c r="DC157" s="1131"/>
      <c r="DD157" s="1153"/>
      <c r="DE157" s="242"/>
      <c r="DF157" s="242"/>
      <c r="DG157" s="242"/>
      <c r="DH157" s="242">
        <f t="shared" si="14"/>
        <v>0</v>
      </c>
      <c r="DI157" s="242"/>
      <c r="DJ157" s="242"/>
      <c r="DK157" s="214"/>
      <c r="DL157" s="214"/>
      <c r="DM157" s="1131"/>
      <c r="DN157" s="1153"/>
      <c r="DO157" s="242"/>
      <c r="DP157" s="242"/>
      <c r="DQ157" s="242"/>
      <c r="DR157" s="242">
        <f t="shared" si="15"/>
        <v>0</v>
      </c>
      <c r="DS157" s="242"/>
      <c r="DT157" s="242"/>
      <c r="DU157" s="214"/>
      <c r="DV157" s="214"/>
      <c r="DW157" s="1131"/>
      <c r="DX157" s="1153"/>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24"/>
      <c r="C158" s="1124"/>
      <c r="D158" s="1124"/>
      <c r="E158" s="1124"/>
      <c r="F158" s="1125">
        <f t="shared" si="2"/>
        <v>0</v>
      </c>
      <c r="G158" s="1126" t="str">
        <f t="shared" si="3"/>
        <v/>
      </c>
      <c r="H158" s="112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7">
        <f t="shared" si="169"/>
        <v>0</v>
      </c>
      <c r="J158" s="1128">
        <f t="shared" si="169"/>
        <v>0</v>
      </c>
      <c r="K158" s="214"/>
      <c r="L158" s="242" t="str">
        <f t="array" ref="L158">IFERROR(INDEX('💻シート作成'!$D$6:$D999, MATCH(M158, '💻シート作成'!$E$6:$E999, 0)), "")</f>
        <v/>
      </c>
      <c r="M158" s="1023"/>
      <c r="N158" s="214"/>
      <c r="O158" s="1087"/>
      <c r="P158" s="214"/>
      <c r="Q158" s="1131"/>
      <c r="R158" s="1153"/>
      <c r="S158" s="242"/>
      <c r="T158" s="242"/>
      <c r="U158" s="242"/>
      <c r="V158" s="242">
        <f t="shared" si="5"/>
        <v>0</v>
      </c>
      <c r="W158" s="242"/>
      <c r="X158" s="242"/>
      <c r="Y158" s="214"/>
      <c r="Z158" s="214"/>
      <c r="AA158" s="1131"/>
      <c r="AB158" s="1153"/>
      <c r="AC158" s="242"/>
      <c r="AD158" s="242"/>
      <c r="AE158" s="242"/>
      <c r="AF158" s="242">
        <f t="shared" si="6"/>
        <v>0</v>
      </c>
      <c r="AG158" s="242"/>
      <c r="AH158" s="242"/>
      <c r="AI158" s="214"/>
      <c r="AJ158" s="214"/>
      <c r="AK158" s="1131"/>
      <c r="AL158" s="1153"/>
      <c r="AM158" s="242"/>
      <c r="AN158" s="242"/>
      <c r="AO158" s="242"/>
      <c r="AP158" s="242">
        <f t="shared" si="7"/>
        <v>0</v>
      </c>
      <c r="AQ158" s="242"/>
      <c r="AR158" s="242"/>
      <c r="AS158" s="237"/>
      <c r="AT158" s="214"/>
      <c r="AU158" s="1138"/>
      <c r="AV158" s="1155"/>
      <c r="AW158" s="1140"/>
      <c r="AX158" s="1140"/>
      <c r="AY158" s="1140"/>
      <c r="AZ158" s="1140">
        <f t="shared" si="8"/>
        <v>0</v>
      </c>
      <c r="BA158" s="1140"/>
      <c r="BB158" s="1140"/>
      <c r="BC158" s="214"/>
      <c r="BD158" s="214"/>
      <c r="BE158" s="1131"/>
      <c r="BF158" s="1153"/>
      <c r="BG158" s="242"/>
      <c r="BH158" s="242"/>
      <c r="BI158" s="242"/>
      <c r="BJ158" s="242">
        <f t="shared" si="9"/>
        <v>0</v>
      </c>
      <c r="BK158" s="242"/>
      <c r="BL158" s="242"/>
      <c r="BM158" s="214"/>
      <c r="BN158" s="214"/>
      <c r="BO158" s="1131"/>
      <c r="BP158" s="1153"/>
      <c r="BQ158" s="242"/>
      <c r="BR158" s="242"/>
      <c r="BS158" s="242"/>
      <c r="BT158" s="242">
        <f t="shared" si="10"/>
        <v>0</v>
      </c>
      <c r="BU158" s="242"/>
      <c r="BV158" s="242"/>
      <c r="BW158" s="237"/>
      <c r="BX158" s="214"/>
      <c r="BY158" s="1131"/>
      <c r="BZ158" s="1153"/>
      <c r="CA158" s="242"/>
      <c r="CB158" s="242"/>
      <c r="CC158" s="242"/>
      <c r="CD158" s="242">
        <f t="shared" si="11"/>
        <v>0</v>
      </c>
      <c r="CE158" s="242"/>
      <c r="CF158" s="242"/>
      <c r="CG158" s="214"/>
      <c r="CH158" s="214"/>
      <c r="CI158" s="1131"/>
      <c r="CJ158" s="1153"/>
      <c r="CK158" s="242"/>
      <c r="CL158" s="242"/>
      <c r="CM158" s="242"/>
      <c r="CN158" s="242">
        <f t="shared" si="12"/>
        <v>0</v>
      </c>
      <c r="CO158" s="242"/>
      <c r="CP158" s="242"/>
      <c r="CQ158" s="214"/>
      <c r="CR158" s="214"/>
      <c r="CS158" s="1131"/>
      <c r="CT158" s="1153"/>
      <c r="CU158" s="242"/>
      <c r="CV158" s="242"/>
      <c r="CW158" s="242"/>
      <c r="CX158" s="242">
        <f t="shared" si="13"/>
        <v>0</v>
      </c>
      <c r="CY158" s="242"/>
      <c r="CZ158" s="242"/>
      <c r="DA158" s="237"/>
      <c r="DB158" s="214"/>
      <c r="DC158" s="1131"/>
      <c r="DD158" s="1153"/>
      <c r="DE158" s="242"/>
      <c r="DF158" s="242"/>
      <c r="DG158" s="242"/>
      <c r="DH158" s="242">
        <f t="shared" si="14"/>
        <v>0</v>
      </c>
      <c r="DI158" s="242"/>
      <c r="DJ158" s="242"/>
      <c r="DK158" s="214"/>
      <c r="DL158" s="214"/>
      <c r="DM158" s="1131"/>
      <c r="DN158" s="1153"/>
      <c r="DO158" s="242"/>
      <c r="DP158" s="242"/>
      <c r="DQ158" s="242"/>
      <c r="DR158" s="242">
        <f t="shared" si="15"/>
        <v>0</v>
      </c>
      <c r="DS158" s="242"/>
      <c r="DT158" s="242"/>
      <c r="DU158" s="214"/>
      <c r="DV158" s="214"/>
      <c r="DW158" s="1131"/>
      <c r="DX158" s="1153"/>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24"/>
      <c r="C159" s="1124"/>
      <c r="D159" s="1124"/>
      <c r="E159" s="1124"/>
      <c r="F159" s="1125">
        <f t="shared" si="2"/>
        <v>0</v>
      </c>
      <c r="G159" s="1126" t="str">
        <f t="shared" si="3"/>
        <v/>
      </c>
      <c r="H159" s="112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7">
        <f t="shared" si="170"/>
        <v>0</v>
      </c>
      <c r="J159" s="1128">
        <f t="shared" si="170"/>
        <v>0</v>
      </c>
      <c r="K159" s="214"/>
      <c r="L159" s="242" t="str">
        <f t="array" ref="L159">IFERROR(INDEX('💻シート作成'!$D$6:$D999, MATCH(M159, '💻シート作成'!$E$6:$E999, 0)), "")</f>
        <v/>
      </c>
      <c r="M159" s="1023"/>
      <c r="N159" s="214"/>
      <c r="O159" s="1087"/>
      <c r="P159" s="214"/>
      <c r="Q159" s="1131"/>
      <c r="R159" s="1153"/>
      <c r="S159" s="242"/>
      <c r="T159" s="242"/>
      <c r="U159" s="242"/>
      <c r="V159" s="242">
        <f t="shared" si="5"/>
        <v>0</v>
      </c>
      <c r="W159" s="242"/>
      <c r="X159" s="242"/>
      <c r="Y159" s="214"/>
      <c r="Z159" s="214"/>
      <c r="AA159" s="1131"/>
      <c r="AB159" s="1153"/>
      <c r="AC159" s="242"/>
      <c r="AD159" s="242"/>
      <c r="AE159" s="242"/>
      <c r="AF159" s="242">
        <f t="shared" si="6"/>
        <v>0</v>
      </c>
      <c r="AG159" s="242"/>
      <c r="AH159" s="242"/>
      <c r="AI159" s="214"/>
      <c r="AJ159" s="214"/>
      <c r="AK159" s="1131"/>
      <c r="AL159" s="1153"/>
      <c r="AM159" s="242"/>
      <c r="AN159" s="242"/>
      <c r="AO159" s="242"/>
      <c r="AP159" s="242">
        <f t="shared" si="7"/>
        <v>0</v>
      </c>
      <c r="AQ159" s="242"/>
      <c r="AR159" s="242"/>
      <c r="AS159" s="237"/>
      <c r="AT159" s="214"/>
      <c r="AU159" s="1138"/>
      <c r="AV159" s="1155"/>
      <c r="AW159" s="1140"/>
      <c r="AX159" s="1140"/>
      <c r="AY159" s="1140"/>
      <c r="AZ159" s="1140">
        <f t="shared" si="8"/>
        <v>0</v>
      </c>
      <c r="BA159" s="1140"/>
      <c r="BB159" s="1140"/>
      <c r="BC159" s="214"/>
      <c r="BD159" s="214"/>
      <c r="BE159" s="1131"/>
      <c r="BF159" s="1153"/>
      <c r="BG159" s="242"/>
      <c r="BH159" s="242"/>
      <c r="BI159" s="242"/>
      <c r="BJ159" s="242">
        <f t="shared" si="9"/>
        <v>0</v>
      </c>
      <c r="BK159" s="242"/>
      <c r="BL159" s="242"/>
      <c r="BM159" s="214"/>
      <c r="BN159" s="214"/>
      <c r="BO159" s="1131"/>
      <c r="BP159" s="1153"/>
      <c r="BQ159" s="242"/>
      <c r="BR159" s="242"/>
      <c r="BS159" s="242"/>
      <c r="BT159" s="242">
        <f t="shared" si="10"/>
        <v>0</v>
      </c>
      <c r="BU159" s="242"/>
      <c r="BV159" s="242"/>
      <c r="BW159" s="237"/>
      <c r="BX159" s="214"/>
      <c r="BY159" s="1131"/>
      <c r="BZ159" s="1153"/>
      <c r="CA159" s="242"/>
      <c r="CB159" s="242"/>
      <c r="CC159" s="242"/>
      <c r="CD159" s="242">
        <f t="shared" si="11"/>
        <v>0</v>
      </c>
      <c r="CE159" s="242"/>
      <c r="CF159" s="242"/>
      <c r="CG159" s="214"/>
      <c r="CH159" s="214"/>
      <c r="CI159" s="1131"/>
      <c r="CJ159" s="1153"/>
      <c r="CK159" s="242"/>
      <c r="CL159" s="242"/>
      <c r="CM159" s="242"/>
      <c r="CN159" s="242">
        <f t="shared" si="12"/>
        <v>0</v>
      </c>
      <c r="CO159" s="242"/>
      <c r="CP159" s="242"/>
      <c r="CQ159" s="214"/>
      <c r="CR159" s="214"/>
      <c r="CS159" s="1131"/>
      <c r="CT159" s="1153"/>
      <c r="CU159" s="242"/>
      <c r="CV159" s="242"/>
      <c r="CW159" s="242"/>
      <c r="CX159" s="242">
        <f t="shared" si="13"/>
        <v>0</v>
      </c>
      <c r="CY159" s="242"/>
      <c r="CZ159" s="242"/>
      <c r="DA159" s="237"/>
      <c r="DB159" s="214"/>
      <c r="DC159" s="1131"/>
      <c r="DD159" s="1153"/>
      <c r="DE159" s="242"/>
      <c r="DF159" s="242"/>
      <c r="DG159" s="242"/>
      <c r="DH159" s="242">
        <f t="shared" si="14"/>
        <v>0</v>
      </c>
      <c r="DI159" s="242"/>
      <c r="DJ159" s="242"/>
      <c r="DK159" s="214"/>
      <c r="DL159" s="214"/>
      <c r="DM159" s="1131"/>
      <c r="DN159" s="1153"/>
      <c r="DO159" s="242"/>
      <c r="DP159" s="242"/>
      <c r="DQ159" s="242"/>
      <c r="DR159" s="242">
        <f t="shared" si="15"/>
        <v>0</v>
      </c>
      <c r="DS159" s="242"/>
      <c r="DT159" s="242"/>
      <c r="DU159" s="214"/>
      <c r="DV159" s="214"/>
      <c r="DW159" s="1131"/>
      <c r="DX159" s="1153"/>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24"/>
      <c r="C160" s="1124"/>
      <c r="D160" s="1124"/>
      <c r="E160" s="1124"/>
      <c r="F160" s="1125">
        <f t="shared" si="2"/>
        <v>0</v>
      </c>
      <c r="G160" s="1126" t="str">
        <f t="shared" si="3"/>
        <v/>
      </c>
      <c r="H160" s="112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7">
        <f t="shared" si="171"/>
        <v>0</v>
      </c>
      <c r="J160" s="1128">
        <f t="shared" si="171"/>
        <v>0</v>
      </c>
      <c r="K160" s="214"/>
      <c r="L160" s="242" t="str">
        <f t="array" ref="L160">IFERROR(INDEX('💻シート作成'!$D$6:$D999, MATCH(M160, '💻シート作成'!$E$6:$E999, 0)), "")</f>
        <v/>
      </c>
      <c r="M160" s="1023"/>
      <c r="N160" s="214"/>
      <c r="O160" s="1087"/>
      <c r="P160" s="214"/>
      <c r="Q160" s="1131"/>
      <c r="R160" s="1153"/>
      <c r="S160" s="242"/>
      <c r="T160" s="242"/>
      <c r="U160" s="242"/>
      <c r="V160" s="242">
        <f t="shared" si="5"/>
        <v>0</v>
      </c>
      <c r="W160" s="242"/>
      <c r="X160" s="242"/>
      <c r="Y160" s="214"/>
      <c r="Z160" s="214"/>
      <c r="AA160" s="1131"/>
      <c r="AB160" s="1153"/>
      <c r="AC160" s="242"/>
      <c r="AD160" s="242"/>
      <c r="AE160" s="242"/>
      <c r="AF160" s="242">
        <f t="shared" si="6"/>
        <v>0</v>
      </c>
      <c r="AG160" s="242"/>
      <c r="AH160" s="242"/>
      <c r="AI160" s="214"/>
      <c r="AJ160" s="214"/>
      <c r="AK160" s="1131"/>
      <c r="AL160" s="1153"/>
      <c r="AM160" s="242"/>
      <c r="AN160" s="242"/>
      <c r="AO160" s="242"/>
      <c r="AP160" s="242">
        <f t="shared" si="7"/>
        <v>0</v>
      </c>
      <c r="AQ160" s="242"/>
      <c r="AR160" s="242"/>
      <c r="AS160" s="237"/>
      <c r="AT160" s="214"/>
      <c r="AU160" s="1138"/>
      <c r="AV160" s="1155"/>
      <c r="AW160" s="1140"/>
      <c r="AX160" s="1140"/>
      <c r="AY160" s="1140"/>
      <c r="AZ160" s="1140">
        <f t="shared" si="8"/>
        <v>0</v>
      </c>
      <c r="BA160" s="1140"/>
      <c r="BB160" s="1140"/>
      <c r="BC160" s="214"/>
      <c r="BD160" s="214"/>
      <c r="BE160" s="1131"/>
      <c r="BF160" s="1153"/>
      <c r="BG160" s="242"/>
      <c r="BH160" s="242"/>
      <c r="BI160" s="242"/>
      <c r="BJ160" s="242">
        <f t="shared" si="9"/>
        <v>0</v>
      </c>
      <c r="BK160" s="242"/>
      <c r="BL160" s="242"/>
      <c r="BM160" s="214"/>
      <c r="BN160" s="214"/>
      <c r="BO160" s="1131"/>
      <c r="BP160" s="1153"/>
      <c r="BQ160" s="242"/>
      <c r="BR160" s="242"/>
      <c r="BS160" s="242"/>
      <c r="BT160" s="242">
        <f t="shared" si="10"/>
        <v>0</v>
      </c>
      <c r="BU160" s="242"/>
      <c r="BV160" s="242"/>
      <c r="BW160" s="237"/>
      <c r="BX160" s="214"/>
      <c r="BY160" s="1131"/>
      <c r="BZ160" s="1153"/>
      <c r="CA160" s="242"/>
      <c r="CB160" s="242"/>
      <c r="CC160" s="242"/>
      <c r="CD160" s="242">
        <f t="shared" si="11"/>
        <v>0</v>
      </c>
      <c r="CE160" s="242"/>
      <c r="CF160" s="242"/>
      <c r="CG160" s="214"/>
      <c r="CH160" s="214"/>
      <c r="CI160" s="1131"/>
      <c r="CJ160" s="1153"/>
      <c r="CK160" s="242"/>
      <c r="CL160" s="242"/>
      <c r="CM160" s="242"/>
      <c r="CN160" s="242">
        <f t="shared" si="12"/>
        <v>0</v>
      </c>
      <c r="CO160" s="242"/>
      <c r="CP160" s="242"/>
      <c r="CQ160" s="214"/>
      <c r="CR160" s="214"/>
      <c r="CS160" s="1131"/>
      <c r="CT160" s="1153"/>
      <c r="CU160" s="242"/>
      <c r="CV160" s="242"/>
      <c r="CW160" s="242"/>
      <c r="CX160" s="242">
        <f t="shared" si="13"/>
        <v>0</v>
      </c>
      <c r="CY160" s="242"/>
      <c r="CZ160" s="242"/>
      <c r="DA160" s="237"/>
      <c r="DB160" s="214"/>
      <c r="DC160" s="1131"/>
      <c r="DD160" s="1153"/>
      <c r="DE160" s="242"/>
      <c r="DF160" s="242"/>
      <c r="DG160" s="242"/>
      <c r="DH160" s="242">
        <f t="shared" si="14"/>
        <v>0</v>
      </c>
      <c r="DI160" s="242"/>
      <c r="DJ160" s="242"/>
      <c r="DK160" s="214"/>
      <c r="DL160" s="214"/>
      <c r="DM160" s="1131"/>
      <c r="DN160" s="1153"/>
      <c r="DO160" s="242"/>
      <c r="DP160" s="242"/>
      <c r="DQ160" s="242"/>
      <c r="DR160" s="242">
        <f t="shared" si="15"/>
        <v>0</v>
      </c>
      <c r="DS160" s="242"/>
      <c r="DT160" s="242"/>
      <c r="DU160" s="214"/>
      <c r="DV160" s="214"/>
      <c r="DW160" s="1131"/>
      <c r="DX160" s="1153"/>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24"/>
      <c r="C161" s="1124"/>
      <c r="D161" s="1124"/>
      <c r="E161" s="1124"/>
      <c r="F161" s="1125">
        <f t="shared" si="2"/>
        <v>0</v>
      </c>
      <c r="G161" s="1126" t="str">
        <f t="shared" si="3"/>
        <v/>
      </c>
      <c r="H161" s="112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7">
        <f t="shared" si="172"/>
        <v>0</v>
      </c>
      <c r="J161" s="1128">
        <f t="shared" si="172"/>
        <v>0</v>
      </c>
      <c r="K161" s="214"/>
      <c r="L161" s="242" t="str">
        <f t="array" ref="L161">IFERROR(INDEX('💻シート作成'!$D$6:$D999, MATCH(M161, '💻シート作成'!$E$6:$E999, 0)), "")</f>
        <v/>
      </c>
      <c r="M161" s="1023"/>
      <c r="N161" s="214"/>
      <c r="O161" s="1087"/>
      <c r="P161" s="214"/>
      <c r="Q161" s="1131"/>
      <c r="R161" s="1153"/>
      <c r="S161" s="242"/>
      <c r="T161" s="242"/>
      <c r="U161" s="242"/>
      <c r="V161" s="242">
        <f t="shared" si="5"/>
        <v>0</v>
      </c>
      <c r="W161" s="242"/>
      <c r="X161" s="242"/>
      <c r="Y161" s="214"/>
      <c r="Z161" s="214"/>
      <c r="AA161" s="1131"/>
      <c r="AB161" s="1153"/>
      <c r="AC161" s="242"/>
      <c r="AD161" s="242"/>
      <c r="AE161" s="242"/>
      <c r="AF161" s="242">
        <f t="shared" si="6"/>
        <v>0</v>
      </c>
      <c r="AG161" s="242"/>
      <c r="AH161" s="242"/>
      <c r="AI161" s="214"/>
      <c r="AJ161" s="214"/>
      <c r="AK161" s="1131"/>
      <c r="AL161" s="1153"/>
      <c r="AM161" s="242"/>
      <c r="AN161" s="242"/>
      <c r="AO161" s="242"/>
      <c r="AP161" s="242">
        <f t="shared" si="7"/>
        <v>0</v>
      </c>
      <c r="AQ161" s="242"/>
      <c r="AR161" s="242"/>
      <c r="AS161" s="237"/>
      <c r="AT161" s="214"/>
      <c r="AU161" s="1138"/>
      <c r="AV161" s="1155"/>
      <c r="AW161" s="1140"/>
      <c r="AX161" s="1140"/>
      <c r="AY161" s="1140"/>
      <c r="AZ161" s="1140">
        <f t="shared" si="8"/>
        <v>0</v>
      </c>
      <c r="BA161" s="1140"/>
      <c r="BB161" s="1140"/>
      <c r="BC161" s="214"/>
      <c r="BD161" s="214"/>
      <c r="BE161" s="1131"/>
      <c r="BF161" s="1153"/>
      <c r="BG161" s="242"/>
      <c r="BH161" s="242"/>
      <c r="BI161" s="242"/>
      <c r="BJ161" s="242">
        <f t="shared" si="9"/>
        <v>0</v>
      </c>
      <c r="BK161" s="242"/>
      <c r="BL161" s="242"/>
      <c r="BM161" s="214"/>
      <c r="BN161" s="214"/>
      <c r="BO161" s="1131"/>
      <c r="BP161" s="1153"/>
      <c r="BQ161" s="242"/>
      <c r="BR161" s="242"/>
      <c r="BS161" s="242"/>
      <c r="BT161" s="242">
        <f t="shared" si="10"/>
        <v>0</v>
      </c>
      <c r="BU161" s="242"/>
      <c r="BV161" s="242"/>
      <c r="BW161" s="237"/>
      <c r="BX161" s="214"/>
      <c r="BY161" s="1131"/>
      <c r="BZ161" s="1153"/>
      <c r="CA161" s="242"/>
      <c r="CB161" s="242"/>
      <c r="CC161" s="242"/>
      <c r="CD161" s="242">
        <f t="shared" si="11"/>
        <v>0</v>
      </c>
      <c r="CE161" s="242"/>
      <c r="CF161" s="242"/>
      <c r="CG161" s="214"/>
      <c r="CH161" s="214"/>
      <c r="CI161" s="1131"/>
      <c r="CJ161" s="1153"/>
      <c r="CK161" s="242"/>
      <c r="CL161" s="242"/>
      <c r="CM161" s="242"/>
      <c r="CN161" s="242">
        <f t="shared" si="12"/>
        <v>0</v>
      </c>
      <c r="CO161" s="242"/>
      <c r="CP161" s="242"/>
      <c r="CQ161" s="214"/>
      <c r="CR161" s="214"/>
      <c r="CS161" s="1131"/>
      <c r="CT161" s="1153"/>
      <c r="CU161" s="242"/>
      <c r="CV161" s="242"/>
      <c r="CW161" s="242"/>
      <c r="CX161" s="242">
        <f t="shared" si="13"/>
        <v>0</v>
      </c>
      <c r="CY161" s="242"/>
      <c r="CZ161" s="242"/>
      <c r="DA161" s="237"/>
      <c r="DB161" s="214"/>
      <c r="DC161" s="1131"/>
      <c r="DD161" s="1153"/>
      <c r="DE161" s="242"/>
      <c r="DF161" s="242"/>
      <c r="DG161" s="242"/>
      <c r="DH161" s="242">
        <f t="shared" si="14"/>
        <v>0</v>
      </c>
      <c r="DI161" s="242"/>
      <c r="DJ161" s="242"/>
      <c r="DK161" s="214"/>
      <c r="DL161" s="214"/>
      <c r="DM161" s="1131"/>
      <c r="DN161" s="1153"/>
      <c r="DO161" s="242"/>
      <c r="DP161" s="242"/>
      <c r="DQ161" s="242"/>
      <c r="DR161" s="242">
        <f t="shared" si="15"/>
        <v>0</v>
      </c>
      <c r="DS161" s="242"/>
      <c r="DT161" s="242"/>
      <c r="DU161" s="214"/>
      <c r="DV161" s="214"/>
      <c r="DW161" s="1131"/>
      <c r="DX161" s="1153"/>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24"/>
      <c r="C162" s="1124"/>
      <c r="D162" s="1124"/>
      <c r="E162" s="1124"/>
      <c r="F162" s="1125">
        <f t="shared" si="2"/>
        <v>0</v>
      </c>
      <c r="G162" s="1126" t="str">
        <f t="shared" si="3"/>
        <v/>
      </c>
      <c r="H162" s="112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7">
        <f t="shared" si="173"/>
        <v>0</v>
      </c>
      <c r="J162" s="1128">
        <f t="shared" si="173"/>
        <v>0</v>
      </c>
      <c r="K162" s="214"/>
      <c r="L162" s="242" t="str">
        <f t="array" ref="L162">IFERROR(INDEX('💻シート作成'!$D$6:$D999, MATCH(M162, '💻シート作成'!$E$6:$E999, 0)), "")</f>
        <v/>
      </c>
      <c r="M162" s="1023"/>
      <c r="N162" s="214"/>
      <c r="O162" s="1087"/>
      <c r="P162" s="214"/>
      <c r="Q162" s="1131"/>
      <c r="R162" s="1153"/>
      <c r="S162" s="242"/>
      <c r="T162" s="242"/>
      <c r="U162" s="242"/>
      <c r="V162" s="242">
        <f t="shared" si="5"/>
        <v>0</v>
      </c>
      <c r="W162" s="242"/>
      <c r="X162" s="242"/>
      <c r="Y162" s="214"/>
      <c r="Z162" s="214"/>
      <c r="AA162" s="1131"/>
      <c r="AB162" s="1153"/>
      <c r="AC162" s="242"/>
      <c r="AD162" s="242"/>
      <c r="AE162" s="242"/>
      <c r="AF162" s="242">
        <f t="shared" si="6"/>
        <v>0</v>
      </c>
      <c r="AG162" s="242"/>
      <c r="AH162" s="242"/>
      <c r="AI162" s="214"/>
      <c r="AJ162" s="214"/>
      <c r="AK162" s="1131"/>
      <c r="AL162" s="1153"/>
      <c r="AM162" s="242"/>
      <c r="AN162" s="242"/>
      <c r="AO162" s="242"/>
      <c r="AP162" s="242">
        <f t="shared" si="7"/>
        <v>0</v>
      </c>
      <c r="AQ162" s="242"/>
      <c r="AR162" s="242"/>
      <c r="AS162" s="237"/>
      <c r="AT162" s="214"/>
      <c r="AU162" s="1138"/>
      <c r="AV162" s="1155"/>
      <c r="AW162" s="1140"/>
      <c r="AX162" s="1140"/>
      <c r="AY162" s="1140"/>
      <c r="AZ162" s="1140">
        <f t="shared" si="8"/>
        <v>0</v>
      </c>
      <c r="BA162" s="1140"/>
      <c r="BB162" s="1140"/>
      <c r="BC162" s="214"/>
      <c r="BD162" s="214"/>
      <c r="BE162" s="1131"/>
      <c r="BF162" s="1153"/>
      <c r="BG162" s="242"/>
      <c r="BH162" s="242"/>
      <c r="BI162" s="242"/>
      <c r="BJ162" s="242">
        <f t="shared" si="9"/>
        <v>0</v>
      </c>
      <c r="BK162" s="242"/>
      <c r="BL162" s="242"/>
      <c r="BM162" s="214"/>
      <c r="BN162" s="214"/>
      <c r="BO162" s="1131"/>
      <c r="BP162" s="1153"/>
      <c r="BQ162" s="242"/>
      <c r="BR162" s="242"/>
      <c r="BS162" s="242"/>
      <c r="BT162" s="242">
        <f t="shared" si="10"/>
        <v>0</v>
      </c>
      <c r="BU162" s="242"/>
      <c r="BV162" s="242"/>
      <c r="BW162" s="237"/>
      <c r="BX162" s="214"/>
      <c r="BY162" s="1131"/>
      <c r="BZ162" s="1153"/>
      <c r="CA162" s="242"/>
      <c r="CB162" s="242"/>
      <c r="CC162" s="242"/>
      <c r="CD162" s="242">
        <f t="shared" si="11"/>
        <v>0</v>
      </c>
      <c r="CE162" s="242"/>
      <c r="CF162" s="242"/>
      <c r="CG162" s="214"/>
      <c r="CH162" s="214"/>
      <c r="CI162" s="1131"/>
      <c r="CJ162" s="1153"/>
      <c r="CK162" s="242"/>
      <c r="CL162" s="242"/>
      <c r="CM162" s="242"/>
      <c r="CN162" s="242">
        <f t="shared" si="12"/>
        <v>0</v>
      </c>
      <c r="CO162" s="242"/>
      <c r="CP162" s="242"/>
      <c r="CQ162" s="214"/>
      <c r="CR162" s="214"/>
      <c r="CS162" s="1131"/>
      <c r="CT162" s="1153"/>
      <c r="CU162" s="242"/>
      <c r="CV162" s="242"/>
      <c r="CW162" s="242"/>
      <c r="CX162" s="242">
        <f t="shared" si="13"/>
        <v>0</v>
      </c>
      <c r="CY162" s="242"/>
      <c r="CZ162" s="242"/>
      <c r="DA162" s="237"/>
      <c r="DB162" s="214"/>
      <c r="DC162" s="1131"/>
      <c r="DD162" s="1153"/>
      <c r="DE162" s="242"/>
      <c r="DF162" s="242"/>
      <c r="DG162" s="242"/>
      <c r="DH162" s="242">
        <f t="shared" si="14"/>
        <v>0</v>
      </c>
      <c r="DI162" s="242"/>
      <c r="DJ162" s="242"/>
      <c r="DK162" s="214"/>
      <c r="DL162" s="214"/>
      <c r="DM162" s="1131"/>
      <c r="DN162" s="1153"/>
      <c r="DO162" s="242"/>
      <c r="DP162" s="242"/>
      <c r="DQ162" s="242"/>
      <c r="DR162" s="242">
        <f t="shared" si="15"/>
        <v>0</v>
      </c>
      <c r="DS162" s="242"/>
      <c r="DT162" s="242"/>
      <c r="DU162" s="214"/>
      <c r="DV162" s="214"/>
      <c r="DW162" s="1131"/>
      <c r="DX162" s="1153"/>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24"/>
      <c r="C163" s="1124"/>
      <c r="D163" s="1124"/>
      <c r="E163" s="1124"/>
      <c r="F163" s="1125">
        <f t="shared" si="2"/>
        <v>0</v>
      </c>
      <c r="G163" s="1126" t="str">
        <f t="shared" si="3"/>
        <v/>
      </c>
      <c r="H163" s="112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7">
        <f t="shared" si="174"/>
        <v>0</v>
      </c>
      <c r="J163" s="1128">
        <f t="shared" si="174"/>
        <v>0</v>
      </c>
      <c r="K163" s="214"/>
      <c r="L163" s="242" t="str">
        <f t="array" ref="L163">IFERROR(INDEX('💻シート作成'!$D$6:$D999, MATCH(M163, '💻シート作成'!$E$6:$E999, 0)), "")</f>
        <v/>
      </c>
      <c r="M163" s="1023"/>
      <c r="N163" s="214"/>
      <c r="O163" s="1087"/>
      <c r="P163" s="214"/>
      <c r="Q163" s="1131"/>
      <c r="R163" s="1153"/>
      <c r="S163" s="242"/>
      <c r="T163" s="242"/>
      <c r="U163" s="242"/>
      <c r="V163" s="242">
        <f t="shared" si="5"/>
        <v>0</v>
      </c>
      <c r="W163" s="242"/>
      <c r="X163" s="242"/>
      <c r="Y163" s="214"/>
      <c r="Z163" s="214"/>
      <c r="AA163" s="1131"/>
      <c r="AB163" s="1153"/>
      <c r="AC163" s="242"/>
      <c r="AD163" s="242"/>
      <c r="AE163" s="242"/>
      <c r="AF163" s="242">
        <f t="shared" si="6"/>
        <v>0</v>
      </c>
      <c r="AG163" s="242"/>
      <c r="AH163" s="242"/>
      <c r="AI163" s="214"/>
      <c r="AJ163" s="214"/>
      <c r="AK163" s="1131"/>
      <c r="AL163" s="1153"/>
      <c r="AM163" s="242"/>
      <c r="AN163" s="242"/>
      <c r="AO163" s="242"/>
      <c r="AP163" s="242">
        <f t="shared" si="7"/>
        <v>0</v>
      </c>
      <c r="AQ163" s="242"/>
      <c r="AR163" s="242"/>
      <c r="AS163" s="237"/>
      <c r="AT163" s="214"/>
      <c r="AU163" s="1138"/>
      <c r="AV163" s="1155"/>
      <c r="AW163" s="1140"/>
      <c r="AX163" s="1140"/>
      <c r="AY163" s="1140"/>
      <c r="AZ163" s="1140">
        <f t="shared" si="8"/>
        <v>0</v>
      </c>
      <c r="BA163" s="1140"/>
      <c r="BB163" s="1140"/>
      <c r="BC163" s="214"/>
      <c r="BD163" s="214"/>
      <c r="BE163" s="1131"/>
      <c r="BF163" s="1153"/>
      <c r="BG163" s="242"/>
      <c r="BH163" s="242"/>
      <c r="BI163" s="242"/>
      <c r="BJ163" s="242">
        <f t="shared" si="9"/>
        <v>0</v>
      </c>
      <c r="BK163" s="242"/>
      <c r="BL163" s="242"/>
      <c r="BM163" s="214"/>
      <c r="BN163" s="214"/>
      <c r="BO163" s="1131"/>
      <c r="BP163" s="1153"/>
      <c r="BQ163" s="242"/>
      <c r="BR163" s="242"/>
      <c r="BS163" s="242"/>
      <c r="BT163" s="242">
        <f t="shared" si="10"/>
        <v>0</v>
      </c>
      <c r="BU163" s="242"/>
      <c r="BV163" s="242"/>
      <c r="BW163" s="237"/>
      <c r="BX163" s="214"/>
      <c r="BY163" s="1131"/>
      <c r="BZ163" s="1153"/>
      <c r="CA163" s="242"/>
      <c r="CB163" s="242"/>
      <c r="CC163" s="242"/>
      <c r="CD163" s="242">
        <f t="shared" si="11"/>
        <v>0</v>
      </c>
      <c r="CE163" s="242"/>
      <c r="CF163" s="242"/>
      <c r="CG163" s="214"/>
      <c r="CH163" s="214"/>
      <c r="CI163" s="1131"/>
      <c r="CJ163" s="1153"/>
      <c r="CK163" s="242"/>
      <c r="CL163" s="242"/>
      <c r="CM163" s="242"/>
      <c r="CN163" s="242">
        <f t="shared" si="12"/>
        <v>0</v>
      </c>
      <c r="CO163" s="242"/>
      <c r="CP163" s="242"/>
      <c r="CQ163" s="214"/>
      <c r="CR163" s="214"/>
      <c r="CS163" s="1131"/>
      <c r="CT163" s="1153"/>
      <c r="CU163" s="242"/>
      <c r="CV163" s="242"/>
      <c r="CW163" s="242"/>
      <c r="CX163" s="242">
        <f t="shared" si="13"/>
        <v>0</v>
      </c>
      <c r="CY163" s="242"/>
      <c r="CZ163" s="242"/>
      <c r="DA163" s="237"/>
      <c r="DB163" s="214"/>
      <c r="DC163" s="1131"/>
      <c r="DD163" s="1153"/>
      <c r="DE163" s="242"/>
      <c r="DF163" s="242"/>
      <c r="DG163" s="242"/>
      <c r="DH163" s="242">
        <f t="shared" si="14"/>
        <v>0</v>
      </c>
      <c r="DI163" s="242"/>
      <c r="DJ163" s="242"/>
      <c r="DK163" s="214"/>
      <c r="DL163" s="214"/>
      <c r="DM163" s="1131"/>
      <c r="DN163" s="1153"/>
      <c r="DO163" s="242"/>
      <c r="DP163" s="242"/>
      <c r="DQ163" s="242"/>
      <c r="DR163" s="242">
        <f t="shared" si="15"/>
        <v>0</v>
      </c>
      <c r="DS163" s="242"/>
      <c r="DT163" s="242"/>
      <c r="DU163" s="214"/>
      <c r="DV163" s="214"/>
      <c r="DW163" s="1131"/>
      <c r="DX163" s="1153"/>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24"/>
      <c r="C164" s="1124"/>
      <c r="D164" s="1124"/>
      <c r="E164" s="1124"/>
      <c r="F164" s="1125">
        <f t="shared" si="2"/>
        <v>0</v>
      </c>
      <c r="G164" s="1126" t="str">
        <f t="shared" si="3"/>
        <v/>
      </c>
      <c r="H164" s="112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7">
        <f t="shared" si="175"/>
        <v>0</v>
      </c>
      <c r="J164" s="1128">
        <f t="shared" si="175"/>
        <v>0</v>
      </c>
      <c r="K164" s="214"/>
      <c r="L164" s="242" t="str">
        <f t="array" ref="L164">IFERROR(INDEX('💻シート作成'!$D$6:$D999, MATCH(M164, '💻シート作成'!$E$6:$E999, 0)), "")</f>
        <v/>
      </c>
      <c r="M164" s="1023"/>
      <c r="N164" s="214"/>
      <c r="O164" s="1087"/>
      <c r="P164" s="214"/>
      <c r="Q164" s="1131"/>
      <c r="R164" s="1153"/>
      <c r="S164" s="242"/>
      <c r="T164" s="242"/>
      <c r="U164" s="242"/>
      <c r="V164" s="242">
        <f t="shared" si="5"/>
        <v>0</v>
      </c>
      <c r="W164" s="242"/>
      <c r="X164" s="242"/>
      <c r="Y164" s="214"/>
      <c r="Z164" s="214"/>
      <c r="AA164" s="1131"/>
      <c r="AB164" s="1153"/>
      <c r="AC164" s="242"/>
      <c r="AD164" s="242"/>
      <c r="AE164" s="242"/>
      <c r="AF164" s="242">
        <f t="shared" si="6"/>
        <v>0</v>
      </c>
      <c r="AG164" s="242"/>
      <c r="AH164" s="242"/>
      <c r="AI164" s="214"/>
      <c r="AJ164" s="214"/>
      <c r="AK164" s="1131"/>
      <c r="AL164" s="1153"/>
      <c r="AM164" s="242"/>
      <c r="AN164" s="242"/>
      <c r="AO164" s="242"/>
      <c r="AP164" s="242">
        <f t="shared" si="7"/>
        <v>0</v>
      </c>
      <c r="AQ164" s="242"/>
      <c r="AR164" s="242"/>
      <c r="AS164" s="237"/>
      <c r="AT164" s="214"/>
      <c r="AU164" s="1138"/>
      <c r="AV164" s="1155"/>
      <c r="AW164" s="1140"/>
      <c r="AX164" s="1140"/>
      <c r="AY164" s="1140"/>
      <c r="AZ164" s="1140">
        <f t="shared" si="8"/>
        <v>0</v>
      </c>
      <c r="BA164" s="1140"/>
      <c r="BB164" s="1140"/>
      <c r="BC164" s="214"/>
      <c r="BD164" s="214"/>
      <c r="BE164" s="1131"/>
      <c r="BF164" s="1153"/>
      <c r="BG164" s="242"/>
      <c r="BH164" s="242"/>
      <c r="BI164" s="242"/>
      <c r="BJ164" s="242">
        <f t="shared" si="9"/>
        <v>0</v>
      </c>
      <c r="BK164" s="242"/>
      <c r="BL164" s="242"/>
      <c r="BM164" s="214"/>
      <c r="BN164" s="214"/>
      <c r="BO164" s="1131"/>
      <c r="BP164" s="1153"/>
      <c r="BQ164" s="242"/>
      <c r="BR164" s="242"/>
      <c r="BS164" s="242"/>
      <c r="BT164" s="242">
        <f t="shared" si="10"/>
        <v>0</v>
      </c>
      <c r="BU164" s="242"/>
      <c r="BV164" s="242"/>
      <c r="BW164" s="237"/>
      <c r="BX164" s="214"/>
      <c r="BY164" s="1131"/>
      <c r="BZ164" s="1153"/>
      <c r="CA164" s="242"/>
      <c r="CB164" s="242"/>
      <c r="CC164" s="242"/>
      <c r="CD164" s="242">
        <f t="shared" si="11"/>
        <v>0</v>
      </c>
      <c r="CE164" s="242"/>
      <c r="CF164" s="242"/>
      <c r="CG164" s="214"/>
      <c r="CH164" s="214"/>
      <c r="CI164" s="1131"/>
      <c r="CJ164" s="1153"/>
      <c r="CK164" s="242"/>
      <c r="CL164" s="242"/>
      <c r="CM164" s="242"/>
      <c r="CN164" s="242">
        <f t="shared" si="12"/>
        <v>0</v>
      </c>
      <c r="CO164" s="242"/>
      <c r="CP164" s="242"/>
      <c r="CQ164" s="214"/>
      <c r="CR164" s="214"/>
      <c r="CS164" s="1131"/>
      <c r="CT164" s="1153"/>
      <c r="CU164" s="242"/>
      <c r="CV164" s="242"/>
      <c r="CW164" s="242"/>
      <c r="CX164" s="242">
        <f t="shared" si="13"/>
        <v>0</v>
      </c>
      <c r="CY164" s="242"/>
      <c r="CZ164" s="242"/>
      <c r="DA164" s="237"/>
      <c r="DB164" s="214"/>
      <c r="DC164" s="1131"/>
      <c r="DD164" s="1153"/>
      <c r="DE164" s="242"/>
      <c r="DF164" s="242"/>
      <c r="DG164" s="242"/>
      <c r="DH164" s="242">
        <f t="shared" si="14"/>
        <v>0</v>
      </c>
      <c r="DI164" s="242"/>
      <c r="DJ164" s="242"/>
      <c r="DK164" s="214"/>
      <c r="DL164" s="214"/>
      <c r="DM164" s="1131"/>
      <c r="DN164" s="1153"/>
      <c r="DO164" s="242"/>
      <c r="DP164" s="242"/>
      <c r="DQ164" s="242"/>
      <c r="DR164" s="242">
        <f t="shared" si="15"/>
        <v>0</v>
      </c>
      <c r="DS164" s="242"/>
      <c r="DT164" s="242"/>
      <c r="DU164" s="214"/>
      <c r="DV164" s="214"/>
      <c r="DW164" s="1131"/>
      <c r="DX164" s="1153"/>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24"/>
      <c r="C165" s="1124"/>
      <c r="D165" s="1124"/>
      <c r="E165" s="1124"/>
      <c r="F165" s="1125">
        <f t="shared" si="2"/>
        <v>0</v>
      </c>
      <c r="G165" s="1126" t="str">
        <f t="shared" si="3"/>
        <v/>
      </c>
      <c r="H165" s="112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7">
        <f t="shared" si="176"/>
        <v>0</v>
      </c>
      <c r="J165" s="1128">
        <f t="shared" si="176"/>
        <v>0</v>
      </c>
      <c r="K165" s="214"/>
      <c r="L165" s="242" t="str">
        <f t="array" ref="L165">IFERROR(INDEX('💻シート作成'!$D$6:$D999, MATCH(M165, '💻シート作成'!$E$6:$E999, 0)), "")</f>
        <v/>
      </c>
      <c r="M165" s="1023"/>
      <c r="N165" s="214"/>
      <c r="O165" s="1087"/>
      <c r="P165" s="214"/>
      <c r="Q165" s="1131"/>
      <c r="R165" s="1153"/>
      <c r="S165" s="242"/>
      <c r="T165" s="242"/>
      <c r="U165" s="242"/>
      <c r="V165" s="242">
        <f t="shared" si="5"/>
        <v>0</v>
      </c>
      <c r="W165" s="242"/>
      <c r="X165" s="242"/>
      <c r="Y165" s="214"/>
      <c r="Z165" s="214"/>
      <c r="AA165" s="1131"/>
      <c r="AB165" s="1153"/>
      <c r="AC165" s="242"/>
      <c r="AD165" s="242"/>
      <c r="AE165" s="242"/>
      <c r="AF165" s="242">
        <f t="shared" si="6"/>
        <v>0</v>
      </c>
      <c r="AG165" s="242"/>
      <c r="AH165" s="242"/>
      <c r="AI165" s="214"/>
      <c r="AJ165" s="214"/>
      <c r="AK165" s="1131"/>
      <c r="AL165" s="1153"/>
      <c r="AM165" s="242"/>
      <c r="AN165" s="242"/>
      <c r="AO165" s="242"/>
      <c r="AP165" s="242">
        <f t="shared" si="7"/>
        <v>0</v>
      </c>
      <c r="AQ165" s="242"/>
      <c r="AR165" s="242"/>
      <c r="AS165" s="237"/>
      <c r="AT165" s="214"/>
      <c r="AU165" s="1138"/>
      <c r="AV165" s="1155"/>
      <c r="AW165" s="1140"/>
      <c r="AX165" s="1140"/>
      <c r="AY165" s="1140"/>
      <c r="AZ165" s="1140">
        <f t="shared" si="8"/>
        <v>0</v>
      </c>
      <c r="BA165" s="1140"/>
      <c r="BB165" s="1140"/>
      <c r="BC165" s="214"/>
      <c r="BD165" s="214"/>
      <c r="BE165" s="1131"/>
      <c r="BF165" s="1153"/>
      <c r="BG165" s="242"/>
      <c r="BH165" s="242"/>
      <c r="BI165" s="242"/>
      <c r="BJ165" s="242">
        <f t="shared" si="9"/>
        <v>0</v>
      </c>
      <c r="BK165" s="242"/>
      <c r="BL165" s="242"/>
      <c r="BM165" s="214"/>
      <c r="BN165" s="214"/>
      <c r="BO165" s="1131"/>
      <c r="BP165" s="1153"/>
      <c r="BQ165" s="242"/>
      <c r="BR165" s="242"/>
      <c r="BS165" s="242"/>
      <c r="BT165" s="242">
        <f t="shared" si="10"/>
        <v>0</v>
      </c>
      <c r="BU165" s="242"/>
      <c r="BV165" s="242"/>
      <c r="BW165" s="237"/>
      <c r="BX165" s="214"/>
      <c r="BY165" s="1131"/>
      <c r="BZ165" s="1153"/>
      <c r="CA165" s="242"/>
      <c r="CB165" s="242"/>
      <c r="CC165" s="242"/>
      <c r="CD165" s="242">
        <f t="shared" si="11"/>
        <v>0</v>
      </c>
      <c r="CE165" s="242"/>
      <c r="CF165" s="242"/>
      <c r="CG165" s="214"/>
      <c r="CH165" s="214"/>
      <c r="CI165" s="1131"/>
      <c r="CJ165" s="1153"/>
      <c r="CK165" s="242"/>
      <c r="CL165" s="242"/>
      <c r="CM165" s="242"/>
      <c r="CN165" s="242">
        <f t="shared" si="12"/>
        <v>0</v>
      </c>
      <c r="CO165" s="242"/>
      <c r="CP165" s="242"/>
      <c r="CQ165" s="214"/>
      <c r="CR165" s="214"/>
      <c r="CS165" s="1131"/>
      <c r="CT165" s="1153"/>
      <c r="CU165" s="242"/>
      <c r="CV165" s="242"/>
      <c r="CW165" s="242"/>
      <c r="CX165" s="242">
        <f t="shared" si="13"/>
        <v>0</v>
      </c>
      <c r="CY165" s="242"/>
      <c r="CZ165" s="242"/>
      <c r="DA165" s="237"/>
      <c r="DB165" s="214"/>
      <c r="DC165" s="1131"/>
      <c r="DD165" s="1153"/>
      <c r="DE165" s="242"/>
      <c r="DF165" s="242"/>
      <c r="DG165" s="242"/>
      <c r="DH165" s="242">
        <f t="shared" si="14"/>
        <v>0</v>
      </c>
      <c r="DI165" s="242"/>
      <c r="DJ165" s="242"/>
      <c r="DK165" s="214"/>
      <c r="DL165" s="214"/>
      <c r="DM165" s="1131"/>
      <c r="DN165" s="1153"/>
      <c r="DO165" s="242"/>
      <c r="DP165" s="242"/>
      <c r="DQ165" s="242"/>
      <c r="DR165" s="242">
        <f t="shared" si="15"/>
        <v>0</v>
      </c>
      <c r="DS165" s="242"/>
      <c r="DT165" s="242"/>
      <c r="DU165" s="214"/>
      <c r="DV165" s="214"/>
      <c r="DW165" s="1131"/>
      <c r="DX165" s="1153"/>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24"/>
      <c r="C166" s="1124"/>
      <c r="D166" s="1124"/>
      <c r="E166" s="1124"/>
      <c r="F166" s="1125">
        <f t="shared" si="2"/>
        <v>0</v>
      </c>
      <c r="G166" s="1126" t="str">
        <f t="shared" si="3"/>
        <v/>
      </c>
      <c r="H166" s="112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7">
        <f t="shared" si="177"/>
        <v>0</v>
      </c>
      <c r="J166" s="1128">
        <f t="shared" si="177"/>
        <v>0</v>
      </c>
      <c r="K166" s="214"/>
      <c r="L166" s="242" t="str">
        <f t="array" ref="L166">IFERROR(INDEX('💻シート作成'!$D$6:$D999, MATCH(M166, '💻シート作成'!$E$6:$E999, 0)), "")</f>
        <v/>
      </c>
      <c r="M166" s="1023"/>
      <c r="N166" s="214"/>
      <c r="O166" s="1087"/>
      <c r="P166" s="214"/>
      <c r="Q166" s="1131"/>
      <c r="R166" s="1153"/>
      <c r="S166" s="242"/>
      <c r="T166" s="242"/>
      <c r="U166" s="242"/>
      <c r="V166" s="242">
        <f t="shared" si="5"/>
        <v>0</v>
      </c>
      <c r="W166" s="242"/>
      <c r="X166" s="242"/>
      <c r="Y166" s="214"/>
      <c r="Z166" s="214"/>
      <c r="AA166" s="1131"/>
      <c r="AB166" s="1153"/>
      <c r="AC166" s="242"/>
      <c r="AD166" s="242"/>
      <c r="AE166" s="242"/>
      <c r="AF166" s="242">
        <f t="shared" si="6"/>
        <v>0</v>
      </c>
      <c r="AG166" s="242"/>
      <c r="AH166" s="242"/>
      <c r="AI166" s="214"/>
      <c r="AJ166" s="214"/>
      <c r="AK166" s="1131"/>
      <c r="AL166" s="1153"/>
      <c r="AM166" s="242"/>
      <c r="AN166" s="242"/>
      <c r="AO166" s="242"/>
      <c r="AP166" s="242">
        <f t="shared" si="7"/>
        <v>0</v>
      </c>
      <c r="AQ166" s="242"/>
      <c r="AR166" s="242"/>
      <c r="AS166" s="237"/>
      <c r="AT166" s="214"/>
      <c r="AU166" s="1138"/>
      <c r="AV166" s="1155"/>
      <c r="AW166" s="1140"/>
      <c r="AX166" s="1140"/>
      <c r="AY166" s="1140"/>
      <c r="AZ166" s="1140">
        <f t="shared" si="8"/>
        <v>0</v>
      </c>
      <c r="BA166" s="1140"/>
      <c r="BB166" s="1140"/>
      <c r="BC166" s="214"/>
      <c r="BD166" s="214"/>
      <c r="BE166" s="1131"/>
      <c r="BF166" s="1153"/>
      <c r="BG166" s="242"/>
      <c r="BH166" s="242"/>
      <c r="BI166" s="242"/>
      <c r="BJ166" s="242">
        <f t="shared" si="9"/>
        <v>0</v>
      </c>
      <c r="BK166" s="242"/>
      <c r="BL166" s="242"/>
      <c r="BM166" s="214"/>
      <c r="BN166" s="214"/>
      <c r="BO166" s="1131"/>
      <c r="BP166" s="1153"/>
      <c r="BQ166" s="242"/>
      <c r="BR166" s="242"/>
      <c r="BS166" s="242"/>
      <c r="BT166" s="242">
        <f t="shared" si="10"/>
        <v>0</v>
      </c>
      <c r="BU166" s="242"/>
      <c r="BV166" s="242"/>
      <c r="BW166" s="237"/>
      <c r="BX166" s="214"/>
      <c r="BY166" s="1131"/>
      <c r="BZ166" s="1153"/>
      <c r="CA166" s="242"/>
      <c r="CB166" s="242"/>
      <c r="CC166" s="242"/>
      <c r="CD166" s="242">
        <f t="shared" si="11"/>
        <v>0</v>
      </c>
      <c r="CE166" s="242"/>
      <c r="CF166" s="242"/>
      <c r="CG166" s="214"/>
      <c r="CH166" s="214"/>
      <c r="CI166" s="1131"/>
      <c r="CJ166" s="1153"/>
      <c r="CK166" s="242"/>
      <c r="CL166" s="242"/>
      <c r="CM166" s="242"/>
      <c r="CN166" s="242">
        <f t="shared" si="12"/>
        <v>0</v>
      </c>
      <c r="CO166" s="242"/>
      <c r="CP166" s="242"/>
      <c r="CQ166" s="214"/>
      <c r="CR166" s="214"/>
      <c r="CS166" s="1131"/>
      <c r="CT166" s="1153"/>
      <c r="CU166" s="242"/>
      <c r="CV166" s="242"/>
      <c r="CW166" s="242"/>
      <c r="CX166" s="242">
        <f t="shared" si="13"/>
        <v>0</v>
      </c>
      <c r="CY166" s="242"/>
      <c r="CZ166" s="242"/>
      <c r="DA166" s="237"/>
      <c r="DB166" s="214"/>
      <c r="DC166" s="1131"/>
      <c r="DD166" s="1153"/>
      <c r="DE166" s="242"/>
      <c r="DF166" s="242"/>
      <c r="DG166" s="242"/>
      <c r="DH166" s="242">
        <f t="shared" si="14"/>
        <v>0</v>
      </c>
      <c r="DI166" s="242"/>
      <c r="DJ166" s="242"/>
      <c r="DK166" s="214"/>
      <c r="DL166" s="214"/>
      <c r="DM166" s="1131"/>
      <c r="DN166" s="1153"/>
      <c r="DO166" s="242"/>
      <c r="DP166" s="242"/>
      <c r="DQ166" s="242"/>
      <c r="DR166" s="242">
        <f t="shared" si="15"/>
        <v>0</v>
      </c>
      <c r="DS166" s="242"/>
      <c r="DT166" s="242"/>
      <c r="DU166" s="214"/>
      <c r="DV166" s="214"/>
      <c r="DW166" s="1131"/>
      <c r="DX166" s="1153"/>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24"/>
      <c r="C167" s="1124"/>
      <c r="D167" s="1124"/>
      <c r="E167" s="1124"/>
      <c r="F167" s="1125">
        <f t="shared" si="2"/>
        <v>0</v>
      </c>
      <c r="G167" s="1126" t="str">
        <f t="shared" si="3"/>
        <v/>
      </c>
      <c r="H167" s="112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7">
        <f t="shared" si="178"/>
        <v>0</v>
      </c>
      <c r="J167" s="1128">
        <f t="shared" si="178"/>
        <v>0</v>
      </c>
      <c r="K167" s="214"/>
      <c r="L167" s="242" t="str">
        <f t="array" ref="L167">IFERROR(INDEX('💻シート作成'!$D$6:$D999, MATCH(M167, '💻シート作成'!$E$6:$E999, 0)), "")</f>
        <v/>
      </c>
      <c r="M167" s="1023"/>
      <c r="N167" s="214"/>
      <c r="O167" s="1087"/>
      <c r="P167" s="214"/>
      <c r="Q167" s="1131"/>
      <c r="R167" s="1153"/>
      <c r="S167" s="242"/>
      <c r="T167" s="242"/>
      <c r="U167" s="242"/>
      <c r="V167" s="242">
        <f t="shared" si="5"/>
        <v>0</v>
      </c>
      <c r="W167" s="242"/>
      <c r="X167" s="242"/>
      <c r="Y167" s="214"/>
      <c r="Z167" s="214"/>
      <c r="AA167" s="1131"/>
      <c r="AB167" s="1153"/>
      <c r="AC167" s="242"/>
      <c r="AD167" s="242"/>
      <c r="AE167" s="242"/>
      <c r="AF167" s="242">
        <f t="shared" si="6"/>
        <v>0</v>
      </c>
      <c r="AG167" s="242"/>
      <c r="AH167" s="242"/>
      <c r="AI167" s="214"/>
      <c r="AJ167" s="214"/>
      <c r="AK167" s="1131"/>
      <c r="AL167" s="1153"/>
      <c r="AM167" s="242"/>
      <c r="AN167" s="242"/>
      <c r="AO167" s="242"/>
      <c r="AP167" s="242">
        <f t="shared" si="7"/>
        <v>0</v>
      </c>
      <c r="AQ167" s="242"/>
      <c r="AR167" s="242"/>
      <c r="AS167" s="237"/>
      <c r="AT167" s="214"/>
      <c r="AU167" s="1138"/>
      <c r="AV167" s="1155"/>
      <c r="AW167" s="1140"/>
      <c r="AX167" s="1140"/>
      <c r="AY167" s="1140"/>
      <c r="AZ167" s="1140">
        <f t="shared" si="8"/>
        <v>0</v>
      </c>
      <c r="BA167" s="1140"/>
      <c r="BB167" s="1140"/>
      <c r="BC167" s="214"/>
      <c r="BD167" s="214"/>
      <c r="BE167" s="1131"/>
      <c r="BF167" s="1153"/>
      <c r="BG167" s="242"/>
      <c r="BH167" s="242"/>
      <c r="BI167" s="242"/>
      <c r="BJ167" s="242">
        <f t="shared" si="9"/>
        <v>0</v>
      </c>
      <c r="BK167" s="242"/>
      <c r="BL167" s="242"/>
      <c r="BM167" s="214"/>
      <c r="BN167" s="214"/>
      <c r="BO167" s="1131"/>
      <c r="BP167" s="1153"/>
      <c r="BQ167" s="242"/>
      <c r="BR167" s="242"/>
      <c r="BS167" s="242"/>
      <c r="BT167" s="242">
        <f t="shared" si="10"/>
        <v>0</v>
      </c>
      <c r="BU167" s="242"/>
      <c r="BV167" s="242"/>
      <c r="BW167" s="237"/>
      <c r="BX167" s="214"/>
      <c r="BY167" s="1131"/>
      <c r="BZ167" s="1153"/>
      <c r="CA167" s="242"/>
      <c r="CB167" s="242"/>
      <c r="CC167" s="242"/>
      <c r="CD167" s="242">
        <f t="shared" si="11"/>
        <v>0</v>
      </c>
      <c r="CE167" s="242"/>
      <c r="CF167" s="242"/>
      <c r="CG167" s="214"/>
      <c r="CH167" s="214"/>
      <c r="CI167" s="1131"/>
      <c r="CJ167" s="1153"/>
      <c r="CK167" s="242"/>
      <c r="CL167" s="242"/>
      <c r="CM167" s="242"/>
      <c r="CN167" s="242">
        <f t="shared" si="12"/>
        <v>0</v>
      </c>
      <c r="CO167" s="242"/>
      <c r="CP167" s="242"/>
      <c r="CQ167" s="214"/>
      <c r="CR167" s="214"/>
      <c r="CS167" s="1131"/>
      <c r="CT167" s="1153"/>
      <c r="CU167" s="242"/>
      <c r="CV167" s="242"/>
      <c r="CW167" s="242"/>
      <c r="CX167" s="242">
        <f t="shared" si="13"/>
        <v>0</v>
      </c>
      <c r="CY167" s="242"/>
      <c r="CZ167" s="242"/>
      <c r="DA167" s="237"/>
      <c r="DB167" s="214"/>
      <c r="DC167" s="1131"/>
      <c r="DD167" s="1153"/>
      <c r="DE167" s="242"/>
      <c r="DF167" s="242"/>
      <c r="DG167" s="242"/>
      <c r="DH167" s="242">
        <f t="shared" si="14"/>
        <v>0</v>
      </c>
      <c r="DI167" s="242"/>
      <c r="DJ167" s="242"/>
      <c r="DK167" s="214"/>
      <c r="DL167" s="214"/>
      <c r="DM167" s="1131"/>
      <c r="DN167" s="1153"/>
      <c r="DO167" s="242"/>
      <c r="DP167" s="242"/>
      <c r="DQ167" s="242"/>
      <c r="DR167" s="242">
        <f t="shared" si="15"/>
        <v>0</v>
      </c>
      <c r="DS167" s="242"/>
      <c r="DT167" s="242"/>
      <c r="DU167" s="214"/>
      <c r="DV167" s="214"/>
      <c r="DW167" s="1131"/>
      <c r="DX167" s="1153"/>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24"/>
      <c r="C168" s="1124"/>
      <c r="D168" s="1124"/>
      <c r="E168" s="1124"/>
      <c r="F168" s="1125">
        <f t="shared" si="2"/>
        <v>0</v>
      </c>
      <c r="G168" s="1126" t="str">
        <f t="shared" si="3"/>
        <v/>
      </c>
      <c r="H168" s="112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7">
        <f t="shared" si="179"/>
        <v>0</v>
      </c>
      <c r="J168" s="1128">
        <f t="shared" si="179"/>
        <v>0</v>
      </c>
      <c r="K168" s="214"/>
      <c r="L168" s="242" t="str">
        <f t="array" ref="L168">IFERROR(INDEX('💻シート作成'!$D$6:$D999, MATCH(M168, '💻シート作成'!$E$6:$E999, 0)), "")</f>
        <v/>
      </c>
      <c r="M168" s="1023"/>
      <c r="N168" s="214"/>
      <c r="O168" s="1087"/>
      <c r="P168" s="214"/>
      <c r="Q168" s="1131"/>
      <c r="R168" s="1153"/>
      <c r="S168" s="242"/>
      <c r="T168" s="242"/>
      <c r="U168" s="242"/>
      <c r="V168" s="242">
        <f t="shared" si="5"/>
        <v>0</v>
      </c>
      <c r="W168" s="242"/>
      <c r="X168" s="242"/>
      <c r="Y168" s="214"/>
      <c r="Z168" s="214"/>
      <c r="AA168" s="1131"/>
      <c r="AB168" s="1153"/>
      <c r="AC168" s="242"/>
      <c r="AD168" s="242"/>
      <c r="AE168" s="242"/>
      <c r="AF168" s="242">
        <f t="shared" si="6"/>
        <v>0</v>
      </c>
      <c r="AG168" s="242"/>
      <c r="AH168" s="242"/>
      <c r="AI168" s="214"/>
      <c r="AJ168" s="214"/>
      <c r="AK168" s="1131"/>
      <c r="AL168" s="1153"/>
      <c r="AM168" s="242"/>
      <c r="AN168" s="242"/>
      <c r="AO168" s="242"/>
      <c r="AP168" s="242">
        <f t="shared" si="7"/>
        <v>0</v>
      </c>
      <c r="AQ168" s="242"/>
      <c r="AR168" s="242"/>
      <c r="AS168" s="237"/>
      <c r="AT168" s="214"/>
      <c r="AU168" s="1138"/>
      <c r="AV168" s="1155"/>
      <c r="AW168" s="1140"/>
      <c r="AX168" s="1140"/>
      <c r="AY168" s="1140"/>
      <c r="AZ168" s="1140">
        <f t="shared" si="8"/>
        <v>0</v>
      </c>
      <c r="BA168" s="1140"/>
      <c r="BB168" s="1140"/>
      <c r="BC168" s="214"/>
      <c r="BD168" s="214"/>
      <c r="BE168" s="1131"/>
      <c r="BF168" s="1153"/>
      <c r="BG168" s="242"/>
      <c r="BH168" s="242"/>
      <c r="BI168" s="242"/>
      <c r="BJ168" s="242">
        <f t="shared" si="9"/>
        <v>0</v>
      </c>
      <c r="BK168" s="242"/>
      <c r="BL168" s="242"/>
      <c r="BM168" s="214"/>
      <c r="BN168" s="214"/>
      <c r="BO168" s="1131"/>
      <c r="BP168" s="1153"/>
      <c r="BQ168" s="242"/>
      <c r="BR168" s="242"/>
      <c r="BS168" s="242"/>
      <c r="BT168" s="242">
        <f t="shared" si="10"/>
        <v>0</v>
      </c>
      <c r="BU168" s="242"/>
      <c r="BV168" s="242"/>
      <c r="BW168" s="237"/>
      <c r="BX168" s="214"/>
      <c r="BY168" s="1131"/>
      <c r="BZ168" s="1153"/>
      <c r="CA168" s="242"/>
      <c r="CB168" s="242"/>
      <c r="CC168" s="242"/>
      <c r="CD168" s="242">
        <f t="shared" si="11"/>
        <v>0</v>
      </c>
      <c r="CE168" s="242"/>
      <c r="CF168" s="242"/>
      <c r="CG168" s="214"/>
      <c r="CH168" s="214"/>
      <c r="CI168" s="1131"/>
      <c r="CJ168" s="1153"/>
      <c r="CK168" s="242"/>
      <c r="CL168" s="242"/>
      <c r="CM168" s="242"/>
      <c r="CN168" s="242">
        <f t="shared" si="12"/>
        <v>0</v>
      </c>
      <c r="CO168" s="242"/>
      <c r="CP168" s="242"/>
      <c r="CQ168" s="214"/>
      <c r="CR168" s="214"/>
      <c r="CS168" s="1131"/>
      <c r="CT168" s="1153"/>
      <c r="CU168" s="242"/>
      <c r="CV168" s="242"/>
      <c r="CW168" s="242"/>
      <c r="CX168" s="242">
        <f t="shared" si="13"/>
        <v>0</v>
      </c>
      <c r="CY168" s="242"/>
      <c r="CZ168" s="242"/>
      <c r="DA168" s="237"/>
      <c r="DB168" s="214"/>
      <c r="DC168" s="1131"/>
      <c r="DD168" s="1153"/>
      <c r="DE168" s="242"/>
      <c r="DF168" s="242"/>
      <c r="DG168" s="242"/>
      <c r="DH168" s="242">
        <f t="shared" si="14"/>
        <v>0</v>
      </c>
      <c r="DI168" s="242"/>
      <c r="DJ168" s="242"/>
      <c r="DK168" s="214"/>
      <c r="DL168" s="214"/>
      <c r="DM168" s="1131"/>
      <c r="DN168" s="1153"/>
      <c r="DO168" s="242"/>
      <c r="DP168" s="242"/>
      <c r="DQ168" s="242"/>
      <c r="DR168" s="242">
        <f t="shared" si="15"/>
        <v>0</v>
      </c>
      <c r="DS168" s="242"/>
      <c r="DT168" s="242"/>
      <c r="DU168" s="214"/>
      <c r="DV168" s="214"/>
      <c r="DW168" s="1131"/>
      <c r="DX168" s="1153"/>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24"/>
      <c r="C169" s="1124"/>
      <c r="D169" s="1124"/>
      <c r="E169" s="1124"/>
      <c r="F169" s="1125">
        <f t="shared" si="2"/>
        <v>0</v>
      </c>
      <c r="G169" s="1126" t="str">
        <f t="shared" si="3"/>
        <v/>
      </c>
      <c r="H169" s="112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7">
        <f t="shared" si="180"/>
        <v>0</v>
      </c>
      <c r="J169" s="1128">
        <f t="shared" si="180"/>
        <v>0</v>
      </c>
      <c r="K169" s="214"/>
      <c r="L169" s="242" t="str">
        <f t="array" ref="L169">IFERROR(INDEX('💻シート作成'!$D$6:$D999, MATCH(M169, '💻シート作成'!$E$6:$E999, 0)), "")</f>
        <v/>
      </c>
      <c r="M169" s="1023"/>
      <c r="N169" s="214"/>
      <c r="O169" s="1087"/>
      <c r="P169" s="214"/>
      <c r="Q169" s="1131"/>
      <c r="R169" s="1153"/>
      <c r="S169" s="242"/>
      <c r="T169" s="242"/>
      <c r="U169" s="242"/>
      <c r="V169" s="242">
        <f t="shared" si="5"/>
        <v>0</v>
      </c>
      <c r="W169" s="242"/>
      <c r="X169" s="242"/>
      <c r="Y169" s="214"/>
      <c r="Z169" s="214"/>
      <c r="AA169" s="1131"/>
      <c r="AB169" s="1153"/>
      <c r="AC169" s="242"/>
      <c r="AD169" s="242"/>
      <c r="AE169" s="242"/>
      <c r="AF169" s="242">
        <f t="shared" si="6"/>
        <v>0</v>
      </c>
      <c r="AG169" s="242"/>
      <c r="AH169" s="242"/>
      <c r="AI169" s="214"/>
      <c r="AJ169" s="214"/>
      <c r="AK169" s="1131"/>
      <c r="AL169" s="1153"/>
      <c r="AM169" s="242"/>
      <c r="AN169" s="242"/>
      <c r="AO169" s="242"/>
      <c r="AP169" s="242">
        <f t="shared" si="7"/>
        <v>0</v>
      </c>
      <c r="AQ169" s="242"/>
      <c r="AR169" s="242"/>
      <c r="AS169" s="237"/>
      <c r="AT169" s="214"/>
      <c r="AU169" s="1138"/>
      <c r="AV169" s="1155"/>
      <c r="AW169" s="1140"/>
      <c r="AX169" s="1140"/>
      <c r="AY169" s="1140"/>
      <c r="AZ169" s="1140">
        <f t="shared" si="8"/>
        <v>0</v>
      </c>
      <c r="BA169" s="1140"/>
      <c r="BB169" s="1140"/>
      <c r="BC169" s="214"/>
      <c r="BD169" s="214"/>
      <c r="BE169" s="1131"/>
      <c r="BF169" s="1153"/>
      <c r="BG169" s="242"/>
      <c r="BH169" s="242"/>
      <c r="BI169" s="242"/>
      <c r="BJ169" s="242">
        <f t="shared" si="9"/>
        <v>0</v>
      </c>
      <c r="BK169" s="242"/>
      <c r="BL169" s="242"/>
      <c r="BM169" s="214"/>
      <c r="BN169" s="214"/>
      <c r="BO169" s="1131"/>
      <c r="BP169" s="1153"/>
      <c r="BQ169" s="242"/>
      <c r="BR169" s="242"/>
      <c r="BS169" s="242"/>
      <c r="BT169" s="242">
        <f t="shared" si="10"/>
        <v>0</v>
      </c>
      <c r="BU169" s="242"/>
      <c r="BV169" s="242"/>
      <c r="BW169" s="237"/>
      <c r="BX169" s="214"/>
      <c r="BY169" s="1131"/>
      <c r="BZ169" s="1153"/>
      <c r="CA169" s="242"/>
      <c r="CB169" s="242"/>
      <c r="CC169" s="242"/>
      <c r="CD169" s="242">
        <f t="shared" si="11"/>
        <v>0</v>
      </c>
      <c r="CE169" s="242"/>
      <c r="CF169" s="242"/>
      <c r="CG169" s="214"/>
      <c r="CH169" s="214"/>
      <c r="CI169" s="1131"/>
      <c r="CJ169" s="1153"/>
      <c r="CK169" s="242"/>
      <c r="CL169" s="242"/>
      <c r="CM169" s="242"/>
      <c r="CN169" s="242">
        <f t="shared" si="12"/>
        <v>0</v>
      </c>
      <c r="CO169" s="242"/>
      <c r="CP169" s="242"/>
      <c r="CQ169" s="214"/>
      <c r="CR169" s="214"/>
      <c r="CS169" s="1131"/>
      <c r="CT169" s="1153"/>
      <c r="CU169" s="242"/>
      <c r="CV169" s="242"/>
      <c r="CW169" s="242"/>
      <c r="CX169" s="242">
        <f t="shared" si="13"/>
        <v>0</v>
      </c>
      <c r="CY169" s="242"/>
      <c r="CZ169" s="242"/>
      <c r="DA169" s="237"/>
      <c r="DB169" s="214"/>
      <c r="DC169" s="1131"/>
      <c r="DD169" s="1153"/>
      <c r="DE169" s="242"/>
      <c r="DF169" s="242"/>
      <c r="DG169" s="242"/>
      <c r="DH169" s="242">
        <f t="shared" si="14"/>
        <v>0</v>
      </c>
      <c r="DI169" s="242"/>
      <c r="DJ169" s="242"/>
      <c r="DK169" s="214"/>
      <c r="DL169" s="214"/>
      <c r="DM169" s="1131"/>
      <c r="DN169" s="1153"/>
      <c r="DO169" s="242"/>
      <c r="DP169" s="242"/>
      <c r="DQ169" s="242"/>
      <c r="DR169" s="242">
        <f t="shared" si="15"/>
        <v>0</v>
      </c>
      <c r="DS169" s="242"/>
      <c r="DT169" s="242"/>
      <c r="DU169" s="214"/>
      <c r="DV169" s="214"/>
      <c r="DW169" s="1131"/>
      <c r="DX169" s="1153"/>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24"/>
      <c r="C170" s="1124"/>
      <c r="D170" s="1124"/>
      <c r="E170" s="1124"/>
      <c r="F170" s="1125">
        <f t="shared" si="2"/>
        <v>0</v>
      </c>
      <c r="G170" s="1126" t="str">
        <f t="shared" si="3"/>
        <v/>
      </c>
      <c r="H170" s="112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7">
        <f t="shared" si="181"/>
        <v>0</v>
      </c>
      <c r="J170" s="1128">
        <f t="shared" si="181"/>
        <v>0</v>
      </c>
      <c r="K170" s="214"/>
      <c r="L170" s="242" t="str">
        <f t="array" ref="L170">IFERROR(INDEX('💻シート作成'!$D$6:$D999, MATCH(M170, '💻シート作成'!$E$6:$E999, 0)), "")</f>
        <v/>
      </c>
      <c r="M170" s="1023"/>
      <c r="N170" s="214"/>
      <c r="O170" s="1087"/>
      <c r="P170" s="214"/>
      <c r="Q170" s="1131"/>
      <c r="R170" s="1153"/>
      <c r="S170" s="242"/>
      <c r="T170" s="242"/>
      <c r="U170" s="242"/>
      <c r="V170" s="242">
        <f t="shared" si="5"/>
        <v>0</v>
      </c>
      <c r="W170" s="242"/>
      <c r="X170" s="242"/>
      <c r="Y170" s="214"/>
      <c r="Z170" s="214"/>
      <c r="AA170" s="1131"/>
      <c r="AB170" s="1153"/>
      <c r="AC170" s="242"/>
      <c r="AD170" s="242"/>
      <c r="AE170" s="242"/>
      <c r="AF170" s="242">
        <f t="shared" si="6"/>
        <v>0</v>
      </c>
      <c r="AG170" s="242"/>
      <c r="AH170" s="242"/>
      <c r="AI170" s="214"/>
      <c r="AJ170" s="214"/>
      <c r="AK170" s="1131"/>
      <c r="AL170" s="1153"/>
      <c r="AM170" s="242"/>
      <c r="AN170" s="242"/>
      <c r="AO170" s="242"/>
      <c r="AP170" s="242">
        <f t="shared" si="7"/>
        <v>0</v>
      </c>
      <c r="AQ170" s="242"/>
      <c r="AR170" s="242"/>
      <c r="AS170" s="237"/>
      <c r="AT170" s="214"/>
      <c r="AU170" s="1138"/>
      <c r="AV170" s="1155"/>
      <c r="AW170" s="1140"/>
      <c r="AX170" s="1140"/>
      <c r="AY170" s="1140"/>
      <c r="AZ170" s="1140">
        <f t="shared" si="8"/>
        <v>0</v>
      </c>
      <c r="BA170" s="1140"/>
      <c r="BB170" s="1140"/>
      <c r="BC170" s="214"/>
      <c r="BD170" s="214"/>
      <c r="BE170" s="1131"/>
      <c r="BF170" s="1153"/>
      <c r="BG170" s="242"/>
      <c r="BH170" s="242"/>
      <c r="BI170" s="242"/>
      <c r="BJ170" s="242">
        <f t="shared" si="9"/>
        <v>0</v>
      </c>
      <c r="BK170" s="242"/>
      <c r="BL170" s="242"/>
      <c r="BM170" s="214"/>
      <c r="BN170" s="214"/>
      <c r="BO170" s="1131"/>
      <c r="BP170" s="1153"/>
      <c r="BQ170" s="242"/>
      <c r="BR170" s="242"/>
      <c r="BS170" s="242"/>
      <c r="BT170" s="242">
        <f t="shared" si="10"/>
        <v>0</v>
      </c>
      <c r="BU170" s="242"/>
      <c r="BV170" s="242"/>
      <c r="BW170" s="237"/>
      <c r="BX170" s="214"/>
      <c r="BY170" s="1131"/>
      <c r="BZ170" s="1153"/>
      <c r="CA170" s="242"/>
      <c r="CB170" s="242"/>
      <c r="CC170" s="242"/>
      <c r="CD170" s="242">
        <f t="shared" si="11"/>
        <v>0</v>
      </c>
      <c r="CE170" s="242"/>
      <c r="CF170" s="242"/>
      <c r="CG170" s="214"/>
      <c r="CH170" s="214"/>
      <c r="CI170" s="1131"/>
      <c r="CJ170" s="1153"/>
      <c r="CK170" s="242"/>
      <c r="CL170" s="242"/>
      <c r="CM170" s="242"/>
      <c r="CN170" s="242">
        <f t="shared" si="12"/>
        <v>0</v>
      </c>
      <c r="CO170" s="242"/>
      <c r="CP170" s="242"/>
      <c r="CQ170" s="214"/>
      <c r="CR170" s="214"/>
      <c r="CS170" s="1131"/>
      <c r="CT170" s="1153"/>
      <c r="CU170" s="242"/>
      <c r="CV170" s="242"/>
      <c r="CW170" s="242"/>
      <c r="CX170" s="242">
        <f t="shared" si="13"/>
        <v>0</v>
      </c>
      <c r="CY170" s="242"/>
      <c r="CZ170" s="242"/>
      <c r="DA170" s="237"/>
      <c r="DB170" s="214"/>
      <c r="DC170" s="1131"/>
      <c r="DD170" s="1153"/>
      <c r="DE170" s="242"/>
      <c r="DF170" s="242"/>
      <c r="DG170" s="242"/>
      <c r="DH170" s="242">
        <f t="shared" si="14"/>
        <v>0</v>
      </c>
      <c r="DI170" s="242"/>
      <c r="DJ170" s="242"/>
      <c r="DK170" s="214"/>
      <c r="DL170" s="214"/>
      <c r="DM170" s="1131"/>
      <c r="DN170" s="1153"/>
      <c r="DO170" s="242"/>
      <c r="DP170" s="242"/>
      <c r="DQ170" s="242"/>
      <c r="DR170" s="242">
        <f t="shared" si="15"/>
        <v>0</v>
      </c>
      <c r="DS170" s="242"/>
      <c r="DT170" s="242"/>
      <c r="DU170" s="214"/>
      <c r="DV170" s="214"/>
      <c r="DW170" s="1131"/>
      <c r="DX170" s="1153"/>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24"/>
      <c r="C171" s="1124"/>
      <c r="D171" s="1124"/>
      <c r="E171" s="1124"/>
      <c r="F171" s="1125">
        <f t="shared" si="2"/>
        <v>0</v>
      </c>
      <c r="G171" s="1126" t="str">
        <f t="shared" si="3"/>
        <v/>
      </c>
      <c r="H171" s="112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7">
        <f t="shared" si="182"/>
        <v>0</v>
      </c>
      <c r="J171" s="1128">
        <f t="shared" si="182"/>
        <v>0</v>
      </c>
      <c r="K171" s="214"/>
      <c r="L171" s="242" t="str">
        <f t="array" ref="L171">IFERROR(INDEX('💻シート作成'!$D$6:$D999, MATCH(M171, '💻シート作成'!$E$6:$E999, 0)), "")</f>
        <v/>
      </c>
      <c r="M171" s="1023"/>
      <c r="N171" s="214"/>
      <c r="O171" s="1087"/>
      <c r="P171" s="214"/>
      <c r="Q171" s="1131"/>
      <c r="R171" s="1153"/>
      <c r="S171" s="242"/>
      <c r="T171" s="242"/>
      <c r="U171" s="242"/>
      <c r="V171" s="242">
        <f t="shared" si="5"/>
        <v>0</v>
      </c>
      <c r="W171" s="242"/>
      <c r="X171" s="242"/>
      <c r="Y171" s="214"/>
      <c r="Z171" s="214"/>
      <c r="AA171" s="1131"/>
      <c r="AB171" s="1153"/>
      <c r="AC171" s="242"/>
      <c r="AD171" s="242"/>
      <c r="AE171" s="242"/>
      <c r="AF171" s="242">
        <f t="shared" si="6"/>
        <v>0</v>
      </c>
      <c r="AG171" s="242"/>
      <c r="AH171" s="242"/>
      <c r="AI171" s="214"/>
      <c r="AJ171" s="214"/>
      <c r="AK171" s="1131"/>
      <c r="AL171" s="1153"/>
      <c r="AM171" s="242"/>
      <c r="AN171" s="242"/>
      <c r="AO171" s="242"/>
      <c r="AP171" s="242">
        <f t="shared" si="7"/>
        <v>0</v>
      </c>
      <c r="AQ171" s="242"/>
      <c r="AR171" s="242"/>
      <c r="AS171" s="237"/>
      <c r="AT171" s="214"/>
      <c r="AU171" s="1138"/>
      <c r="AV171" s="1155"/>
      <c r="AW171" s="1140"/>
      <c r="AX171" s="1140"/>
      <c r="AY171" s="1140"/>
      <c r="AZ171" s="1140">
        <f t="shared" si="8"/>
        <v>0</v>
      </c>
      <c r="BA171" s="1140"/>
      <c r="BB171" s="1140"/>
      <c r="BC171" s="214"/>
      <c r="BD171" s="214"/>
      <c r="BE171" s="1131"/>
      <c r="BF171" s="1153"/>
      <c r="BG171" s="242"/>
      <c r="BH171" s="242"/>
      <c r="BI171" s="242"/>
      <c r="BJ171" s="242">
        <f t="shared" si="9"/>
        <v>0</v>
      </c>
      <c r="BK171" s="242"/>
      <c r="BL171" s="242"/>
      <c r="BM171" s="214"/>
      <c r="BN171" s="214"/>
      <c r="BO171" s="1131"/>
      <c r="BP171" s="1153"/>
      <c r="BQ171" s="242"/>
      <c r="BR171" s="242"/>
      <c r="BS171" s="242"/>
      <c r="BT171" s="242">
        <f t="shared" si="10"/>
        <v>0</v>
      </c>
      <c r="BU171" s="242"/>
      <c r="BV171" s="242"/>
      <c r="BW171" s="237"/>
      <c r="BX171" s="214"/>
      <c r="BY171" s="1131"/>
      <c r="BZ171" s="1153"/>
      <c r="CA171" s="242"/>
      <c r="CB171" s="242"/>
      <c r="CC171" s="242"/>
      <c r="CD171" s="242">
        <f t="shared" si="11"/>
        <v>0</v>
      </c>
      <c r="CE171" s="242"/>
      <c r="CF171" s="242"/>
      <c r="CG171" s="214"/>
      <c r="CH171" s="214"/>
      <c r="CI171" s="1131"/>
      <c r="CJ171" s="1153"/>
      <c r="CK171" s="242"/>
      <c r="CL171" s="242"/>
      <c r="CM171" s="242"/>
      <c r="CN171" s="242">
        <f t="shared" si="12"/>
        <v>0</v>
      </c>
      <c r="CO171" s="242"/>
      <c r="CP171" s="242"/>
      <c r="CQ171" s="214"/>
      <c r="CR171" s="214"/>
      <c r="CS171" s="1131"/>
      <c r="CT171" s="1153"/>
      <c r="CU171" s="242"/>
      <c r="CV171" s="242"/>
      <c r="CW171" s="242"/>
      <c r="CX171" s="242">
        <f t="shared" si="13"/>
        <v>0</v>
      </c>
      <c r="CY171" s="242"/>
      <c r="CZ171" s="242"/>
      <c r="DA171" s="237"/>
      <c r="DB171" s="214"/>
      <c r="DC171" s="1131"/>
      <c r="DD171" s="1153"/>
      <c r="DE171" s="242"/>
      <c r="DF171" s="242"/>
      <c r="DG171" s="242"/>
      <c r="DH171" s="242">
        <f t="shared" si="14"/>
        <v>0</v>
      </c>
      <c r="DI171" s="242"/>
      <c r="DJ171" s="242"/>
      <c r="DK171" s="214"/>
      <c r="DL171" s="214"/>
      <c r="DM171" s="1131"/>
      <c r="DN171" s="1153"/>
      <c r="DO171" s="242"/>
      <c r="DP171" s="242"/>
      <c r="DQ171" s="242"/>
      <c r="DR171" s="242">
        <f t="shared" si="15"/>
        <v>0</v>
      </c>
      <c r="DS171" s="242"/>
      <c r="DT171" s="242"/>
      <c r="DU171" s="214"/>
      <c r="DV171" s="214"/>
      <c r="DW171" s="1131"/>
      <c r="DX171" s="1153"/>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24"/>
      <c r="C172" s="1124"/>
      <c r="D172" s="1124"/>
      <c r="E172" s="1124"/>
      <c r="F172" s="1125">
        <f t="shared" si="2"/>
        <v>0</v>
      </c>
      <c r="G172" s="1126" t="str">
        <f t="shared" si="3"/>
        <v/>
      </c>
      <c r="H172" s="112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7">
        <f t="shared" si="183"/>
        <v>0</v>
      </c>
      <c r="J172" s="1128">
        <f t="shared" si="183"/>
        <v>0</v>
      </c>
      <c r="K172" s="214"/>
      <c r="L172" s="242" t="str">
        <f t="array" ref="L172">IFERROR(INDEX('💻シート作成'!$D$6:$D999, MATCH(M172, '💻シート作成'!$E$6:$E999, 0)), "")</f>
        <v/>
      </c>
      <c r="M172" s="1023"/>
      <c r="N172" s="214"/>
      <c r="O172" s="1087"/>
      <c r="P172" s="214"/>
      <c r="Q172" s="1131"/>
      <c r="R172" s="1153"/>
      <c r="S172" s="242"/>
      <c r="T172" s="242"/>
      <c r="U172" s="242"/>
      <c r="V172" s="242">
        <f t="shared" si="5"/>
        <v>0</v>
      </c>
      <c r="W172" s="242"/>
      <c r="X172" s="242"/>
      <c r="Y172" s="214"/>
      <c r="Z172" s="214"/>
      <c r="AA172" s="1131"/>
      <c r="AB172" s="1153"/>
      <c r="AC172" s="242"/>
      <c r="AD172" s="242"/>
      <c r="AE172" s="242"/>
      <c r="AF172" s="242">
        <f t="shared" si="6"/>
        <v>0</v>
      </c>
      <c r="AG172" s="242"/>
      <c r="AH172" s="242"/>
      <c r="AI172" s="214"/>
      <c r="AJ172" s="214"/>
      <c r="AK172" s="1131"/>
      <c r="AL172" s="1153"/>
      <c r="AM172" s="242"/>
      <c r="AN172" s="242"/>
      <c r="AO172" s="242"/>
      <c r="AP172" s="242">
        <f t="shared" si="7"/>
        <v>0</v>
      </c>
      <c r="AQ172" s="242"/>
      <c r="AR172" s="242"/>
      <c r="AS172" s="237"/>
      <c r="AT172" s="214"/>
      <c r="AU172" s="1138"/>
      <c r="AV172" s="1155"/>
      <c r="AW172" s="1140"/>
      <c r="AX172" s="1140"/>
      <c r="AY172" s="1140"/>
      <c r="AZ172" s="1140">
        <f t="shared" si="8"/>
        <v>0</v>
      </c>
      <c r="BA172" s="1140"/>
      <c r="BB172" s="1140"/>
      <c r="BC172" s="214"/>
      <c r="BD172" s="214"/>
      <c r="BE172" s="1131"/>
      <c r="BF172" s="1153"/>
      <c r="BG172" s="242"/>
      <c r="BH172" s="242"/>
      <c r="BI172" s="242"/>
      <c r="BJ172" s="242">
        <f t="shared" si="9"/>
        <v>0</v>
      </c>
      <c r="BK172" s="242"/>
      <c r="BL172" s="242"/>
      <c r="BM172" s="214"/>
      <c r="BN172" s="214"/>
      <c r="BO172" s="1131"/>
      <c r="BP172" s="1153"/>
      <c r="BQ172" s="242"/>
      <c r="BR172" s="242"/>
      <c r="BS172" s="242"/>
      <c r="BT172" s="242">
        <f t="shared" si="10"/>
        <v>0</v>
      </c>
      <c r="BU172" s="242"/>
      <c r="BV172" s="242"/>
      <c r="BW172" s="237"/>
      <c r="BX172" s="214"/>
      <c r="BY172" s="1131"/>
      <c r="BZ172" s="1153"/>
      <c r="CA172" s="242"/>
      <c r="CB172" s="242"/>
      <c r="CC172" s="242"/>
      <c r="CD172" s="242">
        <f t="shared" si="11"/>
        <v>0</v>
      </c>
      <c r="CE172" s="242"/>
      <c r="CF172" s="242"/>
      <c r="CG172" s="214"/>
      <c r="CH172" s="214"/>
      <c r="CI172" s="1131"/>
      <c r="CJ172" s="1153"/>
      <c r="CK172" s="242"/>
      <c r="CL172" s="242"/>
      <c r="CM172" s="242"/>
      <c r="CN172" s="242">
        <f t="shared" si="12"/>
        <v>0</v>
      </c>
      <c r="CO172" s="242"/>
      <c r="CP172" s="242"/>
      <c r="CQ172" s="214"/>
      <c r="CR172" s="214"/>
      <c r="CS172" s="1131"/>
      <c r="CT172" s="1153"/>
      <c r="CU172" s="242"/>
      <c r="CV172" s="242"/>
      <c r="CW172" s="242"/>
      <c r="CX172" s="242">
        <f t="shared" si="13"/>
        <v>0</v>
      </c>
      <c r="CY172" s="242"/>
      <c r="CZ172" s="242"/>
      <c r="DA172" s="237"/>
      <c r="DB172" s="214"/>
      <c r="DC172" s="1131"/>
      <c r="DD172" s="1153"/>
      <c r="DE172" s="242"/>
      <c r="DF172" s="242"/>
      <c r="DG172" s="242"/>
      <c r="DH172" s="242">
        <f t="shared" si="14"/>
        <v>0</v>
      </c>
      <c r="DI172" s="242"/>
      <c r="DJ172" s="242"/>
      <c r="DK172" s="214"/>
      <c r="DL172" s="214"/>
      <c r="DM172" s="1131"/>
      <c r="DN172" s="1153"/>
      <c r="DO172" s="242"/>
      <c r="DP172" s="242"/>
      <c r="DQ172" s="242"/>
      <c r="DR172" s="242">
        <f t="shared" si="15"/>
        <v>0</v>
      </c>
      <c r="DS172" s="242"/>
      <c r="DT172" s="242"/>
      <c r="DU172" s="214"/>
      <c r="DV172" s="214"/>
      <c r="DW172" s="1131"/>
      <c r="DX172" s="1153"/>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24"/>
      <c r="C173" s="1124"/>
      <c r="D173" s="1124"/>
      <c r="E173" s="1124"/>
      <c r="F173" s="1125">
        <f t="shared" si="2"/>
        <v>0</v>
      </c>
      <c r="G173" s="1126" t="str">
        <f t="shared" si="3"/>
        <v/>
      </c>
      <c r="H173" s="112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7">
        <f t="shared" si="184"/>
        <v>0</v>
      </c>
      <c r="J173" s="1128">
        <f t="shared" si="184"/>
        <v>0</v>
      </c>
      <c r="K173" s="214"/>
      <c r="L173" s="242" t="str">
        <f t="array" ref="L173">IFERROR(INDEX('💻シート作成'!$D$6:$D999, MATCH(M173, '💻シート作成'!$E$6:$E999, 0)), "")</f>
        <v/>
      </c>
      <c r="M173" s="1023"/>
      <c r="N173" s="214"/>
      <c r="O173" s="1087"/>
      <c r="P173" s="214"/>
      <c r="Q173" s="1131"/>
      <c r="R173" s="1153"/>
      <c r="S173" s="242"/>
      <c r="T173" s="242"/>
      <c r="U173" s="242"/>
      <c r="V173" s="242">
        <f t="shared" si="5"/>
        <v>0</v>
      </c>
      <c r="W173" s="242"/>
      <c r="X173" s="242"/>
      <c r="Y173" s="214"/>
      <c r="Z173" s="214"/>
      <c r="AA173" s="1131"/>
      <c r="AB173" s="1153"/>
      <c r="AC173" s="242"/>
      <c r="AD173" s="242"/>
      <c r="AE173" s="242"/>
      <c r="AF173" s="242">
        <f t="shared" si="6"/>
        <v>0</v>
      </c>
      <c r="AG173" s="242"/>
      <c r="AH173" s="242"/>
      <c r="AI173" s="214"/>
      <c r="AJ173" s="214"/>
      <c r="AK173" s="1131"/>
      <c r="AL173" s="1153"/>
      <c r="AM173" s="242"/>
      <c r="AN173" s="242"/>
      <c r="AO173" s="242"/>
      <c r="AP173" s="242">
        <f t="shared" si="7"/>
        <v>0</v>
      </c>
      <c r="AQ173" s="242"/>
      <c r="AR173" s="242"/>
      <c r="AS173" s="237"/>
      <c r="AT173" s="214"/>
      <c r="AU173" s="1138"/>
      <c r="AV173" s="1155"/>
      <c r="AW173" s="1140"/>
      <c r="AX173" s="1140"/>
      <c r="AY173" s="1140"/>
      <c r="AZ173" s="1140">
        <f t="shared" si="8"/>
        <v>0</v>
      </c>
      <c r="BA173" s="1140"/>
      <c r="BB173" s="1140"/>
      <c r="BC173" s="214"/>
      <c r="BD173" s="214"/>
      <c r="BE173" s="1131"/>
      <c r="BF173" s="1153"/>
      <c r="BG173" s="242"/>
      <c r="BH173" s="242"/>
      <c r="BI173" s="242"/>
      <c r="BJ173" s="242">
        <f t="shared" si="9"/>
        <v>0</v>
      </c>
      <c r="BK173" s="242"/>
      <c r="BL173" s="242"/>
      <c r="BM173" s="214"/>
      <c r="BN173" s="214"/>
      <c r="BO173" s="1131"/>
      <c r="BP173" s="1153"/>
      <c r="BQ173" s="242"/>
      <c r="BR173" s="242"/>
      <c r="BS173" s="242"/>
      <c r="BT173" s="242">
        <f t="shared" si="10"/>
        <v>0</v>
      </c>
      <c r="BU173" s="242"/>
      <c r="BV173" s="242"/>
      <c r="BW173" s="237"/>
      <c r="BX173" s="214"/>
      <c r="BY173" s="1131"/>
      <c r="BZ173" s="1153"/>
      <c r="CA173" s="242"/>
      <c r="CB173" s="242"/>
      <c r="CC173" s="242"/>
      <c r="CD173" s="242">
        <f t="shared" si="11"/>
        <v>0</v>
      </c>
      <c r="CE173" s="242"/>
      <c r="CF173" s="242"/>
      <c r="CG173" s="214"/>
      <c r="CH173" s="214"/>
      <c r="CI173" s="1131"/>
      <c r="CJ173" s="1153"/>
      <c r="CK173" s="242"/>
      <c r="CL173" s="242"/>
      <c r="CM173" s="242"/>
      <c r="CN173" s="242">
        <f t="shared" si="12"/>
        <v>0</v>
      </c>
      <c r="CO173" s="242"/>
      <c r="CP173" s="242"/>
      <c r="CQ173" s="214"/>
      <c r="CR173" s="214"/>
      <c r="CS173" s="1131"/>
      <c r="CT173" s="1153"/>
      <c r="CU173" s="242"/>
      <c r="CV173" s="242"/>
      <c r="CW173" s="242"/>
      <c r="CX173" s="242">
        <f t="shared" si="13"/>
        <v>0</v>
      </c>
      <c r="CY173" s="242"/>
      <c r="CZ173" s="242"/>
      <c r="DA173" s="237"/>
      <c r="DB173" s="214"/>
      <c r="DC173" s="1131"/>
      <c r="DD173" s="1153"/>
      <c r="DE173" s="242"/>
      <c r="DF173" s="242"/>
      <c r="DG173" s="242"/>
      <c r="DH173" s="242">
        <f t="shared" si="14"/>
        <v>0</v>
      </c>
      <c r="DI173" s="242"/>
      <c r="DJ173" s="242"/>
      <c r="DK173" s="214"/>
      <c r="DL173" s="214"/>
      <c r="DM173" s="1131"/>
      <c r="DN173" s="1153"/>
      <c r="DO173" s="242"/>
      <c r="DP173" s="242"/>
      <c r="DQ173" s="242"/>
      <c r="DR173" s="242">
        <f t="shared" si="15"/>
        <v>0</v>
      </c>
      <c r="DS173" s="242"/>
      <c r="DT173" s="242"/>
      <c r="DU173" s="214"/>
      <c r="DV173" s="214"/>
      <c r="DW173" s="1131"/>
      <c r="DX173" s="1153"/>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24"/>
      <c r="C174" s="1124"/>
      <c r="D174" s="1124"/>
      <c r="E174" s="1124"/>
      <c r="F174" s="1125">
        <f t="shared" si="2"/>
        <v>0</v>
      </c>
      <c r="G174" s="1126" t="str">
        <f t="shared" si="3"/>
        <v/>
      </c>
      <c r="H174" s="112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7">
        <f t="shared" si="185"/>
        <v>0</v>
      </c>
      <c r="J174" s="1128">
        <f t="shared" si="185"/>
        <v>0</v>
      </c>
      <c r="K174" s="214"/>
      <c r="L174" s="242" t="str">
        <f t="array" ref="L174">IFERROR(INDEX('💻シート作成'!$D$6:$D999, MATCH(M174, '💻シート作成'!$E$6:$E999, 0)), "")</f>
        <v/>
      </c>
      <c r="M174" s="1023"/>
      <c r="N174" s="214"/>
      <c r="O174" s="1087"/>
      <c r="P174" s="214"/>
      <c r="Q174" s="1131"/>
      <c r="R174" s="1153"/>
      <c r="S174" s="242"/>
      <c r="T174" s="242"/>
      <c r="U174" s="242"/>
      <c r="V174" s="242">
        <f t="shared" si="5"/>
        <v>0</v>
      </c>
      <c r="W174" s="242"/>
      <c r="X174" s="242"/>
      <c r="Y174" s="214"/>
      <c r="Z174" s="214"/>
      <c r="AA174" s="1131"/>
      <c r="AB174" s="1153"/>
      <c r="AC174" s="242"/>
      <c r="AD174" s="242"/>
      <c r="AE174" s="242"/>
      <c r="AF174" s="242">
        <f t="shared" si="6"/>
        <v>0</v>
      </c>
      <c r="AG174" s="242"/>
      <c r="AH174" s="242"/>
      <c r="AI174" s="214"/>
      <c r="AJ174" s="214"/>
      <c r="AK174" s="1131"/>
      <c r="AL174" s="1153"/>
      <c r="AM174" s="242"/>
      <c r="AN174" s="242"/>
      <c r="AO174" s="242"/>
      <c r="AP174" s="242">
        <f t="shared" si="7"/>
        <v>0</v>
      </c>
      <c r="AQ174" s="242"/>
      <c r="AR174" s="242"/>
      <c r="AS174" s="237"/>
      <c r="AT174" s="214"/>
      <c r="AU174" s="1138"/>
      <c r="AV174" s="1155"/>
      <c r="AW174" s="1140"/>
      <c r="AX174" s="1140"/>
      <c r="AY174" s="1140"/>
      <c r="AZ174" s="1140">
        <f t="shared" si="8"/>
        <v>0</v>
      </c>
      <c r="BA174" s="1140"/>
      <c r="BB174" s="1140"/>
      <c r="BC174" s="214"/>
      <c r="BD174" s="214"/>
      <c r="BE174" s="1131"/>
      <c r="BF174" s="1153"/>
      <c r="BG174" s="242"/>
      <c r="BH174" s="242"/>
      <c r="BI174" s="242"/>
      <c r="BJ174" s="242">
        <f t="shared" si="9"/>
        <v>0</v>
      </c>
      <c r="BK174" s="242"/>
      <c r="BL174" s="242"/>
      <c r="BM174" s="214"/>
      <c r="BN174" s="214"/>
      <c r="BO174" s="1131"/>
      <c r="BP174" s="1153"/>
      <c r="BQ174" s="242"/>
      <c r="BR174" s="242"/>
      <c r="BS174" s="242"/>
      <c r="BT174" s="242">
        <f t="shared" si="10"/>
        <v>0</v>
      </c>
      <c r="BU174" s="242"/>
      <c r="BV174" s="242"/>
      <c r="BW174" s="237"/>
      <c r="BX174" s="214"/>
      <c r="BY174" s="1131"/>
      <c r="BZ174" s="1153"/>
      <c r="CA174" s="242"/>
      <c r="CB174" s="242"/>
      <c r="CC174" s="242"/>
      <c r="CD174" s="242">
        <f t="shared" si="11"/>
        <v>0</v>
      </c>
      <c r="CE174" s="242"/>
      <c r="CF174" s="242"/>
      <c r="CG174" s="214"/>
      <c r="CH174" s="214"/>
      <c r="CI174" s="1131"/>
      <c r="CJ174" s="1153"/>
      <c r="CK174" s="242"/>
      <c r="CL174" s="242"/>
      <c r="CM174" s="242"/>
      <c r="CN174" s="242">
        <f t="shared" si="12"/>
        <v>0</v>
      </c>
      <c r="CO174" s="242"/>
      <c r="CP174" s="242"/>
      <c r="CQ174" s="214"/>
      <c r="CR174" s="214"/>
      <c r="CS174" s="1131"/>
      <c r="CT174" s="1153"/>
      <c r="CU174" s="242"/>
      <c r="CV174" s="242"/>
      <c r="CW174" s="242"/>
      <c r="CX174" s="242">
        <f t="shared" si="13"/>
        <v>0</v>
      </c>
      <c r="CY174" s="242"/>
      <c r="CZ174" s="242"/>
      <c r="DA174" s="237"/>
      <c r="DB174" s="214"/>
      <c r="DC174" s="1131"/>
      <c r="DD174" s="1153"/>
      <c r="DE174" s="242"/>
      <c r="DF174" s="242"/>
      <c r="DG174" s="242"/>
      <c r="DH174" s="242">
        <f t="shared" si="14"/>
        <v>0</v>
      </c>
      <c r="DI174" s="242"/>
      <c r="DJ174" s="242"/>
      <c r="DK174" s="214"/>
      <c r="DL174" s="214"/>
      <c r="DM174" s="1131"/>
      <c r="DN174" s="1153"/>
      <c r="DO174" s="242"/>
      <c r="DP174" s="242"/>
      <c r="DQ174" s="242"/>
      <c r="DR174" s="242">
        <f t="shared" si="15"/>
        <v>0</v>
      </c>
      <c r="DS174" s="242"/>
      <c r="DT174" s="242"/>
      <c r="DU174" s="214"/>
      <c r="DV174" s="214"/>
      <c r="DW174" s="1131"/>
      <c r="DX174" s="1153"/>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24"/>
      <c r="C175" s="1124"/>
      <c r="D175" s="1124"/>
      <c r="E175" s="1124"/>
      <c r="F175" s="1125">
        <f t="shared" si="2"/>
        <v>0</v>
      </c>
      <c r="G175" s="1126" t="str">
        <f t="shared" si="3"/>
        <v/>
      </c>
      <c r="H175" s="112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7">
        <f t="shared" si="186"/>
        <v>0</v>
      </c>
      <c r="J175" s="1128">
        <f t="shared" si="186"/>
        <v>0</v>
      </c>
      <c r="K175" s="214"/>
      <c r="L175" s="242" t="str">
        <f t="array" ref="L175">IFERROR(INDEX('💻シート作成'!$D$6:$D999, MATCH(M175, '💻シート作成'!$E$6:$E999, 0)), "")</f>
        <v/>
      </c>
      <c r="M175" s="1023"/>
      <c r="N175" s="214"/>
      <c r="O175" s="1087"/>
      <c r="P175" s="214"/>
      <c r="Q175" s="1131"/>
      <c r="R175" s="1153"/>
      <c r="S175" s="242"/>
      <c r="T175" s="242"/>
      <c r="U175" s="242"/>
      <c r="V175" s="242">
        <f t="shared" si="5"/>
        <v>0</v>
      </c>
      <c r="W175" s="242"/>
      <c r="X175" s="242"/>
      <c r="Y175" s="214"/>
      <c r="Z175" s="214"/>
      <c r="AA175" s="1131"/>
      <c r="AB175" s="1153"/>
      <c r="AC175" s="242"/>
      <c r="AD175" s="242"/>
      <c r="AE175" s="242"/>
      <c r="AF175" s="242">
        <f t="shared" si="6"/>
        <v>0</v>
      </c>
      <c r="AG175" s="242"/>
      <c r="AH175" s="242"/>
      <c r="AI175" s="214"/>
      <c r="AJ175" s="214"/>
      <c r="AK175" s="1131"/>
      <c r="AL175" s="1153"/>
      <c r="AM175" s="242"/>
      <c r="AN175" s="242"/>
      <c r="AO175" s="242"/>
      <c r="AP175" s="242">
        <f t="shared" si="7"/>
        <v>0</v>
      </c>
      <c r="AQ175" s="242"/>
      <c r="AR175" s="242"/>
      <c r="AS175" s="237"/>
      <c r="AT175" s="214"/>
      <c r="AU175" s="1138"/>
      <c r="AV175" s="1155"/>
      <c r="AW175" s="1140"/>
      <c r="AX175" s="1140"/>
      <c r="AY175" s="1140"/>
      <c r="AZ175" s="1140">
        <f t="shared" si="8"/>
        <v>0</v>
      </c>
      <c r="BA175" s="1140"/>
      <c r="BB175" s="1140"/>
      <c r="BC175" s="214"/>
      <c r="BD175" s="214"/>
      <c r="BE175" s="1131"/>
      <c r="BF175" s="1153"/>
      <c r="BG175" s="242"/>
      <c r="BH175" s="242"/>
      <c r="BI175" s="242"/>
      <c r="BJ175" s="242">
        <f t="shared" si="9"/>
        <v>0</v>
      </c>
      <c r="BK175" s="242"/>
      <c r="BL175" s="242"/>
      <c r="BM175" s="214"/>
      <c r="BN175" s="214"/>
      <c r="BO175" s="1131"/>
      <c r="BP175" s="1153"/>
      <c r="BQ175" s="242"/>
      <c r="BR175" s="242"/>
      <c r="BS175" s="242"/>
      <c r="BT175" s="242">
        <f t="shared" si="10"/>
        <v>0</v>
      </c>
      <c r="BU175" s="242"/>
      <c r="BV175" s="242"/>
      <c r="BW175" s="237"/>
      <c r="BX175" s="214"/>
      <c r="BY175" s="1131"/>
      <c r="BZ175" s="1153"/>
      <c r="CA175" s="242"/>
      <c r="CB175" s="242"/>
      <c r="CC175" s="242"/>
      <c r="CD175" s="242">
        <f t="shared" si="11"/>
        <v>0</v>
      </c>
      <c r="CE175" s="242"/>
      <c r="CF175" s="242"/>
      <c r="CG175" s="214"/>
      <c r="CH175" s="214"/>
      <c r="CI175" s="1131"/>
      <c r="CJ175" s="1153"/>
      <c r="CK175" s="242"/>
      <c r="CL175" s="242"/>
      <c r="CM175" s="242"/>
      <c r="CN175" s="242">
        <f t="shared" si="12"/>
        <v>0</v>
      </c>
      <c r="CO175" s="242"/>
      <c r="CP175" s="242"/>
      <c r="CQ175" s="214"/>
      <c r="CR175" s="214"/>
      <c r="CS175" s="1131"/>
      <c r="CT175" s="1153"/>
      <c r="CU175" s="242"/>
      <c r="CV175" s="242"/>
      <c r="CW175" s="242"/>
      <c r="CX175" s="242">
        <f t="shared" si="13"/>
        <v>0</v>
      </c>
      <c r="CY175" s="242"/>
      <c r="CZ175" s="242"/>
      <c r="DA175" s="237"/>
      <c r="DB175" s="214"/>
      <c r="DC175" s="1131"/>
      <c r="DD175" s="1153"/>
      <c r="DE175" s="242"/>
      <c r="DF175" s="242"/>
      <c r="DG175" s="242"/>
      <c r="DH175" s="242">
        <f t="shared" si="14"/>
        <v>0</v>
      </c>
      <c r="DI175" s="242"/>
      <c r="DJ175" s="242"/>
      <c r="DK175" s="214"/>
      <c r="DL175" s="214"/>
      <c r="DM175" s="1131"/>
      <c r="DN175" s="1153"/>
      <c r="DO175" s="242"/>
      <c r="DP175" s="242"/>
      <c r="DQ175" s="242"/>
      <c r="DR175" s="242">
        <f t="shared" si="15"/>
        <v>0</v>
      </c>
      <c r="DS175" s="242"/>
      <c r="DT175" s="242"/>
      <c r="DU175" s="214"/>
      <c r="DV175" s="214"/>
      <c r="DW175" s="1131"/>
      <c r="DX175" s="1153"/>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24"/>
      <c r="C176" s="1124"/>
      <c r="D176" s="1124"/>
      <c r="E176" s="1124"/>
      <c r="F176" s="1125">
        <f t="shared" si="2"/>
        <v>0</v>
      </c>
      <c r="G176" s="1126" t="str">
        <f t="shared" si="3"/>
        <v/>
      </c>
      <c r="H176" s="112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7">
        <f t="shared" si="187"/>
        <v>0</v>
      </c>
      <c r="J176" s="1128">
        <f t="shared" si="187"/>
        <v>0</v>
      </c>
      <c r="K176" s="214"/>
      <c r="L176" s="242" t="str">
        <f t="array" ref="L176">IFERROR(INDEX('💻シート作成'!$D$6:$D999, MATCH(M176, '💻シート作成'!$E$6:$E999, 0)), "")</f>
        <v/>
      </c>
      <c r="M176" s="1023"/>
      <c r="N176" s="214"/>
      <c r="O176" s="1087"/>
      <c r="P176" s="214"/>
      <c r="Q176" s="1131"/>
      <c r="R176" s="1153"/>
      <c r="S176" s="242"/>
      <c r="T176" s="242"/>
      <c r="U176" s="242"/>
      <c r="V176" s="242">
        <f t="shared" si="5"/>
        <v>0</v>
      </c>
      <c r="W176" s="242"/>
      <c r="X176" s="242"/>
      <c r="Y176" s="214"/>
      <c r="Z176" s="214"/>
      <c r="AA176" s="1131"/>
      <c r="AB176" s="1153"/>
      <c r="AC176" s="242"/>
      <c r="AD176" s="242"/>
      <c r="AE176" s="242"/>
      <c r="AF176" s="242">
        <f t="shared" si="6"/>
        <v>0</v>
      </c>
      <c r="AG176" s="242"/>
      <c r="AH176" s="242"/>
      <c r="AI176" s="214"/>
      <c r="AJ176" s="214"/>
      <c r="AK176" s="1131"/>
      <c r="AL176" s="1153"/>
      <c r="AM176" s="242"/>
      <c r="AN176" s="242"/>
      <c r="AO176" s="242"/>
      <c r="AP176" s="242">
        <f t="shared" si="7"/>
        <v>0</v>
      </c>
      <c r="AQ176" s="242"/>
      <c r="AR176" s="242"/>
      <c r="AS176" s="237"/>
      <c r="AT176" s="214"/>
      <c r="AU176" s="1138"/>
      <c r="AV176" s="1155"/>
      <c r="AW176" s="1140"/>
      <c r="AX176" s="1140"/>
      <c r="AY176" s="1140"/>
      <c r="AZ176" s="1140">
        <f t="shared" si="8"/>
        <v>0</v>
      </c>
      <c r="BA176" s="1140"/>
      <c r="BB176" s="1140"/>
      <c r="BC176" s="214"/>
      <c r="BD176" s="214"/>
      <c r="BE176" s="1131"/>
      <c r="BF176" s="1153"/>
      <c r="BG176" s="242"/>
      <c r="BH176" s="242"/>
      <c r="BI176" s="242"/>
      <c r="BJ176" s="242">
        <f t="shared" si="9"/>
        <v>0</v>
      </c>
      <c r="BK176" s="242"/>
      <c r="BL176" s="242"/>
      <c r="BM176" s="214"/>
      <c r="BN176" s="214"/>
      <c r="BO176" s="1131"/>
      <c r="BP176" s="1153"/>
      <c r="BQ176" s="242"/>
      <c r="BR176" s="242"/>
      <c r="BS176" s="242"/>
      <c r="BT176" s="242">
        <f t="shared" si="10"/>
        <v>0</v>
      </c>
      <c r="BU176" s="242"/>
      <c r="BV176" s="242"/>
      <c r="BW176" s="237"/>
      <c r="BX176" s="214"/>
      <c r="BY176" s="1131"/>
      <c r="BZ176" s="1153"/>
      <c r="CA176" s="242"/>
      <c r="CB176" s="242"/>
      <c r="CC176" s="242"/>
      <c r="CD176" s="242">
        <f t="shared" si="11"/>
        <v>0</v>
      </c>
      <c r="CE176" s="242"/>
      <c r="CF176" s="242"/>
      <c r="CG176" s="214"/>
      <c r="CH176" s="214"/>
      <c r="CI176" s="1131"/>
      <c r="CJ176" s="1153"/>
      <c r="CK176" s="242"/>
      <c r="CL176" s="242"/>
      <c r="CM176" s="242"/>
      <c r="CN176" s="242">
        <f t="shared" si="12"/>
        <v>0</v>
      </c>
      <c r="CO176" s="242"/>
      <c r="CP176" s="242"/>
      <c r="CQ176" s="214"/>
      <c r="CR176" s="214"/>
      <c r="CS176" s="1131"/>
      <c r="CT176" s="1153"/>
      <c r="CU176" s="242"/>
      <c r="CV176" s="242"/>
      <c r="CW176" s="242"/>
      <c r="CX176" s="242">
        <f t="shared" si="13"/>
        <v>0</v>
      </c>
      <c r="CY176" s="242"/>
      <c r="CZ176" s="242"/>
      <c r="DA176" s="237"/>
      <c r="DB176" s="214"/>
      <c r="DC176" s="1131"/>
      <c r="DD176" s="1153"/>
      <c r="DE176" s="242"/>
      <c r="DF176" s="242"/>
      <c r="DG176" s="242"/>
      <c r="DH176" s="242">
        <f t="shared" si="14"/>
        <v>0</v>
      </c>
      <c r="DI176" s="242"/>
      <c r="DJ176" s="242"/>
      <c r="DK176" s="214"/>
      <c r="DL176" s="214"/>
      <c r="DM176" s="1131"/>
      <c r="DN176" s="1153"/>
      <c r="DO176" s="242"/>
      <c r="DP176" s="242"/>
      <c r="DQ176" s="242"/>
      <c r="DR176" s="242">
        <f t="shared" si="15"/>
        <v>0</v>
      </c>
      <c r="DS176" s="242"/>
      <c r="DT176" s="242"/>
      <c r="DU176" s="214"/>
      <c r="DV176" s="214"/>
      <c r="DW176" s="1131"/>
      <c r="DX176" s="1153"/>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24"/>
      <c r="C177" s="1124"/>
      <c r="D177" s="1124"/>
      <c r="E177" s="1124"/>
      <c r="F177" s="1125">
        <f t="shared" si="2"/>
        <v>0</v>
      </c>
      <c r="G177" s="1126" t="str">
        <f t="shared" si="3"/>
        <v/>
      </c>
      <c r="H177" s="112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7">
        <f t="shared" si="188"/>
        <v>0</v>
      </c>
      <c r="J177" s="1128">
        <f t="shared" si="188"/>
        <v>0</v>
      </c>
      <c r="K177" s="214"/>
      <c r="L177" s="242" t="str">
        <f t="array" ref="L177">IFERROR(INDEX('💻シート作成'!$D$6:$D999, MATCH(M177, '💻シート作成'!$E$6:$E999, 0)), "")</f>
        <v/>
      </c>
      <c r="M177" s="1023"/>
      <c r="N177" s="214"/>
      <c r="O177" s="1087"/>
      <c r="P177" s="214"/>
      <c r="Q177" s="1131"/>
      <c r="R177" s="1153"/>
      <c r="S177" s="242"/>
      <c r="T177" s="242"/>
      <c r="U177" s="242"/>
      <c r="V177" s="242">
        <f t="shared" si="5"/>
        <v>0</v>
      </c>
      <c r="W177" s="242"/>
      <c r="X177" s="242"/>
      <c r="Y177" s="214"/>
      <c r="Z177" s="214"/>
      <c r="AA177" s="1131"/>
      <c r="AB177" s="1153"/>
      <c r="AC177" s="242"/>
      <c r="AD177" s="242"/>
      <c r="AE177" s="242"/>
      <c r="AF177" s="242">
        <f t="shared" si="6"/>
        <v>0</v>
      </c>
      <c r="AG177" s="242"/>
      <c r="AH177" s="242"/>
      <c r="AI177" s="214"/>
      <c r="AJ177" s="214"/>
      <c r="AK177" s="1131"/>
      <c r="AL177" s="1153"/>
      <c r="AM177" s="242"/>
      <c r="AN177" s="242"/>
      <c r="AO177" s="242"/>
      <c r="AP177" s="242">
        <f t="shared" si="7"/>
        <v>0</v>
      </c>
      <c r="AQ177" s="242"/>
      <c r="AR177" s="242"/>
      <c r="AS177" s="237"/>
      <c r="AT177" s="214"/>
      <c r="AU177" s="1138"/>
      <c r="AV177" s="1155"/>
      <c r="AW177" s="1140"/>
      <c r="AX177" s="1140"/>
      <c r="AY177" s="1140"/>
      <c r="AZ177" s="1140">
        <f t="shared" si="8"/>
        <v>0</v>
      </c>
      <c r="BA177" s="1140"/>
      <c r="BB177" s="1140"/>
      <c r="BC177" s="214"/>
      <c r="BD177" s="214"/>
      <c r="BE177" s="1131"/>
      <c r="BF177" s="1153"/>
      <c r="BG177" s="242"/>
      <c r="BH177" s="242"/>
      <c r="BI177" s="242"/>
      <c r="BJ177" s="242">
        <f t="shared" si="9"/>
        <v>0</v>
      </c>
      <c r="BK177" s="242"/>
      <c r="BL177" s="242"/>
      <c r="BM177" s="214"/>
      <c r="BN177" s="214"/>
      <c r="BO177" s="1131"/>
      <c r="BP177" s="1153"/>
      <c r="BQ177" s="242"/>
      <c r="BR177" s="242"/>
      <c r="BS177" s="242"/>
      <c r="BT177" s="242">
        <f t="shared" si="10"/>
        <v>0</v>
      </c>
      <c r="BU177" s="242"/>
      <c r="BV177" s="242"/>
      <c r="BW177" s="237"/>
      <c r="BX177" s="214"/>
      <c r="BY177" s="1131"/>
      <c r="BZ177" s="1153"/>
      <c r="CA177" s="242"/>
      <c r="CB177" s="242"/>
      <c r="CC177" s="242"/>
      <c r="CD177" s="242">
        <f t="shared" si="11"/>
        <v>0</v>
      </c>
      <c r="CE177" s="242"/>
      <c r="CF177" s="242"/>
      <c r="CG177" s="214"/>
      <c r="CH177" s="214"/>
      <c r="CI177" s="1131"/>
      <c r="CJ177" s="1153"/>
      <c r="CK177" s="242"/>
      <c r="CL177" s="242"/>
      <c r="CM177" s="242"/>
      <c r="CN177" s="242">
        <f t="shared" si="12"/>
        <v>0</v>
      </c>
      <c r="CO177" s="242"/>
      <c r="CP177" s="242"/>
      <c r="CQ177" s="214"/>
      <c r="CR177" s="214"/>
      <c r="CS177" s="1131"/>
      <c r="CT177" s="1153"/>
      <c r="CU177" s="242"/>
      <c r="CV177" s="242"/>
      <c r="CW177" s="242"/>
      <c r="CX177" s="242">
        <f t="shared" si="13"/>
        <v>0</v>
      </c>
      <c r="CY177" s="242"/>
      <c r="CZ177" s="242"/>
      <c r="DA177" s="237"/>
      <c r="DB177" s="214"/>
      <c r="DC177" s="1131"/>
      <c r="DD177" s="1153"/>
      <c r="DE177" s="242"/>
      <c r="DF177" s="242"/>
      <c r="DG177" s="242"/>
      <c r="DH177" s="242">
        <f t="shared" si="14"/>
        <v>0</v>
      </c>
      <c r="DI177" s="242"/>
      <c r="DJ177" s="242"/>
      <c r="DK177" s="214"/>
      <c r="DL177" s="214"/>
      <c r="DM177" s="1131"/>
      <c r="DN177" s="1153"/>
      <c r="DO177" s="242"/>
      <c r="DP177" s="242"/>
      <c r="DQ177" s="242"/>
      <c r="DR177" s="242">
        <f t="shared" si="15"/>
        <v>0</v>
      </c>
      <c r="DS177" s="242"/>
      <c r="DT177" s="242"/>
      <c r="DU177" s="214"/>
      <c r="DV177" s="214"/>
      <c r="DW177" s="1131"/>
      <c r="DX177" s="1153"/>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24"/>
      <c r="C178" s="1124"/>
      <c r="D178" s="1124"/>
      <c r="E178" s="1124"/>
      <c r="F178" s="1125">
        <f t="shared" si="2"/>
        <v>0</v>
      </c>
      <c r="G178" s="1126" t="str">
        <f t="shared" si="3"/>
        <v/>
      </c>
      <c r="H178" s="112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7">
        <f t="shared" si="189"/>
        <v>0</v>
      </c>
      <c r="J178" s="1128">
        <f t="shared" si="189"/>
        <v>0</v>
      </c>
      <c r="K178" s="214"/>
      <c r="L178" s="242" t="str">
        <f t="array" ref="L178">IFERROR(INDEX('💻シート作成'!$D$6:$D999, MATCH(M178, '💻シート作成'!$E$6:$E999, 0)), "")</f>
        <v/>
      </c>
      <c r="M178" s="1023"/>
      <c r="N178" s="214"/>
      <c r="O178" s="1087"/>
      <c r="P178" s="214"/>
      <c r="Q178" s="1131"/>
      <c r="R178" s="1153"/>
      <c r="S178" s="242"/>
      <c r="T178" s="242"/>
      <c r="U178" s="242"/>
      <c r="V178" s="242">
        <f t="shared" si="5"/>
        <v>0</v>
      </c>
      <c r="W178" s="242"/>
      <c r="X178" s="242"/>
      <c r="Y178" s="214"/>
      <c r="Z178" s="214"/>
      <c r="AA178" s="1131"/>
      <c r="AB178" s="1153"/>
      <c r="AC178" s="242"/>
      <c r="AD178" s="242"/>
      <c r="AE178" s="242"/>
      <c r="AF178" s="242">
        <f t="shared" si="6"/>
        <v>0</v>
      </c>
      <c r="AG178" s="242"/>
      <c r="AH178" s="242"/>
      <c r="AI178" s="214"/>
      <c r="AJ178" s="214"/>
      <c r="AK178" s="1131"/>
      <c r="AL178" s="1153"/>
      <c r="AM178" s="242"/>
      <c r="AN178" s="242"/>
      <c r="AO178" s="242"/>
      <c r="AP178" s="242">
        <f t="shared" si="7"/>
        <v>0</v>
      </c>
      <c r="AQ178" s="242"/>
      <c r="AR178" s="242"/>
      <c r="AS178" s="237"/>
      <c r="AT178" s="214"/>
      <c r="AU178" s="1138"/>
      <c r="AV178" s="1155"/>
      <c r="AW178" s="1140"/>
      <c r="AX178" s="1140"/>
      <c r="AY178" s="1140"/>
      <c r="AZ178" s="1140">
        <f t="shared" si="8"/>
        <v>0</v>
      </c>
      <c r="BA178" s="1140"/>
      <c r="BB178" s="1140"/>
      <c r="BC178" s="214"/>
      <c r="BD178" s="214"/>
      <c r="BE178" s="1131"/>
      <c r="BF178" s="1153"/>
      <c r="BG178" s="242"/>
      <c r="BH178" s="242"/>
      <c r="BI178" s="242"/>
      <c r="BJ178" s="242">
        <f t="shared" si="9"/>
        <v>0</v>
      </c>
      <c r="BK178" s="242"/>
      <c r="BL178" s="242"/>
      <c r="BM178" s="214"/>
      <c r="BN178" s="214"/>
      <c r="BO178" s="1131"/>
      <c r="BP178" s="1153"/>
      <c r="BQ178" s="242"/>
      <c r="BR178" s="242"/>
      <c r="BS178" s="242"/>
      <c r="BT178" s="242">
        <f t="shared" si="10"/>
        <v>0</v>
      </c>
      <c r="BU178" s="242"/>
      <c r="BV178" s="242"/>
      <c r="BW178" s="237"/>
      <c r="BX178" s="214"/>
      <c r="BY178" s="1131"/>
      <c r="BZ178" s="1153"/>
      <c r="CA178" s="242"/>
      <c r="CB178" s="242"/>
      <c r="CC178" s="242"/>
      <c r="CD178" s="242">
        <f t="shared" si="11"/>
        <v>0</v>
      </c>
      <c r="CE178" s="242"/>
      <c r="CF178" s="242"/>
      <c r="CG178" s="214"/>
      <c r="CH178" s="214"/>
      <c r="CI178" s="1131"/>
      <c r="CJ178" s="1153"/>
      <c r="CK178" s="242"/>
      <c r="CL178" s="242"/>
      <c r="CM178" s="242"/>
      <c r="CN178" s="242">
        <f t="shared" si="12"/>
        <v>0</v>
      </c>
      <c r="CO178" s="242"/>
      <c r="CP178" s="242"/>
      <c r="CQ178" s="214"/>
      <c r="CR178" s="214"/>
      <c r="CS178" s="1131"/>
      <c r="CT178" s="1153"/>
      <c r="CU178" s="242"/>
      <c r="CV178" s="242"/>
      <c r="CW178" s="242"/>
      <c r="CX178" s="242">
        <f t="shared" si="13"/>
        <v>0</v>
      </c>
      <c r="CY178" s="242"/>
      <c r="CZ178" s="242"/>
      <c r="DA178" s="237"/>
      <c r="DB178" s="214"/>
      <c r="DC178" s="1131"/>
      <c r="DD178" s="1153"/>
      <c r="DE178" s="242"/>
      <c r="DF178" s="242"/>
      <c r="DG178" s="242"/>
      <c r="DH178" s="242">
        <f t="shared" si="14"/>
        <v>0</v>
      </c>
      <c r="DI178" s="242"/>
      <c r="DJ178" s="242"/>
      <c r="DK178" s="214"/>
      <c r="DL178" s="214"/>
      <c r="DM178" s="1131"/>
      <c r="DN178" s="1153"/>
      <c r="DO178" s="242"/>
      <c r="DP178" s="242"/>
      <c r="DQ178" s="242"/>
      <c r="DR178" s="242">
        <f t="shared" si="15"/>
        <v>0</v>
      </c>
      <c r="DS178" s="242"/>
      <c r="DT178" s="242"/>
      <c r="DU178" s="214"/>
      <c r="DV178" s="214"/>
      <c r="DW178" s="1131"/>
      <c r="DX178" s="1153"/>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24"/>
      <c r="C179" s="1124"/>
      <c r="D179" s="1124"/>
      <c r="E179" s="1124"/>
      <c r="F179" s="1125">
        <f t="shared" si="2"/>
        <v>0</v>
      </c>
      <c r="G179" s="1126" t="str">
        <f t="shared" si="3"/>
        <v/>
      </c>
      <c r="H179" s="112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7">
        <f t="shared" si="190"/>
        <v>0</v>
      </c>
      <c r="J179" s="1128">
        <f t="shared" si="190"/>
        <v>0</v>
      </c>
      <c r="K179" s="214"/>
      <c r="L179" s="242" t="str">
        <f t="array" ref="L179">IFERROR(INDEX('💻シート作成'!$D$6:$D999, MATCH(M179, '💻シート作成'!$E$6:$E999, 0)), "")</f>
        <v/>
      </c>
      <c r="M179" s="1023"/>
      <c r="N179" s="214"/>
      <c r="O179" s="1087"/>
      <c r="P179" s="214"/>
      <c r="Q179" s="1131"/>
      <c r="R179" s="1153"/>
      <c r="S179" s="242"/>
      <c r="T179" s="242"/>
      <c r="U179" s="242"/>
      <c r="V179" s="242">
        <f t="shared" si="5"/>
        <v>0</v>
      </c>
      <c r="W179" s="242"/>
      <c r="X179" s="242"/>
      <c r="Y179" s="214"/>
      <c r="Z179" s="214"/>
      <c r="AA179" s="1131"/>
      <c r="AB179" s="1153"/>
      <c r="AC179" s="242"/>
      <c r="AD179" s="242"/>
      <c r="AE179" s="242"/>
      <c r="AF179" s="242">
        <f t="shared" si="6"/>
        <v>0</v>
      </c>
      <c r="AG179" s="242"/>
      <c r="AH179" s="242"/>
      <c r="AI179" s="214"/>
      <c r="AJ179" s="214"/>
      <c r="AK179" s="1131"/>
      <c r="AL179" s="1153"/>
      <c r="AM179" s="242"/>
      <c r="AN179" s="242"/>
      <c r="AO179" s="242"/>
      <c r="AP179" s="242">
        <f t="shared" si="7"/>
        <v>0</v>
      </c>
      <c r="AQ179" s="242"/>
      <c r="AR179" s="242"/>
      <c r="AS179" s="237"/>
      <c r="AT179" s="214"/>
      <c r="AU179" s="1138"/>
      <c r="AV179" s="1155"/>
      <c r="AW179" s="1140"/>
      <c r="AX179" s="1140"/>
      <c r="AY179" s="1140"/>
      <c r="AZ179" s="1140">
        <f t="shared" si="8"/>
        <v>0</v>
      </c>
      <c r="BA179" s="1140"/>
      <c r="BB179" s="1140"/>
      <c r="BC179" s="214"/>
      <c r="BD179" s="214"/>
      <c r="BE179" s="1131"/>
      <c r="BF179" s="1153"/>
      <c r="BG179" s="242"/>
      <c r="BH179" s="242"/>
      <c r="BI179" s="242"/>
      <c r="BJ179" s="242">
        <f t="shared" si="9"/>
        <v>0</v>
      </c>
      <c r="BK179" s="242"/>
      <c r="BL179" s="242"/>
      <c r="BM179" s="214"/>
      <c r="BN179" s="214"/>
      <c r="BO179" s="1131"/>
      <c r="BP179" s="1153"/>
      <c r="BQ179" s="242"/>
      <c r="BR179" s="242"/>
      <c r="BS179" s="242"/>
      <c r="BT179" s="242">
        <f t="shared" si="10"/>
        <v>0</v>
      </c>
      <c r="BU179" s="242"/>
      <c r="BV179" s="242"/>
      <c r="BW179" s="237"/>
      <c r="BX179" s="214"/>
      <c r="BY179" s="1131"/>
      <c r="BZ179" s="1153"/>
      <c r="CA179" s="242"/>
      <c r="CB179" s="242"/>
      <c r="CC179" s="242"/>
      <c r="CD179" s="242">
        <f t="shared" si="11"/>
        <v>0</v>
      </c>
      <c r="CE179" s="242"/>
      <c r="CF179" s="242"/>
      <c r="CG179" s="214"/>
      <c r="CH179" s="214"/>
      <c r="CI179" s="1131"/>
      <c r="CJ179" s="1153"/>
      <c r="CK179" s="242"/>
      <c r="CL179" s="242"/>
      <c r="CM179" s="242"/>
      <c r="CN179" s="242">
        <f t="shared" si="12"/>
        <v>0</v>
      </c>
      <c r="CO179" s="242"/>
      <c r="CP179" s="242"/>
      <c r="CQ179" s="214"/>
      <c r="CR179" s="214"/>
      <c r="CS179" s="1131"/>
      <c r="CT179" s="1153"/>
      <c r="CU179" s="242"/>
      <c r="CV179" s="242"/>
      <c r="CW179" s="242"/>
      <c r="CX179" s="242">
        <f t="shared" si="13"/>
        <v>0</v>
      </c>
      <c r="CY179" s="242"/>
      <c r="CZ179" s="242"/>
      <c r="DA179" s="237"/>
      <c r="DB179" s="214"/>
      <c r="DC179" s="1131"/>
      <c r="DD179" s="1153"/>
      <c r="DE179" s="242"/>
      <c r="DF179" s="242"/>
      <c r="DG179" s="242"/>
      <c r="DH179" s="242">
        <f t="shared" si="14"/>
        <v>0</v>
      </c>
      <c r="DI179" s="242"/>
      <c r="DJ179" s="242"/>
      <c r="DK179" s="214"/>
      <c r="DL179" s="214"/>
      <c r="DM179" s="1131"/>
      <c r="DN179" s="1153"/>
      <c r="DO179" s="242"/>
      <c r="DP179" s="242"/>
      <c r="DQ179" s="242"/>
      <c r="DR179" s="242">
        <f t="shared" si="15"/>
        <v>0</v>
      </c>
      <c r="DS179" s="242"/>
      <c r="DT179" s="242"/>
      <c r="DU179" s="214"/>
      <c r="DV179" s="214"/>
      <c r="DW179" s="1131"/>
      <c r="DX179" s="1153"/>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24"/>
      <c r="C180" s="1124"/>
      <c r="D180" s="1124"/>
      <c r="E180" s="1124"/>
      <c r="F180" s="1125">
        <f t="shared" si="2"/>
        <v>0</v>
      </c>
      <c r="G180" s="1126" t="str">
        <f t="shared" si="3"/>
        <v/>
      </c>
      <c r="H180" s="112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7">
        <f t="shared" si="191"/>
        <v>0</v>
      </c>
      <c r="J180" s="1128">
        <f t="shared" si="191"/>
        <v>0</v>
      </c>
      <c r="K180" s="214"/>
      <c r="L180" s="242" t="str">
        <f t="array" ref="L180">IFERROR(INDEX('💻シート作成'!$D$6:$D999, MATCH(M180, '💻シート作成'!$E$6:$E999, 0)), "")</f>
        <v/>
      </c>
      <c r="M180" s="1023"/>
      <c r="N180" s="214"/>
      <c r="O180" s="1087"/>
      <c r="P180" s="214"/>
      <c r="Q180" s="1131"/>
      <c r="R180" s="1153"/>
      <c r="S180" s="242"/>
      <c r="T180" s="242"/>
      <c r="U180" s="242"/>
      <c r="V180" s="242">
        <f t="shared" si="5"/>
        <v>0</v>
      </c>
      <c r="W180" s="242"/>
      <c r="X180" s="242"/>
      <c r="Y180" s="214"/>
      <c r="Z180" s="214"/>
      <c r="AA180" s="1131"/>
      <c r="AB180" s="1153"/>
      <c r="AC180" s="242"/>
      <c r="AD180" s="242"/>
      <c r="AE180" s="242"/>
      <c r="AF180" s="242">
        <f t="shared" si="6"/>
        <v>0</v>
      </c>
      <c r="AG180" s="242"/>
      <c r="AH180" s="242"/>
      <c r="AI180" s="214"/>
      <c r="AJ180" s="214"/>
      <c r="AK180" s="1131"/>
      <c r="AL180" s="1153"/>
      <c r="AM180" s="242"/>
      <c r="AN180" s="242"/>
      <c r="AO180" s="242"/>
      <c r="AP180" s="242">
        <f t="shared" si="7"/>
        <v>0</v>
      </c>
      <c r="AQ180" s="242"/>
      <c r="AR180" s="242"/>
      <c r="AS180" s="237"/>
      <c r="AT180" s="214"/>
      <c r="AU180" s="1138"/>
      <c r="AV180" s="1155"/>
      <c r="AW180" s="1140"/>
      <c r="AX180" s="1140"/>
      <c r="AY180" s="1140"/>
      <c r="AZ180" s="1140">
        <f t="shared" si="8"/>
        <v>0</v>
      </c>
      <c r="BA180" s="1140"/>
      <c r="BB180" s="1140"/>
      <c r="BC180" s="214"/>
      <c r="BD180" s="214"/>
      <c r="BE180" s="1131"/>
      <c r="BF180" s="1153"/>
      <c r="BG180" s="242"/>
      <c r="BH180" s="242"/>
      <c r="BI180" s="242"/>
      <c r="BJ180" s="242">
        <f t="shared" si="9"/>
        <v>0</v>
      </c>
      <c r="BK180" s="242"/>
      <c r="BL180" s="242"/>
      <c r="BM180" s="214"/>
      <c r="BN180" s="214"/>
      <c r="BO180" s="1131"/>
      <c r="BP180" s="1153"/>
      <c r="BQ180" s="242"/>
      <c r="BR180" s="242"/>
      <c r="BS180" s="242"/>
      <c r="BT180" s="242">
        <f t="shared" si="10"/>
        <v>0</v>
      </c>
      <c r="BU180" s="242"/>
      <c r="BV180" s="242"/>
      <c r="BW180" s="237"/>
      <c r="BX180" s="214"/>
      <c r="BY180" s="1131"/>
      <c r="BZ180" s="1153"/>
      <c r="CA180" s="242"/>
      <c r="CB180" s="242"/>
      <c r="CC180" s="242"/>
      <c r="CD180" s="242">
        <f t="shared" si="11"/>
        <v>0</v>
      </c>
      <c r="CE180" s="242"/>
      <c r="CF180" s="242"/>
      <c r="CG180" s="214"/>
      <c r="CH180" s="214"/>
      <c r="CI180" s="1131"/>
      <c r="CJ180" s="1153"/>
      <c r="CK180" s="242"/>
      <c r="CL180" s="242"/>
      <c r="CM180" s="242"/>
      <c r="CN180" s="242">
        <f t="shared" si="12"/>
        <v>0</v>
      </c>
      <c r="CO180" s="242"/>
      <c r="CP180" s="242"/>
      <c r="CQ180" s="214"/>
      <c r="CR180" s="214"/>
      <c r="CS180" s="1131"/>
      <c r="CT180" s="1153"/>
      <c r="CU180" s="242"/>
      <c r="CV180" s="242"/>
      <c r="CW180" s="242"/>
      <c r="CX180" s="242">
        <f t="shared" si="13"/>
        <v>0</v>
      </c>
      <c r="CY180" s="242"/>
      <c r="CZ180" s="242"/>
      <c r="DA180" s="237"/>
      <c r="DB180" s="214"/>
      <c r="DC180" s="1131"/>
      <c r="DD180" s="1153"/>
      <c r="DE180" s="242"/>
      <c r="DF180" s="242"/>
      <c r="DG180" s="242"/>
      <c r="DH180" s="242">
        <f t="shared" si="14"/>
        <v>0</v>
      </c>
      <c r="DI180" s="242"/>
      <c r="DJ180" s="242"/>
      <c r="DK180" s="214"/>
      <c r="DL180" s="214"/>
      <c r="DM180" s="1131"/>
      <c r="DN180" s="1153"/>
      <c r="DO180" s="242"/>
      <c r="DP180" s="242"/>
      <c r="DQ180" s="242"/>
      <c r="DR180" s="242">
        <f t="shared" si="15"/>
        <v>0</v>
      </c>
      <c r="DS180" s="242"/>
      <c r="DT180" s="242"/>
      <c r="DU180" s="214"/>
      <c r="DV180" s="214"/>
      <c r="DW180" s="1131"/>
      <c r="DX180" s="1153"/>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24"/>
      <c r="C181" s="1124"/>
      <c r="D181" s="1124"/>
      <c r="E181" s="1124"/>
      <c r="F181" s="1125">
        <f t="shared" si="2"/>
        <v>0</v>
      </c>
      <c r="G181" s="1126" t="str">
        <f t="shared" si="3"/>
        <v/>
      </c>
      <c r="H181" s="112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7">
        <f t="shared" si="192"/>
        <v>0</v>
      </c>
      <c r="J181" s="1128">
        <f t="shared" si="192"/>
        <v>0</v>
      </c>
      <c r="K181" s="214"/>
      <c r="L181" s="242" t="str">
        <f t="array" ref="L181">IFERROR(INDEX('💻シート作成'!$D$6:$D999, MATCH(M181, '💻シート作成'!$E$6:$E999, 0)), "")</f>
        <v/>
      </c>
      <c r="M181" s="1023"/>
      <c r="N181" s="214"/>
      <c r="O181" s="1087"/>
      <c r="P181" s="214"/>
      <c r="Q181" s="1131"/>
      <c r="R181" s="1153"/>
      <c r="S181" s="242"/>
      <c r="T181" s="242"/>
      <c r="U181" s="242"/>
      <c r="V181" s="242">
        <f t="shared" si="5"/>
        <v>0</v>
      </c>
      <c r="W181" s="242"/>
      <c r="X181" s="242"/>
      <c r="Y181" s="214"/>
      <c r="Z181" s="214"/>
      <c r="AA181" s="1131"/>
      <c r="AB181" s="1153"/>
      <c r="AC181" s="242"/>
      <c r="AD181" s="242"/>
      <c r="AE181" s="242"/>
      <c r="AF181" s="242">
        <f t="shared" si="6"/>
        <v>0</v>
      </c>
      <c r="AG181" s="242"/>
      <c r="AH181" s="242"/>
      <c r="AI181" s="214"/>
      <c r="AJ181" s="214"/>
      <c r="AK181" s="1131"/>
      <c r="AL181" s="1153"/>
      <c r="AM181" s="242"/>
      <c r="AN181" s="242"/>
      <c r="AO181" s="242"/>
      <c r="AP181" s="242">
        <f t="shared" si="7"/>
        <v>0</v>
      </c>
      <c r="AQ181" s="242"/>
      <c r="AR181" s="242"/>
      <c r="AS181" s="237"/>
      <c r="AT181" s="214"/>
      <c r="AU181" s="1138"/>
      <c r="AV181" s="1155"/>
      <c r="AW181" s="1140"/>
      <c r="AX181" s="1140"/>
      <c r="AY181" s="1140"/>
      <c r="AZ181" s="1140">
        <f t="shared" si="8"/>
        <v>0</v>
      </c>
      <c r="BA181" s="1140"/>
      <c r="BB181" s="1140"/>
      <c r="BC181" s="214"/>
      <c r="BD181" s="214"/>
      <c r="BE181" s="1131"/>
      <c r="BF181" s="1153"/>
      <c r="BG181" s="242"/>
      <c r="BH181" s="242"/>
      <c r="BI181" s="242"/>
      <c r="BJ181" s="242">
        <f t="shared" si="9"/>
        <v>0</v>
      </c>
      <c r="BK181" s="242"/>
      <c r="BL181" s="242"/>
      <c r="BM181" s="214"/>
      <c r="BN181" s="214"/>
      <c r="BO181" s="1131"/>
      <c r="BP181" s="1153"/>
      <c r="BQ181" s="242"/>
      <c r="BR181" s="242"/>
      <c r="BS181" s="242"/>
      <c r="BT181" s="242">
        <f t="shared" si="10"/>
        <v>0</v>
      </c>
      <c r="BU181" s="242"/>
      <c r="BV181" s="242"/>
      <c r="BW181" s="237"/>
      <c r="BX181" s="214"/>
      <c r="BY181" s="1131"/>
      <c r="BZ181" s="1153"/>
      <c r="CA181" s="242"/>
      <c r="CB181" s="242"/>
      <c r="CC181" s="242"/>
      <c r="CD181" s="242">
        <f t="shared" si="11"/>
        <v>0</v>
      </c>
      <c r="CE181" s="242"/>
      <c r="CF181" s="242"/>
      <c r="CG181" s="214"/>
      <c r="CH181" s="214"/>
      <c r="CI181" s="1131"/>
      <c r="CJ181" s="1153"/>
      <c r="CK181" s="242"/>
      <c r="CL181" s="242"/>
      <c r="CM181" s="242"/>
      <c r="CN181" s="242">
        <f t="shared" si="12"/>
        <v>0</v>
      </c>
      <c r="CO181" s="242"/>
      <c r="CP181" s="242"/>
      <c r="CQ181" s="214"/>
      <c r="CR181" s="214"/>
      <c r="CS181" s="1131"/>
      <c r="CT181" s="1153"/>
      <c r="CU181" s="242"/>
      <c r="CV181" s="242"/>
      <c r="CW181" s="242"/>
      <c r="CX181" s="242">
        <f t="shared" si="13"/>
        <v>0</v>
      </c>
      <c r="CY181" s="242"/>
      <c r="CZ181" s="242"/>
      <c r="DA181" s="237"/>
      <c r="DB181" s="214"/>
      <c r="DC181" s="1131"/>
      <c r="DD181" s="1153"/>
      <c r="DE181" s="242"/>
      <c r="DF181" s="242"/>
      <c r="DG181" s="242"/>
      <c r="DH181" s="242">
        <f t="shared" si="14"/>
        <v>0</v>
      </c>
      <c r="DI181" s="242"/>
      <c r="DJ181" s="242"/>
      <c r="DK181" s="214"/>
      <c r="DL181" s="214"/>
      <c r="DM181" s="1131"/>
      <c r="DN181" s="1153"/>
      <c r="DO181" s="242"/>
      <c r="DP181" s="242"/>
      <c r="DQ181" s="242"/>
      <c r="DR181" s="242">
        <f t="shared" si="15"/>
        <v>0</v>
      </c>
      <c r="DS181" s="242"/>
      <c r="DT181" s="242"/>
      <c r="DU181" s="214"/>
      <c r="DV181" s="214"/>
      <c r="DW181" s="1131"/>
      <c r="DX181" s="1153"/>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24"/>
      <c r="C182" s="1124"/>
      <c r="D182" s="1124"/>
      <c r="E182" s="1124"/>
      <c r="F182" s="1125">
        <f t="shared" si="2"/>
        <v>0</v>
      </c>
      <c r="G182" s="1126" t="str">
        <f t="shared" si="3"/>
        <v/>
      </c>
      <c r="H182" s="112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7">
        <f t="shared" si="193"/>
        <v>0</v>
      </c>
      <c r="J182" s="1128">
        <f t="shared" si="193"/>
        <v>0</v>
      </c>
      <c r="K182" s="214"/>
      <c r="L182" s="242" t="str">
        <f t="array" ref="L182">IFERROR(INDEX('💻シート作成'!$D$6:$D999, MATCH(M182, '💻シート作成'!$E$6:$E999, 0)), "")</f>
        <v/>
      </c>
      <c r="M182" s="1023"/>
      <c r="N182" s="214"/>
      <c r="O182" s="1087"/>
      <c r="P182" s="214"/>
      <c r="Q182" s="1131"/>
      <c r="R182" s="1153"/>
      <c r="S182" s="242"/>
      <c r="T182" s="242"/>
      <c r="U182" s="242"/>
      <c r="V182" s="242">
        <f t="shared" si="5"/>
        <v>0</v>
      </c>
      <c r="W182" s="242"/>
      <c r="X182" s="242"/>
      <c r="Y182" s="214"/>
      <c r="Z182" s="214"/>
      <c r="AA182" s="1131"/>
      <c r="AB182" s="1153"/>
      <c r="AC182" s="242"/>
      <c r="AD182" s="242"/>
      <c r="AE182" s="242"/>
      <c r="AF182" s="242">
        <f t="shared" si="6"/>
        <v>0</v>
      </c>
      <c r="AG182" s="242"/>
      <c r="AH182" s="242"/>
      <c r="AI182" s="214"/>
      <c r="AJ182" s="214"/>
      <c r="AK182" s="1131"/>
      <c r="AL182" s="1153"/>
      <c r="AM182" s="242"/>
      <c r="AN182" s="242"/>
      <c r="AO182" s="242"/>
      <c r="AP182" s="242">
        <f t="shared" si="7"/>
        <v>0</v>
      </c>
      <c r="AQ182" s="242"/>
      <c r="AR182" s="242"/>
      <c r="AS182" s="237"/>
      <c r="AT182" s="214"/>
      <c r="AU182" s="1138"/>
      <c r="AV182" s="1155"/>
      <c r="AW182" s="1140"/>
      <c r="AX182" s="1140"/>
      <c r="AY182" s="1140"/>
      <c r="AZ182" s="1140">
        <f t="shared" si="8"/>
        <v>0</v>
      </c>
      <c r="BA182" s="1140"/>
      <c r="BB182" s="1140"/>
      <c r="BC182" s="214"/>
      <c r="BD182" s="214"/>
      <c r="BE182" s="1131"/>
      <c r="BF182" s="1153"/>
      <c r="BG182" s="242"/>
      <c r="BH182" s="242"/>
      <c r="BI182" s="242"/>
      <c r="BJ182" s="242">
        <f t="shared" si="9"/>
        <v>0</v>
      </c>
      <c r="BK182" s="242"/>
      <c r="BL182" s="242"/>
      <c r="BM182" s="214"/>
      <c r="BN182" s="214"/>
      <c r="BO182" s="1131"/>
      <c r="BP182" s="1153"/>
      <c r="BQ182" s="242"/>
      <c r="BR182" s="242"/>
      <c r="BS182" s="242"/>
      <c r="BT182" s="242">
        <f t="shared" si="10"/>
        <v>0</v>
      </c>
      <c r="BU182" s="242"/>
      <c r="BV182" s="242"/>
      <c r="BW182" s="237"/>
      <c r="BX182" s="214"/>
      <c r="BY182" s="1131"/>
      <c r="BZ182" s="1153"/>
      <c r="CA182" s="242"/>
      <c r="CB182" s="242"/>
      <c r="CC182" s="242"/>
      <c r="CD182" s="242">
        <f t="shared" si="11"/>
        <v>0</v>
      </c>
      <c r="CE182" s="242"/>
      <c r="CF182" s="242"/>
      <c r="CG182" s="214"/>
      <c r="CH182" s="214"/>
      <c r="CI182" s="1131"/>
      <c r="CJ182" s="1153"/>
      <c r="CK182" s="242"/>
      <c r="CL182" s="242"/>
      <c r="CM182" s="242"/>
      <c r="CN182" s="242">
        <f t="shared" si="12"/>
        <v>0</v>
      </c>
      <c r="CO182" s="242"/>
      <c r="CP182" s="242"/>
      <c r="CQ182" s="214"/>
      <c r="CR182" s="214"/>
      <c r="CS182" s="1131"/>
      <c r="CT182" s="1153"/>
      <c r="CU182" s="242"/>
      <c r="CV182" s="242"/>
      <c r="CW182" s="242"/>
      <c r="CX182" s="242">
        <f t="shared" si="13"/>
        <v>0</v>
      </c>
      <c r="CY182" s="242"/>
      <c r="CZ182" s="242"/>
      <c r="DA182" s="237"/>
      <c r="DB182" s="214"/>
      <c r="DC182" s="1131"/>
      <c r="DD182" s="1153"/>
      <c r="DE182" s="242"/>
      <c r="DF182" s="242"/>
      <c r="DG182" s="242"/>
      <c r="DH182" s="242">
        <f t="shared" si="14"/>
        <v>0</v>
      </c>
      <c r="DI182" s="242"/>
      <c r="DJ182" s="242"/>
      <c r="DK182" s="214"/>
      <c r="DL182" s="214"/>
      <c r="DM182" s="1131"/>
      <c r="DN182" s="1153"/>
      <c r="DO182" s="242"/>
      <c r="DP182" s="242"/>
      <c r="DQ182" s="242"/>
      <c r="DR182" s="242">
        <f t="shared" si="15"/>
        <v>0</v>
      </c>
      <c r="DS182" s="242"/>
      <c r="DT182" s="242"/>
      <c r="DU182" s="214"/>
      <c r="DV182" s="214"/>
      <c r="DW182" s="1131"/>
      <c r="DX182" s="1153"/>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24"/>
      <c r="C183" s="1124"/>
      <c r="D183" s="1124"/>
      <c r="E183" s="1124"/>
      <c r="F183" s="1125">
        <f t="shared" si="2"/>
        <v>0</v>
      </c>
      <c r="G183" s="1126" t="str">
        <f t="shared" si="3"/>
        <v/>
      </c>
      <c r="H183" s="112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7">
        <f t="shared" si="194"/>
        <v>0</v>
      </c>
      <c r="J183" s="1128">
        <f t="shared" si="194"/>
        <v>0</v>
      </c>
      <c r="K183" s="214"/>
      <c r="L183" s="242" t="str">
        <f t="array" ref="L183">IFERROR(INDEX('💻シート作成'!$D$6:$D999, MATCH(M183, '💻シート作成'!$E$6:$E999, 0)), "")</f>
        <v/>
      </c>
      <c r="M183" s="1023"/>
      <c r="N183" s="214"/>
      <c r="O183" s="1087"/>
      <c r="P183" s="214"/>
      <c r="Q183" s="1131"/>
      <c r="R183" s="1153"/>
      <c r="S183" s="242"/>
      <c r="T183" s="242"/>
      <c r="U183" s="242"/>
      <c r="V183" s="242">
        <f t="shared" si="5"/>
        <v>0</v>
      </c>
      <c r="W183" s="242"/>
      <c r="X183" s="242"/>
      <c r="Y183" s="214"/>
      <c r="Z183" s="214"/>
      <c r="AA183" s="1131"/>
      <c r="AB183" s="1153"/>
      <c r="AC183" s="242"/>
      <c r="AD183" s="242"/>
      <c r="AE183" s="242"/>
      <c r="AF183" s="242">
        <f t="shared" si="6"/>
        <v>0</v>
      </c>
      <c r="AG183" s="242"/>
      <c r="AH183" s="242"/>
      <c r="AI183" s="214"/>
      <c r="AJ183" s="214"/>
      <c r="AK183" s="1131"/>
      <c r="AL183" s="1153"/>
      <c r="AM183" s="242"/>
      <c r="AN183" s="242"/>
      <c r="AO183" s="242"/>
      <c r="AP183" s="242">
        <f t="shared" si="7"/>
        <v>0</v>
      </c>
      <c r="AQ183" s="242"/>
      <c r="AR183" s="242"/>
      <c r="AS183" s="237"/>
      <c r="AT183" s="214"/>
      <c r="AU183" s="1138"/>
      <c r="AV183" s="1155"/>
      <c r="AW183" s="1140"/>
      <c r="AX183" s="1140"/>
      <c r="AY183" s="1140"/>
      <c r="AZ183" s="1140">
        <f t="shared" si="8"/>
        <v>0</v>
      </c>
      <c r="BA183" s="1140"/>
      <c r="BB183" s="1140"/>
      <c r="BC183" s="214"/>
      <c r="BD183" s="214"/>
      <c r="BE183" s="1131"/>
      <c r="BF183" s="1153"/>
      <c r="BG183" s="242"/>
      <c r="BH183" s="242"/>
      <c r="BI183" s="242"/>
      <c r="BJ183" s="242">
        <f t="shared" si="9"/>
        <v>0</v>
      </c>
      <c r="BK183" s="242"/>
      <c r="BL183" s="242"/>
      <c r="BM183" s="214"/>
      <c r="BN183" s="214"/>
      <c r="BO183" s="1131"/>
      <c r="BP183" s="1153"/>
      <c r="BQ183" s="242"/>
      <c r="BR183" s="242"/>
      <c r="BS183" s="242"/>
      <c r="BT183" s="242">
        <f t="shared" si="10"/>
        <v>0</v>
      </c>
      <c r="BU183" s="242"/>
      <c r="BV183" s="242"/>
      <c r="BW183" s="237"/>
      <c r="BX183" s="214"/>
      <c r="BY183" s="1131"/>
      <c r="BZ183" s="1153"/>
      <c r="CA183" s="242"/>
      <c r="CB183" s="242"/>
      <c r="CC183" s="242"/>
      <c r="CD183" s="242">
        <f t="shared" si="11"/>
        <v>0</v>
      </c>
      <c r="CE183" s="242"/>
      <c r="CF183" s="242"/>
      <c r="CG183" s="214"/>
      <c r="CH183" s="214"/>
      <c r="CI183" s="1131"/>
      <c r="CJ183" s="1153"/>
      <c r="CK183" s="242"/>
      <c r="CL183" s="242"/>
      <c r="CM183" s="242"/>
      <c r="CN183" s="242">
        <f t="shared" si="12"/>
        <v>0</v>
      </c>
      <c r="CO183" s="242"/>
      <c r="CP183" s="242"/>
      <c r="CQ183" s="214"/>
      <c r="CR183" s="214"/>
      <c r="CS183" s="1131"/>
      <c r="CT183" s="1153"/>
      <c r="CU183" s="242"/>
      <c r="CV183" s="242"/>
      <c r="CW183" s="242"/>
      <c r="CX183" s="242">
        <f t="shared" si="13"/>
        <v>0</v>
      </c>
      <c r="CY183" s="242"/>
      <c r="CZ183" s="242"/>
      <c r="DA183" s="237"/>
      <c r="DB183" s="214"/>
      <c r="DC183" s="1131"/>
      <c r="DD183" s="1153"/>
      <c r="DE183" s="242"/>
      <c r="DF183" s="242"/>
      <c r="DG183" s="242"/>
      <c r="DH183" s="242">
        <f t="shared" si="14"/>
        <v>0</v>
      </c>
      <c r="DI183" s="242"/>
      <c r="DJ183" s="242"/>
      <c r="DK183" s="214"/>
      <c r="DL183" s="214"/>
      <c r="DM183" s="1131"/>
      <c r="DN183" s="1153"/>
      <c r="DO183" s="242"/>
      <c r="DP183" s="242"/>
      <c r="DQ183" s="242"/>
      <c r="DR183" s="242">
        <f t="shared" si="15"/>
        <v>0</v>
      </c>
      <c r="DS183" s="242"/>
      <c r="DT183" s="242"/>
      <c r="DU183" s="214"/>
      <c r="DV183" s="214"/>
      <c r="DW183" s="1131"/>
      <c r="DX183" s="1153"/>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24"/>
      <c r="C184" s="1124"/>
      <c r="D184" s="1124"/>
      <c r="E184" s="1124"/>
      <c r="F184" s="1125">
        <f t="shared" si="2"/>
        <v>0</v>
      </c>
      <c r="G184" s="1126" t="str">
        <f t="shared" si="3"/>
        <v/>
      </c>
      <c r="H184" s="112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7">
        <f t="shared" si="195"/>
        <v>0</v>
      </c>
      <c r="J184" s="1128">
        <f t="shared" si="195"/>
        <v>0</v>
      </c>
      <c r="K184" s="214"/>
      <c r="L184" s="242" t="str">
        <f t="array" ref="L184">IFERROR(INDEX('💻シート作成'!$D$6:$D999, MATCH(M184, '💻シート作成'!$E$6:$E999, 0)), "")</f>
        <v/>
      </c>
      <c r="M184" s="1023"/>
      <c r="N184" s="214"/>
      <c r="O184" s="1087"/>
      <c r="P184" s="214"/>
      <c r="Q184" s="1131"/>
      <c r="R184" s="1153"/>
      <c r="S184" s="242"/>
      <c r="T184" s="242"/>
      <c r="U184" s="242"/>
      <c r="V184" s="242">
        <f t="shared" si="5"/>
        <v>0</v>
      </c>
      <c r="W184" s="242"/>
      <c r="X184" s="242"/>
      <c r="Y184" s="214"/>
      <c r="Z184" s="214"/>
      <c r="AA184" s="1131"/>
      <c r="AB184" s="1153"/>
      <c r="AC184" s="242"/>
      <c r="AD184" s="242"/>
      <c r="AE184" s="242"/>
      <c r="AF184" s="242">
        <f t="shared" si="6"/>
        <v>0</v>
      </c>
      <c r="AG184" s="242"/>
      <c r="AH184" s="242"/>
      <c r="AI184" s="214"/>
      <c r="AJ184" s="214"/>
      <c r="AK184" s="1131"/>
      <c r="AL184" s="1153"/>
      <c r="AM184" s="242"/>
      <c r="AN184" s="242"/>
      <c r="AO184" s="242"/>
      <c r="AP184" s="242">
        <f t="shared" si="7"/>
        <v>0</v>
      </c>
      <c r="AQ184" s="242"/>
      <c r="AR184" s="242"/>
      <c r="AS184" s="237"/>
      <c r="AT184" s="214"/>
      <c r="AU184" s="1138"/>
      <c r="AV184" s="1155"/>
      <c r="AW184" s="1140"/>
      <c r="AX184" s="1140"/>
      <c r="AY184" s="1140"/>
      <c r="AZ184" s="1140">
        <f t="shared" si="8"/>
        <v>0</v>
      </c>
      <c r="BA184" s="1140"/>
      <c r="BB184" s="1140"/>
      <c r="BC184" s="214"/>
      <c r="BD184" s="214"/>
      <c r="BE184" s="1131"/>
      <c r="BF184" s="1153"/>
      <c r="BG184" s="242"/>
      <c r="BH184" s="242"/>
      <c r="BI184" s="242"/>
      <c r="BJ184" s="242">
        <f t="shared" si="9"/>
        <v>0</v>
      </c>
      <c r="BK184" s="242"/>
      <c r="BL184" s="242"/>
      <c r="BM184" s="214"/>
      <c r="BN184" s="214"/>
      <c r="BO184" s="1131"/>
      <c r="BP184" s="1153"/>
      <c r="BQ184" s="242"/>
      <c r="BR184" s="242"/>
      <c r="BS184" s="242"/>
      <c r="BT184" s="242">
        <f t="shared" si="10"/>
        <v>0</v>
      </c>
      <c r="BU184" s="242"/>
      <c r="BV184" s="242"/>
      <c r="BW184" s="237"/>
      <c r="BX184" s="214"/>
      <c r="BY184" s="1131"/>
      <c r="BZ184" s="1153"/>
      <c r="CA184" s="242"/>
      <c r="CB184" s="242"/>
      <c r="CC184" s="242"/>
      <c r="CD184" s="242">
        <f t="shared" si="11"/>
        <v>0</v>
      </c>
      <c r="CE184" s="242"/>
      <c r="CF184" s="242"/>
      <c r="CG184" s="214"/>
      <c r="CH184" s="214"/>
      <c r="CI184" s="1131"/>
      <c r="CJ184" s="1153"/>
      <c r="CK184" s="242"/>
      <c r="CL184" s="242"/>
      <c r="CM184" s="242"/>
      <c r="CN184" s="242">
        <f t="shared" si="12"/>
        <v>0</v>
      </c>
      <c r="CO184" s="242"/>
      <c r="CP184" s="242"/>
      <c r="CQ184" s="214"/>
      <c r="CR184" s="214"/>
      <c r="CS184" s="1131"/>
      <c r="CT184" s="1153"/>
      <c r="CU184" s="242"/>
      <c r="CV184" s="242"/>
      <c r="CW184" s="242"/>
      <c r="CX184" s="242">
        <f t="shared" si="13"/>
        <v>0</v>
      </c>
      <c r="CY184" s="242"/>
      <c r="CZ184" s="242"/>
      <c r="DA184" s="237"/>
      <c r="DB184" s="214"/>
      <c r="DC184" s="1131"/>
      <c r="DD184" s="1153"/>
      <c r="DE184" s="242"/>
      <c r="DF184" s="242"/>
      <c r="DG184" s="242"/>
      <c r="DH184" s="242">
        <f t="shared" si="14"/>
        <v>0</v>
      </c>
      <c r="DI184" s="242"/>
      <c r="DJ184" s="242"/>
      <c r="DK184" s="214"/>
      <c r="DL184" s="214"/>
      <c r="DM184" s="1131"/>
      <c r="DN184" s="1153"/>
      <c r="DO184" s="242"/>
      <c r="DP184" s="242"/>
      <c r="DQ184" s="242"/>
      <c r="DR184" s="242">
        <f t="shared" si="15"/>
        <v>0</v>
      </c>
      <c r="DS184" s="242"/>
      <c r="DT184" s="242"/>
      <c r="DU184" s="214"/>
      <c r="DV184" s="214"/>
      <c r="DW184" s="1131"/>
      <c r="DX184" s="1153"/>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24"/>
      <c r="C185" s="1124"/>
      <c r="D185" s="1124"/>
      <c r="E185" s="1124"/>
      <c r="F185" s="1125">
        <f t="shared" si="2"/>
        <v>0</v>
      </c>
      <c r="G185" s="1126" t="str">
        <f t="shared" si="3"/>
        <v/>
      </c>
      <c r="H185" s="112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7">
        <f t="shared" si="196"/>
        <v>0</v>
      </c>
      <c r="J185" s="1128">
        <f t="shared" si="196"/>
        <v>0</v>
      </c>
      <c r="K185" s="214"/>
      <c r="L185" s="242" t="str">
        <f t="array" ref="L185">IFERROR(INDEX('💻シート作成'!$D$6:$D999, MATCH(M185, '💻シート作成'!$E$6:$E999, 0)), "")</f>
        <v/>
      </c>
      <c r="M185" s="1023"/>
      <c r="N185" s="214"/>
      <c r="O185" s="1087"/>
      <c r="P185" s="214"/>
      <c r="Q185" s="1131"/>
      <c r="R185" s="1153"/>
      <c r="S185" s="242"/>
      <c r="T185" s="242"/>
      <c r="U185" s="242"/>
      <c r="V185" s="242">
        <f t="shared" si="5"/>
        <v>0</v>
      </c>
      <c r="W185" s="242"/>
      <c r="X185" s="242"/>
      <c r="Y185" s="214"/>
      <c r="Z185" s="214"/>
      <c r="AA185" s="1131"/>
      <c r="AB185" s="1153"/>
      <c r="AC185" s="242"/>
      <c r="AD185" s="242"/>
      <c r="AE185" s="242"/>
      <c r="AF185" s="242">
        <f t="shared" si="6"/>
        <v>0</v>
      </c>
      <c r="AG185" s="242"/>
      <c r="AH185" s="242"/>
      <c r="AI185" s="214"/>
      <c r="AJ185" s="214"/>
      <c r="AK185" s="1131"/>
      <c r="AL185" s="1153"/>
      <c r="AM185" s="242"/>
      <c r="AN185" s="242"/>
      <c r="AO185" s="242"/>
      <c r="AP185" s="242">
        <f t="shared" si="7"/>
        <v>0</v>
      </c>
      <c r="AQ185" s="242"/>
      <c r="AR185" s="242"/>
      <c r="AS185" s="237"/>
      <c r="AT185" s="214"/>
      <c r="AU185" s="1138"/>
      <c r="AV185" s="1155"/>
      <c r="AW185" s="1140"/>
      <c r="AX185" s="1140"/>
      <c r="AY185" s="1140"/>
      <c r="AZ185" s="1140">
        <f t="shared" si="8"/>
        <v>0</v>
      </c>
      <c r="BA185" s="1140"/>
      <c r="BB185" s="1140"/>
      <c r="BC185" s="214"/>
      <c r="BD185" s="214"/>
      <c r="BE185" s="1131"/>
      <c r="BF185" s="1153"/>
      <c r="BG185" s="242"/>
      <c r="BH185" s="242"/>
      <c r="BI185" s="242"/>
      <c r="BJ185" s="242">
        <f t="shared" si="9"/>
        <v>0</v>
      </c>
      <c r="BK185" s="242"/>
      <c r="BL185" s="242"/>
      <c r="BM185" s="214"/>
      <c r="BN185" s="214"/>
      <c r="BO185" s="1131"/>
      <c r="BP185" s="1153"/>
      <c r="BQ185" s="242"/>
      <c r="BR185" s="242"/>
      <c r="BS185" s="242"/>
      <c r="BT185" s="242">
        <f t="shared" si="10"/>
        <v>0</v>
      </c>
      <c r="BU185" s="242"/>
      <c r="BV185" s="242"/>
      <c r="BW185" s="237"/>
      <c r="BX185" s="214"/>
      <c r="BY185" s="1131"/>
      <c r="BZ185" s="1153"/>
      <c r="CA185" s="242"/>
      <c r="CB185" s="242"/>
      <c r="CC185" s="242"/>
      <c r="CD185" s="242">
        <f t="shared" si="11"/>
        <v>0</v>
      </c>
      <c r="CE185" s="242"/>
      <c r="CF185" s="242"/>
      <c r="CG185" s="214"/>
      <c r="CH185" s="214"/>
      <c r="CI185" s="1131"/>
      <c r="CJ185" s="1153"/>
      <c r="CK185" s="242"/>
      <c r="CL185" s="242"/>
      <c r="CM185" s="242"/>
      <c r="CN185" s="242">
        <f t="shared" si="12"/>
        <v>0</v>
      </c>
      <c r="CO185" s="242"/>
      <c r="CP185" s="242"/>
      <c r="CQ185" s="214"/>
      <c r="CR185" s="214"/>
      <c r="CS185" s="1131"/>
      <c r="CT185" s="1153"/>
      <c r="CU185" s="242"/>
      <c r="CV185" s="242"/>
      <c r="CW185" s="242"/>
      <c r="CX185" s="242">
        <f t="shared" si="13"/>
        <v>0</v>
      </c>
      <c r="CY185" s="242"/>
      <c r="CZ185" s="242"/>
      <c r="DA185" s="237"/>
      <c r="DB185" s="214"/>
      <c r="DC185" s="1131"/>
      <c r="DD185" s="1153"/>
      <c r="DE185" s="242"/>
      <c r="DF185" s="242"/>
      <c r="DG185" s="242"/>
      <c r="DH185" s="242">
        <f t="shared" si="14"/>
        <v>0</v>
      </c>
      <c r="DI185" s="242"/>
      <c r="DJ185" s="242"/>
      <c r="DK185" s="214"/>
      <c r="DL185" s="214"/>
      <c r="DM185" s="1131"/>
      <c r="DN185" s="1153"/>
      <c r="DO185" s="242"/>
      <c r="DP185" s="242"/>
      <c r="DQ185" s="242"/>
      <c r="DR185" s="242">
        <f t="shared" si="15"/>
        <v>0</v>
      </c>
      <c r="DS185" s="242"/>
      <c r="DT185" s="242"/>
      <c r="DU185" s="214"/>
      <c r="DV185" s="214"/>
      <c r="DW185" s="1131"/>
      <c r="DX185" s="1153"/>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24"/>
      <c r="C186" s="1124"/>
      <c r="D186" s="1124"/>
      <c r="E186" s="1124"/>
      <c r="F186" s="1125">
        <f t="shared" si="2"/>
        <v>0</v>
      </c>
      <c r="G186" s="1126" t="str">
        <f t="shared" si="3"/>
        <v/>
      </c>
      <c r="H186" s="112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7">
        <f t="shared" si="197"/>
        <v>0</v>
      </c>
      <c r="J186" s="1128">
        <f t="shared" si="197"/>
        <v>0</v>
      </c>
      <c r="K186" s="214"/>
      <c r="L186" s="242" t="str">
        <f t="array" ref="L186">IFERROR(INDEX('💻シート作成'!$D$6:$D999, MATCH(M186, '💻シート作成'!$E$6:$E999, 0)), "")</f>
        <v/>
      </c>
      <c r="M186" s="1023"/>
      <c r="N186" s="214"/>
      <c r="O186" s="1087"/>
      <c r="P186" s="214"/>
      <c r="Q186" s="1131"/>
      <c r="R186" s="1153"/>
      <c r="S186" s="242"/>
      <c r="T186" s="242"/>
      <c r="U186" s="242"/>
      <c r="V186" s="242">
        <f t="shared" si="5"/>
        <v>0</v>
      </c>
      <c r="W186" s="242"/>
      <c r="X186" s="242"/>
      <c r="Y186" s="214"/>
      <c r="Z186" s="214"/>
      <c r="AA186" s="1131"/>
      <c r="AB186" s="1153"/>
      <c r="AC186" s="242"/>
      <c r="AD186" s="242"/>
      <c r="AE186" s="242"/>
      <c r="AF186" s="242">
        <f t="shared" si="6"/>
        <v>0</v>
      </c>
      <c r="AG186" s="242"/>
      <c r="AH186" s="242"/>
      <c r="AI186" s="214"/>
      <c r="AJ186" s="214"/>
      <c r="AK186" s="1131"/>
      <c r="AL186" s="1153"/>
      <c r="AM186" s="242"/>
      <c r="AN186" s="242"/>
      <c r="AO186" s="242"/>
      <c r="AP186" s="242">
        <f t="shared" si="7"/>
        <v>0</v>
      </c>
      <c r="AQ186" s="242"/>
      <c r="AR186" s="242"/>
      <c r="AS186" s="237"/>
      <c r="AT186" s="214"/>
      <c r="AU186" s="1138"/>
      <c r="AV186" s="1155"/>
      <c r="AW186" s="1140"/>
      <c r="AX186" s="1140"/>
      <c r="AY186" s="1140"/>
      <c r="AZ186" s="1140">
        <f t="shared" si="8"/>
        <v>0</v>
      </c>
      <c r="BA186" s="1140"/>
      <c r="BB186" s="1140"/>
      <c r="BC186" s="214"/>
      <c r="BD186" s="214"/>
      <c r="BE186" s="1131"/>
      <c r="BF186" s="1153"/>
      <c r="BG186" s="242"/>
      <c r="BH186" s="242"/>
      <c r="BI186" s="242"/>
      <c r="BJ186" s="242">
        <f t="shared" si="9"/>
        <v>0</v>
      </c>
      <c r="BK186" s="242"/>
      <c r="BL186" s="242"/>
      <c r="BM186" s="214"/>
      <c r="BN186" s="214"/>
      <c r="BO186" s="1131"/>
      <c r="BP186" s="1153"/>
      <c r="BQ186" s="242"/>
      <c r="BR186" s="242"/>
      <c r="BS186" s="242"/>
      <c r="BT186" s="242">
        <f t="shared" si="10"/>
        <v>0</v>
      </c>
      <c r="BU186" s="242"/>
      <c r="BV186" s="242"/>
      <c r="BW186" s="237"/>
      <c r="BX186" s="214"/>
      <c r="BY186" s="1131"/>
      <c r="BZ186" s="1153"/>
      <c r="CA186" s="242"/>
      <c r="CB186" s="242"/>
      <c r="CC186" s="242"/>
      <c r="CD186" s="242">
        <f t="shared" si="11"/>
        <v>0</v>
      </c>
      <c r="CE186" s="242"/>
      <c r="CF186" s="242"/>
      <c r="CG186" s="214"/>
      <c r="CH186" s="214"/>
      <c r="CI186" s="1131"/>
      <c r="CJ186" s="1153"/>
      <c r="CK186" s="242"/>
      <c r="CL186" s="242"/>
      <c r="CM186" s="242"/>
      <c r="CN186" s="242">
        <f t="shared" si="12"/>
        <v>0</v>
      </c>
      <c r="CO186" s="242"/>
      <c r="CP186" s="242"/>
      <c r="CQ186" s="214"/>
      <c r="CR186" s="214"/>
      <c r="CS186" s="1131"/>
      <c r="CT186" s="1153"/>
      <c r="CU186" s="242"/>
      <c r="CV186" s="242"/>
      <c r="CW186" s="242"/>
      <c r="CX186" s="242">
        <f t="shared" si="13"/>
        <v>0</v>
      </c>
      <c r="CY186" s="242"/>
      <c r="CZ186" s="242"/>
      <c r="DA186" s="237"/>
      <c r="DB186" s="214"/>
      <c r="DC186" s="1131"/>
      <c r="DD186" s="1153"/>
      <c r="DE186" s="242"/>
      <c r="DF186" s="242"/>
      <c r="DG186" s="242"/>
      <c r="DH186" s="242">
        <f t="shared" si="14"/>
        <v>0</v>
      </c>
      <c r="DI186" s="242"/>
      <c r="DJ186" s="242"/>
      <c r="DK186" s="214"/>
      <c r="DL186" s="214"/>
      <c r="DM186" s="1131"/>
      <c r="DN186" s="1153"/>
      <c r="DO186" s="242"/>
      <c r="DP186" s="242"/>
      <c r="DQ186" s="242"/>
      <c r="DR186" s="242">
        <f t="shared" si="15"/>
        <v>0</v>
      </c>
      <c r="DS186" s="242"/>
      <c r="DT186" s="242"/>
      <c r="DU186" s="214"/>
      <c r="DV186" s="214"/>
      <c r="DW186" s="1131"/>
      <c r="DX186" s="1153"/>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24"/>
      <c r="C187" s="1124"/>
      <c r="D187" s="1124"/>
      <c r="E187" s="1124"/>
      <c r="F187" s="1125">
        <f t="shared" si="2"/>
        <v>0</v>
      </c>
      <c r="G187" s="1126" t="str">
        <f t="shared" si="3"/>
        <v/>
      </c>
      <c r="H187" s="112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7">
        <f t="shared" si="198"/>
        <v>0</v>
      </c>
      <c r="J187" s="1128">
        <f t="shared" si="198"/>
        <v>0</v>
      </c>
      <c r="K187" s="214"/>
      <c r="L187" s="242" t="str">
        <f t="array" ref="L187">IFERROR(INDEX('💻シート作成'!$D$6:$D999, MATCH(M187, '💻シート作成'!$E$6:$E999, 0)), "")</f>
        <v/>
      </c>
      <c r="M187" s="1023"/>
      <c r="N187" s="214"/>
      <c r="O187" s="1087"/>
      <c r="P187" s="214"/>
      <c r="Q187" s="1131"/>
      <c r="R187" s="1153"/>
      <c r="S187" s="242"/>
      <c r="T187" s="242"/>
      <c r="U187" s="242"/>
      <c r="V187" s="242">
        <f t="shared" si="5"/>
        <v>0</v>
      </c>
      <c r="W187" s="242"/>
      <c r="X187" s="242"/>
      <c r="Y187" s="214"/>
      <c r="Z187" s="214"/>
      <c r="AA187" s="1131"/>
      <c r="AB187" s="1153"/>
      <c r="AC187" s="242"/>
      <c r="AD187" s="242"/>
      <c r="AE187" s="242"/>
      <c r="AF187" s="242">
        <f t="shared" si="6"/>
        <v>0</v>
      </c>
      <c r="AG187" s="242"/>
      <c r="AH187" s="242"/>
      <c r="AI187" s="214"/>
      <c r="AJ187" s="214"/>
      <c r="AK187" s="1131"/>
      <c r="AL187" s="1153"/>
      <c r="AM187" s="242"/>
      <c r="AN187" s="242"/>
      <c r="AO187" s="242"/>
      <c r="AP187" s="242">
        <f t="shared" si="7"/>
        <v>0</v>
      </c>
      <c r="AQ187" s="242"/>
      <c r="AR187" s="242"/>
      <c r="AS187" s="237"/>
      <c r="AT187" s="214"/>
      <c r="AU187" s="1138"/>
      <c r="AV187" s="1155"/>
      <c r="AW187" s="1140"/>
      <c r="AX187" s="1140"/>
      <c r="AY187" s="1140"/>
      <c r="AZ187" s="1140">
        <f t="shared" si="8"/>
        <v>0</v>
      </c>
      <c r="BA187" s="1140"/>
      <c r="BB187" s="1140"/>
      <c r="BC187" s="214"/>
      <c r="BD187" s="214"/>
      <c r="BE187" s="1131"/>
      <c r="BF187" s="1153"/>
      <c r="BG187" s="242"/>
      <c r="BH187" s="242"/>
      <c r="BI187" s="242"/>
      <c r="BJ187" s="242">
        <f t="shared" si="9"/>
        <v>0</v>
      </c>
      <c r="BK187" s="242"/>
      <c r="BL187" s="242"/>
      <c r="BM187" s="214"/>
      <c r="BN187" s="214"/>
      <c r="BO187" s="1131"/>
      <c r="BP187" s="1153"/>
      <c r="BQ187" s="242"/>
      <c r="BR187" s="242"/>
      <c r="BS187" s="242"/>
      <c r="BT187" s="242">
        <f t="shared" si="10"/>
        <v>0</v>
      </c>
      <c r="BU187" s="242"/>
      <c r="BV187" s="242"/>
      <c r="BW187" s="237"/>
      <c r="BX187" s="214"/>
      <c r="BY187" s="1131"/>
      <c r="BZ187" s="1153"/>
      <c r="CA187" s="242"/>
      <c r="CB187" s="242"/>
      <c r="CC187" s="242"/>
      <c r="CD187" s="242">
        <f t="shared" si="11"/>
        <v>0</v>
      </c>
      <c r="CE187" s="242"/>
      <c r="CF187" s="242"/>
      <c r="CG187" s="214"/>
      <c r="CH187" s="214"/>
      <c r="CI187" s="1131"/>
      <c r="CJ187" s="1153"/>
      <c r="CK187" s="242"/>
      <c r="CL187" s="242"/>
      <c r="CM187" s="242"/>
      <c r="CN187" s="242">
        <f t="shared" si="12"/>
        <v>0</v>
      </c>
      <c r="CO187" s="242"/>
      <c r="CP187" s="242"/>
      <c r="CQ187" s="214"/>
      <c r="CR187" s="214"/>
      <c r="CS187" s="1131"/>
      <c r="CT187" s="1153"/>
      <c r="CU187" s="242"/>
      <c r="CV187" s="242"/>
      <c r="CW187" s="242"/>
      <c r="CX187" s="242">
        <f t="shared" si="13"/>
        <v>0</v>
      </c>
      <c r="CY187" s="242"/>
      <c r="CZ187" s="242"/>
      <c r="DA187" s="237"/>
      <c r="DB187" s="214"/>
      <c r="DC187" s="1131"/>
      <c r="DD187" s="1153"/>
      <c r="DE187" s="242"/>
      <c r="DF187" s="242"/>
      <c r="DG187" s="242"/>
      <c r="DH187" s="242">
        <f t="shared" si="14"/>
        <v>0</v>
      </c>
      <c r="DI187" s="242"/>
      <c r="DJ187" s="242"/>
      <c r="DK187" s="214"/>
      <c r="DL187" s="214"/>
      <c r="DM187" s="1131"/>
      <c r="DN187" s="1153"/>
      <c r="DO187" s="242"/>
      <c r="DP187" s="242"/>
      <c r="DQ187" s="242"/>
      <c r="DR187" s="242">
        <f t="shared" si="15"/>
        <v>0</v>
      </c>
      <c r="DS187" s="242"/>
      <c r="DT187" s="242"/>
      <c r="DU187" s="214"/>
      <c r="DV187" s="214"/>
      <c r="DW187" s="1131"/>
      <c r="DX187" s="1153"/>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24"/>
      <c r="C188" s="1124"/>
      <c r="D188" s="1124"/>
      <c r="E188" s="1124"/>
      <c r="F188" s="1125">
        <f t="shared" si="2"/>
        <v>0</v>
      </c>
      <c r="G188" s="1126" t="str">
        <f t="shared" si="3"/>
        <v/>
      </c>
      <c r="H188" s="112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7">
        <f t="shared" si="199"/>
        <v>0</v>
      </c>
      <c r="J188" s="1128">
        <f t="shared" si="199"/>
        <v>0</v>
      </c>
      <c r="K188" s="214"/>
      <c r="L188" s="242" t="str">
        <f t="array" ref="L188">IFERROR(INDEX('💻シート作成'!$D$6:$D999, MATCH(M188, '💻シート作成'!$E$6:$E999, 0)), "")</f>
        <v/>
      </c>
      <c r="M188" s="1023"/>
      <c r="N188" s="214"/>
      <c r="O188" s="1087"/>
      <c r="P188" s="214"/>
      <c r="Q188" s="1131"/>
      <c r="R188" s="1153"/>
      <c r="S188" s="242"/>
      <c r="T188" s="242"/>
      <c r="U188" s="242"/>
      <c r="V188" s="242">
        <f t="shared" si="5"/>
        <v>0</v>
      </c>
      <c r="W188" s="242"/>
      <c r="X188" s="242"/>
      <c r="Y188" s="214"/>
      <c r="Z188" s="214"/>
      <c r="AA188" s="1131"/>
      <c r="AB188" s="1153"/>
      <c r="AC188" s="242"/>
      <c r="AD188" s="242"/>
      <c r="AE188" s="242"/>
      <c r="AF188" s="242">
        <f t="shared" si="6"/>
        <v>0</v>
      </c>
      <c r="AG188" s="242"/>
      <c r="AH188" s="242"/>
      <c r="AI188" s="214"/>
      <c r="AJ188" s="214"/>
      <c r="AK188" s="1131"/>
      <c r="AL188" s="1153"/>
      <c r="AM188" s="242"/>
      <c r="AN188" s="242"/>
      <c r="AO188" s="242"/>
      <c r="AP188" s="242">
        <f t="shared" si="7"/>
        <v>0</v>
      </c>
      <c r="AQ188" s="242"/>
      <c r="AR188" s="242"/>
      <c r="AS188" s="237"/>
      <c r="AT188" s="214"/>
      <c r="AU188" s="1138"/>
      <c r="AV188" s="1155"/>
      <c r="AW188" s="1140"/>
      <c r="AX188" s="1140"/>
      <c r="AY188" s="1140"/>
      <c r="AZ188" s="1140">
        <f t="shared" si="8"/>
        <v>0</v>
      </c>
      <c r="BA188" s="1140"/>
      <c r="BB188" s="1140"/>
      <c r="BC188" s="214"/>
      <c r="BD188" s="214"/>
      <c r="BE188" s="1131"/>
      <c r="BF188" s="1153"/>
      <c r="BG188" s="242"/>
      <c r="BH188" s="242"/>
      <c r="BI188" s="242"/>
      <c r="BJ188" s="242">
        <f t="shared" si="9"/>
        <v>0</v>
      </c>
      <c r="BK188" s="242"/>
      <c r="BL188" s="242"/>
      <c r="BM188" s="214"/>
      <c r="BN188" s="214"/>
      <c r="BO188" s="1131"/>
      <c r="BP188" s="1153"/>
      <c r="BQ188" s="242"/>
      <c r="BR188" s="242"/>
      <c r="BS188" s="242"/>
      <c r="BT188" s="242">
        <f t="shared" si="10"/>
        <v>0</v>
      </c>
      <c r="BU188" s="242"/>
      <c r="BV188" s="242"/>
      <c r="BW188" s="237"/>
      <c r="BX188" s="214"/>
      <c r="BY188" s="1131"/>
      <c r="BZ188" s="1153"/>
      <c r="CA188" s="242"/>
      <c r="CB188" s="242"/>
      <c r="CC188" s="242"/>
      <c r="CD188" s="242">
        <f t="shared" si="11"/>
        <v>0</v>
      </c>
      <c r="CE188" s="242"/>
      <c r="CF188" s="242"/>
      <c r="CG188" s="214"/>
      <c r="CH188" s="214"/>
      <c r="CI188" s="1131"/>
      <c r="CJ188" s="1153"/>
      <c r="CK188" s="242"/>
      <c r="CL188" s="242"/>
      <c r="CM188" s="242"/>
      <c r="CN188" s="242">
        <f t="shared" si="12"/>
        <v>0</v>
      </c>
      <c r="CO188" s="242"/>
      <c r="CP188" s="242"/>
      <c r="CQ188" s="214"/>
      <c r="CR188" s="214"/>
      <c r="CS188" s="1131"/>
      <c r="CT188" s="1153"/>
      <c r="CU188" s="242"/>
      <c r="CV188" s="242"/>
      <c r="CW188" s="242"/>
      <c r="CX188" s="242">
        <f t="shared" si="13"/>
        <v>0</v>
      </c>
      <c r="CY188" s="242"/>
      <c r="CZ188" s="242"/>
      <c r="DA188" s="237"/>
      <c r="DB188" s="214"/>
      <c r="DC188" s="1131"/>
      <c r="DD188" s="1153"/>
      <c r="DE188" s="242"/>
      <c r="DF188" s="242"/>
      <c r="DG188" s="242"/>
      <c r="DH188" s="242">
        <f t="shared" si="14"/>
        <v>0</v>
      </c>
      <c r="DI188" s="242"/>
      <c r="DJ188" s="242"/>
      <c r="DK188" s="214"/>
      <c r="DL188" s="214"/>
      <c r="DM188" s="1131"/>
      <c r="DN188" s="1153"/>
      <c r="DO188" s="242"/>
      <c r="DP188" s="242"/>
      <c r="DQ188" s="242"/>
      <c r="DR188" s="242">
        <f t="shared" si="15"/>
        <v>0</v>
      </c>
      <c r="DS188" s="242"/>
      <c r="DT188" s="242"/>
      <c r="DU188" s="214"/>
      <c r="DV188" s="214"/>
      <c r="DW188" s="1131"/>
      <c r="DX188" s="1153"/>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24"/>
      <c r="C189" s="1124"/>
      <c r="D189" s="1124"/>
      <c r="E189" s="1124"/>
      <c r="F189" s="1125">
        <f t="shared" si="2"/>
        <v>0</v>
      </c>
      <c r="G189" s="1126" t="str">
        <f t="shared" si="3"/>
        <v/>
      </c>
      <c r="H189" s="112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7">
        <f t="shared" si="200"/>
        <v>0</v>
      </c>
      <c r="J189" s="1128">
        <f t="shared" si="200"/>
        <v>0</v>
      </c>
      <c r="K189" s="214"/>
      <c r="L189" s="242" t="str">
        <f t="array" ref="L189">IFERROR(INDEX('💻シート作成'!$D$6:$D999, MATCH(M189, '💻シート作成'!$E$6:$E999, 0)), "")</f>
        <v/>
      </c>
      <c r="M189" s="1023"/>
      <c r="N189" s="214"/>
      <c r="O189" s="1087"/>
      <c r="P189" s="214"/>
      <c r="Q189" s="1131"/>
      <c r="R189" s="1153"/>
      <c r="S189" s="242"/>
      <c r="T189" s="242"/>
      <c r="U189" s="242"/>
      <c r="V189" s="242">
        <f t="shared" si="5"/>
        <v>0</v>
      </c>
      <c r="W189" s="242"/>
      <c r="X189" s="242"/>
      <c r="Y189" s="214"/>
      <c r="Z189" s="214"/>
      <c r="AA189" s="1131"/>
      <c r="AB189" s="1153"/>
      <c r="AC189" s="242"/>
      <c r="AD189" s="242"/>
      <c r="AE189" s="242"/>
      <c r="AF189" s="242">
        <f t="shared" si="6"/>
        <v>0</v>
      </c>
      <c r="AG189" s="242"/>
      <c r="AH189" s="242"/>
      <c r="AI189" s="214"/>
      <c r="AJ189" s="214"/>
      <c r="AK189" s="1131"/>
      <c r="AL189" s="1153"/>
      <c r="AM189" s="242"/>
      <c r="AN189" s="242"/>
      <c r="AO189" s="242"/>
      <c r="AP189" s="242">
        <f t="shared" si="7"/>
        <v>0</v>
      </c>
      <c r="AQ189" s="242"/>
      <c r="AR189" s="242"/>
      <c r="AS189" s="237"/>
      <c r="AT189" s="214"/>
      <c r="AU189" s="1138"/>
      <c r="AV189" s="1155"/>
      <c r="AW189" s="1140"/>
      <c r="AX189" s="1140"/>
      <c r="AY189" s="1140"/>
      <c r="AZ189" s="1140">
        <f t="shared" si="8"/>
        <v>0</v>
      </c>
      <c r="BA189" s="1140"/>
      <c r="BB189" s="1140"/>
      <c r="BC189" s="214"/>
      <c r="BD189" s="214"/>
      <c r="BE189" s="1131"/>
      <c r="BF189" s="1153"/>
      <c r="BG189" s="242"/>
      <c r="BH189" s="242"/>
      <c r="BI189" s="242"/>
      <c r="BJ189" s="242">
        <f t="shared" si="9"/>
        <v>0</v>
      </c>
      <c r="BK189" s="242"/>
      <c r="BL189" s="242"/>
      <c r="BM189" s="214"/>
      <c r="BN189" s="214"/>
      <c r="BO189" s="1131"/>
      <c r="BP189" s="1153"/>
      <c r="BQ189" s="242"/>
      <c r="BR189" s="242"/>
      <c r="BS189" s="242"/>
      <c r="BT189" s="242">
        <f t="shared" si="10"/>
        <v>0</v>
      </c>
      <c r="BU189" s="242"/>
      <c r="BV189" s="242"/>
      <c r="BW189" s="237"/>
      <c r="BX189" s="214"/>
      <c r="BY189" s="1131"/>
      <c r="BZ189" s="1153"/>
      <c r="CA189" s="242"/>
      <c r="CB189" s="242"/>
      <c r="CC189" s="242"/>
      <c r="CD189" s="242">
        <f t="shared" si="11"/>
        <v>0</v>
      </c>
      <c r="CE189" s="242"/>
      <c r="CF189" s="242"/>
      <c r="CG189" s="214"/>
      <c r="CH189" s="214"/>
      <c r="CI189" s="1131"/>
      <c r="CJ189" s="1153"/>
      <c r="CK189" s="242"/>
      <c r="CL189" s="242"/>
      <c r="CM189" s="242"/>
      <c r="CN189" s="242">
        <f t="shared" si="12"/>
        <v>0</v>
      </c>
      <c r="CO189" s="242"/>
      <c r="CP189" s="242"/>
      <c r="CQ189" s="214"/>
      <c r="CR189" s="214"/>
      <c r="CS189" s="1131"/>
      <c r="CT189" s="1153"/>
      <c r="CU189" s="242"/>
      <c r="CV189" s="242"/>
      <c r="CW189" s="242"/>
      <c r="CX189" s="242">
        <f t="shared" si="13"/>
        <v>0</v>
      </c>
      <c r="CY189" s="242"/>
      <c r="CZ189" s="242"/>
      <c r="DA189" s="237"/>
      <c r="DB189" s="214"/>
      <c r="DC189" s="1131"/>
      <c r="DD189" s="1153"/>
      <c r="DE189" s="242"/>
      <c r="DF189" s="242"/>
      <c r="DG189" s="242"/>
      <c r="DH189" s="242">
        <f t="shared" si="14"/>
        <v>0</v>
      </c>
      <c r="DI189" s="242"/>
      <c r="DJ189" s="242"/>
      <c r="DK189" s="214"/>
      <c r="DL189" s="214"/>
      <c r="DM189" s="1131"/>
      <c r="DN189" s="1153"/>
      <c r="DO189" s="242"/>
      <c r="DP189" s="242"/>
      <c r="DQ189" s="242"/>
      <c r="DR189" s="242">
        <f t="shared" si="15"/>
        <v>0</v>
      </c>
      <c r="DS189" s="242"/>
      <c r="DT189" s="242"/>
      <c r="DU189" s="214"/>
      <c r="DV189" s="214"/>
      <c r="DW189" s="1131"/>
      <c r="DX189" s="1153"/>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24"/>
      <c r="C190" s="1124"/>
      <c r="D190" s="1124"/>
      <c r="E190" s="1124"/>
      <c r="F190" s="1125">
        <f t="shared" si="2"/>
        <v>0</v>
      </c>
      <c r="G190" s="1126" t="str">
        <f t="shared" si="3"/>
        <v/>
      </c>
      <c r="H190" s="112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7">
        <f t="shared" si="201"/>
        <v>0</v>
      </c>
      <c r="J190" s="1128">
        <f t="shared" si="201"/>
        <v>0</v>
      </c>
      <c r="K190" s="214"/>
      <c r="L190" s="242" t="str">
        <f t="array" ref="L190">IFERROR(INDEX('💻シート作成'!$D$6:$D999, MATCH(M190, '💻シート作成'!$E$6:$E999, 0)), "")</f>
        <v/>
      </c>
      <c r="M190" s="1023"/>
      <c r="N190" s="214"/>
      <c r="O190" s="1087"/>
      <c r="P190" s="214"/>
      <c r="Q190" s="1131"/>
      <c r="R190" s="1153"/>
      <c r="S190" s="242"/>
      <c r="T190" s="242"/>
      <c r="U190" s="242"/>
      <c r="V190" s="242">
        <f t="shared" si="5"/>
        <v>0</v>
      </c>
      <c r="W190" s="242"/>
      <c r="X190" s="242"/>
      <c r="Y190" s="214"/>
      <c r="Z190" s="214"/>
      <c r="AA190" s="1131"/>
      <c r="AB190" s="1153"/>
      <c r="AC190" s="242"/>
      <c r="AD190" s="242"/>
      <c r="AE190" s="242"/>
      <c r="AF190" s="242">
        <f t="shared" si="6"/>
        <v>0</v>
      </c>
      <c r="AG190" s="242"/>
      <c r="AH190" s="242"/>
      <c r="AI190" s="214"/>
      <c r="AJ190" s="214"/>
      <c r="AK190" s="1131"/>
      <c r="AL190" s="1153"/>
      <c r="AM190" s="242"/>
      <c r="AN190" s="242"/>
      <c r="AO190" s="242"/>
      <c r="AP190" s="242">
        <f t="shared" si="7"/>
        <v>0</v>
      </c>
      <c r="AQ190" s="242"/>
      <c r="AR190" s="242"/>
      <c r="AS190" s="237"/>
      <c r="AT190" s="214"/>
      <c r="AU190" s="1138"/>
      <c r="AV190" s="1155"/>
      <c r="AW190" s="1140"/>
      <c r="AX190" s="1140"/>
      <c r="AY190" s="1140"/>
      <c r="AZ190" s="1140">
        <f t="shared" si="8"/>
        <v>0</v>
      </c>
      <c r="BA190" s="1140"/>
      <c r="BB190" s="1140"/>
      <c r="BC190" s="214"/>
      <c r="BD190" s="214"/>
      <c r="BE190" s="1131"/>
      <c r="BF190" s="1153"/>
      <c r="BG190" s="242"/>
      <c r="BH190" s="242"/>
      <c r="BI190" s="242"/>
      <c r="BJ190" s="242">
        <f t="shared" si="9"/>
        <v>0</v>
      </c>
      <c r="BK190" s="242"/>
      <c r="BL190" s="242"/>
      <c r="BM190" s="214"/>
      <c r="BN190" s="214"/>
      <c r="BO190" s="1131"/>
      <c r="BP190" s="1153"/>
      <c r="BQ190" s="242"/>
      <c r="BR190" s="242"/>
      <c r="BS190" s="242"/>
      <c r="BT190" s="242">
        <f t="shared" si="10"/>
        <v>0</v>
      </c>
      <c r="BU190" s="242"/>
      <c r="BV190" s="242"/>
      <c r="BW190" s="237"/>
      <c r="BX190" s="214"/>
      <c r="BY190" s="1131"/>
      <c r="BZ190" s="1153"/>
      <c r="CA190" s="242"/>
      <c r="CB190" s="242"/>
      <c r="CC190" s="242"/>
      <c r="CD190" s="242">
        <f t="shared" si="11"/>
        <v>0</v>
      </c>
      <c r="CE190" s="242"/>
      <c r="CF190" s="242"/>
      <c r="CG190" s="214"/>
      <c r="CH190" s="214"/>
      <c r="CI190" s="1131"/>
      <c r="CJ190" s="1153"/>
      <c r="CK190" s="242"/>
      <c r="CL190" s="242"/>
      <c r="CM190" s="242"/>
      <c r="CN190" s="242">
        <f t="shared" si="12"/>
        <v>0</v>
      </c>
      <c r="CO190" s="242"/>
      <c r="CP190" s="242"/>
      <c r="CQ190" s="214"/>
      <c r="CR190" s="214"/>
      <c r="CS190" s="1131"/>
      <c r="CT190" s="1153"/>
      <c r="CU190" s="242"/>
      <c r="CV190" s="242"/>
      <c r="CW190" s="242"/>
      <c r="CX190" s="242">
        <f t="shared" si="13"/>
        <v>0</v>
      </c>
      <c r="CY190" s="242"/>
      <c r="CZ190" s="242"/>
      <c r="DA190" s="237"/>
      <c r="DB190" s="214"/>
      <c r="DC190" s="1131"/>
      <c r="DD190" s="1153"/>
      <c r="DE190" s="242"/>
      <c r="DF190" s="242"/>
      <c r="DG190" s="242"/>
      <c r="DH190" s="242">
        <f t="shared" si="14"/>
        <v>0</v>
      </c>
      <c r="DI190" s="242"/>
      <c r="DJ190" s="242"/>
      <c r="DK190" s="214"/>
      <c r="DL190" s="214"/>
      <c r="DM190" s="1131"/>
      <c r="DN190" s="1153"/>
      <c r="DO190" s="242"/>
      <c r="DP190" s="242"/>
      <c r="DQ190" s="242"/>
      <c r="DR190" s="242">
        <f t="shared" si="15"/>
        <v>0</v>
      </c>
      <c r="DS190" s="242"/>
      <c r="DT190" s="242"/>
      <c r="DU190" s="214"/>
      <c r="DV190" s="214"/>
      <c r="DW190" s="1131"/>
      <c r="DX190" s="1153"/>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24"/>
      <c r="C191" s="1124"/>
      <c r="D191" s="1124"/>
      <c r="E191" s="1124"/>
      <c r="F191" s="1125">
        <f t="shared" si="2"/>
        <v>0</v>
      </c>
      <c r="G191" s="1126" t="str">
        <f t="shared" si="3"/>
        <v/>
      </c>
      <c r="H191" s="112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7">
        <f t="shared" si="202"/>
        <v>0</v>
      </c>
      <c r="J191" s="1128">
        <f t="shared" si="202"/>
        <v>0</v>
      </c>
      <c r="K191" s="214"/>
      <c r="L191" s="242" t="str">
        <f t="array" ref="L191">IFERROR(INDEX('💻シート作成'!$D$6:$D999, MATCH(M191, '💻シート作成'!$E$6:$E999, 0)), "")</f>
        <v/>
      </c>
      <c r="M191" s="1023"/>
      <c r="N191" s="214"/>
      <c r="O191" s="1087"/>
      <c r="P191" s="214"/>
      <c r="Q191" s="1131"/>
      <c r="R191" s="1153"/>
      <c r="S191" s="242"/>
      <c r="T191" s="242"/>
      <c r="U191" s="242"/>
      <c r="V191" s="242">
        <f t="shared" si="5"/>
        <v>0</v>
      </c>
      <c r="W191" s="242"/>
      <c r="X191" s="242"/>
      <c r="Y191" s="214"/>
      <c r="Z191" s="214"/>
      <c r="AA191" s="1131"/>
      <c r="AB191" s="1153"/>
      <c r="AC191" s="242"/>
      <c r="AD191" s="242"/>
      <c r="AE191" s="242"/>
      <c r="AF191" s="242">
        <f t="shared" si="6"/>
        <v>0</v>
      </c>
      <c r="AG191" s="242"/>
      <c r="AH191" s="242"/>
      <c r="AI191" s="214"/>
      <c r="AJ191" s="214"/>
      <c r="AK191" s="1131"/>
      <c r="AL191" s="1153"/>
      <c r="AM191" s="242"/>
      <c r="AN191" s="242"/>
      <c r="AO191" s="242"/>
      <c r="AP191" s="242">
        <f t="shared" si="7"/>
        <v>0</v>
      </c>
      <c r="AQ191" s="242"/>
      <c r="AR191" s="242"/>
      <c r="AS191" s="237"/>
      <c r="AT191" s="214"/>
      <c r="AU191" s="1138"/>
      <c r="AV191" s="1155"/>
      <c r="AW191" s="1140"/>
      <c r="AX191" s="1140"/>
      <c r="AY191" s="1140"/>
      <c r="AZ191" s="1140">
        <f t="shared" si="8"/>
        <v>0</v>
      </c>
      <c r="BA191" s="1140"/>
      <c r="BB191" s="1140"/>
      <c r="BC191" s="214"/>
      <c r="BD191" s="214"/>
      <c r="BE191" s="1131"/>
      <c r="BF191" s="1153"/>
      <c r="BG191" s="242"/>
      <c r="BH191" s="242"/>
      <c r="BI191" s="242"/>
      <c r="BJ191" s="242">
        <f t="shared" si="9"/>
        <v>0</v>
      </c>
      <c r="BK191" s="242"/>
      <c r="BL191" s="242"/>
      <c r="BM191" s="214"/>
      <c r="BN191" s="214"/>
      <c r="BO191" s="1131"/>
      <c r="BP191" s="1153"/>
      <c r="BQ191" s="242"/>
      <c r="BR191" s="242"/>
      <c r="BS191" s="242"/>
      <c r="BT191" s="242">
        <f t="shared" si="10"/>
        <v>0</v>
      </c>
      <c r="BU191" s="242"/>
      <c r="BV191" s="242"/>
      <c r="BW191" s="237"/>
      <c r="BX191" s="214"/>
      <c r="BY191" s="1131"/>
      <c r="BZ191" s="1153"/>
      <c r="CA191" s="242"/>
      <c r="CB191" s="242"/>
      <c r="CC191" s="242"/>
      <c r="CD191" s="242">
        <f t="shared" si="11"/>
        <v>0</v>
      </c>
      <c r="CE191" s="242"/>
      <c r="CF191" s="242"/>
      <c r="CG191" s="214"/>
      <c r="CH191" s="214"/>
      <c r="CI191" s="1131"/>
      <c r="CJ191" s="1153"/>
      <c r="CK191" s="242"/>
      <c r="CL191" s="242"/>
      <c r="CM191" s="242"/>
      <c r="CN191" s="242">
        <f t="shared" si="12"/>
        <v>0</v>
      </c>
      <c r="CO191" s="242"/>
      <c r="CP191" s="242"/>
      <c r="CQ191" s="214"/>
      <c r="CR191" s="214"/>
      <c r="CS191" s="1131"/>
      <c r="CT191" s="1153"/>
      <c r="CU191" s="242"/>
      <c r="CV191" s="242"/>
      <c r="CW191" s="242"/>
      <c r="CX191" s="242">
        <f t="shared" si="13"/>
        <v>0</v>
      </c>
      <c r="CY191" s="242"/>
      <c r="CZ191" s="242"/>
      <c r="DA191" s="237"/>
      <c r="DB191" s="214"/>
      <c r="DC191" s="1131"/>
      <c r="DD191" s="1153"/>
      <c r="DE191" s="242"/>
      <c r="DF191" s="242"/>
      <c r="DG191" s="242"/>
      <c r="DH191" s="242">
        <f t="shared" si="14"/>
        <v>0</v>
      </c>
      <c r="DI191" s="242"/>
      <c r="DJ191" s="242"/>
      <c r="DK191" s="214"/>
      <c r="DL191" s="214"/>
      <c r="DM191" s="1131"/>
      <c r="DN191" s="1153"/>
      <c r="DO191" s="242"/>
      <c r="DP191" s="242"/>
      <c r="DQ191" s="242"/>
      <c r="DR191" s="242">
        <f t="shared" si="15"/>
        <v>0</v>
      </c>
      <c r="DS191" s="242"/>
      <c r="DT191" s="242"/>
      <c r="DU191" s="214"/>
      <c r="DV191" s="214"/>
      <c r="DW191" s="1131"/>
      <c r="DX191" s="1153"/>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24"/>
      <c r="C192" s="1124"/>
      <c r="D192" s="1124"/>
      <c r="E192" s="1124"/>
      <c r="F192" s="1125">
        <f t="shared" si="2"/>
        <v>0</v>
      </c>
      <c r="G192" s="1126" t="str">
        <f t="shared" si="3"/>
        <v/>
      </c>
      <c r="H192" s="112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7">
        <f t="shared" si="203"/>
        <v>0</v>
      </c>
      <c r="J192" s="1128">
        <f t="shared" si="203"/>
        <v>0</v>
      </c>
      <c r="K192" s="214"/>
      <c r="L192" s="242" t="str">
        <f t="array" ref="L192">IFERROR(INDEX('💻シート作成'!$D$6:$D999, MATCH(M192, '💻シート作成'!$E$6:$E999, 0)), "")</f>
        <v/>
      </c>
      <c r="M192" s="1023"/>
      <c r="N192" s="214"/>
      <c r="O192" s="1087"/>
      <c r="P192" s="214"/>
      <c r="Q192" s="1131"/>
      <c r="R192" s="1153"/>
      <c r="S192" s="242"/>
      <c r="T192" s="242"/>
      <c r="U192" s="242"/>
      <c r="V192" s="242">
        <f t="shared" si="5"/>
        <v>0</v>
      </c>
      <c r="W192" s="242"/>
      <c r="X192" s="242"/>
      <c r="Y192" s="214"/>
      <c r="Z192" s="214"/>
      <c r="AA192" s="1131"/>
      <c r="AB192" s="1153"/>
      <c r="AC192" s="242"/>
      <c r="AD192" s="242"/>
      <c r="AE192" s="242"/>
      <c r="AF192" s="242">
        <f t="shared" si="6"/>
        <v>0</v>
      </c>
      <c r="AG192" s="242"/>
      <c r="AH192" s="242"/>
      <c r="AI192" s="214"/>
      <c r="AJ192" s="214"/>
      <c r="AK192" s="1131"/>
      <c r="AL192" s="1153"/>
      <c r="AM192" s="242"/>
      <c r="AN192" s="242"/>
      <c r="AO192" s="242"/>
      <c r="AP192" s="242">
        <f t="shared" si="7"/>
        <v>0</v>
      </c>
      <c r="AQ192" s="242"/>
      <c r="AR192" s="242"/>
      <c r="AS192" s="237"/>
      <c r="AT192" s="214"/>
      <c r="AU192" s="1138"/>
      <c r="AV192" s="1155"/>
      <c r="AW192" s="1140"/>
      <c r="AX192" s="1140"/>
      <c r="AY192" s="1140"/>
      <c r="AZ192" s="1140">
        <f t="shared" si="8"/>
        <v>0</v>
      </c>
      <c r="BA192" s="1140"/>
      <c r="BB192" s="1140"/>
      <c r="BC192" s="214"/>
      <c r="BD192" s="214"/>
      <c r="BE192" s="1131"/>
      <c r="BF192" s="1153"/>
      <c r="BG192" s="242"/>
      <c r="BH192" s="242"/>
      <c r="BI192" s="242"/>
      <c r="BJ192" s="242">
        <f t="shared" si="9"/>
        <v>0</v>
      </c>
      <c r="BK192" s="242"/>
      <c r="BL192" s="242"/>
      <c r="BM192" s="214"/>
      <c r="BN192" s="214"/>
      <c r="BO192" s="1131"/>
      <c r="BP192" s="1153"/>
      <c r="BQ192" s="242"/>
      <c r="BR192" s="242"/>
      <c r="BS192" s="242"/>
      <c r="BT192" s="242">
        <f t="shared" si="10"/>
        <v>0</v>
      </c>
      <c r="BU192" s="242"/>
      <c r="BV192" s="242"/>
      <c r="BW192" s="237"/>
      <c r="BX192" s="214"/>
      <c r="BY192" s="1131"/>
      <c r="BZ192" s="1153"/>
      <c r="CA192" s="242"/>
      <c r="CB192" s="242"/>
      <c r="CC192" s="242"/>
      <c r="CD192" s="242">
        <f t="shared" si="11"/>
        <v>0</v>
      </c>
      <c r="CE192" s="242"/>
      <c r="CF192" s="242"/>
      <c r="CG192" s="214"/>
      <c r="CH192" s="214"/>
      <c r="CI192" s="1131"/>
      <c r="CJ192" s="1153"/>
      <c r="CK192" s="242"/>
      <c r="CL192" s="242"/>
      <c r="CM192" s="242"/>
      <c r="CN192" s="242">
        <f t="shared" si="12"/>
        <v>0</v>
      </c>
      <c r="CO192" s="242"/>
      <c r="CP192" s="242"/>
      <c r="CQ192" s="214"/>
      <c r="CR192" s="214"/>
      <c r="CS192" s="1131"/>
      <c r="CT192" s="1153"/>
      <c r="CU192" s="242"/>
      <c r="CV192" s="242"/>
      <c r="CW192" s="242"/>
      <c r="CX192" s="242">
        <f t="shared" si="13"/>
        <v>0</v>
      </c>
      <c r="CY192" s="242"/>
      <c r="CZ192" s="242"/>
      <c r="DA192" s="237"/>
      <c r="DB192" s="214"/>
      <c r="DC192" s="1131"/>
      <c r="DD192" s="1153"/>
      <c r="DE192" s="242"/>
      <c r="DF192" s="242"/>
      <c r="DG192" s="242"/>
      <c r="DH192" s="242">
        <f t="shared" si="14"/>
        <v>0</v>
      </c>
      <c r="DI192" s="242"/>
      <c r="DJ192" s="242"/>
      <c r="DK192" s="214"/>
      <c r="DL192" s="214"/>
      <c r="DM192" s="1131"/>
      <c r="DN192" s="1153"/>
      <c r="DO192" s="242"/>
      <c r="DP192" s="242"/>
      <c r="DQ192" s="242"/>
      <c r="DR192" s="242">
        <f t="shared" si="15"/>
        <v>0</v>
      </c>
      <c r="DS192" s="242"/>
      <c r="DT192" s="242"/>
      <c r="DU192" s="214"/>
      <c r="DV192" s="214"/>
      <c r="DW192" s="1131"/>
      <c r="DX192" s="1153"/>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24"/>
      <c r="C193" s="1124"/>
      <c r="D193" s="1124"/>
      <c r="E193" s="1124"/>
      <c r="F193" s="1125">
        <f t="shared" si="2"/>
        <v>0</v>
      </c>
      <c r="G193" s="1126" t="str">
        <f t="shared" si="3"/>
        <v/>
      </c>
      <c r="H193" s="112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7">
        <f t="shared" si="204"/>
        <v>0</v>
      </c>
      <c r="J193" s="1128">
        <f t="shared" si="204"/>
        <v>0</v>
      </c>
      <c r="K193" s="214"/>
      <c r="L193" s="242" t="str">
        <f t="array" ref="L193">IFERROR(INDEX('💻シート作成'!$D$6:$D999, MATCH(M193, '💻シート作成'!$E$6:$E999, 0)), "")</f>
        <v/>
      </c>
      <c r="M193" s="1023"/>
      <c r="N193" s="214"/>
      <c r="O193" s="1087"/>
      <c r="P193" s="214"/>
      <c r="Q193" s="1131"/>
      <c r="R193" s="1153"/>
      <c r="S193" s="242"/>
      <c r="T193" s="242"/>
      <c r="U193" s="242"/>
      <c r="V193" s="242">
        <f t="shared" si="5"/>
        <v>0</v>
      </c>
      <c r="W193" s="242"/>
      <c r="X193" s="242"/>
      <c r="Y193" s="214"/>
      <c r="Z193" s="214"/>
      <c r="AA193" s="1131"/>
      <c r="AB193" s="1153"/>
      <c r="AC193" s="242"/>
      <c r="AD193" s="242"/>
      <c r="AE193" s="242"/>
      <c r="AF193" s="242">
        <f t="shared" si="6"/>
        <v>0</v>
      </c>
      <c r="AG193" s="242"/>
      <c r="AH193" s="242"/>
      <c r="AI193" s="214"/>
      <c r="AJ193" s="214"/>
      <c r="AK193" s="1131"/>
      <c r="AL193" s="1153"/>
      <c r="AM193" s="242"/>
      <c r="AN193" s="242"/>
      <c r="AO193" s="242"/>
      <c r="AP193" s="242">
        <f t="shared" si="7"/>
        <v>0</v>
      </c>
      <c r="AQ193" s="242"/>
      <c r="AR193" s="242"/>
      <c r="AS193" s="237"/>
      <c r="AT193" s="214"/>
      <c r="AU193" s="1138"/>
      <c r="AV193" s="1155"/>
      <c r="AW193" s="1140"/>
      <c r="AX193" s="1140"/>
      <c r="AY193" s="1140"/>
      <c r="AZ193" s="1140">
        <f t="shared" si="8"/>
        <v>0</v>
      </c>
      <c r="BA193" s="1140"/>
      <c r="BB193" s="1140"/>
      <c r="BC193" s="214"/>
      <c r="BD193" s="214"/>
      <c r="BE193" s="1131"/>
      <c r="BF193" s="1153"/>
      <c r="BG193" s="242"/>
      <c r="BH193" s="242"/>
      <c r="BI193" s="242"/>
      <c r="BJ193" s="242">
        <f t="shared" si="9"/>
        <v>0</v>
      </c>
      <c r="BK193" s="242"/>
      <c r="BL193" s="242"/>
      <c r="BM193" s="214"/>
      <c r="BN193" s="214"/>
      <c r="BO193" s="1131"/>
      <c r="BP193" s="1153"/>
      <c r="BQ193" s="242"/>
      <c r="BR193" s="242"/>
      <c r="BS193" s="242"/>
      <c r="BT193" s="242">
        <f t="shared" si="10"/>
        <v>0</v>
      </c>
      <c r="BU193" s="242"/>
      <c r="BV193" s="242"/>
      <c r="BW193" s="237"/>
      <c r="BX193" s="214"/>
      <c r="BY193" s="1131"/>
      <c r="BZ193" s="1153"/>
      <c r="CA193" s="242"/>
      <c r="CB193" s="242"/>
      <c r="CC193" s="242"/>
      <c r="CD193" s="242">
        <f t="shared" si="11"/>
        <v>0</v>
      </c>
      <c r="CE193" s="242"/>
      <c r="CF193" s="242"/>
      <c r="CG193" s="214"/>
      <c r="CH193" s="214"/>
      <c r="CI193" s="1131"/>
      <c r="CJ193" s="1153"/>
      <c r="CK193" s="242"/>
      <c r="CL193" s="242"/>
      <c r="CM193" s="242"/>
      <c r="CN193" s="242">
        <f t="shared" si="12"/>
        <v>0</v>
      </c>
      <c r="CO193" s="242"/>
      <c r="CP193" s="242"/>
      <c r="CQ193" s="214"/>
      <c r="CR193" s="214"/>
      <c r="CS193" s="1131"/>
      <c r="CT193" s="1153"/>
      <c r="CU193" s="242"/>
      <c r="CV193" s="242"/>
      <c r="CW193" s="242"/>
      <c r="CX193" s="242">
        <f t="shared" si="13"/>
        <v>0</v>
      </c>
      <c r="CY193" s="242"/>
      <c r="CZ193" s="242"/>
      <c r="DA193" s="237"/>
      <c r="DB193" s="214"/>
      <c r="DC193" s="1131"/>
      <c r="DD193" s="1153"/>
      <c r="DE193" s="242"/>
      <c r="DF193" s="242"/>
      <c r="DG193" s="242"/>
      <c r="DH193" s="242">
        <f t="shared" si="14"/>
        <v>0</v>
      </c>
      <c r="DI193" s="242"/>
      <c r="DJ193" s="242"/>
      <c r="DK193" s="214"/>
      <c r="DL193" s="214"/>
      <c r="DM193" s="1131"/>
      <c r="DN193" s="1153"/>
      <c r="DO193" s="242"/>
      <c r="DP193" s="242"/>
      <c r="DQ193" s="242"/>
      <c r="DR193" s="242">
        <f t="shared" si="15"/>
        <v>0</v>
      </c>
      <c r="DS193" s="242"/>
      <c r="DT193" s="242"/>
      <c r="DU193" s="214"/>
      <c r="DV193" s="214"/>
      <c r="DW193" s="1131"/>
      <c r="DX193" s="1153"/>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24"/>
      <c r="C194" s="1124"/>
      <c r="D194" s="1124"/>
      <c r="E194" s="1124"/>
      <c r="F194" s="1125">
        <f t="shared" si="2"/>
        <v>0</v>
      </c>
      <c r="G194" s="1126" t="str">
        <f t="shared" si="3"/>
        <v/>
      </c>
      <c r="H194" s="112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7">
        <f t="shared" si="205"/>
        <v>0</v>
      </c>
      <c r="J194" s="1128">
        <f t="shared" si="205"/>
        <v>0</v>
      </c>
      <c r="K194" s="214"/>
      <c r="L194" s="242" t="str">
        <f t="array" ref="L194">IFERROR(INDEX('💻シート作成'!$D$6:$D999, MATCH(M194, '💻シート作成'!$E$6:$E999, 0)), "")</f>
        <v/>
      </c>
      <c r="M194" s="1023"/>
      <c r="N194" s="214"/>
      <c r="O194" s="1087"/>
      <c r="P194" s="214"/>
      <c r="Q194" s="1131"/>
      <c r="R194" s="1153"/>
      <c r="S194" s="242"/>
      <c r="T194" s="242"/>
      <c r="U194" s="242"/>
      <c r="V194" s="242">
        <f t="shared" si="5"/>
        <v>0</v>
      </c>
      <c r="W194" s="242"/>
      <c r="X194" s="242"/>
      <c r="Y194" s="214"/>
      <c r="Z194" s="214"/>
      <c r="AA194" s="1131"/>
      <c r="AB194" s="1153"/>
      <c r="AC194" s="242"/>
      <c r="AD194" s="242"/>
      <c r="AE194" s="242"/>
      <c r="AF194" s="242">
        <f t="shared" si="6"/>
        <v>0</v>
      </c>
      <c r="AG194" s="242"/>
      <c r="AH194" s="242"/>
      <c r="AI194" s="214"/>
      <c r="AJ194" s="214"/>
      <c r="AK194" s="1131"/>
      <c r="AL194" s="1153"/>
      <c r="AM194" s="242"/>
      <c r="AN194" s="242"/>
      <c r="AO194" s="242"/>
      <c r="AP194" s="242">
        <f t="shared" si="7"/>
        <v>0</v>
      </c>
      <c r="AQ194" s="242"/>
      <c r="AR194" s="242"/>
      <c r="AS194" s="237"/>
      <c r="AT194" s="214"/>
      <c r="AU194" s="1138"/>
      <c r="AV194" s="1155"/>
      <c r="AW194" s="1140"/>
      <c r="AX194" s="1140"/>
      <c r="AY194" s="1140"/>
      <c r="AZ194" s="1140">
        <f t="shared" si="8"/>
        <v>0</v>
      </c>
      <c r="BA194" s="1140"/>
      <c r="BB194" s="1140"/>
      <c r="BC194" s="214"/>
      <c r="BD194" s="214"/>
      <c r="BE194" s="1131"/>
      <c r="BF194" s="1153"/>
      <c r="BG194" s="242"/>
      <c r="BH194" s="242"/>
      <c r="BI194" s="242"/>
      <c r="BJ194" s="242">
        <f t="shared" si="9"/>
        <v>0</v>
      </c>
      <c r="BK194" s="242"/>
      <c r="BL194" s="242"/>
      <c r="BM194" s="214"/>
      <c r="BN194" s="214"/>
      <c r="BO194" s="1131"/>
      <c r="BP194" s="1153"/>
      <c r="BQ194" s="242"/>
      <c r="BR194" s="242"/>
      <c r="BS194" s="242"/>
      <c r="BT194" s="242">
        <f t="shared" si="10"/>
        <v>0</v>
      </c>
      <c r="BU194" s="242"/>
      <c r="BV194" s="242"/>
      <c r="BW194" s="237"/>
      <c r="BX194" s="214"/>
      <c r="BY194" s="1131"/>
      <c r="BZ194" s="1153"/>
      <c r="CA194" s="242"/>
      <c r="CB194" s="242"/>
      <c r="CC194" s="242"/>
      <c r="CD194" s="242">
        <f t="shared" si="11"/>
        <v>0</v>
      </c>
      <c r="CE194" s="242"/>
      <c r="CF194" s="242"/>
      <c r="CG194" s="214"/>
      <c r="CH194" s="214"/>
      <c r="CI194" s="1131"/>
      <c r="CJ194" s="1153"/>
      <c r="CK194" s="242"/>
      <c r="CL194" s="242"/>
      <c r="CM194" s="242"/>
      <c r="CN194" s="242">
        <f t="shared" si="12"/>
        <v>0</v>
      </c>
      <c r="CO194" s="242"/>
      <c r="CP194" s="242"/>
      <c r="CQ194" s="214"/>
      <c r="CR194" s="214"/>
      <c r="CS194" s="1131"/>
      <c r="CT194" s="1153"/>
      <c r="CU194" s="242"/>
      <c r="CV194" s="242"/>
      <c r="CW194" s="242"/>
      <c r="CX194" s="242">
        <f t="shared" si="13"/>
        <v>0</v>
      </c>
      <c r="CY194" s="242"/>
      <c r="CZ194" s="242"/>
      <c r="DA194" s="237"/>
      <c r="DB194" s="214"/>
      <c r="DC194" s="1131"/>
      <c r="DD194" s="1153"/>
      <c r="DE194" s="242"/>
      <c r="DF194" s="242"/>
      <c r="DG194" s="242"/>
      <c r="DH194" s="242">
        <f t="shared" si="14"/>
        <v>0</v>
      </c>
      <c r="DI194" s="242"/>
      <c r="DJ194" s="242"/>
      <c r="DK194" s="214"/>
      <c r="DL194" s="214"/>
      <c r="DM194" s="1131"/>
      <c r="DN194" s="1153"/>
      <c r="DO194" s="242"/>
      <c r="DP194" s="242"/>
      <c r="DQ194" s="242"/>
      <c r="DR194" s="242">
        <f t="shared" si="15"/>
        <v>0</v>
      </c>
      <c r="DS194" s="242"/>
      <c r="DT194" s="242"/>
      <c r="DU194" s="214"/>
      <c r="DV194" s="214"/>
      <c r="DW194" s="1131"/>
      <c r="DX194" s="1153"/>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24"/>
      <c r="C195" s="1124"/>
      <c r="D195" s="1124"/>
      <c r="E195" s="1124"/>
      <c r="F195" s="1125">
        <f t="shared" si="2"/>
        <v>0</v>
      </c>
      <c r="G195" s="1126" t="str">
        <f t="shared" si="3"/>
        <v/>
      </c>
      <c r="H195" s="112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7">
        <f t="shared" si="206"/>
        <v>0</v>
      </c>
      <c r="J195" s="1128">
        <f t="shared" si="206"/>
        <v>0</v>
      </c>
      <c r="K195" s="214"/>
      <c r="L195" s="242" t="str">
        <f t="array" ref="L195">IFERROR(INDEX('💻シート作成'!$D$6:$D999, MATCH(M195, '💻シート作成'!$E$6:$E999, 0)), "")</f>
        <v/>
      </c>
      <c r="M195" s="1023"/>
      <c r="N195" s="214"/>
      <c r="O195" s="1087"/>
      <c r="P195" s="214"/>
      <c r="Q195" s="1131"/>
      <c r="R195" s="1153"/>
      <c r="S195" s="242"/>
      <c r="T195" s="242"/>
      <c r="U195" s="242"/>
      <c r="V195" s="242">
        <f t="shared" si="5"/>
        <v>0</v>
      </c>
      <c r="W195" s="242"/>
      <c r="X195" s="242"/>
      <c r="Y195" s="214"/>
      <c r="Z195" s="214"/>
      <c r="AA195" s="1131"/>
      <c r="AB195" s="1153"/>
      <c r="AC195" s="242"/>
      <c r="AD195" s="242"/>
      <c r="AE195" s="242"/>
      <c r="AF195" s="242">
        <f t="shared" si="6"/>
        <v>0</v>
      </c>
      <c r="AG195" s="242"/>
      <c r="AH195" s="242"/>
      <c r="AI195" s="214"/>
      <c r="AJ195" s="214"/>
      <c r="AK195" s="1131"/>
      <c r="AL195" s="1153"/>
      <c r="AM195" s="242"/>
      <c r="AN195" s="242"/>
      <c r="AO195" s="242"/>
      <c r="AP195" s="242">
        <f t="shared" si="7"/>
        <v>0</v>
      </c>
      <c r="AQ195" s="242"/>
      <c r="AR195" s="242"/>
      <c r="AS195" s="237"/>
      <c r="AT195" s="214"/>
      <c r="AU195" s="1138"/>
      <c r="AV195" s="1155"/>
      <c r="AW195" s="1140"/>
      <c r="AX195" s="1140"/>
      <c r="AY195" s="1140"/>
      <c r="AZ195" s="1140">
        <f t="shared" si="8"/>
        <v>0</v>
      </c>
      <c r="BA195" s="1140"/>
      <c r="BB195" s="1140"/>
      <c r="BC195" s="214"/>
      <c r="BD195" s="214"/>
      <c r="BE195" s="1131"/>
      <c r="BF195" s="1153"/>
      <c r="BG195" s="242"/>
      <c r="BH195" s="242"/>
      <c r="BI195" s="242"/>
      <c r="BJ195" s="242">
        <f t="shared" si="9"/>
        <v>0</v>
      </c>
      <c r="BK195" s="242"/>
      <c r="BL195" s="242"/>
      <c r="BM195" s="214"/>
      <c r="BN195" s="214"/>
      <c r="BO195" s="1131"/>
      <c r="BP195" s="1153"/>
      <c r="BQ195" s="242"/>
      <c r="BR195" s="242"/>
      <c r="BS195" s="242"/>
      <c r="BT195" s="242">
        <f t="shared" si="10"/>
        <v>0</v>
      </c>
      <c r="BU195" s="242"/>
      <c r="BV195" s="242"/>
      <c r="BW195" s="237"/>
      <c r="BX195" s="214"/>
      <c r="BY195" s="1131"/>
      <c r="BZ195" s="1153"/>
      <c r="CA195" s="242"/>
      <c r="CB195" s="242"/>
      <c r="CC195" s="242"/>
      <c r="CD195" s="242">
        <f t="shared" si="11"/>
        <v>0</v>
      </c>
      <c r="CE195" s="242"/>
      <c r="CF195" s="242"/>
      <c r="CG195" s="214"/>
      <c r="CH195" s="214"/>
      <c r="CI195" s="1131"/>
      <c r="CJ195" s="1153"/>
      <c r="CK195" s="242"/>
      <c r="CL195" s="242"/>
      <c r="CM195" s="242"/>
      <c r="CN195" s="242">
        <f t="shared" si="12"/>
        <v>0</v>
      </c>
      <c r="CO195" s="242"/>
      <c r="CP195" s="242"/>
      <c r="CQ195" s="214"/>
      <c r="CR195" s="214"/>
      <c r="CS195" s="1131"/>
      <c r="CT195" s="1153"/>
      <c r="CU195" s="242"/>
      <c r="CV195" s="242"/>
      <c r="CW195" s="242"/>
      <c r="CX195" s="242">
        <f t="shared" si="13"/>
        <v>0</v>
      </c>
      <c r="CY195" s="242"/>
      <c r="CZ195" s="242"/>
      <c r="DA195" s="237"/>
      <c r="DB195" s="214"/>
      <c r="DC195" s="1131"/>
      <c r="DD195" s="1153"/>
      <c r="DE195" s="242"/>
      <c r="DF195" s="242"/>
      <c r="DG195" s="242"/>
      <c r="DH195" s="242">
        <f t="shared" si="14"/>
        <v>0</v>
      </c>
      <c r="DI195" s="242"/>
      <c r="DJ195" s="242"/>
      <c r="DK195" s="214"/>
      <c r="DL195" s="214"/>
      <c r="DM195" s="1131"/>
      <c r="DN195" s="1153"/>
      <c r="DO195" s="242"/>
      <c r="DP195" s="242"/>
      <c r="DQ195" s="242"/>
      <c r="DR195" s="242">
        <f t="shared" si="15"/>
        <v>0</v>
      </c>
      <c r="DS195" s="242"/>
      <c r="DT195" s="242"/>
      <c r="DU195" s="214"/>
      <c r="DV195" s="214"/>
      <c r="DW195" s="1131"/>
      <c r="DX195" s="1153"/>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24"/>
      <c r="C196" s="1124"/>
      <c r="D196" s="1124"/>
      <c r="E196" s="1124"/>
      <c r="F196" s="1125">
        <f t="shared" si="2"/>
        <v>0</v>
      </c>
      <c r="G196" s="1126" t="str">
        <f t="shared" si="3"/>
        <v/>
      </c>
      <c r="H196" s="112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7">
        <f t="shared" si="207"/>
        <v>0</v>
      </c>
      <c r="J196" s="1128">
        <f t="shared" si="207"/>
        <v>0</v>
      </c>
      <c r="K196" s="214"/>
      <c r="L196" s="242" t="str">
        <f t="array" ref="L196">IFERROR(INDEX('💻シート作成'!$D$6:$D999, MATCH(M196, '💻シート作成'!$E$6:$E999, 0)), "")</f>
        <v/>
      </c>
      <c r="M196" s="1023"/>
      <c r="N196" s="214"/>
      <c r="O196" s="1087"/>
      <c r="P196" s="214"/>
      <c r="Q196" s="1131"/>
      <c r="R196" s="1153"/>
      <c r="S196" s="242"/>
      <c r="T196" s="242"/>
      <c r="U196" s="242"/>
      <c r="V196" s="242">
        <f t="shared" si="5"/>
        <v>0</v>
      </c>
      <c r="W196" s="242"/>
      <c r="X196" s="242"/>
      <c r="Y196" s="214"/>
      <c r="Z196" s="214"/>
      <c r="AA196" s="1131"/>
      <c r="AB196" s="1153"/>
      <c r="AC196" s="242"/>
      <c r="AD196" s="242"/>
      <c r="AE196" s="242"/>
      <c r="AF196" s="242">
        <f t="shared" si="6"/>
        <v>0</v>
      </c>
      <c r="AG196" s="242"/>
      <c r="AH196" s="242"/>
      <c r="AI196" s="214"/>
      <c r="AJ196" s="214"/>
      <c r="AK196" s="1131"/>
      <c r="AL196" s="1153"/>
      <c r="AM196" s="242"/>
      <c r="AN196" s="242"/>
      <c r="AO196" s="242"/>
      <c r="AP196" s="242">
        <f t="shared" si="7"/>
        <v>0</v>
      </c>
      <c r="AQ196" s="242"/>
      <c r="AR196" s="242"/>
      <c r="AS196" s="237"/>
      <c r="AT196" s="214"/>
      <c r="AU196" s="1138"/>
      <c r="AV196" s="1155"/>
      <c r="AW196" s="1140"/>
      <c r="AX196" s="1140"/>
      <c r="AY196" s="1140"/>
      <c r="AZ196" s="1140">
        <f t="shared" si="8"/>
        <v>0</v>
      </c>
      <c r="BA196" s="1140"/>
      <c r="BB196" s="1140"/>
      <c r="BC196" s="214"/>
      <c r="BD196" s="214"/>
      <c r="BE196" s="1131"/>
      <c r="BF196" s="1153"/>
      <c r="BG196" s="242"/>
      <c r="BH196" s="242"/>
      <c r="BI196" s="242"/>
      <c r="BJ196" s="242">
        <f t="shared" si="9"/>
        <v>0</v>
      </c>
      <c r="BK196" s="242"/>
      <c r="BL196" s="242"/>
      <c r="BM196" s="214"/>
      <c r="BN196" s="214"/>
      <c r="BO196" s="1131"/>
      <c r="BP196" s="1153"/>
      <c r="BQ196" s="242"/>
      <c r="BR196" s="242"/>
      <c r="BS196" s="242"/>
      <c r="BT196" s="242">
        <f t="shared" si="10"/>
        <v>0</v>
      </c>
      <c r="BU196" s="242"/>
      <c r="BV196" s="242"/>
      <c r="BW196" s="237"/>
      <c r="BX196" s="214"/>
      <c r="BY196" s="1131"/>
      <c r="BZ196" s="1153"/>
      <c r="CA196" s="242"/>
      <c r="CB196" s="242"/>
      <c r="CC196" s="242"/>
      <c r="CD196" s="242">
        <f t="shared" si="11"/>
        <v>0</v>
      </c>
      <c r="CE196" s="242"/>
      <c r="CF196" s="242"/>
      <c r="CG196" s="214"/>
      <c r="CH196" s="214"/>
      <c r="CI196" s="1131"/>
      <c r="CJ196" s="1153"/>
      <c r="CK196" s="242"/>
      <c r="CL196" s="242"/>
      <c r="CM196" s="242"/>
      <c r="CN196" s="242">
        <f t="shared" si="12"/>
        <v>0</v>
      </c>
      <c r="CO196" s="242"/>
      <c r="CP196" s="242"/>
      <c r="CQ196" s="214"/>
      <c r="CR196" s="214"/>
      <c r="CS196" s="1131"/>
      <c r="CT196" s="1153"/>
      <c r="CU196" s="242"/>
      <c r="CV196" s="242"/>
      <c r="CW196" s="242"/>
      <c r="CX196" s="242">
        <f t="shared" si="13"/>
        <v>0</v>
      </c>
      <c r="CY196" s="242"/>
      <c r="CZ196" s="242"/>
      <c r="DA196" s="237"/>
      <c r="DB196" s="214"/>
      <c r="DC196" s="1131"/>
      <c r="DD196" s="1153"/>
      <c r="DE196" s="242"/>
      <c r="DF196" s="242"/>
      <c r="DG196" s="242"/>
      <c r="DH196" s="242">
        <f t="shared" si="14"/>
        <v>0</v>
      </c>
      <c r="DI196" s="242"/>
      <c r="DJ196" s="242"/>
      <c r="DK196" s="214"/>
      <c r="DL196" s="214"/>
      <c r="DM196" s="1131"/>
      <c r="DN196" s="1153"/>
      <c r="DO196" s="242"/>
      <c r="DP196" s="242"/>
      <c r="DQ196" s="242"/>
      <c r="DR196" s="242">
        <f t="shared" si="15"/>
        <v>0</v>
      </c>
      <c r="DS196" s="242"/>
      <c r="DT196" s="242"/>
      <c r="DU196" s="214"/>
      <c r="DV196" s="214"/>
      <c r="DW196" s="1131"/>
      <c r="DX196" s="1153"/>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24"/>
      <c r="C197" s="1124"/>
      <c r="D197" s="1124"/>
      <c r="E197" s="1124"/>
      <c r="F197" s="1125">
        <f t="shared" si="2"/>
        <v>0</v>
      </c>
      <c r="G197" s="1126" t="str">
        <f t="shared" si="3"/>
        <v/>
      </c>
      <c r="H197" s="112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7">
        <f t="shared" si="208"/>
        <v>0</v>
      </c>
      <c r="J197" s="1128">
        <f t="shared" si="208"/>
        <v>0</v>
      </c>
      <c r="K197" s="214"/>
      <c r="L197" s="242" t="str">
        <f t="array" ref="L197">IFERROR(INDEX('💻シート作成'!$D$6:$D999, MATCH(M197, '💻シート作成'!$E$6:$E999, 0)), "")</f>
        <v/>
      </c>
      <c r="M197" s="1023"/>
      <c r="N197" s="214"/>
      <c r="O197" s="1087"/>
      <c r="P197" s="214"/>
      <c r="Q197" s="1131"/>
      <c r="R197" s="1153"/>
      <c r="S197" s="242"/>
      <c r="T197" s="242"/>
      <c r="U197" s="242"/>
      <c r="V197" s="242">
        <f t="shared" si="5"/>
        <v>0</v>
      </c>
      <c r="W197" s="242"/>
      <c r="X197" s="242"/>
      <c r="Y197" s="214"/>
      <c r="Z197" s="214"/>
      <c r="AA197" s="1131"/>
      <c r="AB197" s="1153"/>
      <c r="AC197" s="242"/>
      <c r="AD197" s="242"/>
      <c r="AE197" s="242"/>
      <c r="AF197" s="242">
        <f t="shared" si="6"/>
        <v>0</v>
      </c>
      <c r="AG197" s="242"/>
      <c r="AH197" s="242"/>
      <c r="AI197" s="214"/>
      <c r="AJ197" s="214"/>
      <c r="AK197" s="1131"/>
      <c r="AL197" s="1153"/>
      <c r="AM197" s="242"/>
      <c r="AN197" s="242"/>
      <c r="AO197" s="242"/>
      <c r="AP197" s="242">
        <f t="shared" si="7"/>
        <v>0</v>
      </c>
      <c r="AQ197" s="242"/>
      <c r="AR197" s="242"/>
      <c r="AS197" s="237"/>
      <c r="AT197" s="214"/>
      <c r="AU197" s="1138"/>
      <c r="AV197" s="1155"/>
      <c r="AW197" s="1140"/>
      <c r="AX197" s="1140"/>
      <c r="AY197" s="1140"/>
      <c r="AZ197" s="1140">
        <f t="shared" si="8"/>
        <v>0</v>
      </c>
      <c r="BA197" s="1140"/>
      <c r="BB197" s="1140"/>
      <c r="BC197" s="214"/>
      <c r="BD197" s="214"/>
      <c r="BE197" s="1131"/>
      <c r="BF197" s="1153"/>
      <c r="BG197" s="242"/>
      <c r="BH197" s="242"/>
      <c r="BI197" s="242"/>
      <c r="BJ197" s="242">
        <f t="shared" si="9"/>
        <v>0</v>
      </c>
      <c r="BK197" s="242"/>
      <c r="BL197" s="242"/>
      <c r="BM197" s="214"/>
      <c r="BN197" s="214"/>
      <c r="BO197" s="1131"/>
      <c r="BP197" s="1153"/>
      <c r="BQ197" s="242"/>
      <c r="BR197" s="242"/>
      <c r="BS197" s="242"/>
      <c r="BT197" s="242">
        <f t="shared" si="10"/>
        <v>0</v>
      </c>
      <c r="BU197" s="242"/>
      <c r="BV197" s="242"/>
      <c r="BW197" s="237"/>
      <c r="BX197" s="214"/>
      <c r="BY197" s="1131"/>
      <c r="BZ197" s="1153"/>
      <c r="CA197" s="242"/>
      <c r="CB197" s="242"/>
      <c r="CC197" s="242"/>
      <c r="CD197" s="242">
        <f t="shared" si="11"/>
        <v>0</v>
      </c>
      <c r="CE197" s="242"/>
      <c r="CF197" s="242"/>
      <c r="CG197" s="214"/>
      <c r="CH197" s="214"/>
      <c r="CI197" s="1131"/>
      <c r="CJ197" s="1153"/>
      <c r="CK197" s="242"/>
      <c r="CL197" s="242"/>
      <c r="CM197" s="242"/>
      <c r="CN197" s="242">
        <f t="shared" si="12"/>
        <v>0</v>
      </c>
      <c r="CO197" s="242"/>
      <c r="CP197" s="242"/>
      <c r="CQ197" s="214"/>
      <c r="CR197" s="214"/>
      <c r="CS197" s="1131"/>
      <c r="CT197" s="1153"/>
      <c r="CU197" s="242"/>
      <c r="CV197" s="242"/>
      <c r="CW197" s="242"/>
      <c r="CX197" s="242">
        <f t="shared" si="13"/>
        <v>0</v>
      </c>
      <c r="CY197" s="242"/>
      <c r="CZ197" s="242"/>
      <c r="DA197" s="237"/>
      <c r="DB197" s="214"/>
      <c r="DC197" s="1131"/>
      <c r="DD197" s="1153"/>
      <c r="DE197" s="242"/>
      <c r="DF197" s="242"/>
      <c r="DG197" s="242"/>
      <c r="DH197" s="242">
        <f t="shared" si="14"/>
        <v>0</v>
      </c>
      <c r="DI197" s="242"/>
      <c r="DJ197" s="242"/>
      <c r="DK197" s="214"/>
      <c r="DL197" s="214"/>
      <c r="DM197" s="1131"/>
      <c r="DN197" s="1153"/>
      <c r="DO197" s="242"/>
      <c r="DP197" s="242"/>
      <c r="DQ197" s="242"/>
      <c r="DR197" s="242">
        <f t="shared" si="15"/>
        <v>0</v>
      </c>
      <c r="DS197" s="242"/>
      <c r="DT197" s="242"/>
      <c r="DU197" s="214"/>
      <c r="DV197" s="214"/>
      <c r="DW197" s="1131"/>
      <c r="DX197" s="1153"/>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24"/>
      <c r="C198" s="1124"/>
      <c r="D198" s="1124"/>
      <c r="E198" s="1124"/>
      <c r="F198" s="1125">
        <f t="shared" si="2"/>
        <v>0</v>
      </c>
      <c r="G198" s="1126" t="str">
        <f t="shared" si="3"/>
        <v/>
      </c>
      <c r="H198" s="112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7">
        <f t="shared" si="209"/>
        <v>0</v>
      </c>
      <c r="J198" s="1128">
        <f t="shared" si="209"/>
        <v>0</v>
      </c>
      <c r="K198" s="214"/>
      <c r="L198" s="242" t="str">
        <f t="array" ref="L198">IFERROR(INDEX('💻シート作成'!$D$6:$D999, MATCH(M198, '💻シート作成'!$E$6:$E999, 0)), "")</f>
        <v/>
      </c>
      <c r="M198" s="1023"/>
      <c r="N198" s="214"/>
      <c r="O198" s="1087"/>
      <c r="P198" s="214"/>
      <c r="Q198" s="1131"/>
      <c r="R198" s="1153"/>
      <c r="S198" s="242"/>
      <c r="T198" s="242"/>
      <c r="U198" s="242"/>
      <c r="V198" s="242">
        <f t="shared" si="5"/>
        <v>0</v>
      </c>
      <c r="W198" s="242"/>
      <c r="X198" s="242"/>
      <c r="Y198" s="214"/>
      <c r="Z198" s="214"/>
      <c r="AA198" s="1131"/>
      <c r="AB198" s="1153"/>
      <c r="AC198" s="242"/>
      <c r="AD198" s="242"/>
      <c r="AE198" s="242"/>
      <c r="AF198" s="242">
        <f t="shared" si="6"/>
        <v>0</v>
      </c>
      <c r="AG198" s="242"/>
      <c r="AH198" s="242"/>
      <c r="AI198" s="214"/>
      <c r="AJ198" s="214"/>
      <c r="AK198" s="1131"/>
      <c r="AL198" s="1153"/>
      <c r="AM198" s="242"/>
      <c r="AN198" s="242"/>
      <c r="AO198" s="242"/>
      <c r="AP198" s="242">
        <f t="shared" si="7"/>
        <v>0</v>
      </c>
      <c r="AQ198" s="242"/>
      <c r="AR198" s="242"/>
      <c r="AS198" s="237"/>
      <c r="AT198" s="214"/>
      <c r="AU198" s="1138"/>
      <c r="AV198" s="1155"/>
      <c r="AW198" s="1140"/>
      <c r="AX198" s="1140"/>
      <c r="AY198" s="1140"/>
      <c r="AZ198" s="1140">
        <f t="shared" si="8"/>
        <v>0</v>
      </c>
      <c r="BA198" s="1140"/>
      <c r="BB198" s="1140"/>
      <c r="BC198" s="214"/>
      <c r="BD198" s="214"/>
      <c r="BE198" s="1131"/>
      <c r="BF198" s="1153"/>
      <c r="BG198" s="242"/>
      <c r="BH198" s="242"/>
      <c r="BI198" s="242"/>
      <c r="BJ198" s="242">
        <f t="shared" si="9"/>
        <v>0</v>
      </c>
      <c r="BK198" s="242"/>
      <c r="BL198" s="242"/>
      <c r="BM198" s="214"/>
      <c r="BN198" s="214"/>
      <c r="BO198" s="1131"/>
      <c r="BP198" s="1153"/>
      <c r="BQ198" s="242"/>
      <c r="BR198" s="242"/>
      <c r="BS198" s="242"/>
      <c r="BT198" s="242">
        <f t="shared" si="10"/>
        <v>0</v>
      </c>
      <c r="BU198" s="242"/>
      <c r="BV198" s="242"/>
      <c r="BW198" s="237"/>
      <c r="BX198" s="214"/>
      <c r="BY198" s="1131"/>
      <c r="BZ198" s="1153"/>
      <c r="CA198" s="242"/>
      <c r="CB198" s="242"/>
      <c r="CC198" s="242"/>
      <c r="CD198" s="242">
        <f t="shared" si="11"/>
        <v>0</v>
      </c>
      <c r="CE198" s="242"/>
      <c r="CF198" s="242"/>
      <c r="CG198" s="214"/>
      <c r="CH198" s="214"/>
      <c r="CI198" s="1131"/>
      <c r="CJ198" s="1153"/>
      <c r="CK198" s="242"/>
      <c r="CL198" s="242"/>
      <c r="CM198" s="242"/>
      <c r="CN198" s="242">
        <f t="shared" si="12"/>
        <v>0</v>
      </c>
      <c r="CO198" s="242"/>
      <c r="CP198" s="242"/>
      <c r="CQ198" s="214"/>
      <c r="CR198" s="214"/>
      <c r="CS198" s="1131"/>
      <c r="CT198" s="1153"/>
      <c r="CU198" s="242"/>
      <c r="CV198" s="242"/>
      <c r="CW198" s="242"/>
      <c r="CX198" s="242">
        <f t="shared" si="13"/>
        <v>0</v>
      </c>
      <c r="CY198" s="242"/>
      <c r="CZ198" s="242"/>
      <c r="DA198" s="237"/>
      <c r="DB198" s="214"/>
      <c r="DC198" s="1131"/>
      <c r="DD198" s="1153"/>
      <c r="DE198" s="242"/>
      <c r="DF198" s="242"/>
      <c r="DG198" s="242"/>
      <c r="DH198" s="242">
        <f t="shared" si="14"/>
        <v>0</v>
      </c>
      <c r="DI198" s="242"/>
      <c r="DJ198" s="242"/>
      <c r="DK198" s="214"/>
      <c r="DL198" s="214"/>
      <c r="DM198" s="1131"/>
      <c r="DN198" s="1153"/>
      <c r="DO198" s="242"/>
      <c r="DP198" s="242"/>
      <c r="DQ198" s="242"/>
      <c r="DR198" s="242">
        <f t="shared" si="15"/>
        <v>0</v>
      </c>
      <c r="DS198" s="242"/>
      <c r="DT198" s="242"/>
      <c r="DU198" s="214"/>
      <c r="DV198" s="214"/>
      <c r="DW198" s="1131"/>
      <c r="DX198" s="1153"/>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24"/>
      <c r="C199" s="1124"/>
      <c r="D199" s="1124"/>
      <c r="E199" s="1124"/>
      <c r="F199" s="1125">
        <f t="shared" si="2"/>
        <v>0</v>
      </c>
      <c r="G199" s="1126" t="str">
        <f t="shared" si="3"/>
        <v/>
      </c>
      <c r="H199" s="112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7">
        <f t="shared" si="210"/>
        <v>0</v>
      </c>
      <c r="J199" s="1128">
        <f t="shared" si="210"/>
        <v>0</v>
      </c>
      <c r="K199" s="214"/>
      <c r="L199" s="242" t="str">
        <f t="array" ref="L199">IFERROR(INDEX('💻シート作成'!$D$6:$D999, MATCH(M199, '💻シート作成'!$E$6:$E999, 0)), "")</f>
        <v/>
      </c>
      <c r="M199" s="1023"/>
      <c r="N199" s="214"/>
      <c r="O199" s="1087"/>
      <c r="P199" s="214"/>
      <c r="Q199" s="1131"/>
      <c r="R199" s="1153"/>
      <c r="S199" s="242"/>
      <c r="T199" s="242"/>
      <c r="U199" s="242"/>
      <c r="V199" s="242">
        <f t="shared" si="5"/>
        <v>0</v>
      </c>
      <c r="W199" s="242"/>
      <c r="X199" s="242"/>
      <c r="Y199" s="214"/>
      <c r="Z199" s="214"/>
      <c r="AA199" s="1131"/>
      <c r="AB199" s="1153"/>
      <c r="AC199" s="242"/>
      <c r="AD199" s="242"/>
      <c r="AE199" s="242"/>
      <c r="AF199" s="242">
        <f t="shared" si="6"/>
        <v>0</v>
      </c>
      <c r="AG199" s="242"/>
      <c r="AH199" s="242"/>
      <c r="AI199" s="214"/>
      <c r="AJ199" s="214"/>
      <c r="AK199" s="1131"/>
      <c r="AL199" s="1153"/>
      <c r="AM199" s="242"/>
      <c r="AN199" s="242"/>
      <c r="AO199" s="242"/>
      <c r="AP199" s="242">
        <f t="shared" si="7"/>
        <v>0</v>
      </c>
      <c r="AQ199" s="242"/>
      <c r="AR199" s="242"/>
      <c r="AS199" s="237"/>
      <c r="AT199" s="214"/>
      <c r="AU199" s="1138"/>
      <c r="AV199" s="1155"/>
      <c r="AW199" s="1140"/>
      <c r="AX199" s="1140"/>
      <c r="AY199" s="1140"/>
      <c r="AZ199" s="1140">
        <f t="shared" si="8"/>
        <v>0</v>
      </c>
      <c r="BA199" s="1140"/>
      <c r="BB199" s="1140"/>
      <c r="BC199" s="214"/>
      <c r="BD199" s="214"/>
      <c r="BE199" s="1131"/>
      <c r="BF199" s="1153"/>
      <c r="BG199" s="242"/>
      <c r="BH199" s="242"/>
      <c r="BI199" s="242"/>
      <c r="BJ199" s="242">
        <f t="shared" si="9"/>
        <v>0</v>
      </c>
      <c r="BK199" s="242"/>
      <c r="BL199" s="242"/>
      <c r="BM199" s="214"/>
      <c r="BN199" s="214"/>
      <c r="BO199" s="1131"/>
      <c r="BP199" s="1153"/>
      <c r="BQ199" s="242"/>
      <c r="BR199" s="242"/>
      <c r="BS199" s="242"/>
      <c r="BT199" s="242">
        <f t="shared" si="10"/>
        <v>0</v>
      </c>
      <c r="BU199" s="242"/>
      <c r="BV199" s="242"/>
      <c r="BW199" s="237"/>
      <c r="BX199" s="214"/>
      <c r="BY199" s="1131"/>
      <c r="BZ199" s="1153"/>
      <c r="CA199" s="242"/>
      <c r="CB199" s="242"/>
      <c r="CC199" s="242"/>
      <c r="CD199" s="242">
        <f t="shared" si="11"/>
        <v>0</v>
      </c>
      <c r="CE199" s="242"/>
      <c r="CF199" s="242"/>
      <c r="CG199" s="214"/>
      <c r="CH199" s="214"/>
      <c r="CI199" s="1131"/>
      <c r="CJ199" s="1153"/>
      <c r="CK199" s="242"/>
      <c r="CL199" s="242"/>
      <c r="CM199" s="242"/>
      <c r="CN199" s="242">
        <f t="shared" si="12"/>
        <v>0</v>
      </c>
      <c r="CO199" s="242"/>
      <c r="CP199" s="242"/>
      <c r="CQ199" s="214"/>
      <c r="CR199" s="214"/>
      <c r="CS199" s="1131"/>
      <c r="CT199" s="1153"/>
      <c r="CU199" s="242"/>
      <c r="CV199" s="242"/>
      <c r="CW199" s="242"/>
      <c r="CX199" s="242">
        <f t="shared" si="13"/>
        <v>0</v>
      </c>
      <c r="CY199" s="242"/>
      <c r="CZ199" s="242"/>
      <c r="DA199" s="237"/>
      <c r="DB199" s="214"/>
      <c r="DC199" s="1131"/>
      <c r="DD199" s="1153"/>
      <c r="DE199" s="242"/>
      <c r="DF199" s="242"/>
      <c r="DG199" s="242"/>
      <c r="DH199" s="242">
        <f t="shared" si="14"/>
        <v>0</v>
      </c>
      <c r="DI199" s="242"/>
      <c r="DJ199" s="242"/>
      <c r="DK199" s="214"/>
      <c r="DL199" s="214"/>
      <c r="DM199" s="1131"/>
      <c r="DN199" s="1153"/>
      <c r="DO199" s="242"/>
      <c r="DP199" s="242"/>
      <c r="DQ199" s="242"/>
      <c r="DR199" s="242">
        <f t="shared" si="15"/>
        <v>0</v>
      </c>
      <c r="DS199" s="242"/>
      <c r="DT199" s="242"/>
      <c r="DU199" s="214"/>
      <c r="DV199" s="214"/>
      <c r="DW199" s="1131"/>
      <c r="DX199" s="1153"/>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24"/>
      <c r="C200" s="1124"/>
      <c r="D200" s="1124"/>
      <c r="E200" s="1124"/>
      <c r="F200" s="1125">
        <f t="shared" si="2"/>
        <v>0</v>
      </c>
      <c r="G200" s="1126" t="str">
        <f t="shared" si="3"/>
        <v/>
      </c>
      <c r="H200" s="112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7">
        <f t="shared" si="211"/>
        <v>0</v>
      </c>
      <c r="J200" s="1128">
        <f t="shared" si="211"/>
        <v>0</v>
      </c>
      <c r="K200" s="214"/>
      <c r="L200" s="242" t="str">
        <f t="array" ref="L200">IFERROR(INDEX('💻シート作成'!$D$6:$D999, MATCH(M200, '💻シート作成'!$E$6:$E999, 0)), "")</f>
        <v/>
      </c>
      <c r="M200" s="1023"/>
      <c r="N200" s="214"/>
      <c r="O200" s="1087"/>
      <c r="P200" s="214"/>
      <c r="Q200" s="1131"/>
      <c r="R200" s="1153"/>
      <c r="S200" s="242"/>
      <c r="T200" s="242"/>
      <c r="U200" s="242"/>
      <c r="V200" s="242">
        <f t="shared" si="5"/>
        <v>0</v>
      </c>
      <c r="W200" s="242"/>
      <c r="X200" s="242"/>
      <c r="Y200" s="214"/>
      <c r="Z200" s="214"/>
      <c r="AA200" s="1131"/>
      <c r="AB200" s="1153"/>
      <c r="AC200" s="242"/>
      <c r="AD200" s="242"/>
      <c r="AE200" s="242"/>
      <c r="AF200" s="242">
        <f t="shared" si="6"/>
        <v>0</v>
      </c>
      <c r="AG200" s="242"/>
      <c r="AH200" s="242"/>
      <c r="AI200" s="214"/>
      <c r="AJ200" s="214"/>
      <c r="AK200" s="1131"/>
      <c r="AL200" s="1153"/>
      <c r="AM200" s="242"/>
      <c r="AN200" s="242"/>
      <c r="AO200" s="242"/>
      <c r="AP200" s="242">
        <f t="shared" si="7"/>
        <v>0</v>
      </c>
      <c r="AQ200" s="242"/>
      <c r="AR200" s="242"/>
      <c r="AS200" s="237"/>
      <c r="AT200" s="214"/>
      <c r="AU200" s="1138"/>
      <c r="AV200" s="1155"/>
      <c r="AW200" s="1140"/>
      <c r="AX200" s="1140"/>
      <c r="AY200" s="1140"/>
      <c r="AZ200" s="1140">
        <f t="shared" si="8"/>
        <v>0</v>
      </c>
      <c r="BA200" s="1140"/>
      <c r="BB200" s="1140"/>
      <c r="BC200" s="214"/>
      <c r="BD200" s="214"/>
      <c r="BE200" s="1131"/>
      <c r="BF200" s="1153"/>
      <c r="BG200" s="242"/>
      <c r="BH200" s="242"/>
      <c r="BI200" s="242"/>
      <c r="BJ200" s="242">
        <f t="shared" si="9"/>
        <v>0</v>
      </c>
      <c r="BK200" s="242"/>
      <c r="BL200" s="242"/>
      <c r="BM200" s="214"/>
      <c r="BN200" s="214"/>
      <c r="BO200" s="1131"/>
      <c r="BP200" s="1153"/>
      <c r="BQ200" s="242"/>
      <c r="BR200" s="242"/>
      <c r="BS200" s="242"/>
      <c r="BT200" s="242">
        <f t="shared" si="10"/>
        <v>0</v>
      </c>
      <c r="BU200" s="242"/>
      <c r="BV200" s="242"/>
      <c r="BW200" s="237"/>
      <c r="BX200" s="214"/>
      <c r="BY200" s="1131"/>
      <c r="BZ200" s="1153"/>
      <c r="CA200" s="242"/>
      <c r="CB200" s="242"/>
      <c r="CC200" s="242"/>
      <c r="CD200" s="242">
        <f t="shared" si="11"/>
        <v>0</v>
      </c>
      <c r="CE200" s="242"/>
      <c r="CF200" s="242"/>
      <c r="CG200" s="214"/>
      <c r="CH200" s="214"/>
      <c r="CI200" s="1131"/>
      <c r="CJ200" s="1153"/>
      <c r="CK200" s="242"/>
      <c r="CL200" s="242"/>
      <c r="CM200" s="242"/>
      <c r="CN200" s="242">
        <f t="shared" si="12"/>
        <v>0</v>
      </c>
      <c r="CO200" s="242"/>
      <c r="CP200" s="242"/>
      <c r="CQ200" s="214"/>
      <c r="CR200" s="214"/>
      <c r="CS200" s="1131"/>
      <c r="CT200" s="1153"/>
      <c r="CU200" s="242"/>
      <c r="CV200" s="242"/>
      <c r="CW200" s="242"/>
      <c r="CX200" s="242">
        <f t="shared" si="13"/>
        <v>0</v>
      </c>
      <c r="CY200" s="242"/>
      <c r="CZ200" s="242"/>
      <c r="DA200" s="237"/>
      <c r="DB200" s="214"/>
      <c r="DC200" s="1131"/>
      <c r="DD200" s="1153"/>
      <c r="DE200" s="242"/>
      <c r="DF200" s="242"/>
      <c r="DG200" s="242"/>
      <c r="DH200" s="242">
        <f t="shared" si="14"/>
        <v>0</v>
      </c>
      <c r="DI200" s="242"/>
      <c r="DJ200" s="242"/>
      <c r="DK200" s="214"/>
      <c r="DL200" s="214"/>
      <c r="DM200" s="1131"/>
      <c r="DN200" s="1153"/>
      <c r="DO200" s="242"/>
      <c r="DP200" s="242"/>
      <c r="DQ200" s="242"/>
      <c r="DR200" s="242">
        <f t="shared" si="15"/>
        <v>0</v>
      </c>
      <c r="DS200" s="242"/>
      <c r="DT200" s="242"/>
      <c r="DU200" s="214"/>
      <c r="DV200" s="214"/>
      <c r="DW200" s="1131"/>
      <c r="DX200" s="1153"/>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24"/>
      <c r="C201" s="1124"/>
      <c r="D201" s="1124"/>
      <c r="E201" s="1124"/>
      <c r="F201" s="1125">
        <f t="shared" si="2"/>
        <v>0</v>
      </c>
      <c r="G201" s="1126" t="str">
        <f t="shared" si="3"/>
        <v/>
      </c>
      <c r="H201" s="112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7">
        <f t="shared" si="212"/>
        <v>0</v>
      </c>
      <c r="J201" s="1128">
        <f t="shared" si="212"/>
        <v>0</v>
      </c>
      <c r="K201" s="214"/>
      <c r="L201" s="242" t="str">
        <f t="array" ref="L201">IFERROR(INDEX('💻シート作成'!$D$6:$D999, MATCH(M201, '💻シート作成'!$E$6:$E999, 0)), "")</f>
        <v/>
      </c>
      <c r="M201" s="1023"/>
      <c r="N201" s="214"/>
      <c r="O201" s="1087"/>
      <c r="P201" s="214"/>
      <c r="Q201" s="1131"/>
      <c r="R201" s="1153"/>
      <c r="S201" s="242"/>
      <c r="T201" s="242"/>
      <c r="U201" s="242"/>
      <c r="V201" s="242">
        <f t="shared" si="5"/>
        <v>0</v>
      </c>
      <c r="W201" s="242"/>
      <c r="X201" s="242"/>
      <c r="Y201" s="214"/>
      <c r="Z201" s="214"/>
      <c r="AA201" s="1131"/>
      <c r="AB201" s="1153"/>
      <c r="AC201" s="242"/>
      <c r="AD201" s="242"/>
      <c r="AE201" s="242"/>
      <c r="AF201" s="242">
        <f t="shared" si="6"/>
        <v>0</v>
      </c>
      <c r="AG201" s="242"/>
      <c r="AH201" s="242"/>
      <c r="AI201" s="214"/>
      <c r="AJ201" s="214"/>
      <c r="AK201" s="1131"/>
      <c r="AL201" s="1153"/>
      <c r="AM201" s="242"/>
      <c r="AN201" s="242"/>
      <c r="AO201" s="242"/>
      <c r="AP201" s="242">
        <f t="shared" si="7"/>
        <v>0</v>
      </c>
      <c r="AQ201" s="242"/>
      <c r="AR201" s="242"/>
      <c r="AS201" s="237"/>
      <c r="AT201" s="214"/>
      <c r="AU201" s="1138"/>
      <c r="AV201" s="1155"/>
      <c r="AW201" s="1140"/>
      <c r="AX201" s="1140"/>
      <c r="AY201" s="1140"/>
      <c r="AZ201" s="1140">
        <f t="shared" si="8"/>
        <v>0</v>
      </c>
      <c r="BA201" s="1140"/>
      <c r="BB201" s="1140"/>
      <c r="BC201" s="214"/>
      <c r="BD201" s="214"/>
      <c r="BE201" s="1131"/>
      <c r="BF201" s="1153"/>
      <c r="BG201" s="242"/>
      <c r="BH201" s="242"/>
      <c r="BI201" s="242"/>
      <c r="BJ201" s="242">
        <f t="shared" si="9"/>
        <v>0</v>
      </c>
      <c r="BK201" s="242"/>
      <c r="BL201" s="242"/>
      <c r="BM201" s="214"/>
      <c r="BN201" s="214"/>
      <c r="BO201" s="1131"/>
      <c r="BP201" s="1153"/>
      <c r="BQ201" s="242"/>
      <c r="BR201" s="242"/>
      <c r="BS201" s="242"/>
      <c r="BT201" s="242">
        <f t="shared" si="10"/>
        <v>0</v>
      </c>
      <c r="BU201" s="242"/>
      <c r="BV201" s="242"/>
      <c r="BW201" s="237"/>
      <c r="BX201" s="214"/>
      <c r="BY201" s="1131"/>
      <c r="BZ201" s="1153"/>
      <c r="CA201" s="242"/>
      <c r="CB201" s="242"/>
      <c r="CC201" s="242"/>
      <c r="CD201" s="242">
        <f t="shared" si="11"/>
        <v>0</v>
      </c>
      <c r="CE201" s="242"/>
      <c r="CF201" s="242"/>
      <c r="CG201" s="214"/>
      <c r="CH201" s="214"/>
      <c r="CI201" s="1131"/>
      <c r="CJ201" s="1153"/>
      <c r="CK201" s="242"/>
      <c r="CL201" s="242"/>
      <c r="CM201" s="242"/>
      <c r="CN201" s="242">
        <f t="shared" si="12"/>
        <v>0</v>
      </c>
      <c r="CO201" s="242"/>
      <c r="CP201" s="242"/>
      <c r="CQ201" s="214"/>
      <c r="CR201" s="214"/>
      <c r="CS201" s="1131"/>
      <c r="CT201" s="1153"/>
      <c r="CU201" s="242"/>
      <c r="CV201" s="242"/>
      <c r="CW201" s="242"/>
      <c r="CX201" s="242">
        <f t="shared" si="13"/>
        <v>0</v>
      </c>
      <c r="CY201" s="242"/>
      <c r="CZ201" s="242"/>
      <c r="DA201" s="237"/>
      <c r="DB201" s="214"/>
      <c r="DC201" s="1131"/>
      <c r="DD201" s="1153"/>
      <c r="DE201" s="242"/>
      <c r="DF201" s="242"/>
      <c r="DG201" s="242"/>
      <c r="DH201" s="242">
        <f t="shared" si="14"/>
        <v>0</v>
      </c>
      <c r="DI201" s="242"/>
      <c r="DJ201" s="242"/>
      <c r="DK201" s="214"/>
      <c r="DL201" s="214"/>
      <c r="DM201" s="1131"/>
      <c r="DN201" s="1153"/>
      <c r="DO201" s="242"/>
      <c r="DP201" s="242"/>
      <c r="DQ201" s="242"/>
      <c r="DR201" s="242">
        <f t="shared" si="15"/>
        <v>0</v>
      </c>
      <c r="DS201" s="242"/>
      <c r="DT201" s="242"/>
      <c r="DU201" s="214"/>
      <c r="DV201" s="214"/>
      <c r="DW201" s="1131"/>
      <c r="DX201" s="1153"/>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24"/>
      <c r="C202" s="1124"/>
      <c r="D202" s="1124"/>
      <c r="E202" s="1124"/>
      <c r="F202" s="1125">
        <f t="shared" si="2"/>
        <v>0</v>
      </c>
      <c r="G202" s="1126" t="str">
        <f t="shared" si="3"/>
        <v/>
      </c>
      <c r="H202" s="112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7">
        <f t="shared" si="213"/>
        <v>0</v>
      </c>
      <c r="J202" s="1128">
        <f t="shared" si="213"/>
        <v>0</v>
      </c>
      <c r="K202" s="214"/>
      <c r="L202" s="242" t="str">
        <f t="array" ref="L202">IFERROR(INDEX('💻シート作成'!$D$6:$D999, MATCH(M202, '💻シート作成'!$E$6:$E999, 0)), "")</f>
        <v/>
      </c>
      <c r="M202" s="1023"/>
      <c r="N202" s="214"/>
      <c r="O202" s="1087"/>
      <c r="P202" s="214"/>
      <c r="Q202" s="1131"/>
      <c r="R202" s="1153"/>
      <c r="S202" s="242"/>
      <c r="T202" s="242"/>
      <c r="U202" s="242"/>
      <c r="V202" s="242">
        <f t="shared" si="5"/>
        <v>0</v>
      </c>
      <c r="W202" s="242"/>
      <c r="X202" s="242"/>
      <c r="Y202" s="214"/>
      <c r="Z202" s="214"/>
      <c r="AA202" s="1131"/>
      <c r="AB202" s="1153"/>
      <c r="AC202" s="242"/>
      <c r="AD202" s="242"/>
      <c r="AE202" s="242"/>
      <c r="AF202" s="242">
        <f t="shared" si="6"/>
        <v>0</v>
      </c>
      <c r="AG202" s="242"/>
      <c r="AH202" s="242"/>
      <c r="AI202" s="214"/>
      <c r="AJ202" s="214"/>
      <c r="AK202" s="1131"/>
      <c r="AL202" s="1153"/>
      <c r="AM202" s="242"/>
      <c r="AN202" s="242"/>
      <c r="AO202" s="242"/>
      <c r="AP202" s="242">
        <f t="shared" si="7"/>
        <v>0</v>
      </c>
      <c r="AQ202" s="242"/>
      <c r="AR202" s="242"/>
      <c r="AS202" s="237"/>
      <c r="AT202" s="214"/>
      <c r="AU202" s="1138"/>
      <c r="AV202" s="1155"/>
      <c r="AW202" s="1140"/>
      <c r="AX202" s="1140"/>
      <c r="AY202" s="1140"/>
      <c r="AZ202" s="1140">
        <f t="shared" si="8"/>
        <v>0</v>
      </c>
      <c r="BA202" s="1140"/>
      <c r="BB202" s="1140"/>
      <c r="BC202" s="214"/>
      <c r="BD202" s="214"/>
      <c r="BE202" s="1131"/>
      <c r="BF202" s="1153"/>
      <c r="BG202" s="242"/>
      <c r="BH202" s="242"/>
      <c r="BI202" s="242"/>
      <c r="BJ202" s="242">
        <f t="shared" si="9"/>
        <v>0</v>
      </c>
      <c r="BK202" s="242"/>
      <c r="BL202" s="242"/>
      <c r="BM202" s="214"/>
      <c r="BN202" s="214"/>
      <c r="BO202" s="1131"/>
      <c r="BP202" s="1153"/>
      <c r="BQ202" s="242"/>
      <c r="BR202" s="242"/>
      <c r="BS202" s="242"/>
      <c r="BT202" s="242">
        <f t="shared" si="10"/>
        <v>0</v>
      </c>
      <c r="BU202" s="242"/>
      <c r="BV202" s="242"/>
      <c r="BW202" s="237"/>
      <c r="BX202" s="214"/>
      <c r="BY202" s="1131"/>
      <c r="BZ202" s="1153"/>
      <c r="CA202" s="242"/>
      <c r="CB202" s="242"/>
      <c r="CC202" s="242"/>
      <c r="CD202" s="242">
        <f t="shared" si="11"/>
        <v>0</v>
      </c>
      <c r="CE202" s="242"/>
      <c r="CF202" s="242"/>
      <c r="CG202" s="214"/>
      <c r="CH202" s="214"/>
      <c r="CI202" s="1131"/>
      <c r="CJ202" s="1153"/>
      <c r="CK202" s="242"/>
      <c r="CL202" s="242"/>
      <c r="CM202" s="242"/>
      <c r="CN202" s="242">
        <f t="shared" si="12"/>
        <v>0</v>
      </c>
      <c r="CO202" s="242"/>
      <c r="CP202" s="242"/>
      <c r="CQ202" s="214"/>
      <c r="CR202" s="214"/>
      <c r="CS202" s="1131"/>
      <c r="CT202" s="1153"/>
      <c r="CU202" s="242"/>
      <c r="CV202" s="242"/>
      <c r="CW202" s="242"/>
      <c r="CX202" s="242">
        <f t="shared" si="13"/>
        <v>0</v>
      </c>
      <c r="CY202" s="242"/>
      <c r="CZ202" s="242"/>
      <c r="DA202" s="237"/>
      <c r="DB202" s="214"/>
      <c r="DC202" s="1131"/>
      <c r="DD202" s="1153"/>
      <c r="DE202" s="242"/>
      <c r="DF202" s="242"/>
      <c r="DG202" s="242"/>
      <c r="DH202" s="242">
        <f t="shared" si="14"/>
        <v>0</v>
      </c>
      <c r="DI202" s="242"/>
      <c r="DJ202" s="242"/>
      <c r="DK202" s="214"/>
      <c r="DL202" s="214"/>
      <c r="DM202" s="1131"/>
      <c r="DN202" s="1153"/>
      <c r="DO202" s="242"/>
      <c r="DP202" s="242"/>
      <c r="DQ202" s="242"/>
      <c r="DR202" s="242">
        <f t="shared" si="15"/>
        <v>0</v>
      </c>
      <c r="DS202" s="242"/>
      <c r="DT202" s="242"/>
      <c r="DU202" s="214"/>
      <c r="DV202" s="214"/>
      <c r="DW202" s="1131"/>
      <c r="DX202" s="1153"/>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24"/>
      <c r="C203" s="1124"/>
      <c r="D203" s="1124"/>
      <c r="E203" s="1124"/>
      <c r="F203" s="1125">
        <f t="shared" si="2"/>
        <v>0</v>
      </c>
      <c r="G203" s="1126" t="str">
        <f t="shared" si="3"/>
        <v/>
      </c>
      <c r="H203" s="112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7">
        <f t="shared" si="214"/>
        <v>0</v>
      </c>
      <c r="J203" s="1128">
        <f t="shared" si="214"/>
        <v>0</v>
      </c>
      <c r="K203" s="214"/>
      <c r="L203" s="242" t="str">
        <f t="array" ref="L203">IFERROR(INDEX('💻シート作成'!$D$6:$D999, MATCH(M203, '💻シート作成'!$E$6:$E999, 0)), "")</f>
        <v/>
      </c>
      <c r="M203" s="1023"/>
      <c r="N203" s="214"/>
      <c r="O203" s="1087"/>
      <c r="P203" s="214"/>
      <c r="Q203" s="1131"/>
      <c r="R203" s="1153"/>
      <c r="S203" s="242"/>
      <c r="T203" s="242"/>
      <c r="U203" s="242"/>
      <c r="V203" s="242">
        <f t="shared" si="5"/>
        <v>0</v>
      </c>
      <c r="W203" s="242"/>
      <c r="X203" s="242"/>
      <c r="Y203" s="214"/>
      <c r="Z203" s="214"/>
      <c r="AA203" s="1131"/>
      <c r="AB203" s="1153"/>
      <c r="AC203" s="242"/>
      <c r="AD203" s="242"/>
      <c r="AE203" s="242"/>
      <c r="AF203" s="242">
        <f t="shared" si="6"/>
        <v>0</v>
      </c>
      <c r="AG203" s="242"/>
      <c r="AH203" s="242"/>
      <c r="AI203" s="214"/>
      <c r="AJ203" s="214"/>
      <c r="AK203" s="1131"/>
      <c r="AL203" s="1153"/>
      <c r="AM203" s="242"/>
      <c r="AN203" s="242"/>
      <c r="AO203" s="242"/>
      <c r="AP203" s="242">
        <f t="shared" si="7"/>
        <v>0</v>
      </c>
      <c r="AQ203" s="242"/>
      <c r="AR203" s="242"/>
      <c r="AS203" s="237"/>
      <c r="AT203" s="214"/>
      <c r="AU203" s="1138"/>
      <c r="AV203" s="1155"/>
      <c r="AW203" s="1140"/>
      <c r="AX203" s="1140"/>
      <c r="AY203" s="1140"/>
      <c r="AZ203" s="1140">
        <f t="shared" si="8"/>
        <v>0</v>
      </c>
      <c r="BA203" s="1140"/>
      <c r="BB203" s="1140"/>
      <c r="BC203" s="214"/>
      <c r="BD203" s="214"/>
      <c r="BE203" s="1131"/>
      <c r="BF203" s="1153"/>
      <c r="BG203" s="242"/>
      <c r="BH203" s="242"/>
      <c r="BI203" s="242"/>
      <c r="BJ203" s="242">
        <f t="shared" si="9"/>
        <v>0</v>
      </c>
      <c r="BK203" s="242"/>
      <c r="BL203" s="242"/>
      <c r="BM203" s="214"/>
      <c r="BN203" s="214"/>
      <c r="BO203" s="1131"/>
      <c r="BP203" s="1153"/>
      <c r="BQ203" s="242"/>
      <c r="BR203" s="242"/>
      <c r="BS203" s="242"/>
      <c r="BT203" s="242">
        <f t="shared" si="10"/>
        <v>0</v>
      </c>
      <c r="BU203" s="242"/>
      <c r="BV203" s="242"/>
      <c r="BW203" s="237"/>
      <c r="BX203" s="214"/>
      <c r="BY203" s="1131"/>
      <c r="BZ203" s="1153"/>
      <c r="CA203" s="242"/>
      <c r="CB203" s="242"/>
      <c r="CC203" s="242"/>
      <c r="CD203" s="242">
        <f t="shared" si="11"/>
        <v>0</v>
      </c>
      <c r="CE203" s="242"/>
      <c r="CF203" s="242"/>
      <c r="CG203" s="214"/>
      <c r="CH203" s="214"/>
      <c r="CI203" s="1131"/>
      <c r="CJ203" s="1153"/>
      <c r="CK203" s="242"/>
      <c r="CL203" s="242"/>
      <c r="CM203" s="242"/>
      <c r="CN203" s="242">
        <f t="shared" si="12"/>
        <v>0</v>
      </c>
      <c r="CO203" s="242"/>
      <c r="CP203" s="242"/>
      <c r="CQ203" s="214"/>
      <c r="CR203" s="214"/>
      <c r="CS203" s="1131"/>
      <c r="CT203" s="1153"/>
      <c r="CU203" s="242"/>
      <c r="CV203" s="242"/>
      <c r="CW203" s="242"/>
      <c r="CX203" s="242">
        <f t="shared" si="13"/>
        <v>0</v>
      </c>
      <c r="CY203" s="242"/>
      <c r="CZ203" s="242"/>
      <c r="DA203" s="237"/>
      <c r="DB203" s="214"/>
      <c r="DC203" s="1131"/>
      <c r="DD203" s="1153"/>
      <c r="DE203" s="242"/>
      <c r="DF203" s="242"/>
      <c r="DG203" s="242"/>
      <c r="DH203" s="242">
        <f t="shared" si="14"/>
        <v>0</v>
      </c>
      <c r="DI203" s="242"/>
      <c r="DJ203" s="242"/>
      <c r="DK203" s="214"/>
      <c r="DL203" s="214"/>
      <c r="DM203" s="1131"/>
      <c r="DN203" s="1153"/>
      <c r="DO203" s="242"/>
      <c r="DP203" s="242"/>
      <c r="DQ203" s="242"/>
      <c r="DR203" s="242">
        <f t="shared" si="15"/>
        <v>0</v>
      </c>
      <c r="DS203" s="242"/>
      <c r="DT203" s="242"/>
      <c r="DU203" s="214"/>
      <c r="DV203" s="214"/>
      <c r="DW203" s="1131"/>
      <c r="DX203" s="1153"/>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24"/>
      <c r="C204" s="1124"/>
      <c r="D204" s="1124"/>
      <c r="E204" s="1124"/>
      <c r="F204" s="1125">
        <f t="shared" si="2"/>
        <v>0</v>
      </c>
      <c r="G204" s="1126" t="str">
        <f t="shared" si="3"/>
        <v/>
      </c>
      <c r="H204" s="112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7">
        <f t="shared" si="215"/>
        <v>0</v>
      </c>
      <c r="J204" s="1128">
        <f t="shared" si="215"/>
        <v>0</v>
      </c>
      <c r="K204" s="214"/>
      <c r="L204" s="214"/>
      <c r="M204" s="214"/>
      <c r="N204" s="214"/>
      <c r="O204" s="1087"/>
      <c r="P204" s="214"/>
      <c r="Q204" s="1131"/>
      <c r="R204" s="1153"/>
      <c r="S204" s="242"/>
      <c r="T204" s="242"/>
      <c r="U204" s="242"/>
      <c r="V204" s="242">
        <f t="shared" si="5"/>
        <v>0</v>
      </c>
      <c r="W204" s="242"/>
      <c r="X204" s="242"/>
      <c r="Y204" s="214"/>
      <c r="Z204" s="214"/>
      <c r="AA204" s="1131"/>
      <c r="AB204" s="1153"/>
      <c r="AC204" s="242"/>
      <c r="AD204" s="242"/>
      <c r="AE204" s="242"/>
      <c r="AF204" s="242">
        <f t="shared" si="6"/>
        <v>0</v>
      </c>
      <c r="AG204" s="242"/>
      <c r="AH204" s="242"/>
      <c r="AI204" s="214"/>
      <c r="AJ204" s="214"/>
      <c r="AK204" s="1131"/>
      <c r="AL204" s="1153"/>
      <c r="AM204" s="242"/>
      <c r="AN204" s="242"/>
      <c r="AO204" s="242"/>
      <c r="AP204" s="242">
        <f t="shared" si="7"/>
        <v>0</v>
      </c>
      <c r="AQ204" s="242"/>
      <c r="AR204" s="242"/>
      <c r="AS204" s="237"/>
      <c r="AT204" s="214"/>
      <c r="AU204" s="1138"/>
      <c r="AV204" s="1155"/>
      <c r="AW204" s="1140"/>
      <c r="AX204" s="1140"/>
      <c r="AY204" s="1140"/>
      <c r="AZ204" s="1140">
        <f t="shared" si="8"/>
        <v>0</v>
      </c>
      <c r="BA204" s="1140"/>
      <c r="BB204" s="1140"/>
      <c r="BC204" s="214"/>
      <c r="BD204" s="214"/>
      <c r="BE204" s="1131"/>
      <c r="BF204" s="1153"/>
      <c r="BG204" s="242"/>
      <c r="BH204" s="242"/>
      <c r="BI204" s="242"/>
      <c r="BJ204" s="242">
        <f t="shared" si="9"/>
        <v>0</v>
      </c>
      <c r="BK204" s="242"/>
      <c r="BL204" s="242"/>
      <c r="BM204" s="214"/>
      <c r="BN204" s="214"/>
      <c r="BO204" s="1131"/>
      <c r="BP204" s="1153"/>
      <c r="BQ204" s="242"/>
      <c r="BR204" s="242"/>
      <c r="BS204" s="242"/>
      <c r="BT204" s="242">
        <f t="shared" si="10"/>
        <v>0</v>
      </c>
      <c r="BU204" s="242"/>
      <c r="BV204" s="242"/>
      <c r="BW204" s="237"/>
      <c r="BX204" s="214"/>
      <c r="BY204" s="1131"/>
      <c r="BZ204" s="1153"/>
      <c r="CA204" s="242"/>
      <c r="CB204" s="242"/>
      <c r="CC204" s="242"/>
      <c r="CD204" s="242">
        <f t="shared" si="11"/>
        <v>0</v>
      </c>
      <c r="CE204" s="242"/>
      <c r="CF204" s="242"/>
      <c r="CG204" s="214"/>
      <c r="CH204" s="214"/>
      <c r="CI204" s="1131"/>
      <c r="CJ204" s="1153"/>
      <c r="CK204" s="242"/>
      <c r="CL204" s="242"/>
      <c r="CM204" s="242"/>
      <c r="CN204" s="242">
        <f t="shared" si="12"/>
        <v>0</v>
      </c>
      <c r="CO204" s="242"/>
      <c r="CP204" s="242"/>
      <c r="CQ204" s="214"/>
      <c r="CR204" s="214"/>
      <c r="CS204" s="1131"/>
      <c r="CT204" s="1153"/>
      <c r="CU204" s="242"/>
      <c r="CV204" s="242"/>
      <c r="CW204" s="242"/>
      <c r="CX204" s="242">
        <f t="shared" si="13"/>
        <v>0</v>
      </c>
      <c r="CY204" s="242"/>
      <c r="CZ204" s="242"/>
      <c r="DA204" s="237"/>
      <c r="DB204" s="214"/>
      <c r="DC204" s="1131"/>
      <c r="DD204" s="1153"/>
      <c r="DE204" s="242"/>
      <c r="DF204" s="242"/>
      <c r="DG204" s="242"/>
      <c r="DH204" s="242">
        <f t="shared" si="14"/>
        <v>0</v>
      </c>
      <c r="DI204" s="242"/>
      <c r="DJ204" s="242"/>
      <c r="DK204" s="214"/>
      <c r="DL204" s="214"/>
      <c r="DM204" s="1131"/>
      <c r="DN204" s="1153"/>
      <c r="DO204" s="242"/>
      <c r="DP204" s="242"/>
      <c r="DQ204" s="242"/>
      <c r="DR204" s="242">
        <f t="shared" si="15"/>
        <v>0</v>
      </c>
      <c r="DS204" s="242"/>
      <c r="DT204" s="242"/>
      <c r="DU204" s="214"/>
      <c r="DV204" s="214"/>
      <c r="DW204" s="1131"/>
      <c r="DX204" s="1153"/>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24"/>
      <c r="C205" s="1124"/>
      <c r="D205" s="1124"/>
      <c r="E205" s="1124"/>
      <c r="F205" s="1125">
        <f t="shared" si="2"/>
        <v>0</v>
      </c>
      <c r="G205" s="1126" t="str">
        <f t="shared" si="3"/>
        <v/>
      </c>
      <c r="H205" s="112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7">
        <f t="shared" si="216"/>
        <v>0</v>
      </c>
      <c r="J205" s="1128">
        <f t="shared" si="216"/>
        <v>0</v>
      </c>
      <c r="K205" s="214"/>
      <c r="L205" s="214"/>
      <c r="M205" s="214"/>
      <c r="N205" s="214"/>
      <c r="O205" s="1087"/>
      <c r="P205" s="214"/>
      <c r="Q205" s="1131"/>
      <c r="R205" s="1153"/>
      <c r="S205" s="242"/>
      <c r="T205" s="242"/>
      <c r="U205" s="242"/>
      <c r="V205" s="242">
        <f t="shared" si="5"/>
        <v>0</v>
      </c>
      <c r="W205" s="242"/>
      <c r="X205" s="242"/>
      <c r="Y205" s="214"/>
      <c r="Z205" s="214"/>
      <c r="AA205" s="1131"/>
      <c r="AB205" s="1153"/>
      <c r="AC205" s="242"/>
      <c r="AD205" s="242"/>
      <c r="AE205" s="242"/>
      <c r="AF205" s="242">
        <f t="shared" si="6"/>
        <v>0</v>
      </c>
      <c r="AG205" s="242"/>
      <c r="AH205" s="242"/>
      <c r="AI205" s="214"/>
      <c r="AJ205" s="214"/>
      <c r="AK205" s="1131"/>
      <c r="AL205" s="1153"/>
      <c r="AM205" s="242"/>
      <c r="AN205" s="242"/>
      <c r="AO205" s="242"/>
      <c r="AP205" s="242">
        <f t="shared" si="7"/>
        <v>0</v>
      </c>
      <c r="AQ205" s="242"/>
      <c r="AR205" s="242"/>
      <c r="AS205" s="237"/>
      <c r="AT205" s="214"/>
      <c r="AU205" s="1138"/>
      <c r="AV205" s="1155"/>
      <c r="AW205" s="1140"/>
      <c r="AX205" s="1140"/>
      <c r="AY205" s="1140"/>
      <c r="AZ205" s="1140">
        <f t="shared" si="8"/>
        <v>0</v>
      </c>
      <c r="BA205" s="1140"/>
      <c r="BB205" s="1140"/>
      <c r="BC205" s="214"/>
      <c r="BD205" s="214"/>
      <c r="BE205" s="1131"/>
      <c r="BF205" s="1153"/>
      <c r="BG205" s="242"/>
      <c r="BH205" s="242"/>
      <c r="BI205" s="242"/>
      <c r="BJ205" s="242">
        <f t="shared" si="9"/>
        <v>0</v>
      </c>
      <c r="BK205" s="242"/>
      <c r="BL205" s="242"/>
      <c r="BM205" s="214"/>
      <c r="BN205" s="214"/>
      <c r="BO205" s="1131"/>
      <c r="BP205" s="1153"/>
      <c r="BQ205" s="242"/>
      <c r="BR205" s="242"/>
      <c r="BS205" s="242"/>
      <c r="BT205" s="242">
        <f t="shared" si="10"/>
        <v>0</v>
      </c>
      <c r="BU205" s="242"/>
      <c r="BV205" s="242"/>
      <c r="BW205" s="237"/>
      <c r="BX205" s="214"/>
      <c r="BY205" s="1131"/>
      <c r="BZ205" s="1153"/>
      <c r="CA205" s="242"/>
      <c r="CB205" s="242"/>
      <c r="CC205" s="242"/>
      <c r="CD205" s="242">
        <f t="shared" si="11"/>
        <v>0</v>
      </c>
      <c r="CE205" s="242"/>
      <c r="CF205" s="242"/>
      <c r="CG205" s="214"/>
      <c r="CH205" s="214"/>
      <c r="CI205" s="1131"/>
      <c r="CJ205" s="1153"/>
      <c r="CK205" s="242"/>
      <c r="CL205" s="242"/>
      <c r="CM205" s="242"/>
      <c r="CN205" s="242">
        <f t="shared" si="12"/>
        <v>0</v>
      </c>
      <c r="CO205" s="242"/>
      <c r="CP205" s="242"/>
      <c r="CQ205" s="214"/>
      <c r="CR205" s="214"/>
      <c r="CS205" s="1131"/>
      <c r="CT205" s="1153"/>
      <c r="CU205" s="242"/>
      <c r="CV205" s="242"/>
      <c r="CW205" s="242"/>
      <c r="CX205" s="242">
        <f t="shared" si="13"/>
        <v>0</v>
      </c>
      <c r="CY205" s="242"/>
      <c r="CZ205" s="242"/>
      <c r="DA205" s="237"/>
      <c r="DB205" s="214"/>
      <c r="DC205" s="1131"/>
      <c r="DD205" s="1153"/>
      <c r="DE205" s="242"/>
      <c r="DF205" s="242"/>
      <c r="DG205" s="242"/>
      <c r="DH205" s="242">
        <f t="shared" si="14"/>
        <v>0</v>
      </c>
      <c r="DI205" s="242"/>
      <c r="DJ205" s="242"/>
      <c r="DK205" s="214"/>
      <c r="DL205" s="214"/>
      <c r="DM205" s="1131"/>
      <c r="DN205" s="1153"/>
      <c r="DO205" s="242"/>
      <c r="DP205" s="242"/>
      <c r="DQ205" s="242"/>
      <c r="DR205" s="242">
        <f t="shared" si="15"/>
        <v>0</v>
      </c>
      <c r="DS205" s="242"/>
      <c r="DT205" s="242"/>
      <c r="DU205" s="214"/>
      <c r="DV205" s="214"/>
      <c r="DW205" s="1131"/>
      <c r="DX205" s="1153"/>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24"/>
      <c r="C206" s="1124"/>
      <c r="D206" s="1124"/>
      <c r="E206" s="1124"/>
      <c r="F206" s="1125">
        <f t="shared" si="2"/>
        <v>0</v>
      </c>
      <c r="G206" s="1126" t="str">
        <f t="shared" si="3"/>
        <v/>
      </c>
      <c r="H206" s="112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7">
        <f t="shared" si="217"/>
        <v>0</v>
      </c>
      <c r="J206" s="1128">
        <f t="shared" si="217"/>
        <v>0</v>
      </c>
      <c r="K206" s="214"/>
      <c r="L206" s="214"/>
      <c r="M206" s="214"/>
      <c r="N206" s="214"/>
      <c r="O206" s="1087"/>
      <c r="P206" s="214"/>
      <c r="Q206" s="1131"/>
      <c r="R206" s="1153"/>
      <c r="S206" s="242"/>
      <c r="T206" s="242"/>
      <c r="U206" s="242"/>
      <c r="V206" s="242">
        <f t="shared" si="5"/>
        <v>0</v>
      </c>
      <c r="W206" s="242"/>
      <c r="X206" s="242"/>
      <c r="Y206" s="214"/>
      <c r="Z206" s="214"/>
      <c r="AA206" s="1131"/>
      <c r="AB206" s="1153"/>
      <c r="AC206" s="242"/>
      <c r="AD206" s="242"/>
      <c r="AE206" s="242"/>
      <c r="AF206" s="242">
        <f t="shared" si="6"/>
        <v>0</v>
      </c>
      <c r="AG206" s="242"/>
      <c r="AH206" s="242"/>
      <c r="AI206" s="214"/>
      <c r="AJ206" s="214"/>
      <c r="AK206" s="1131"/>
      <c r="AL206" s="1153"/>
      <c r="AM206" s="242"/>
      <c r="AN206" s="242"/>
      <c r="AO206" s="242"/>
      <c r="AP206" s="242">
        <f t="shared" si="7"/>
        <v>0</v>
      </c>
      <c r="AQ206" s="242"/>
      <c r="AR206" s="242"/>
      <c r="AS206" s="237"/>
      <c r="AT206" s="214"/>
      <c r="AU206" s="1138"/>
      <c r="AV206" s="1155"/>
      <c r="AW206" s="1140"/>
      <c r="AX206" s="1140"/>
      <c r="AY206" s="1140"/>
      <c r="AZ206" s="1140">
        <f t="shared" si="8"/>
        <v>0</v>
      </c>
      <c r="BA206" s="1140"/>
      <c r="BB206" s="1140"/>
      <c r="BC206" s="214"/>
      <c r="BD206" s="214"/>
      <c r="BE206" s="1131"/>
      <c r="BF206" s="1153"/>
      <c r="BG206" s="242"/>
      <c r="BH206" s="242"/>
      <c r="BI206" s="242"/>
      <c r="BJ206" s="242">
        <f t="shared" si="9"/>
        <v>0</v>
      </c>
      <c r="BK206" s="242"/>
      <c r="BL206" s="242"/>
      <c r="BM206" s="214"/>
      <c r="BN206" s="214"/>
      <c r="BO206" s="1131"/>
      <c r="BP206" s="1153"/>
      <c r="BQ206" s="242"/>
      <c r="BR206" s="242"/>
      <c r="BS206" s="242"/>
      <c r="BT206" s="242">
        <f t="shared" si="10"/>
        <v>0</v>
      </c>
      <c r="BU206" s="242"/>
      <c r="BV206" s="242"/>
      <c r="BW206" s="237"/>
      <c r="BX206" s="214"/>
      <c r="BY206" s="1131"/>
      <c r="BZ206" s="1153"/>
      <c r="CA206" s="242"/>
      <c r="CB206" s="242"/>
      <c r="CC206" s="242"/>
      <c r="CD206" s="242">
        <f t="shared" si="11"/>
        <v>0</v>
      </c>
      <c r="CE206" s="242"/>
      <c r="CF206" s="242"/>
      <c r="CG206" s="214"/>
      <c r="CH206" s="214"/>
      <c r="CI206" s="1131"/>
      <c r="CJ206" s="1153"/>
      <c r="CK206" s="242"/>
      <c r="CL206" s="242"/>
      <c r="CM206" s="242"/>
      <c r="CN206" s="242">
        <f t="shared" si="12"/>
        <v>0</v>
      </c>
      <c r="CO206" s="242"/>
      <c r="CP206" s="242"/>
      <c r="CQ206" s="214"/>
      <c r="CR206" s="214"/>
      <c r="CS206" s="1131"/>
      <c r="CT206" s="1153"/>
      <c r="CU206" s="242"/>
      <c r="CV206" s="242"/>
      <c r="CW206" s="242"/>
      <c r="CX206" s="242">
        <f t="shared" si="13"/>
        <v>0</v>
      </c>
      <c r="CY206" s="242"/>
      <c r="CZ206" s="242"/>
      <c r="DA206" s="237"/>
      <c r="DB206" s="214"/>
      <c r="DC206" s="1131"/>
      <c r="DD206" s="1153"/>
      <c r="DE206" s="242"/>
      <c r="DF206" s="242"/>
      <c r="DG206" s="242"/>
      <c r="DH206" s="242">
        <f t="shared" si="14"/>
        <v>0</v>
      </c>
      <c r="DI206" s="242"/>
      <c r="DJ206" s="242"/>
      <c r="DK206" s="214"/>
      <c r="DL206" s="214"/>
      <c r="DM206" s="1131"/>
      <c r="DN206" s="1153"/>
      <c r="DO206" s="242"/>
      <c r="DP206" s="242"/>
      <c r="DQ206" s="242"/>
      <c r="DR206" s="242">
        <f t="shared" si="15"/>
        <v>0</v>
      </c>
      <c r="DS206" s="242"/>
      <c r="DT206" s="242"/>
      <c r="DU206" s="214"/>
      <c r="DV206" s="214"/>
      <c r="DW206" s="1131"/>
      <c r="DX206" s="1153"/>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24"/>
      <c r="C207" s="1124"/>
      <c r="D207" s="1124"/>
      <c r="E207" s="1124"/>
      <c r="F207" s="1125">
        <f t="shared" si="2"/>
        <v>0</v>
      </c>
      <c r="G207" s="1126" t="str">
        <f t="shared" si="3"/>
        <v/>
      </c>
      <c r="H207" s="112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7">
        <f t="shared" si="218"/>
        <v>0</v>
      </c>
      <c r="J207" s="1128">
        <f t="shared" si="218"/>
        <v>0</v>
      </c>
      <c r="K207" s="214"/>
      <c r="L207" s="214"/>
      <c r="M207" s="214"/>
      <c r="N207" s="214"/>
      <c r="O207" s="1087"/>
      <c r="P207" s="214"/>
      <c r="Q207" s="1131"/>
      <c r="R207" s="1153"/>
      <c r="S207" s="242"/>
      <c r="T207" s="242"/>
      <c r="U207" s="242"/>
      <c r="V207" s="242">
        <f t="shared" si="5"/>
        <v>0</v>
      </c>
      <c r="W207" s="242"/>
      <c r="X207" s="242"/>
      <c r="Y207" s="214"/>
      <c r="Z207" s="214"/>
      <c r="AA207" s="1131"/>
      <c r="AB207" s="1153"/>
      <c r="AC207" s="242"/>
      <c r="AD207" s="242"/>
      <c r="AE207" s="242"/>
      <c r="AF207" s="242">
        <f t="shared" si="6"/>
        <v>0</v>
      </c>
      <c r="AG207" s="242"/>
      <c r="AH207" s="242"/>
      <c r="AI207" s="214"/>
      <c r="AJ207" s="214"/>
      <c r="AK207" s="1131"/>
      <c r="AL207" s="1153"/>
      <c r="AM207" s="242"/>
      <c r="AN207" s="242"/>
      <c r="AO207" s="242"/>
      <c r="AP207" s="242">
        <f t="shared" si="7"/>
        <v>0</v>
      </c>
      <c r="AQ207" s="242"/>
      <c r="AR207" s="242"/>
      <c r="AS207" s="237"/>
      <c r="AT207" s="214"/>
      <c r="AU207" s="1138"/>
      <c r="AV207" s="1155"/>
      <c r="AW207" s="1140"/>
      <c r="AX207" s="1140"/>
      <c r="AY207" s="1140"/>
      <c r="AZ207" s="1140">
        <f t="shared" si="8"/>
        <v>0</v>
      </c>
      <c r="BA207" s="1140"/>
      <c r="BB207" s="1140"/>
      <c r="BC207" s="214"/>
      <c r="BD207" s="214"/>
      <c r="BE207" s="1131"/>
      <c r="BF207" s="1153"/>
      <c r="BG207" s="242"/>
      <c r="BH207" s="242"/>
      <c r="BI207" s="242"/>
      <c r="BJ207" s="242">
        <f t="shared" si="9"/>
        <v>0</v>
      </c>
      <c r="BK207" s="242"/>
      <c r="BL207" s="242"/>
      <c r="BM207" s="214"/>
      <c r="BN207" s="214"/>
      <c r="BO207" s="1131"/>
      <c r="BP207" s="1153"/>
      <c r="BQ207" s="242"/>
      <c r="BR207" s="242"/>
      <c r="BS207" s="242"/>
      <c r="BT207" s="242">
        <f t="shared" si="10"/>
        <v>0</v>
      </c>
      <c r="BU207" s="242"/>
      <c r="BV207" s="242"/>
      <c r="BW207" s="237"/>
      <c r="BX207" s="214"/>
      <c r="BY207" s="1131"/>
      <c r="BZ207" s="1153"/>
      <c r="CA207" s="242"/>
      <c r="CB207" s="242"/>
      <c r="CC207" s="242"/>
      <c r="CD207" s="242">
        <f t="shared" si="11"/>
        <v>0</v>
      </c>
      <c r="CE207" s="242"/>
      <c r="CF207" s="242"/>
      <c r="CG207" s="214"/>
      <c r="CH207" s="214"/>
      <c r="CI207" s="1131"/>
      <c r="CJ207" s="1153"/>
      <c r="CK207" s="242"/>
      <c r="CL207" s="242"/>
      <c r="CM207" s="242"/>
      <c r="CN207" s="242">
        <f t="shared" si="12"/>
        <v>0</v>
      </c>
      <c r="CO207" s="242"/>
      <c r="CP207" s="242"/>
      <c r="CQ207" s="214"/>
      <c r="CR207" s="214"/>
      <c r="CS207" s="1131"/>
      <c r="CT207" s="1153"/>
      <c r="CU207" s="242"/>
      <c r="CV207" s="242"/>
      <c r="CW207" s="242"/>
      <c r="CX207" s="242">
        <f t="shared" si="13"/>
        <v>0</v>
      </c>
      <c r="CY207" s="242"/>
      <c r="CZ207" s="242"/>
      <c r="DA207" s="237"/>
      <c r="DB207" s="214"/>
      <c r="DC207" s="1131"/>
      <c r="DD207" s="1153"/>
      <c r="DE207" s="242"/>
      <c r="DF207" s="242"/>
      <c r="DG207" s="242"/>
      <c r="DH207" s="242">
        <f t="shared" si="14"/>
        <v>0</v>
      </c>
      <c r="DI207" s="242"/>
      <c r="DJ207" s="242"/>
      <c r="DK207" s="214"/>
      <c r="DL207" s="214"/>
      <c r="DM207" s="1131"/>
      <c r="DN207" s="1153"/>
      <c r="DO207" s="242"/>
      <c r="DP207" s="242"/>
      <c r="DQ207" s="242"/>
      <c r="DR207" s="242">
        <f t="shared" si="15"/>
        <v>0</v>
      </c>
      <c r="DS207" s="242"/>
      <c r="DT207" s="242"/>
      <c r="DU207" s="214"/>
      <c r="DV207" s="214"/>
      <c r="DW207" s="1131"/>
      <c r="DX207" s="1153"/>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24"/>
      <c r="C208" s="1124"/>
      <c r="D208" s="1124"/>
      <c r="E208" s="1124"/>
      <c r="F208" s="1125">
        <f t="shared" si="2"/>
        <v>0</v>
      </c>
      <c r="G208" s="1126" t="str">
        <f t="shared" si="3"/>
        <v/>
      </c>
      <c r="H208" s="112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7">
        <f t="shared" si="219"/>
        <v>0</v>
      </c>
      <c r="J208" s="1128">
        <f t="shared" si="219"/>
        <v>0</v>
      </c>
      <c r="K208" s="214"/>
      <c r="L208" s="214"/>
      <c r="M208" s="214"/>
      <c r="N208" s="214"/>
      <c r="O208" s="1087"/>
      <c r="P208" s="214"/>
      <c r="Q208" s="1131"/>
      <c r="R208" s="1153"/>
      <c r="S208" s="242"/>
      <c r="T208" s="242"/>
      <c r="U208" s="242"/>
      <c r="V208" s="242">
        <f t="shared" si="5"/>
        <v>0</v>
      </c>
      <c r="W208" s="242"/>
      <c r="X208" s="242"/>
      <c r="Y208" s="214"/>
      <c r="Z208" s="214"/>
      <c r="AA208" s="1131"/>
      <c r="AB208" s="1153"/>
      <c r="AC208" s="242"/>
      <c r="AD208" s="242"/>
      <c r="AE208" s="242"/>
      <c r="AF208" s="242">
        <f t="shared" si="6"/>
        <v>0</v>
      </c>
      <c r="AG208" s="242"/>
      <c r="AH208" s="242"/>
      <c r="AI208" s="214"/>
      <c r="AJ208" s="214"/>
      <c r="AK208" s="1131"/>
      <c r="AL208" s="1153"/>
      <c r="AM208" s="242"/>
      <c r="AN208" s="242"/>
      <c r="AO208" s="242"/>
      <c r="AP208" s="242">
        <f t="shared" si="7"/>
        <v>0</v>
      </c>
      <c r="AQ208" s="242"/>
      <c r="AR208" s="242"/>
      <c r="AS208" s="237"/>
      <c r="AT208" s="214"/>
      <c r="AU208" s="1138"/>
      <c r="AV208" s="1155"/>
      <c r="AW208" s="1140"/>
      <c r="AX208" s="1140"/>
      <c r="AY208" s="1140"/>
      <c r="AZ208" s="1140">
        <f t="shared" si="8"/>
        <v>0</v>
      </c>
      <c r="BA208" s="1140"/>
      <c r="BB208" s="1140"/>
      <c r="BC208" s="214"/>
      <c r="BD208" s="214"/>
      <c r="BE208" s="1131"/>
      <c r="BF208" s="1153"/>
      <c r="BG208" s="242"/>
      <c r="BH208" s="242"/>
      <c r="BI208" s="242"/>
      <c r="BJ208" s="242">
        <f t="shared" si="9"/>
        <v>0</v>
      </c>
      <c r="BK208" s="242"/>
      <c r="BL208" s="242"/>
      <c r="BM208" s="214"/>
      <c r="BN208" s="214"/>
      <c r="BO208" s="1131"/>
      <c r="BP208" s="1153"/>
      <c r="BQ208" s="242"/>
      <c r="BR208" s="242"/>
      <c r="BS208" s="242"/>
      <c r="BT208" s="242">
        <f t="shared" si="10"/>
        <v>0</v>
      </c>
      <c r="BU208" s="242"/>
      <c r="BV208" s="242"/>
      <c r="BW208" s="237"/>
      <c r="BX208" s="214"/>
      <c r="BY208" s="1131"/>
      <c r="BZ208" s="1153"/>
      <c r="CA208" s="242"/>
      <c r="CB208" s="242"/>
      <c r="CC208" s="242"/>
      <c r="CD208" s="242">
        <f t="shared" si="11"/>
        <v>0</v>
      </c>
      <c r="CE208" s="242"/>
      <c r="CF208" s="242"/>
      <c r="CG208" s="214"/>
      <c r="CH208" s="214"/>
      <c r="CI208" s="1131"/>
      <c r="CJ208" s="1153"/>
      <c r="CK208" s="242"/>
      <c r="CL208" s="242"/>
      <c r="CM208" s="242"/>
      <c r="CN208" s="242">
        <f t="shared" si="12"/>
        <v>0</v>
      </c>
      <c r="CO208" s="242"/>
      <c r="CP208" s="242"/>
      <c r="CQ208" s="214"/>
      <c r="CR208" s="214"/>
      <c r="CS208" s="1131"/>
      <c r="CT208" s="1153"/>
      <c r="CU208" s="242"/>
      <c r="CV208" s="242"/>
      <c r="CW208" s="242"/>
      <c r="CX208" s="242">
        <f t="shared" si="13"/>
        <v>0</v>
      </c>
      <c r="CY208" s="242"/>
      <c r="CZ208" s="242"/>
      <c r="DA208" s="237"/>
      <c r="DB208" s="214"/>
      <c r="DC208" s="1131"/>
      <c r="DD208" s="1153"/>
      <c r="DE208" s="242"/>
      <c r="DF208" s="242"/>
      <c r="DG208" s="242"/>
      <c r="DH208" s="242">
        <f t="shared" si="14"/>
        <v>0</v>
      </c>
      <c r="DI208" s="242"/>
      <c r="DJ208" s="242"/>
      <c r="DK208" s="214"/>
      <c r="DL208" s="214"/>
      <c r="DM208" s="1131"/>
      <c r="DN208" s="1153"/>
      <c r="DO208" s="242"/>
      <c r="DP208" s="242"/>
      <c r="DQ208" s="242"/>
      <c r="DR208" s="242">
        <f t="shared" si="15"/>
        <v>0</v>
      </c>
      <c r="DS208" s="242"/>
      <c r="DT208" s="242"/>
      <c r="DU208" s="214"/>
      <c r="DV208" s="214"/>
      <c r="DW208" s="1131"/>
      <c r="DX208" s="1153"/>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24"/>
      <c r="C209" s="1124"/>
      <c r="D209" s="1124"/>
      <c r="E209" s="1124"/>
      <c r="F209" s="1125">
        <f t="shared" si="2"/>
        <v>0</v>
      </c>
      <c r="G209" s="1126" t="str">
        <f t="shared" si="3"/>
        <v/>
      </c>
      <c r="H209" s="112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7">
        <f t="shared" si="220"/>
        <v>0</v>
      </c>
      <c r="J209" s="1128">
        <f t="shared" si="220"/>
        <v>0</v>
      </c>
      <c r="K209" s="214"/>
      <c r="L209" s="214"/>
      <c r="M209" s="214"/>
      <c r="N209" s="214"/>
      <c r="O209" s="1087"/>
      <c r="P209" s="214"/>
      <c r="Q209" s="1131"/>
      <c r="R209" s="1153"/>
      <c r="S209" s="242"/>
      <c r="T209" s="242"/>
      <c r="U209" s="242"/>
      <c r="V209" s="242">
        <f t="shared" si="5"/>
        <v>0</v>
      </c>
      <c r="W209" s="242"/>
      <c r="X209" s="242"/>
      <c r="Y209" s="214"/>
      <c r="Z209" s="214"/>
      <c r="AA209" s="1131"/>
      <c r="AB209" s="1153"/>
      <c r="AC209" s="242"/>
      <c r="AD209" s="242"/>
      <c r="AE209" s="242"/>
      <c r="AF209" s="242">
        <f t="shared" si="6"/>
        <v>0</v>
      </c>
      <c r="AG209" s="242"/>
      <c r="AH209" s="242"/>
      <c r="AI209" s="214"/>
      <c r="AJ209" s="214"/>
      <c r="AK209" s="1131"/>
      <c r="AL209" s="1153"/>
      <c r="AM209" s="242"/>
      <c r="AN209" s="242"/>
      <c r="AO209" s="242"/>
      <c r="AP209" s="242">
        <f t="shared" si="7"/>
        <v>0</v>
      </c>
      <c r="AQ209" s="242"/>
      <c r="AR209" s="242"/>
      <c r="AS209" s="237"/>
      <c r="AT209" s="214"/>
      <c r="AU209" s="1138"/>
      <c r="AV209" s="1155"/>
      <c r="AW209" s="1140"/>
      <c r="AX209" s="1140"/>
      <c r="AY209" s="1140"/>
      <c r="AZ209" s="1140">
        <f t="shared" si="8"/>
        <v>0</v>
      </c>
      <c r="BA209" s="1140"/>
      <c r="BB209" s="1140"/>
      <c r="BC209" s="214"/>
      <c r="BD209" s="214"/>
      <c r="BE209" s="1131"/>
      <c r="BF209" s="1153"/>
      <c r="BG209" s="242"/>
      <c r="BH209" s="242"/>
      <c r="BI209" s="242"/>
      <c r="BJ209" s="242">
        <f t="shared" si="9"/>
        <v>0</v>
      </c>
      <c r="BK209" s="242"/>
      <c r="BL209" s="242"/>
      <c r="BM209" s="214"/>
      <c r="BN209" s="214"/>
      <c r="BO209" s="1131"/>
      <c r="BP209" s="1153"/>
      <c r="BQ209" s="242"/>
      <c r="BR209" s="242"/>
      <c r="BS209" s="242"/>
      <c r="BT209" s="242">
        <f t="shared" si="10"/>
        <v>0</v>
      </c>
      <c r="BU209" s="242"/>
      <c r="BV209" s="242"/>
      <c r="BW209" s="237"/>
      <c r="BX209" s="214"/>
      <c r="BY209" s="1131"/>
      <c r="BZ209" s="1153"/>
      <c r="CA209" s="242"/>
      <c r="CB209" s="242"/>
      <c r="CC209" s="242"/>
      <c r="CD209" s="242">
        <f t="shared" si="11"/>
        <v>0</v>
      </c>
      <c r="CE209" s="242"/>
      <c r="CF209" s="242"/>
      <c r="CG209" s="214"/>
      <c r="CH209" s="214"/>
      <c r="CI209" s="1131"/>
      <c r="CJ209" s="1153"/>
      <c r="CK209" s="242"/>
      <c r="CL209" s="242"/>
      <c r="CM209" s="242"/>
      <c r="CN209" s="242">
        <f t="shared" si="12"/>
        <v>0</v>
      </c>
      <c r="CO209" s="242"/>
      <c r="CP209" s="242"/>
      <c r="CQ209" s="214"/>
      <c r="CR209" s="214"/>
      <c r="CS209" s="1131"/>
      <c r="CT209" s="1153"/>
      <c r="CU209" s="242"/>
      <c r="CV209" s="242"/>
      <c r="CW209" s="242"/>
      <c r="CX209" s="242">
        <f t="shared" si="13"/>
        <v>0</v>
      </c>
      <c r="CY209" s="242"/>
      <c r="CZ209" s="242"/>
      <c r="DA209" s="237"/>
      <c r="DB209" s="214"/>
      <c r="DC209" s="1131"/>
      <c r="DD209" s="1153"/>
      <c r="DE209" s="242"/>
      <c r="DF209" s="242"/>
      <c r="DG209" s="242"/>
      <c r="DH209" s="242">
        <f t="shared" si="14"/>
        <v>0</v>
      </c>
      <c r="DI209" s="242"/>
      <c r="DJ209" s="242"/>
      <c r="DK209" s="214"/>
      <c r="DL209" s="214"/>
      <c r="DM209" s="1131"/>
      <c r="DN209" s="1153"/>
      <c r="DO209" s="242"/>
      <c r="DP209" s="242"/>
      <c r="DQ209" s="242"/>
      <c r="DR209" s="242">
        <f t="shared" si="15"/>
        <v>0</v>
      </c>
      <c r="DS209" s="242"/>
      <c r="DT209" s="242"/>
      <c r="DU209" s="214"/>
      <c r="DV209" s="214"/>
      <c r="DW209" s="1131"/>
      <c r="DX209" s="1153"/>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24"/>
      <c r="C210" s="1124"/>
      <c r="D210" s="1124"/>
      <c r="E210" s="1124"/>
      <c r="F210" s="1125">
        <f t="shared" si="2"/>
        <v>0</v>
      </c>
      <c r="G210" s="1126" t="str">
        <f t="shared" si="3"/>
        <v/>
      </c>
      <c r="H210" s="112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7">
        <f t="shared" si="221"/>
        <v>0</v>
      </c>
      <c r="J210" s="1128">
        <f t="shared" si="221"/>
        <v>0</v>
      </c>
      <c r="K210" s="214"/>
      <c r="L210" s="214"/>
      <c r="M210" s="214"/>
      <c r="N210" s="214"/>
      <c r="O210" s="1087"/>
      <c r="P210" s="214"/>
      <c r="Q210" s="1131"/>
      <c r="R210" s="1153"/>
      <c r="S210" s="242"/>
      <c r="T210" s="242"/>
      <c r="U210" s="242"/>
      <c r="V210" s="242">
        <f t="shared" si="5"/>
        <v>0</v>
      </c>
      <c r="W210" s="242"/>
      <c r="X210" s="242"/>
      <c r="Y210" s="214"/>
      <c r="Z210" s="214"/>
      <c r="AA210" s="1131"/>
      <c r="AB210" s="1153"/>
      <c r="AC210" s="242"/>
      <c r="AD210" s="242"/>
      <c r="AE210" s="242"/>
      <c r="AF210" s="242">
        <f t="shared" si="6"/>
        <v>0</v>
      </c>
      <c r="AG210" s="242"/>
      <c r="AH210" s="242"/>
      <c r="AI210" s="214"/>
      <c r="AJ210" s="214"/>
      <c r="AK210" s="1131"/>
      <c r="AL210" s="1153"/>
      <c r="AM210" s="242"/>
      <c r="AN210" s="242"/>
      <c r="AO210" s="242"/>
      <c r="AP210" s="242">
        <f t="shared" si="7"/>
        <v>0</v>
      </c>
      <c r="AQ210" s="242"/>
      <c r="AR210" s="242"/>
      <c r="AS210" s="237"/>
      <c r="AT210" s="214"/>
      <c r="AU210" s="1138"/>
      <c r="AV210" s="1155"/>
      <c r="AW210" s="1140"/>
      <c r="AX210" s="1140"/>
      <c r="AY210" s="1140"/>
      <c r="AZ210" s="1140">
        <f t="shared" si="8"/>
        <v>0</v>
      </c>
      <c r="BA210" s="1140"/>
      <c r="BB210" s="1140"/>
      <c r="BC210" s="214"/>
      <c r="BD210" s="214"/>
      <c r="BE210" s="1131"/>
      <c r="BF210" s="1153"/>
      <c r="BG210" s="242"/>
      <c r="BH210" s="242"/>
      <c r="BI210" s="242"/>
      <c r="BJ210" s="242">
        <f t="shared" si="9"/>
        <v>0</v>
      </c>
      <c r="BK210" s="242"/>
      <c r="BL210" s="242"/>
      <c r="BM210" s="214"/>
      <c r="BN210" s="214"/>
      <c r="BO210" s="1131"/>
      <c r="BP210" s="1153"/>
      <c r="BQ210" s="242"/>
      <c r="BR210" s="242"/>
      <c r="BS210" s="242"/>
      <c r="BT210" s="242">
        <f t="shared" si="10"/>
        <v>0</v>
      </c>
      <c r="BU210" s="242"/>
      <c r="BV210" s="242"/>
      <c r="BW210" s="237"/>
      <c r="BX210" s="214"/>
      <c r="BY210" s="1131"/>
      <c r="BZ210" s="1153"/>
      <c r="CA210" s="242"/>
      <c r="CB210" s="242"/>
      <c r="CC210" s="242"/>
      <c r="CD210" s="242">
        <f t="shared" si="11"/>
        <v>0</v>
      </c>
      <c r="CE210" s="242"/>
      <c r="CF210" s="242"/>
      <c r="CG210" s="214"/>
      <c r="CH210" s="214"/>
      <c r="CI210" s="1131"/>
      <c r="CJ210" s="1153"/>
      <c r="CK210" s="242"/>
      <c r="CL210" s="242"/>
      <c r="CM210" s="242"/>
      <c r="CN210" s="242">
        <f t="shared" si="12"/>
        <v>0</v>
      </c>
      <c r="CO210" s="242"/>
      <c r="CP210" s="242"/>
      <c r="CQ210" s="214"/>
      <c r="CR210" s="214"/>
      <c r="CS210" s="1131"/>
      <c r="CT210" s="1153"/>
      <c r="CU210" s="242"/>
      <c r="CV210" s="242"/>
      <c r="CW210" s="242"/>
      <c r="CX210" s="242">
        <f t="shared" si="13"/>
        <v>0</v>
      </c>
      <c r="CY210" s="242"/>
      <c r="CZ210" s="242"/>
      <c r="DA210" s="237"/>
      <c r="DB210" s="214"/>
      <c r="DC210" s="1131"/>
      <c r="DD210" s="1153"/>
      <c r="DE210" s="242"/>
      <c r="DF210" s="242"/>
      <c r="DG210" s="242"/>
      <c r="DH210" s="242">
        <f t="shared" si="14"/>
        <v>0</v>
      </c>
      <c r="DI210" s="242"/>
      <c r="DJ210" s="242"/>
      <c r="DK210" s="214"/>
      <c r="DL210" s="214"/>
      <c r="DM210" s="1131"/>
      <c r="DN210" s="1153"/>
      <c r="DO210" s="242"/>
      <c r="DP210" s="242"/>
      <c r="DQ210" s="242"/>
      <c r="DR210" s="242">
        <f t="shared" si="15"/>
        <v>0</v>
      </c>
      <c r="DS210" s="242"/>
      <c r="DT210" s="242"/>
      <c r="DU210" s="214"/>
      <c r="DV210" s="214"/>
      <c r="DW210" s="1131"/>
      <c r="DX210" s="1153"/>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24"/>
      <c r="C211" s="1124"/>
      <c r="D211" s="1124"/>
      <c r="E211" s="1124"/>
      <c r="F211" s="1125">
        <f t="shared" si="2"/>
        <v>0</v>
      </c>
      <c r="G211" s="1126" t="str">
        <f t="shared" si="3"/>
        <v/>
      </c>
      <c r="H211" s="112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7">
        <f t="shared" si="222"/>
        <v>0</v>
      </c>
      <c r="J211" s="1128">
        <f t="shared" si="222"/>
        <v>0</v>
      </c>
      <c r="K211" s="214"/>
      <c r="L211" s="214"/>
      <c r="M211" s="214"/>
      <c r="N211" s="214"/>
      <c r="O211" s="1087"/>
      <c r="P211" s="214"/>
      <c r="Q211" s="1131"/>
      <c r="R211" s="1153"/>
      <c r="S211" s="242"/>
      <c r="T211" s="242"/>
      <c r="U211" s="242"/>
      <c r="V211" s="242">
        <f t="shared" si="5"/>
        <v>0</v>
      </c>
      <c r="W211" s="242"/>
      <c r="X211" s="242"/>
      <c r="Y211" s="214"/>
      <c r="Z211" s="214"/>
      <c r="AA211" s="1131"/>
      <c r="AB211" s="1153"/>
      <c r="AC211" s="242"/>
      <c r="AD211" s="242"/>
      <c r="AE211" s="242"/>
      <c r="AF211" s="242">
        <f t="shared" si="6"/>
        <v>0</v>
      </c>
      <c r="AG211" s="242"/>
      <c r="AH211" s="242"/>
      <c r="AI211" s="214"/>
      <c r="AJ211" s="214"/>
      <c r="AK211" s="1131"/>
      <c r="AL211" s="1153"/>
      <c r="AM211" s="242"/>
      <c r="AN211" s="242"/>
      <c r="AO211" s="242"/>
      <c r="AP211" s="242">
        <f t="shared" si="7"/>
        <v>0</v>
      </c>
      <c r="AQ211" s="242"/>
      <c r="AR211" s="242"/>
      <c r="AS211" s="237"/>
      <c r="AT211" s="214"/>
      <c r="AU211" s="1138"/>
      <c r="AV211" s="1155"/>
      <c r="AW211" s="1140"/>
      <c r="AX211" s="1140"/>
      <c r="AY211" s="1140"/>
      <c r="AZ211" s="1140">
        <f t="shared" si="8"/>
        <v>0</v>
      </c>
      <c r="BA211" s="1140"/>
      <c r="BB211" s="1140"/>
      <c r="BC211" s="214"/>
      <c r="BD211" s="214"/>
      <c r="BE211" s="1131"/>
      <c r="BF211" s="1153"/>
      <c r="BG211" s="242"/>
      <c r="BH211" s="242"/>
      <c r="BI211" s="242"/>
      <c r="BJ211" s="242">
        <f t="shared" si="9"/>
        <v>0</v>
      </c>
      <c r="BK211" s="242"/>
      <c r="BL211" s="242"/>
      <c r="BM211" s="214"/>
      <c r="BN211" s="214"/>
      <c r="BO211" s="1131"/>
      <c r="BP211" s="1153"/>
      <c r="BQ211" s="242"/>
      <c r="BR211" s="242"/>
      <c r="BS211" s="242"/>
      <c r="BT211" s="242">
        <f t="shared" si="10"/>
        <v>0</v>
      </c>
      <c r="BU211" s="242"/>
      <c r="BV211" s="242"/>
      <c r="BW211" s="237"/>
      <c r="BX211" s="214"/>
      <c r="BY211" s="1131"/>
      <c r="BZ211" s="1153"/>
      <c r="CA211" s="242"/>
      <c r="CB211" s="242"/>
      <c r="CC211" s="242"/>
      <c r="CD211" s="242">
        <f t="shared" si="11"/>
        <v>0</v>
      </c>
      <c r="CE211" s="242"/>
      <c r="CF211" s="242"/>
      <c r="CG211" s="214"/>
      <c r="CH211" s="214"/>
      <c r="CI211" s="1131"/>
      <c r="CJ211" s="1153"/>
      <c r="CK211" s="242"/>
      <c r="CL211" s="242"/>
      <c r="CM211" s="242"/>
      <c r="CN211" s="242">
        <f t="shared" si="12"/>
        <v>0</v>
      </c>
      <c r="CO211" s="242"/>
      <c r="CP211" s="242"/>
      <c r="CQ211" s="214"/>
      <c r="CR211" s="214"/>
      <c r="CS211" s="1131"/>
      <c r="CT211" s="1153"/>
      <c r="CU211" s="242"/>
      <c r="CV211" s="242"/>
      <c r="CW211" s="242"/>
      <c r="CX211" s="242">
        <f t="shared" si="13"/>
        <v>0</v>
      </c>
      <c r="CY211" s="242"/>
      <c r="CZ211" s="242"/>
      <c r="DA211" s="237"/>
      <c r="DB211" s="214"/>
      <c r="DC211" s="1131"/>
      <c r="DD211" s="1153"/>
      <c r="DE211" s="242"/>
      <c r="DF211" s="242"/>
      <c r="DG211" s="242"/>
      <c r="DH211" s="242">
        <f t="shared" si="14"/>
        <v>0</v>
      </c>
      <c r="DI211" s="242"/>
      <c r="DJ211" s="242"/>
      <c r="DK211" s="214"/>
      <c r="DL211" s="214"/>
      <c r="DM211" s="1131"/>
      <c r="DN211" s="1153"/>
      <c r="DO211" s="242"/>
      <c r="DP211" s="242"/>
      <c r="DQ211" s="242"/>
      <c r="DR211" s="242">
        <f t="shared" si="15"/>
        <v>0</v>
      </c>
      <c r="DS211" s="242"/>
      <c r="DT211" s="242"/>
      <c r="DU211" s="214"/>
      <c r="DV211" s="214"/>
      <c r="DW211" s="1131"/>
      <c r="DX211" s="1153"/>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24"/>
      <c r="C212" s="1124"/>
      <c r="D212" s="1124"/>
      <c r="E212" s="1124"/>
      <c r="F212" s="1125">
        <f t="shared" si="2"/>
        <v>0</v>
      </c>
      <c r="G212" s="1126" t="str">
        <f t="shared" si="3"/>
        <v/>
      </c>
      <c r="H212" s="112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7">
        <f t="shared" si="223"/>
        <v>0</v>
      </c>
      <c r="J212" s="1128">
        <f t="shared" si="223"/>
        <v>0</v>
      </c>
      <c r="K212" s="214"/>
      <c r="L212" s="214"/>
      <c r="M212" s="214"/>
      <c r="N212" s="214"/>
      <c r="O212" s="1087"/>
      <c r="P212" s="214"/>
      <c r="Q212" s="1131"/>
      <c r="R212" s="1153"/>
      <c r="S212" s="242"/>
      <c r="T212" s="242"/>
      <c r="U212" s="242"/>
      <c r="V212" s="242">
        <f t="shared" si="5"/>
        <v>0</v>
      </c>
      <c r="W212" s="242"/>
      <c r="X212" s="242"/>
      <c r="Y212" s="214"/>
      <c r="Z212" s="214"/>
      <c r="AA212" s="1131"/>
      <c r="AB212" s="1153"/>
      <c r="AC212" s="242"/>
      <c r="AD212" s="242"/>
      <c r="AE212" s="242"/>
      <c r="AF212" s="242">
        <f t="shared" si="6"/>
        <v>0</v>
      </c>
      <c r="AG212" s="242"/>
      <c r="AH212" s="242"/>
      <c r="AI212" s="214"/>
      <c r="AJ212" s="214"/>
      <c r="AK212" s="1131"/>
      <c r="AL212" s="1153"/>
      <c r="AM212" s="242"/>
      <c r="AN212" s="242"/>
      <c r="AO212" s="242"/>
      <c r="AP212" s="242">
        <f t="shared" si="7"/>
        <v>0</v>
      </c>
      <c r="AQ212" s="242"/>
      <c r="AR212" s="242"/>
      <c r="AS212" s="237"/>
      <c r="AT212" s="214"/>
      <c r="AU212" s="1138"/>
      <c r="AV212" s="1155"/>
      <c r="AW212" s="1140"/>
      <c r="AX212" s="1140"/>
      <c r="AY212" s="1140"/>
      <c r="AZ212" s="1140">
        <f t="shared" si="8"/>
        <v>0</v>
      </c>
      <c r="BA212" s="1140"/>
      <c r="BB212" s="1140"/>
      <c r="BC212" s="214"/>
      <c r="BD212" s="214"/>
      <c r="BE212" s="1131"/>
      <c r="BF212" s="1153"/>
      <c r="BG212" s="242"/>
      <c r="BH212" s="242"/>
      <c r="BI212" s="242"/>
      <c r="BJ212" s="242">
        <f t="shared" si="9"/>
        <v>0</v>
      </c>
      <c r="BK212" s="242"/>
      <c r="BL212" s="242"/>
      <c r="BM212" s="214"/>
      <c r="BN212" s="214"/>
      <c r="BO212" s="1131"/>
      <c r="BP212" s="1153"/>
      <c r="BQ212" s="242"/>
      <c r="BR212" s="242"/>
      <c r="BS212" s="242"/>
      <c r="BT212" s="242">
        <f t="shared" si="10"/>
        <v>0</v>
      </c>
      <c r="BU212" s="242"/>
      <c r="BV212" s="242"/>
      <c r="BW212" s="237"/>
      <c r="BX212" s="214"/>
      <c r="BY212" s="1131"/>
      <c r="BZ212" s="1153"/>
      <c r="CA212" s="242"/>
      <c r="CB212" s="242"/>
      <c r="CC212" s="242"/>
      <c r="CD212" s="242">
        <f t="shared" si="11"/>
        <v>0</v>
      </c>
      <c r="CE212" s="242"/>
      <c r="CF212" s="242"/>
      <c r="CG212" s="214"/>
      <c r="CH212" s="214"/>
      <c r="CI212" s="1131"/>
      <c r="CJ212" s="1153"/>
      <c r="CK212" s="242"/>
      <c r="CL212" s="242"/>
      <c r="CM212" s="242"/>
      <c r="CN212" s="242">
        <f t="shared" si="12"/>
        <v>0</v>
      </c>
      <c r="CO212" s="242"/>
      <c r="CP212" s="242"/>
      <c r="CQ212" s="214"/>
      <c r="CR212" s="214"/>
      <c r="CS212" s="1131"/>
      <c r="CT212" s="1153"/>
      <c r="CU212" s="242"/>
      <c r="CV212" s="242"/>
      <c r="CW212" s="242"/>
      <c r="CX212" s="242">
        <f t="shared" si="13"/>
        <v>0</v>
      </c>
      <c r="CY212" s="242"/>
      <c r="CZ212" s="242"/>
      <c r="DA212" s="237"/>
      <c r="DB212" s="214"/>
      <c r="DC212" s="1131"/>
      <c r="DD212" s="1153"/>
      <c r="DE212" s="242"/>
      <c r="DF212" s="242"/>
      <c r="DG212" s="242"/>
      <c r="DH212" s="242">
        <f t="shared" si="14"/>
        <v>0</v>
      </c>
      <c r="DI212" s="242"/>
      <c r="DJ212" s="242"/>
      <c r="DK212" s="214"/>
      <c r="DL212" s="214"/>
      <c r="DM212" s="1131"/>
      <c r="DN212" s="1153"/>
      <c r="DO212" s="242"/>
      <c r="DP212" s="242"/>
      <c r="DQ212" s="242"/>
      <c r="DR212" s="242">
        <f t="shared" si="15"/>
        <v>0</v>
      </c>
      <c r="DS212" s="242"/>
      <c r="DT212" s="242"/>
      <c r="DU212" s="214"/>
      <c r="DV212" s="214"/>
      <c r="DW212" s="1131"/>
      <c r="DX212" s="1153"/>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24"/>
      <c r="C213" s="1124"/>
      <c r="D213" s="1124"/>
      <c r="E213" s="1124"/>
      <c r="F213" s="1125">
        <f t="shared" si="2"/>
        <v>0</v>
      </c>
      <c r="G213" s="1126" t="str">
        <f t="shared" si="3"/>
        <v/>
      </c>
      <c r="H213" s="112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7">
        <f t="shared" si="224"/>
        <v>0</v>
      </c>
      <c r="J213" s="1128">
        <f t="shared" si="224"/>
        <v>0</v>
      </c>
      <c r="K213" s="214"/>
      <c r="L213" s="214"/>
      <c r="M213" s="214"/>
      <c r="N213" s="214"/>
      <c r="O213" s="1087"/>
      <c r="P213" s="214"/>
      <c r="Q213" s="1131"/>
      <c r="R213" s="1153"/>
      <c r="S213" s="242"/>
      <c r="T213" s="242"/>
      <c r="U213" s="242"/>
      <c r="V213" s="242">
        <f t="shared" si="5"/>
        <v>0</v>
      </c>
      <c r="W213" s="242"/>
      <c r="X213" s="242"/>
      <c r="Y213" s="214"/>
      <c r="Z213" s="214"/>
      <c r="AA213" s="1131"/>
      <c r="AB213" s="1153"/>
      <c r="AC213" s="242"/>
      <c r="AD213" s="242"/>
      <c r="AE213" s="242"/>
      <c r="AF213" s="242">
        <f t="shared" si="6"/>
        <v>0</v>
      </c>
      <c r="AG213" s="242"/>
      <c r="AH213" s="242"/>
      <c r="AI213" s="214"/>
      <c r="AJ213" s="214"/>
      <c r="AK213" s="1131"/>
      <c r="AL213" s="1153"/>
      <c r="AM213" s="242"/>
      <c r="AN213" s="242"/>
      <c r="AO213" s="242"/>
      <c r="AP213" s="242">
        <f t="shared" si="7"/>
        <v>0</v>
      </c>
      <c r="AQ213" s="242"/>
      <c r="AR213" s="242"/>
      <c r="AS213" s="237"/>
      <c r="AT213" s="214"/>
      <c r="AU213" s="1138"/>
      <c r="AV213" s="1155"/>
      <c r="AW213" s="1140"/>
      <c r="AX213" s="1140"/>
      <c r="AY213" s="1140"/>
      <c r="AZ213" s="1140">
        <f t="shared" si="8"/>
        <v>0</v>
      </c>
      <c r="BA213" s="1140"/>
      <c r="BB213" s="1140"/>
      <c r="BC213" s="214"/>
      <c r="BD213" s="214"/>
      <c r="BE213" s="1131"/>
      <c r="BF213" s="1153"/>
      <c r="BG213" s="242"/>
      <c r="BH213" s="242"/>
      <c r="BI213" s="242"/>
      <c r="BJ213" s="242">
        <f t="shared" si="9"/>
        <v>0</v>
      </c>
      <c r="BK213" s="242"/>
      <c r="BL213" s="242"/>
      <c r="BM213" s="214"/>
      <c r="BN213" s="214"/>
      <c r="BO213" s="1131"/>
      <c r="BP213" s="1153"/>
      <c r="BQ213" s="242"/>
      <c r="BR213" s="242"/>
      <c r="BS213" s="242"/>
      <c r="BT213" s="242">
        <f t="shared" si="10"/>
        <v>0</v>
      </c>
      <c r="BU213" s="242"/>
      <c r="BV213" s="242"/>
      <c r="BW213" s="237"/>
      <c r="BX213" s="214"/>
      <c r="BY213" s="1131"/>
      <c r="BZ213" s="1153"/>
      <c r="CA213" s="242"/>
      <c r="CB213" s="242"/>
      <c r="CC213" s="242"/>
      <c r="CD213" s="242">
        <f t="shared" si="11"/>
        <v>0</v>
      </c>
      <c r="CE213" s="242"/>
      <c r="CF213" s="242"/>
      <c r="CG213" s="214"/>
      <c r="CH213" s="214"/>
      <c r="CI213" s="1131"/>
      <c r="CJ213" s="1153"/>
      <c r="CK213" s="242"/>
      <c r="CL213" s="242"/>
      <c r="CM213" s="242"/>
      <c r="CN213" s="242">
        <f t="shared" si="12"/>
        <v>0</v>
      </c>
      <c r="CO213" s="242"/>
      <c r="CP213" s="242"/>
      <c r="CQ213" s="214"/>
      <c r="CR213" s="214"/>
      <c r="CS213" s="1131"/>
      <c r="CT213" s="1153"/>
      <c r="CU213" s="242"/>
      <c r="CV213" s="242"/>
      <c r="CW213" s="242"/>
      <c r="CX213" s="242">
        <f t="shared" si="13"/>
        <v>0</v>
      </c>
      <c r="CY213" s="242"/>
      <c r="CZ213" s="242"/>
      <c r="DA213" s="237"/>
      <c r="DB213" s="214"/>
      <c r="DC213" s="1131"/>
      <c r="DD213" s="1153"/>
      <c r="DE213" s="242"/>
      <c r="DF213" s="242"/>
      <c r="DG213" s="242"/>
      <c r="DH213" s="242">
        <f t="shared" si="14"/>
        <v>0</v>
      </c>
      <c r="DI213" s="242"/>
      <c r="DJ213" s="242"/>
      <c r="DK213" s="214"/>
      <c r="DL213" s="214"/>
      <c r="DM213" s="1131"/>
      <c r="DN213" s="1153"/>
      <c r="DO213" s="242"/>
      <c r="DP213" s="242"/>
      <c r="DQ213" s="242"/>
      <c r="DR213" s="242">
        <f t="shared" si="15"/>
        <v>0</v>
      </c>
      <c r="DS213" s="242"/>
      <c r="DT213" s="242"/>
      <c r="DU213" s="214"/>
      <c r="DV213" s="214"/>
      <c r="DW213" s="1131"/>
      <c r="DX213" s="1153"/>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24"/>
      <c r="C214" s="1124"/>
      <c r="D214" s="1124"/>
      <c r="E214" s="1124"/>
      <c r="F214" s="1125">
        <f t="shared" si="2"/>
        <v>0</v>
      </c>
      <c r="G214" s="1126" t="str">
        <f t="shared" si="3"/>
        <v/>
      </c>
      <c r="H214" s="112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7">
        <f t="shared" si="225"/>
        <v>0</v>
      </c>
      <c r="J214" s="1128">
        <f t="shared" si="225"/>
        <v>0</v>
      </c>
      <c r="K214" s="214"/>
      <c r="L214" s="214"/>
      <c r="M214" s="214"/>
      <c r="N214" s="214"/>
      <c r="O214" s="1087"/>
      <c r="P214" s="214"/>
      <c r="Q214" s="1131"/>
      <c r="R214" s="1153"/>
      <c r="S214" s="242"/>
      <c r="T214" s="242"/>
      <c r="U214" s="242"/>
      <c r="V214" s="242">
        <f t="shared" si="5"/>
        <v>0</v>
      </c>
      <c r="W214" s="242"/>
      <c r="X214" s="242"/>
      <c r="Y214" s="214"/>
      <c r="Z214" s="214"/>
      <c r="AA214" s="1131"/>
      <c r="AB214" s="1153"/>
      <c r="AC214" s="242"/>
      <c r="AD214" s="242"/>
      <c r="AE214" s="242"/>
      <c r="AF214" s="242">
        <f t="shared" si="6"/>
        <v>0</v>
      </c>
      <c r="AG214" s="242"/>
      <c r="AH214" s="242"/>
      <c r="AI214" s="214"/>
      <c r="AJ214" s="214"/>
      <c r="AK214" s="1131"/>
      <c r="AL214" s="1153"/>
      <c r="AM214" s="242"/>
      <c r="AN214" s="242"/>
      <c r="AO214" s="242"/>
      <c r="AP214" s="242">
        <f t="shared" si="7"/>
        <v>0</v>
      </c>
      <c r="AQ214" s="242"/>
      <c r="AR214" s="242"/>
      <c r="AS214" s="237"/>
      <c r="AT214" s="214"/>
      <c r="AU214" s="1138"/>
      <c r="AV214" s="1155"/>
      <c r="AW214" s="1140"/>
      <c r="AX214" s="1140"/>
      <c r="AY214" s="1140"/>
      <c r="AZ214" s="1140">
        <f t="shared" si="8"/>
        <v>0</v>
      </c>
      <c r="BA214" s="1140"/>
      <c r="BB214" s="1140"/>
      <c r="BC214" s="214"/>
      <c r="BD214" s="214"/>
      <c r="BE214" s="1131"/>
      <c r="BF214" s="1153"/>
      <c r="BG214" s="242"/>
      <c r="BH214" s="242"/>
      <c r="BI214" s="242"/>
      <c r="BJ214" s="242">
        <f t="shared" si="9"/>
        <v>0</v>
      </c>
      <c r="BK214" s="242"/>
      <c r="BL214" s="242"/>
      <c r="BM214" s="214"/>
      <c r="BN214" s="214"/>
      <c r="BO214" s="1131"/>
      <c r="BP214" s="1153"/>
      <c r="BQ214" s="242"/>
      <c r="BR214" s="242"/>
      <c r="BS214" s="242"/>
      <c r="BT214" s="242">
        <f t="shared" si="10"/>
        <v>0</v>
      </c>
      <c r="BU214" s="242"/>
      <c r="BV214" s="242"/>
      <c r="BW214" s="237"/>
      <c r="BX214" s="214"/>
      <c r="BY214" s="1131"/>
      <c r="BZ214" s="1153"/>
      <c r="CA214" s="242"/>
      <c r="CB214" s="242"/>
      <c r="CC214" s="242"/>
      <c r="CD214" s="242">
        <f t="shared" si="11"/>
        <v>0</v>
      </c>
      <c r="CE214" s="242"/>
      <c r="CF214" s="242"/>
      <c r="CG214" s="214"/>
      <c r="CH214" s="214"/>
      <c r="CI214" s="1131"/>
      <c r="CJ214" s="1153"/>
      <c r="CK214" s="242"/>
      <c r="CL214" s="242"/>
      <c r="CM214" s="242"/>
      <c r="CN214" s="242">
        <f t="shared" si="12"/>
        <v>0</v>
      </c>
      <c r="CO214" s="242"/>
      <c r="CP214" s="242"/>
      <c r="CQ214" s="214"/>
      <c r="CR214" s="214"/>
      <c r="CS214" s="1131"/>
      <c r="CT214" s="1153"/>
      <c r="CU214" s="242"/>
      <c r="CV214" s="242"/>
      <c r="CW214" s="242"/>
      <c r="CX214" s="242">
        <f t="shared" si="13"/>
        <v>0</v>
      </c>
      <c r="CY214" s="242"/>
      <c r="CZ214" s="242"/>
      <c r="DA214" s="237"/>
      <c r="DB214" s="214"/>
      <c r="DC214" s="1131"/>
      <c r="DD214" s="1153"/>
      <c r="DE214" s="242"/>
      <c r="DF214" s="242"/>
      <c r="DG214" s="242"/>
      <c r="DH214" s="242">
        <f t="shared" si="14"/>
        <v>0</v>
      </c>
      <c r="DI214" s="242"/>
      <c r="DJ214" s="242"/>
      <c r="DK214" s="214"/>
      <c r="DL214" s="214"/>
      <c r="DM214" s="1131"/>
      <c r="DN214" s="1153"/>
      <c r="DO214" s="242"/>
      <c r="DP214" s="242"/>
      <c r="DQ214" s="242"/>
      <c r="DR214" s="242">
        <f t="shared" si="15"/>
        <v>0</v>
      </c>
      <c r="DS214" s="242"/>
      <c r="DT214" s="242"/>
      <c r="DU214" s="214"/>
      <c r="DV214" s="214"/>
      <c r="DW214" s="1131"/>
      <c r="DX214" s="1153"/>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24"/>
      <c r="C215" s="1124"/>
      <c r="D215" s="1124"/>
      <c r="E215" s="1124"/>
      <c r="F215" s="1125">
        <f t="shared" si="2"/>
        <v>0</v>
      </c>
      <c r="G215" s="1126" t="str">
        <f t="shared" si="3"/>
        <v/>
      </c>
      <c r="H215" s="112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7">
        <f t="shared" si="226"/>
        <v>0</v>
      </c>
      <c r="J215" s="1128">
        <f t="shared" si="226"/>
        <v>0</v>
      </c>
      <c r="K215" s="214"/>
      <c r="L215" s="214"/>
      <c r="M215" s="214"/>
      <c r="N215" s="214"/>
      <c r="O215" s="1087"/>
      <c r="P215" s="214"/>
      <c r="Q215" s="1131"/>
      <c r="R215" s="1153"/>
      <c r="S215" s="242"/>
      <c r="T215" s="242"/>
      <c r="U215" s="242"/>
      <c r="V215" s="242">
        <f t="shared" si="5"/>
        <v>0</v>
      </c>
      <c r="W215" s="242"/>
      <c r="X215" s="242"/>
      <c r="Y215" s="214"/>
      <c r="Z215" s="214"/>
      <c r="AA215" s="1131"/>
      <c r="AB215" s="1153"/>
      <c r="AC215" s="242"/>
      <c r="AD215" s="242"/>
      <c r="AE215" s="242"/>
      <c r="AF215" s="242">
        <f t="shared" si="6"/>
        <v>0</v>
      </c>
      <c r="AG215" s="242"/>
      <c r="AH215" s="242"/>
      <c r="AI215" s="214"/>
      <c r="AJ215" s="214"/>
      <c r="AK215" s="1131"/>
      <c r="AL215" s="1153"/>
      <c r="AM215" s="242"/>
      <c r="AN215" s="242"/>
      <c r="AO215" s="242"/>
      <c r="AP215" s="242">
        <f t="shared" si="7"/>
        <v>0</v>
      </c>
      <c r="AQ215" s="242"/>
      <c r="AR215" s="242"/>
      <c r="AS215" s="237"/>
      <c r="AT215" s="214"/>
      <c r="AU215" s="1138"/>
      <c r="AV215" s="1155"/>
      <c r="AW215" s="1140"/>
      <c r="AX215" s="1140"/>
      <c r="AY215" s="1140"/>
      <c r="AZ215" s="1140">
        <f t="shared" si="8"/>
        <v>0</v>
      </c>
      <c r="BA215" s="1140"/>
      <c r="BB215" s="1140"/>
      <c r="BC215" s="214"/>
      <c r="BD215" s="214"/>
      <c r="BE215" s="1131"/>
      <c r="BF215" s="1153"/>
      <c r="BG215" s="242"/>
      <c r="BH215" s="242"/>
      <c r="BI215" s="242"/>
      <c r="BJ215" s="242">
        <f t="shared" si="9"/>
        <v>0</v>
      </c>
      <c r="BK215" s="242"/>
      <c r="BL215" s="242"/>
      <c r="BM215" s="214"/>
      <c r="BN215" s="214"/>
      <c r="BO215" s="1131"/>
      <c r="BP215" s="1153"/>
      <c r="BQ215" s="242"/>
      <c r="BR215" s="242"/>
      <c r="BS215" s="242"/>
      <c r="BT215" s="242">
        <f t="shared" si="10"/>
        <v>0</v>
      </c>
      <c r="BU215" s="242"/>
      <c r="BV215" s="242"/>
      <c r="BW215" s="237"/>
      <c r="BX215" s="214"/>
      <c r="BY215" s="1131"/>
      <c r="BZ215" s="1153"/>
      <c r="CA215" s="242"/>
      <c r="CB215" s="242"/>
      <c r="CC215" s="242"/>
      <c r="CD215" s="242">
        <f t="shared" si="11"/>
        <v>0</v>
      </c>
      <c r="CE215" s="242"/>
      <c r="CF215" s="242"/>
      <c r="CG215" s="214"/>
      <c r="CH215" s="214"/>
      <c r="CI215" s="1131"/>
      <c r="CJ215" s="1153"/>
      <c r="CK215" s="242"/>
      <c r="CL215" s="242"/>
      <c r="CM215" s="242"/>
      <c r="CN215" s="242">
        <f t="shared" si="12"/>
        <v>0</v>
      </c>
      <c r="CO215" s="242"/>
      <c r="CP215" s="242"/>
      <c r="CQ215" s="214"/>
      <c r="CR215" s="214"/>
      <c r="CS215" s="1131"/>
      <c r="CT215" s="1153"/>
      <c r="CU215" s="242"/>
      <c r="CV215" s="242"/>
      <c r="CW215" s="242"/>
      <c r="CX215" s="242">
        <f t="shared" si="13"/>
        <v>0</v>
      </c>
      <c r="CY215" s="242"/>
      <c r="CZ215" s="242"/>
      <c r="DA215" s="237"/>
      <c r="DB215" s="214"/>
      <c r="DC215" s="1131"/>
      <c r="DD215" s="1153"/>
      <c r="DE215" s="242"/>
      <c r="DF215" s="242"/>
      <c r="DG215" s="242"/>
      <c r="DH215" s="242">
        <f t="shared" si="14"/>
        <v>0</v>
      </c>
      <c r="DI215" s="242"/>
      <c r="DJ215" s="242"/>
      <c r="DK215" s="214"/>
      <c r="DL215" s="214"/>
      <c r="DM215" s="1131"/>
      <c r="DN215" s="1153"/>
      <c r="DO215" s="242"/>
      <c r="DP215" s="242"/>
      <c r="DQ215" s="242"/>
      <c r="DR215" s="242">
        <f t="shared" si="15"/>
        <v>0</v>
      </c>
      <c r="DS215" s="242"/>
      <c r="DT215" s="242"/>
      <c r="DU215" s="214"/>
      <c r="DV215" s="214"/>
      <c r="DW215" s="1131"/>
      <c r="DX215" s="1153"/>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24"/>
      <c r="C216" s="1124"/>
      <c r="D216" s="1124"/>
      <c r="E216" s="1124"/>
      <c r="F216" s="1125">
        <f t="shared" si="2"/>
        <v>0</v>
      </c>
      <c r="G216" s="1126" t="str">
        <f t="shared" si="3"/>
        <v/>
      </c>
      <c r="H216" s="112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7">
        <f t="shared" si="227"/>
        <v>0</v>
      </c>
      <c r="J216" s="1128">
        <f t="shared" si="227"/>
        <v>0</v>
      </c>
      <c r="K216" s="214"/>
      <c r="L216" s="214"/>
      <c r="M216" s="214"/>
      <c r="N216" s="214"/>
      <c r="O216" s="1087"/>
      <c r="P216" s="214"/>
      <c r="Q216" s="1131"/>
      <c r="R216" s="1153"/>
      <c r="S216" s="242"/>
      <c r="T216" s="242"/>
      <c r="U216" s="242"/>
      <c r="V216" s="242">
        <f t="shared" si="5"/>
        <v>0</v>
      </c>
      <c r="W216" s="242"/>
      <c r="X216" s="242"/>
      <c r="Y216" s="214"/>
      <c r="Z216" s="214"/>
      <c r="AA216" s="1131"/>
      <c r="AB216" s="1153"/>
      <c r="AC216" s="242"/>
      <c r="AD216" s="242"/>
      <c r="AE216" s="242"/>
      <c r="AF216" s="242">
        <f t="shared" si="6"/>
        <v>0</v>
      </c>
      <c r="AG216" s="242"/>
      <c r="AH216" s="242"/>
      <c r="AI216" s="214"/>
      <c r="AJ216" s="214"/>
      <c r="AK216" s="1131"/>
      <c r="AL216" s="1153"/>
      <c r="AM216" s="242"/>
      <c r="AN216" s="242"/>
      <c r="AO216" s="242"/>
      <c r="AP216" s="242">
        <f t="shared" si="7"/>
        <v>0</v>
      </c>
      <c r="AQ216" s="242"/>
      <c r="AR216" s="242"/>
      <c r="AS216" s="237"/>
      <c r="AT216" s="214"/>
      <c r="AU216" s="1138"/>
      <c r="AV216" s="1155"/>
      <c r="AW216" s="1140"/>
      <c r="AX216" s="1140"/>
      <c r="AY216" s="1140"/>
      <c r="AZ216" s="1140">
        <f t="shared" si="8"/>
        <v>0</v>
      </c>
      <c r="BA216" s="1140"/>
      <c r="BB216" s="1140"/>
      <c r="BC216" s="214"/>
      <c r="BD216" s="214"/>
      <c r="BE216" s="1131"/>
      <c r="BF216" s="1153"/>
      <c r="BG216" s="242"/>
      <c r="BH216" s="242"/>
      <c r="BI216" s="242"/>
      <c r="BJ216" s="242">
        <f t="shared" si="9"/>
        <v>0</v>
      </c>
      <c r="BK216" s="242"/>
      <c r="BL216" s="242"/>
      <c r="BM216" s="214"/>
      <c r="BN216" s="214"/>
      <c r="BO216" s="1131"/>
      <c r="BP216" s="1153"/>
      <c r="BQ216" s="242"/>
      <c r="BR216" s="242"/>
      <c r="BS216" s="242"/>
      <c r="BT216" s="242">
        <f t="shared" si="10"/>
        <v>0</v>
      </c>
      <c r="BU216" s="242"/>
      <c r="BV216" s="242"/>
      <c r="BW216" s="237"/>
      <c r="BX216" s="214"/>
      <c r="BY216" s="1131"/>
      <c r="BZ216" s="1153"/>
      <c r="CA216" s="242"/>
      <c r="CB216" s="242"/>
      <c r="CC216" s="242"/>
      <c r="CD216" s="242">
        <f t="shared" si="11"/>
        <v>0</v>
      </c>
      <c r="CE216" s="242"/>
      <c r="CF216" s="242"/>
      <c r="CG216" s="214"/>
      <c r="CH216" s="214"/>
      <c r="CI216" s="1131"/>
      <c r="CJ216" s="1153"/>
      <c r="CK216" s="242"/>
      <c r="CL216" s="242"/>
      <c r="CM216" s="242"/>
      <c r="CN216" s="242">
        <f t="shared" si="12"/>
        <v>0</v>
      </c>
      <c r="CO216" s="242"/>
      <c r="CP216" s="242"/>
      <c r="CQ216" s="214"/>
      <c r="CR216" s="214"/>
      <c r="CS216" s="1131"/>
      <c r="CT216" s="1153"/>
      <c r="CU216" s="242"/>
      <c r="CV216" s="242"/>
      <c r="CW216" s="242"/>
      <c r="CX216" s="242">
        <f t="shared" si="13"/>
        <v>0</v>
      </c>
      <c r="CY216" s="242"/>
      <c r="CZ216" s="242"/>
      <c r="DA216" s="237"/>
      <c r="DB216" s="214"/>
      <c r="DC216" s="1131"/>
      <c r="DD216" s="1153"/>
      <c r="DE216" s="242"/>
      <c r="DF216" s="242"/>
      <c r="DG216" s="242"/>
      <c r="DH216" s="242">
        <f t="shared" si="14"/>
        <v>0</v>
      </c>
      <c r="DI216" s="242"/>
      <c r="DJ216" s="242"/>
      <c r="DK216" s="214"/>
      <c r="DL216" s="214"/>
      <c r="DM216" s="1131"/>
      <c r="DN216" s="1153"/>
      <c r="DO216" s="242"/>
      <c r="DP216" s="242"/>
      <c r="DQ216" s="242"/>
      <c r="DR216" s="242">
        <f t="shared" si="15"/>
        <v>0</v>
      </c>
      <c r="DS216" s="242"/>
      <c r="DT216" s="242"/>
      <c r="DU216" s="214"/>
      <c r="DV216" s="214"/>
      <c r="DW216" s="1131"/>
      <c r="DX216" s="1153"/>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24"/>
      <c r="C217" s="1124"/>
      <c r="D217" s="1124"/>
      <c r="E217" s="1124"/>
      <c r="F217" s="1125">
        <f t="shared" si="2"/>
        <v>0</v>
      </c>
      <c r="G217" s="1126" t="str">
        <f t="shared" si="3"/>
        <v/>
      </c>
      <c r="H217" s="112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7">
        <f t="shared" si="228"/>
        <v>0</v>
      </c>
      <c r="J217" s="1128">
        <f t="shared" si="228"/>
        <v>0</v>
      </c>
      <c r="K217" s="214"/>
      <c r="L217" s="214"/>
      <c r="M217" s="214"/>
      <c r="N217" s="214"/>
      <c r="O217" s="1087"/>
      <c r="P217" s="214"/>
      <c r="Q217" s="1131"/>
      <c r="R217" s="1153"/>
      <c r="S217" s="242"/>
      <c r="T217" s="242"/>
      <c r="U217" s="242"/>
      <c r="V217" s="242">
        <f t="shared" si="5"/>
        <v>0</v>
      </c>
      <c r="W217" s="242"/>
      <c r="X217" s="242"/>
      <c r="Y217" s="214"/>
      <c r="Z217" s="214"/>
      <c r="AA217" s="1131"/>
      <c r="AB217" s="1153"/>
      <c r="AC217" s="242"/>
      <c r="AD217" s="242"/>
      <c r="AE217" s="242"/>
      <c r="AF217" s="242">
        <f t="shared" si="6"/>
        <v>0</v>
      </c>
      <c r="AG217" s="242"/>
      <c r="AH217" s="242"/>
      <c r="AI217" s="214"/>
      <c r="AJ217" s="214"/>
      <c r="AK217" s="1131"/>
      <c r="AL217" s="1153"/>
      <c r="AM217" s="242"/>
      <c r="AN217" s="242"/>
      <c r="AO217" s="242"/>
      <c r="AP217" s="242">
        <f t="shared" si="7"/>
        <v>0</v>
      </c>
      <c r="AQ217" s="242"/>
      <c r="AR217" s="242"/>
      <c r="AS217" s="237"/>
      <c r="AT217" s="214"/>
      <c r="AU217" s="1138"/>
      <c r="AV217" s="1155"/>
      <c r="AW217" s="1140"/>
      <c r="AX217" s="1140"/>
      <c r="AY217" s="1140"/>
      <c r="AZ217" s="1140">
        <f t="shared" si="8"/>
        <v>0</v>
      </c>
      <c r="BA217" s="1140"/>
      <c r="BB217" s="1140"/>
      <c r="BC217" s="214"/>
      <c r="BD217" s="214"/>
      <c r="BE217" s="1131"/>
      <c r="BF217" s="1153"/>
      <c r="BG217" s="242"/>
      <c r="BH217" s="242"/>
      <c r="BI217" s="242"/>
      <c r="BJ217" s="242">
        <f t="shared" si="9"/>
        <v>0</v>
      </c>
      <c r="BK217" s="242"/>
      <c r="BL217" s="242"/>
      <c r="BM217" s="214"/>
      <c r="BN217" s="214"/>
      <c r="BO217" s="1131"/>
      <c r="BP217" s="1153"/>
      <c r="BQ217" s="242"/>
      <c r="BR217" s="242"/>
      <c r="BS217" s="242"/>
      <c r="BT217" s="242">
        <f t="shared" si="10"/>
        <v>0</v>
      </c>
      <c r="BU217" s="242"/>
      <c r="BV217" s="242"/>
      <c r="BW217" s="237"/>
      <c r="BX217" s="214"/>
      <c r="BY217" s="1131"/>
      <c r="BZ217" s="1153"/>
      <c r="CA217" s="242"/>
      <c r="CB217" s="242"/>
      <c r="CC217" s="242"/>
      <c r="CD217" s="242">
        <f t="shared" si="11"/>
        <v>0</v>
      </c>
      <c r="CE217" s="242"/>
      <c r="CF217" s="242"/>
      <c r="CG217" s="214"/>
      <c r="CH217" s="214"/>
      <c r="CI217" s="1131"/>
      <c r="CJ217" s="1153"/>
      <c r="CK217" s="242"/>
      <c r="CL217" s="242"/>
      <c r="CM217" s="242"/>
      <c r="CN217" s="242">
        <f t="shared" si="12"/>
        <v>0</v>
      </c>
      <c r="CO217" s="242"/>
      <c r="CP217" s="242"/>
      <c r="CQ217" s="214"/>
      <c r="CR217" s="214"/>
      <c r="CS217" s="1131"/>
      <c r="CT217" s="1153"/>
      <c r="CU217" s="242"/>
      <c r="CV217" s="242"/>
      <c r="CW217" s="242"/>
      <c r="CX217" s="242">
        <f t="shared" si="13"/>
        <v>0</v>
      </c>
      <c r="CY217" s="242"/>
      <c r="CZ217" s="242"/>
      <c r="DA217" s="237"/>
      <c r="DB217" s="214"/>
      <c r="DC217" s="1131"/>
      <c r="DD217" s="1153"/>
      <c r="DE217" s="242"/>
      <c r="DF217" s="242"/>
      <c r="DG217" s="242"/>
      <c r="DH217" s="242">
        <f t="shared" si="14"/>
        <v>0</v>
      </c>
      <c r="DI217" s="242"/>
      <c r="DJ217" s="242"/>
      <c r="DK217" s="214"/>
      <c r="DL217" s="214"/>
      <c r="DM217" s="1131"/>
      <c r="DN217" s="1153"/>
      <c r="DO217" s="242"/>
      <c r="DP217" s="242"/>
      <c r="DQ217" s="242"/>
      <c r="DR217" s="242">
        <f t="shared" si="15"/>
        <v>0</v>
      </c>
      <c r="DS217" s="242"/>
      <c r="DT217" s="242"/>
      <c r="DU217" s="214"/>
      <c r="DV217" s="214"/>
      <c r="DW217" s="1131"/>
      <c r="DX217" s="1153"/>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24"/>
      <c r="C218" s="1124"/>
      <c r="D218" s="1124"/>
      <c r="E218" s="1124"/>
      <c r="F218" s="1125">
        <f t="shared" si="2"/>
        <v>0</v>
      </c>
      <c r="G218" s="1126" t="str">
        <f t="shared" si="3"/>
        <v/>
      </c>
      <c r="H218" s="112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7">
        <f t="shared" si="229"/>
        <v>0</v>
      </c>
      <c r="J218" s="1128">
        <f t="shared" si="229"/>
        <v>0</v>
      </c>
      <c r="K218" s="214"/>
      <c r="L218" s="214"/>
      <c r="M218" s="214"/>
      <c r="N218" s="214"/>
      <c r="O218" s="1087"/>
      <c r="P218" s="214"/>
      <c r="Q218" s="1131"/>
      <c r="R218" s="1153"/>
      <c r="S218" s="242"/>
      <c r="T218" s="242"/>
      <c r="U218" s="242"/>
      <c r="V218" s="242">
        <f t="shared" si="5"/>
        <v>0</v>
      </c>
      <c r="W218" s="242"/>
      <c r="X218" s="242"/>
      <c r="Y218" s="214"/>
      <c r="Z218" s="214"/>
      <c r="AA218" s="1131"/>
      <c r="AB218" s="1153"/>
      <c r="AC218" s="242"/>
      <c r="AD218" s="242"/>
      <c r="AE218" s="242"/>
      <c r="AF218" s="242">
        <f t="shared" si="6"/>
        <v>0</v>
      </c>
      <c r="AG218" s="242"/>
      <c r="AH218" s="242"/>
      <c r="AI218" s="214"/>
      <c r="AJ218" s="214"/>
      <c r="AK218" s="1131"/>
      <c r="AL218" s="1153"/>
      <c r="AM218" s="242"/>
      <c r="AN218" s="242"/>
      <c r="AO218" s="242"/>
      <c r="AP218" s="242">
        <f t="shared" si="7"/>
        <v>0</v>
      </c>
      <c r="AQ218" s="242"/>
      <c r="AR218" s="242"/>
      <c r="AS218" s="237"/>
      <c r="AT218" s="214"/>
      <c r="AU218" s="1138"/>
      <c r="AV218" s="1155"/>
      <c r="AW218" s="1140"/>
      <c r="AX218" s="1140"/>
      <c r="AY218" s="1140"/>
      <c r="AZ218" s="1140">
        <f t="shared" si="8"/>
        <v>0</v>
      </c>
      <c r="BA218" s="1140"/>
      <c r="BB218" s="1140"/>
      <c r="BC218" s="214"/>
      <c r="BD218" s="214"/>
      <c r="BE218" s="1131"/>
      <c r="BF218" s="1153"/>
      <c r="BG218" s="242"/>
      <c r="BH218" s="242"/>
      <c r="BI218" s="242"/>
      <c r="BJ218" s="242">
        <f t="shared" si="9"/>
        <v>0</v>
      </c>
      <c r="BK218" s="242"/>
      <c r="BL218" s="242"/>
      <c r="BM218" s="214"/>
      <c r="BN218" s="214"/>
      <c r="BO218" s="1131"/>
      <c r="BP218" s="1153"/>
      <c r="BQ218" s="242"/>
      <c r="BR218" s="242"/>
      <c r="BS218" s="242"/>
      <c r="BT218" s="242">
        <f t="shared" si="10"/>
        <v>0</v>
      </c>
      <c r="BU218" s="242"/>
      <c r="BV218" s="242"/>
      <c r="BW218" s="237"/>
      <c r="BX218" s="214"/>
      <c r="BY218" s="1131"/>
      <c r="BZ218" s="1153"/>
      <c r="CA218" s="242"/>
      <c r="CB218" s="242"/>
      <c r="CC218" s="242"/>
      <c r="CD218" s="242">
        <f t="shared" si="11"/>
        <v>0</v>
      </c>
      <c r="CE218" s="242"/>
      <c r="CF218" s="242"/>
      <c r="CG218" s="214"/>
      <c r="CH218" s="214"/>
      <c r="CI218" s="1131"/>
      <c r="CJ218" s="1153"/>
      <c r="CK218" s="242"/>
      <c r="CL218" s="242"/>
      <c r="CM218" s="242"/>
      <c r="CN218" s="242">
        <f t="shared" si="12"/>
        <v>0</v>
      </c>
      <c r="CO218" s="242"/>
      <c r="CP218" s="242"/>
      <c r="CQ218" s="214"/>
      <c r="CR218" s="214"/>
      <c r="CS218" s="1131"/>
      <c r="CT218" s="1153"/>
      <c r="CU218" s="242"/>
      <c r="CV218" s="242"/>
      <c r="CW218" s="242"/>
      <c r="CX218" s="242">
        <f t="shared" si="13"/>
        <v>0</v>
      </c>
      <c r="CY218" s="242"/>
      <c r="CZ218" s="242"/>
      <c r="DA218" s="237"/>
      <c r="DB218" s="214"/>
      <c r="DC218" s="1131"/>
      <c r="DD218" s="1153"/>
      <c r="DE218" s="242"/>
      <c r="DF218" s="242"/>
      <c r="DG218" s="242"/>
      <c r="DH218" s="242">
        <f t="shared" si="14"/>
        <v>0</v>
      </c>
      <c r="DI218" s="242"/>
      <c r="DJ218" s="242"/>
      <c r="DK218" s="214"/>
      <c r="DL218" s="214"/>
      <c r="DM218" s="1131"/>
      <c r="DN218" s="1153"/>
      <c r="DO218" s="242"/>
      <c r="DP218" s="242"/>
      <c r="DQ218" s="242"/>
      <c r="DR218" s="242">
        <f t="shared" si="15"/>
        <v>0</v>
      </c>
      <c r="DS218" s="242"/>
      <c r="DT218" s="242"/>
      <c r="DU218" s="214"/>
      <c r="DV218" s="214"/>
      <c r="DW218" s="1131"/>
      <c r="DX218" s="1153"/>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24"/>
      <c r="C219" s="1124"/>
      <c r="D219" s="1124"/>
      <c r="E219" s="1124"/>
      <c r="F219" s="1125">
        <f t="shared" si="2"/>
        <v>0</v>
      </c>
      <c r="G219" s="1126" t="str">
        <f t="shared" si="3"/>
        <v/>
      </c>
      <c r="H219" s="112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7">
        <f t="shared" si="230"/>
        <v>0</v>
      </c>
      <c r="J219" s="1128">
        <f t="shared" si="230"/>
        <v>0</v>
      </c>
      <c r="K219" s="214"/>
      <c r="L219" s="214"/>
      <c r="M219" s="214"/>
      <c r="N219" s="214"/>
      <c r="O219" s="1087"/>
      <c r="P219" s="214"/>
      <c r="Q219" s="1131"/>
      <c r="R219" s="1153"/>
      <c r="S219" s="242"/>
      <c r="T219" s="242"/>
      <c r="U219" s="242"/>
      <c r="V219" s="242">
        <f t="shared" si="5"/>
        <v>0</v>
      </c>
      <c r="W219" s="242"/>
      <c r="X219" s="242"/>
      <c r="Y219" s="214"/>
      <c r="Z219" s="214"/>
      <c r="AA219" s="1131"/>
      <c r="AB219" s="1153"/>
      <c r="AC219" s="242"/>
      <c r="AD219" s="242"/>
      <c r="AE219" s="242"/>
      <c r="AF219" s="242">
        <f t="shared" si="6"/>
        <v>0</v>
      </c>
      <c r="AG219" s="242"/>
      <c r="AH219" s="242"/>
      <c r="AI219" s="214"/>
      <c r="AJ219" s="214"/>
      <c r="AK219" s="1131"/>
      <c r="AL219" s="1153"/>
      <c r="AM219" s="242"/>
      <c r="AN219" s="242"/>
      <c r="AO219" s="242"/>
      <c r="AP219" s="242">
        <f t="shared" si="7"/>
        <v>0</v>
      </c>
      <c r="AQ219" s="242"/>
      <c r="AR219" s="242"/>
      <c r="AS219" s="237"/>
      <c r="AT219" s="214"/>
      <c r="AU219" s="1138"/>
      <c r="AV219" s="1155"/>
      <c r="AW219" s="1140"/>
      <c r="AX219" s="1140"/>
      <c r="AY219" s="1140"/>
      <c r="AZ219" s="1140">
        <f t="shared" si="8"/>
        <v>0</v>
      </c>
      <c r="BA219" s="1140"/>
      <c r="BB219" s="1140"/>
      <c r="BC219" s="214"/>
      <c r="BD219" s="214"/>
      <c r="BE219" s="1131"/>
      <c r="BF219" s="1153"/>
      <c r="BG219" s="242"/>
      <c r="BH219" s="242"/>
      <c r="BI219" s="242"/>
      <c r="BJ219" s="242">
        <f t="shared" si="9"/>
        <v>0</v>
      </c>
      <c r="BK219" s="242"/>
      <c r="BL219" s="242"/>
      <c r="BM219" s="214"/>
      <c r="BN219" s="214"/>
      <c r="BO219" s="1131"/>
      <c r="BP219" s="1153"/>
      <c r="BQ219" s="242"/>
      <c r="BR219" s="242"/>
      <c r="BS219" s="242"/>
      <c r="BT219" s="242">
        <f t="shared" si="10"/>
        <v>0</v>
      </c>
      <c r="BU219" s="242"/>
      <c r="BV219" s="242"/>
      <c r="BW219" s="237"/>
      <c r="BX219" s="214"/>
      <c r="BY219" s="1131"/>
      <c r="BZ219" s="1153"/>
      <c r="CA219" s="242"/>
      <c r="CB219" s="242"/>
      <c r="CC219" s="242"/>
      <c r="CD219" s="242">
        <f t="shared" si="11"/>
        <v>0</v>
      </c>
      <c r="CE219" s="242"/>
      <c r="CF219" s="242"/>
      <c r="CG219" s="214"/>
      <c r="CH219" s="214"/>
      <c r="CI219" s="1131"/>
      <c r="CJ219" s="1153"/>
      <c r="CK219" s="242"/>
      <c r="CL219" s="242"/>
      <c r="CM219" s="242"/>
      <c r="CN219" s="242">
        <f t="shared" si="12"/>
        <v>0</v>
      </c>
      <c r="CO219" s="242"/>
      <c r="CP219" s="242"/>
      <c r="CQ219" s="214"/>
      <c r="CR219" s="214"/>
      <c r="CS219" s="1131"/>
      <c r="CT219" s="1153"/>
      <c r="CU219" s="242"/>
      <c r="CV219" s="242"/>
      <c r="CW219" s="242"/>
      <c r="CX219" s="242">
        <f t="shared" si="13"/>
        <v>0</v>
      </c>
      <c r="CY219" s="242"/>
      <c r="CZ219" s="242"/>
      <c r="DA219" s="237"/>
      <c r="DB219" s="214"/>
      <c r="DC219" s="1131"/>
      <c r="DD219" s="1153"/>
      <c r="DE219" s="242"/>
      <c r="DF219" s="242"/>
      <c r="DG219" s="242"/>
      <c r="DH219" s="242">
        <f t="shared" si="14"/>
        <v>0</v>
      </c>
      <c r="DI219" s="242"/>
      <c r="DJ219" s="242"/>
      <c r="DK219" s="214"/>
      <c r="DL219" s="214"/>
      <c r="DM219" s="1131"/>
      <c r="DN219" s="1153"/>
      <c r="DO219" s="242"/>
      <c r="DP219" s="242"/>
      <c r="DQ219" s="242"/>
      <c r="DR219" s="242">
        <f t="shared" si="15"/>
        <v>0</v>
      </c>
      <c r="DS219" s="242"/>
      <c r="DT219" s="242"/>
      <c r="DU219" s="214"/>
      <c r="DV219" s="214"/>
      <c r="DW219" s="1131"/>
      <c r="DX219" s="1153"/>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24"/>
      <c r="C220" s="1124"/>
      <c r="D220" s="1124"/>
      <c r="E220" s="1124"/>
      <c r="F220" s="1125">
        <f t="shared" si="2"/>
        <v>0</v>
      </c>
      <c r="G220" s="1126" t="str">
        <f t="shared" si="3"/>
        <v/>
      </c>
      <c r="H220" s="112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7">
        <f t="shared" si="231"/>
        <v>0</v>
      </c>
      <c r="J220" s="1128">
        <f t="shared" si="231"/>
        <v>0</v>
      </c>
      <c r="K220" s="214"/>
      <c r="L220" s="214"/>
      <c r="M220" s="214"/>
      <c r="N220" s="214"/>
      <c r="O220" s="1087"/>
      <c r="P220" s="214"/>
      <c r="Q220" s="1131"/>
      <c r="R220" s="1153"/>
      <c r="S220" s="242"/>
      <c r="T220" s="242"/>
      <c r="U220" s="242"/>
      <c r="V220" s="242">
        <f t="shared" si="5"/>
        <v>0</v>
      </c>
      <c r="W220" s="242"/>
      <c r="X220" s="242"/>
      <c r="Y220" s="214"/>
      <c r="Z220" s="214"/>
      <c r="AA220" s="1131"/>
      <c r="AB220" s="1153"/>
      <c r="AC220" s="242"/>
      <c r="AD220" s="242"/>
      <c r="AE220" s="242"/>
      <c r="AF220" s="242">
        <f t="shared" si="6"/>
        <v>0</v>
      </c>
      <c r="AG220" s="242"/>
      <c r="AH220" s="242"/>
      <c r="AI220" s="214"/>
      <c r="AJ220" s="214"/>
      <c r="AK220" s="1131"/>
      <c r="AL220" s="1153"/>
      <c r="AM220" s="242"/>
      <c r="AN220" s="242"/>
      <c r="AO220" s="242"/>
      <c r="AP220" s="242">
        <f t="shared" si="7"/>
        <v>0</v>
      </c>
      <c r="AQ220" s="242"/>
      <c r="AR220" s="242"/>
      <c r="AS220" s="237"/>
      <c r="AT220" s="214"/>
      <c r="AU220" s="1138"/>
      <c r="AV220" s="1155"/>
      <c r="AW220" s="1140"/>
      <c r="AX220" s="1140"/>
      <c r="AY220" s="1140"/>
      <c r="AZ220" s="1140">
        <f t="shared" si="8"/>
        <v>0</v>
      </c>
      <c r="BA220" s="1140"/>
      <c r="BB220" s="1140"/>
      <c r="BC220" s="214"/>
      <c r="BD220" s="214"/>
      <c r="BE220" s="1131"/>
      <c r="BF220" s="1153"/>
      <c r="BG220" s="242"/>
      <c r="BH220" s="242"/>
      <c r="BI220" s="242"/>
      <c r="BJ220" s="242">
        <f t="shared" si="9"/>
        <v>0</v>
      </c>
      <c r="BK220" s="242"/>
      <c r="BL220" s="242"/>
      <c r="BM220" s="214"/>
      <c r="BN220" s="214"/>
      <c r="BO220" s="1131"/>
      <c r="BP220" s="1153"/>
      <c r="BQ220" s="242"/>
      <c r="BR220" s="242"/>
      <c r="BS220" s="242"/>
      <c r="BT220" s="242">
        <f t="shared" si="10"/>
        <v>0</v>
      </c>
      <c r="BU220" s="242"/>
      <c r="BV220" s="242"/>
      <c r="BW220" s="237"/>
      <c r="BX220" s="214"/>
      <c r="BY220" s="1131"/>
      <c r="BZ220" s="1153"/>
      <c r="CA220" s="242"/>
      <c r="CB220" s="242"/>
      <c r="CC220" s="242"/>
      <c r="CD220" s="242">
        <f t="shared" si="11"/>
        <v>0</v>
      </c>
      <c r="CE220" s="242"/>
      <c r="CF220" s="242"/>
      <c r="CG220" s="214"/>
      <c r="CH220" s="214"/>
      <c r="CI220" s="1131"/>
      <c r="CJ220" s="1153"/>
      <c r="CK220" s="242"/>
      <c r="CL220" s="242"/>
      <c r="CM220" s="242"/>
      <c r="CN220" s="242">
        <f t="shared" si="12"/>
        <v>0</v>
      </c>
      <c r="CO220" s="242"/>
      <c r="CP220" s="242"/>
      <c r="CQ220" s="214"/>
      <c r="CR220" s="214"/>
      <c r="CS220" s="1131"/>
      <c r="CT220" s="1153"/>
      <c r="CU220" s="242"/>
      <c r="CV220" s="242"/>
      <c r="CW220" s="242"/>
      <c r="CX220" s="242">
        <f t="shared" si="13"/>
        <v>0</v>
      </c>
      <c r="CY220" s="242"/>
      <c r="CZ220" s="242"/>
      <c r="DA220" s="237"/>
      <c r="DB220" s="214"/>
      <c r="DC220" s="1131"/>
      <c r="DD220" s="1153"/>
      <c r="DE220" s="242"/>
      <c r="DF220" s="242"/>
      <c r="DG220" s="242"/>
      <c r="DH220" s="242">
        <f t="shared" si="14"/>
        <v>0</v>
      </c>
      <c r="DI220" s="242"/>
      <c r="DJ220" s="242"/>
      <c r="DK220" s="214"/>
      <c r="DL220" s="214"/>
      <c r="DM220" s="1131"/>
      <c r="DN220" s="1153"/>
      <c r="DO220" s="242"/>
      <c r="DP220" s="242"/>
      <c r="DQ220" s="242"/>
      <c r="DR220" s="242">
        <f t="shared" si="15"/>
        <v>0</v>
      </c>
      <c r="DS220" s="242"/>
      <c r="DT220" s="242"/>
      <c r="DU220" s="214"/>
      <c r="DV220" s="214"/>
      <c r="DW220" s="1131"/>
      <c r="DX220" s="1153"/>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24"/>
      <c r="C221" s="1124"/>
      <c r="D221" s="1124"/>
      <c r="E221" s="1124"/>
      <c r="F221" s="1125">
        <f t="shared" si="2"/>
        <v>0</v>
      </c>
      <c r="G221" s="1126" t="str">
        <f t="shared" si="3"/>
        <v/>
      </c>
      <c r="H221" s="112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7">
        <f t="shared" si="232"/>
        <v>0</v>
      </c>
      <c r="J221" s="1128">
        <f t="shared" si="232"/>
        <v>0</v>
      </c>
      <c r="K221" s="214"/>
      <c r="L221" s="214"/>
      <c r="M221" s="214"/>
      <c r="N221" s="214"/>
      <c r="O221" s="1087"/>
      <c r="P221" s="214"/>
      <c r="Q221" s="1131"/>
      <c r="R221" s="1153"/>
      <c r="S221" s="242"/>
      <c r="T221" s="242"/>
      <c r="U221" s="242"/>
      <c r="V221" s="242">
        <f t="shared" si="5"/>
        <v>0</v>
      </c>
      <c r="W221" s="242"/>
      <c r="X221" s="242"/>
      <c r="Y221" s="214"/>
      <c r="Z221" s="214"/>
      <c r="AA221" s="1131"/>
      <c r="AB221" s="1153"/>
      <c r="AC221" s="242"/>
      <c r="AD221" s="242"/>
      <c r="AE221" s="242"/>
      <c r="AF221" s="242">
        <f t="shared" si="6"/>
        <v>0</v>
      </c>
      <c r="AG221" s="242"/>
      <c r="AH221" s="242"/>
      <c r="AI221" s="214"/>
      <c r="AJ221" s="214"/>
      <c r="AK221" s="1131"/>
      <c r="AL221" s="1153"/>
      <c r="AM221" s="242"/>
      <c r="AN221" s="242"/>
      <c r="AO221" s="242"/>
      <c r="AP221" s="242">
        <f t="shared" si="7"/>
        <v>0</v>
      </c>
      <c r="AQ221" s="242"/>
      <c r="AR221" s="242"/>
      <c r="AS221" s="237"/>
      <c r="AT221" s="214"/>
      <c r="AU221" s="1138"/>
      <c r="AV221" s="1155"/>
      <c r="AW221" s="1140"/>
      <c r="AX221" s="1140"/>
      <c r="AY221" s="1140"/>
      <c r="AZ221" s="1140">
        <f t="shared" si="8"/>
        <v>0</v>
      </c>
      <c r="BA221" s="1140"/>
      <c r="BB221" s="1140"/>
      <c r="BC221" s="214"/>
      <c r="BD221" s="214"/>
      <c r="BE221" s="1131"/>
      <c r="BF221" s="1153"/>
      <c r="BG221" s="242"/>
      <c r="BH221" s="242"/>
      <c r="BI221" s="242"/>
      <c r="BJ221" s="242">
        <f t="shared" si="9"/>
        <v>0</v>
      </c>
      <c r="BK221" s="242"/>
      <c r="BL221" s="242"/>
      <c r="BM221" s="214"/>
      <c r="BN221" s="214"/>
      <c r="BO221" s="1131"/>
      <c r="BP221" s="1153"/>
      <c r="BQ221" s="242"/>
      <c r="BR221" s="242"/>
      <c r="BS221" s="242"/>
      <c r="BT221" s="242">
        <f t="shared" si="10"/>
        <v>0</v>
      </c>
      <c r="BU221" s="242"/>
      <c r="BV221" s="242"/>
      <c r="BW221" s="237"/>
      <c r="BX221" s="214"/>
      <c r="BY221" s="1131"/>
      <c r="BZ221" s="1153"/>
      <c r="CA221" s="242"/>
      <c r="CB221" s="242"/>
      <c r="CC221" s="242"/>
      <c r="CD221" s="242">
        <f t="shared" si="11"/>
        <v>0</v>
      </c>
      <c r="CE221" s="242"/>
      <c r="CF221" s="242"/>
      <c r="CG221" s="214"/>
      <c r="CH221" s="214"/>
      <c r="CI221" s="1131"/>
      <c r="CJ221" s="1153"/>
      <c r="CK221" s="242"/>
      <c r="CL221" s="242"/>
      <c r="CM221" s="242"/>
      <c r="CN221" s="242">
        <f t="shared" si="12"/>
        <v>0</v>
      </c>
      <c r="CO221" s="242"/>
      <c r="CP221" s="242"/>
      <c r="CQ221" s="214"/>
      <c r="CR221" s="214"/>
      <c r="CS221" s="1131"/>
      <c r="CT221" s="1153"/>
      <c r="CU221" s="242"/>
      <c r="CV221" s="242"/>
      <c r="CW221" s="242"/>
      <c r="CX221" s="242">
        <f t="shared" si="13"/>
        <v>0</v>
      </c>
      <c r="CY221" s="242"/>
      <c r="CZ221" s="242"/>
      <c r="DA221" s="237"/>
      <c r="DB221" s="214"/>
      <c r="DC221" s="1131"/>
      <c r="DD221" s="1153"/>
      <c r="DE221" s="242"/>
      <c r="DF221" s="242"/>
      <c r="DG221" s="242"/>
      <c r="DH221" s="242">
        <f t="shared" si="14"/>
        <v>0</v>
      </c>
      <c r="DI221" s="242"/>
      <c r="DJ221" s="242"/>
      <c r="DK221" s="214"/>
      <c r="DL221" s="214"/>
      <c r="DM221" s="1131"/>
      <c r="DN221" s="1153"/>
      <c r="DO221" s="242"/>
      <c r="DP221" s="242"/>
      <c r="DQ221" s="242"/>
      <c r="DR221" s="242">
        <f t="shared" si="15"/>
        <v>0</v>
      </c>
      <c r="DS221" s="242"/>
      <c r="DT221" s="242"/>
      <c r="DU221" s="214"/>
      <c r="DV221" s="214"/>
      <c r="DW221" s="1131"/>
      <c r="DX221" s="1153"/>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24"/>
      <c r="C222" s="1124"/>
      <c r="D222" s="1124"/>
      <c r="E222" s="1124"/>
      <c r="F222" s="1125">
        <f t="shared" si="2"/>
        <v>0</v>
      </c>
      <c r="G222" s="1126" t="str">
        <f t="shared" si="3"/>
        <v/>
      </c>
      <c r="H222" s="112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7">
        <f t="shared" si="233"/>
        <v>0</v>
      </c>
      <c r="J222" s="1128">
        <f t="shared" si="233"/>
        <v>0</v>
      </c>
      <c r="K222" s="214"/>
      <c r="L222" s="214"/>
      <c r="M222" s="214"/>
      <c r="N222" s="214"/>
      <c r="O222" s="1087"/>
      <c r="P222" s="214"/>
      <c r="Q222" s="1131"/>
      <c r="R222" s="1153"/>
      <c r="S222" s="242"/>
      <c r="T222" s="242"/>
      <c r="U222" s="242"/>
      <c r="V222" s="242">
        <f t="shared" si="5"/>
        <v>0</v>
      </c>
      <c r="W222" s="242"/>
      <c r="X222" s="242"/>
      <c r="Y222" s="214"/>
      <c r="Z222" s="214"/>
      <c r="AA222" s="1131"/>
      <c r="AB222" s="1153"/>
      <c r="AC222" s="242"/>
      <c r="AD222" s="242"/>
      <c r="AE222" s="242"/>
      <c r="AF222" s="242">
        <f t="shared" si="6"/>
        <v>0</v>
      </c>
      <c r="AG222" s="242"/>
      <c r="AH222" s="242"/>
      <c r="AI222" s="214"/>
      <c r="AJ222" s="214"/>
      <c r="AK222" s="1131"/>
      <c r="AL222" s="1153"/>
      <c r="AM222" s="242"/>
      <c r="AN222" s="242"/>
      <c r="AO222" s="242"/>
      <c r="AP222" s="242">
        <f t="shared" si="7"/>
        <v>0</v>
      </c>
      <c r="AQ222" s="242"/>
      <c r="AR222" s="242"/>
      <c r="AS222" s="237"/>
      <c r="AT222" s="214"/>
      <c r="AU222" s="1138"/>
      <c r="AV222" s="1155"/>
      <c r="AW222" s="1140"/>
      <c r="AX222" s="1140"/>
      <c r="AY222" s="1140"/>
      <c r="AZ222" s="1140">
        <f t="shared" si="8"/>
        <v>0</v>
      </c>
      <c r="BA222" s="1140"/>
      <c r="BB222" s="1140"/>
      <c r="BC222" s="214"/>
      <c r="BD222" s="214"/>
      <c r="BE222" s="1131"/>
      <c r="BF222" s="1153"/>
      <c r="BG222" s="242"/>
      <c r="BH222" s="242"/>
      <c r="BI222" s="242"/>
      <c r="BJ222" s="242">
        <f t="shared" si="9"/>
        <v>0</v>
      </c>
      <c r="BK222" s="242"/>
      <c r="BL222" s="242"/>
      <c r="BM222" s="214"/>
      <c r="BN222" s="214"/>
      <c r="BO222" s="1131"/>
      <c r="BP222" s="1153"/>
      <c r="BQ222" s="242"/>
      <c r="BR222" s="242"/>
      <c r="BS222" s="242"/>
      <c r="BT222" s="242">
        <f t="shared" si="10"/>
        <v>0</v>
      </c>
      <c r="BU222" s="242"/>
      <c r="BV222" s="242"/>
      <c r="BW222" s="237"/>
      <c r="BX222" s="214"/>
      <c r="BY222" s="1131"/>
      <c r="BZ222" s="1153"/>
      <c r="CA222" s="242"/>
      <c r="CB222" s="242"/>
      <c r="CC222" s="242"/>
      <c r="CD222" s="242">
        <f t="shared" si="11"/>
        <v>0</v>
      </c>
      <c r="CE222" s="242"/>
      <c r="CF222" s="242"/>
      <c r="CG222" s="214"/>
      <c r="CH222" s="214"/>
      <c r="CI222" s="1131"/>
      <c r="CJ222" s="1153"/>
      <c r="CK222" s="242"/>
      <c r="CL222" s="242"/>
      <c r="CM222" s="242"/>
      <c r="CN222" s="242">
        <f t="shared" si="12"/>
        <v>0</v>
      </c>
      <c r="CO222" s="242"/>
      <c r="CP222" s="242"/>
      <c r="CQ222" s="214"/>
      <c r="CR222" s="214"/>
      <c r="CS222" s="1131"/>
      <c r="CT222" s="1153"/>
      <c r="CU222" s="242"/>
      <c r="CV222" s="242"/>
      <c r="CW222" s="242"/>
      <c r="CX222" s="242">
        <f t="shared" si="13"/>
        <v>0</v>
      </c>
      <c r="CY222" s="242"/>
      <c r="CZ222" s="242"/>
      <c r="DA222" s="237"/>
      <c r="DB222" s="214"/>
      <c r="DC222" s="1131"/>
      <c r="DD222" s="1153"/>
      <c r="DE222" s="242"/>
      <c r="DF222" s="242"/>
      <c r="DG222" s="242"/>
      <c r="DH222" s="242">
        <f t="shared" si="14"/>
        <v>0</v>
      </c>
      <c r="DI222" s="242"/>
      <c r="DJ222" s="242"/>
      <c r="DK222" s="214"/>
      <c r="DL222" s="214"/>
      <c r="DM222" s="1131"/>
      <c r="DN222" s="1153"/>
      <c r="DO222" s="242"/>
      <c r="DP222" s="242"/>
      <c r="DQ222" s="242"/>
      <c r="DR222" s="242">
        <f t="shared" si="15"/>
        <v>0</v>
      </c>
      <c r="DS222" s="242"/>
      <c r="DT222" s="242"/>
      <c r="DU222" s="214"/>
      <c r="DV222" s="214"/>
      <c r="DW222" s="1131"/>
      <c r="DX222" s="1153"/>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24"/>
      <c r="C223" s="1124"/>
      <c r="D223" s="1124"/>
      <c r="E223" s="1124"/>
      <c r="F223" s="1125">
        <f t="shared" si="2"/>
        <v>0</v>
      </c>
      <c r="G223" s="1126" t="str">
        <f t="shared" si="3"/>
        <v/>
      </c>
      <c r="H223" s="112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7">
        <f t="shared" si="234"/>
        <v>0</v>
      </c>
      <c r="J223" s="1128">
        <f t="shared" si="234"/>
        <v>0</v>
      </c>
      <c r="K223" s="214"/>
      <c r="L223" s="214"/>
      <c r="M223" s="214"/>
      <c r="N223" s="214"/>
      <c r="O223" s="1087"/>
      <c r="P223" s="214"/>
      <c r="Q223" s="1131"/>
      <c r="R223" s="1153"/>
      <c r="S223" s="242"/>
      <c r="T223" s="242"/>
      <c r="U223" s="242"/>
      <c r="V223" s="242">
        <f t="shared" si="5"/>
        <v>0</v>
      </c>
      <c r="W223" s="242"/>
      <c r="X223" s="242"/>
      <c r="Y223" s="214"/>
      <c r="Z223" s="214"/>
      <c r="AA223" s="1131"/>
      <c r="AB223" s="1153"/>
      <c r="AC223" s="242"/>
      <c r="AD223" s="242"/>
      <c r="AE223" s="242"/>
      <c r="AF223" s="242">
        <f t="shared" si="6"/>
        <v>0</v>
      </c>
      <c r="AG223" s="242"/>
      <c r="AH223" s="242"/>
      <c r="AI223" s="214"/>
      <c r="AJ223" s="214"/>
      <c r="AK223" s="1131"/>
      <c r="AL223" s="1153"/>
      <c r="AM223" s="242"/>
      <c r="AN223" s="242"/>
      <c r="AO223" s="242"/>
      <c r="AP223" s="242">
        <f t="shared" si="7"/>
        <v>0</v>
      </c>
      <c r="AQ223" s="242"/>
      <c r="AR223" s="242"/>
      <c r="AS223" s="237"/>
      <c r="AT223" s="214"/>
      <c r="AU223" s="1138"/>
      <c r="AV223" s="1155"/>
      <c r="AW223" s="1140"/>
      <c r="AX223" s="1140"/>
      <c r="AY223" s="1140"/>
      <c r="AZ223" s="1140">
        <f t="shared" si="8"/>
        <v>0</v>
      </c>
      <c r="BA223" s="1140"/>
      <c r="BB223" s="1140"/>
      <c r="BC223" s="214"/>
      <c r="BD223" s="214"/>
      <c r="BE223" s="1131"/>
      <c r="BF223" s="1153"/>
      <c r="BG223" s="242"/>
      <c r="BH223" s="242"/>
      <c r="BI223" s="242"/>
      <c r="BJ223" s="242">
        <f t="shared" si="9"/>
        <v>0</v>
      </c>
      <c r="BK223" s="242"/>
      <c r="BL223" s="242"/>
      <c r="BM223" s="214"/>
      <c r="BN223" s="214"/>
      <c r="BO223" s="1131"/>
      <c r="BP223" s="1153"/>
      <c r="BQ223" s="242"/>
      <c r="BR223" s="242"/>
      <c r="BS223" s="242"/>
      <c r="BT223" s="242">
        <f t="shared" si="10"/>
        <v>0</v>
      </c>
      <c r="BU223" s="242"/>
      <c r="BV223" s="242"/>
      <c r="BW223" s="237"/>
      <c r="BX223" s="214"/>
      <c r="BY223" s="1131"/>
      <c r="BZ223" s="1153"/>
      <c r="CA223" s="242"/>
      <c r="CB223" s="242"/>
      <c r="CC223" s="242"/>
      <c r="CD223" s="242">
        <f t="shared" si="11"/>
        <v>0</v>
      </c>
      <c r="CE223" s="242"/>
      <c r="CF223" s="242"/>
      <c r="CG223" s="214"/>
      <c r="CH223" s="214"/>
      <c r="CI223" s="1131"/>
      <c r="CJ223" s="1153"/>
      <c r="CK223" s="242"/>
      <c r="CL223" s="242"/>
      <c r="CM223" s="242"/>
      <c r="CN223" s="242">
        <f t="shared" si="12"/>
        <v>0</v>
      </c>
      <c r="CO223" s="242"/>
      <c r="CP223" s="242"/>
      <c r="CQ223" s="214"/>
      <c r="CR223" s="214"/>
      <c r="CS223" s="1131"/>
      <c r="CT223" s="1153"/>
      <c r="CU223" s="242"/>
      <c r="CV223" s="242"/>
      <c r="CW223" s="242"/>
      <c r="CX223" s="242">
        <f t="shared" si="13"/>
        <v>0</v>
      </c>
      <c r="CY223" s="242"/>
      <c r="CZ223" s="242"/>
      <c r="DA223" s="237"/>
      <c r="DB223" s="214"/>
      <c r="DC223" s="1131"/>
      <c r="DD223" s="1153"/>
      <c r="DE223" s="242"/>
      <c r="DF223" s="242"/>
      <c r="DG223" s="242"/>
      <c r="DH223" s="242">
        <f t="shared" si="14"/>
        <v>0</v>
      </c>
      <c r="DI223" s="242"/>
      <c r="DJ223" s="242"/>
      <c r="DK223" s="214"/>
      <c r="DL223" s="214"/>
      <c r="DM223" s="1131"/>
      <c r="DN223" s="1153"/>
      <c r="DO223" s="242"/>
      <c r="DP223" s="242"/>
      <c r="DQ223" s="242"/>
      <c r="DR223" s="242">
        <f t="shared" si="15"/>
        <v>0</v>
      </c>
      <c r="DS223" s="242"/>
      <c r="DT223" s="242"/>
      <c r="DU223" s="214"/>
      <c r="DV223" s="214"/>
      <c r="DW223" s="1131"/>
      <c r="DX223" s="1153"/>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24"/>
      <c r="C224" s="1124"/>
      <c r="D224" s="1124"/>
      <c r="E224" s="1124"/>
      <c r="F224" s="1125">
        <f t="shared" si="2"/>
        <v>0</v>
      </c>
      <c r="G224" s="1126" t="str">
        <f t="shared" si="3"/>
        <v/>
      </c>
      <c r="H224" s="112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7">
        <f t="shared" si="235"/>
        <v>0</v>
      </c>
      <c r="J224" s="1128">
        <f t="shared" si="235"/>
        <v>0</v>
      </c>
      <c r="K224" s="214"/>
      <c r="L224" s="214"/>
      <c r="M224" s="214"/>
      <c r="N224" s="214"/>
      <c r="O224" s="1087"/>
      <c r="P224" s="214"/>
      <c r="Q224" s="1131"/>
      <c r="R224" s="1153"/>
      <c r="S224" s="242"/>
      <c r="T224" s="242"/>
      <c r="U224" s="242"/>
      <c r="V224" s="242">
        <f t="shared" si="5"/>
        <v>0</v>
      </c>
      <c r="W224" s="242"/>
      <c r="X224" s="242"/>
      <c r="Y224" s="214"/>
      <c r="Z224" s="214"/>
      <c r="AA224" s="1131"/>
      <c r="AB224" s="1153"/>
      <c r="AC224" s="242"/>
      <c r="AD224" s="242"/>
      <c r="AE224" s="242"/>
      <c r="AF224" s="242">
        <f t="shared" si="6"/>
        <v>0</v>
      </c>
      <c r="AG224" s="242"/>
      <c r="AH224" s="242"/>
      <c r="AI224" s="214"/>
      <c r="AJ224" s="214"/>
      <c r="AK224" s="1131"/>
      <c r="AL224" s="1153"/>
      <c r="AM224" s="242"/>
      <c r="AN224" s="242"/>
      <c r="AO224" s="242"/>
      <c r="AP224" s="242">
        <f t="shared" si="7"/>
        <v>0</v>
      </c>
      <c r="AQ224" s="242"/>
      <c r="AR224" s="242"/>
      <c r="AS224" s="237"/>
      <c r="AT224" s="214"/>
      <c r="AU224" s="1138"/>
      <c r="AV224" s="1155"/>
      <c r="AW224" s="1140"/>
      <c r="AX224" s="1140"/>
      <c r="AY224" s="1140"/>
      <c r="AZ224" s="1140">
        <f t="shared" si="8"/>
        <v>0</v>
      </c>
      <c r="BA224" s="1140"/>
      <c r="BB224" s="1140"/>
      <c r="BC224" s="214"/>
      <c r="BD224" s="214"/>
      <c r="BE224" s="1131"/>
      <c r="BF224" s="1153"/>
      <c r="BG224" s="242"/>
      <c r="BH224" s="242"/>
      <c r="BI224" s="242"/>
      <c r="BJ224" s="242">
        <f t="shared" si="9"/>
        <v>0</v>
      </c>
      <c r="BK224" s="242"/>
      <c r="BL224" s="242"/>
      <c r="BM224" s="214"/>
      <c r="BN224" s="214"/>
      <c r="BO224" s="1131"/>
      <c r="BP224" s="1153"/>
      <c r="BQ224" s="242"/>
      <c r="BR224" s="242"/>
      <c r="BS224" s="242"/>
      <c r="BT224" s="242">
        <f t="shared" si="10"/>
        <v>0</v>
      </c>
      <c r="BU224" s="242"/>
      <c r="BV224" s="242"/>
      <c r="BW224" s="237"/>
      <c r="BX224" s="214"/>
      <c r="BY224" s="1131"/>
      <c r="BZ224" s="1153"/>
      <c r="CA224" s="242"/>
      <c r="CB224" s="242"/>
      <c r="CC224" s="242"/>
      <c r="CD224" s="242">
        <f t="shared" si="11"/>
        <v>0</v>
      </c>
      <c r="CE224" s="242"/>
      <c r="CF224" s="242"/>
      <c r="CG224" s="214"/>
      <c r="CH224" s="214"/>
      <c r="CI224" s="1131"/>
      <c r="CJ224" s="1153"/>
      <c r="CK224" s="242"/>
      <c r="CL224" s="242"/>
      <c r="CM224" s="242"/>
      <c r="CN224" s="242">
        <f t="shared" si="12"/>
        <v>0</v>
      </c>
      <c r="CO224" s="242"/>
      <c r="CP224" s="242"/>
      <c r="CQ224" s="214"/>
      <c r="CR224" s="214"/>
      <c r="CS224" s="1131"/>
      <c r="CT224" s="1153"/>
      <c r="CU224" s="242"/>
      <c r="CV224" s="242"/>
      <c r="CW224" s="242"/>
      <c r="CX224" s="242">
        <f t="shared" si="13"/>
        <v>0</v>
      </c>
      <c r="CY224" s="242"/>
      <c r="CZ224" s="242"/>
      <c r="DA224" s="237"/>
      <c r="DB224" s="214"/>
      <c r="DC224" s="1131"/>
      <c r="DD224" s="1153"/>
      <c r="DE224" s="242"/>
      <c r="DF224" s="242"/>
      <c r="DG224" s="242"/>
      <c r="DH224" s="242">
        <f t="shared" si="14"/>
        <v>0</v>
      </c>
      <c r="DI224" s="242"/>
      <c r="DJ224" s="242"/>
      <c r="DK224" s="214"/>
      <c r="DL224" s="214"/>
      <c r="DM224" s="1131"/>
      <c r="DN224" s="1153"/>
      <c r="DO224" s="242"/>
      <c r="DP224" s="242"/>
      <c r="DQ224" s="242"/>
      <c r="DR224" s="242">
        <f t="shared" si="15"/>
        <v>0</v>
      </c>
      <c r="DS224" s="242"/>
      <c r="DT224" s="242"/>
      <c r="DU224" s="214"/>
      <c r="DV224" s="214"/>
      <c r="DW224" s="1131"/>
      <c r="DX224" s="1153"/>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24"/>
      <c r="C225" s="1124"/>
      <c r="D225" s="1124"/>
      <c r="E225" s="1124"/>
      <c r="F225" s="1125">
        <f t="shared" si="2"/>
        <v>0</v>
      </c>
      <c r="G225" s="1126" t="str">
        <f t="shared" si="3"/>
        <v/>
      </c>
      <c r="H225" s="112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7">
        <f t="shared" si="236"/>
        <v>0</v>
      </c>
      <c r="J225" s="1128">
        <f t="shared" si="236"/>
        <v>0</v>
      </c>
      <c r="K225" s="214"/>
      <c r="L225" s="214"/>
      <c r="M225" s="214"/>
      <c r="N225" s="214"/>
      <c r="O225" s="1087"/>
      <c r="P225" s="214"/>
      <c r="Q225" s="1131"/>
      <c r="R225" s="1153"/>
      <c r="S225" s="242"/>
      <c r="T225" s="242"/>
      <c r="U225" s="242"/>
      <c r="V225" s="242">
        <f t="shared" si="5"/>
        <v>0</v>
      </c>
      <c r="W225" s="242"/>
      <c r="X225" s="242"/>
      <c r="Y225" s="214"/>
      <c r="Z225" s="214"/>
      <c r="AA225" s="1131"/>
      <c r="AB225" s="1153"/>
      <c r="AC225" s="242"/>
      <c r="AD225" s="242"/>
      <c r="AE225" s="242"/>
      <c r="AF225" s="242">
        <f t="shared" si="6"/>
        <v>0</v>
      </c>
      <c r="AG225" s="242"/>
      <c r="AH225" s="242"/>
      <c r="AI225" s="214"/>
      <c r="AJ225" s="214"/>
      <c r="AK225" s="1131"/>
      <c r="AL225" s="1153"/>
      <c r="AM225" s="242"/>
      <c r="AN225" s="242"/>
      <c r="AO225" s="242"/>
      <c r="AP225" s="242">
        <f t="shared" si="7"/>
        <v>0</v>
      </c>
      <c r="AQ225" s="242"/>
      <c r="AR225" s="242"/>
      <c r="AS225" s="237"/>
      <c r="AT225" s="214"/>
      <c r="AU225" s="1138"/>
      <c r="AV225" s="1155"/>
      <c r="AW225" s="1140"/>
      <c r="AX225" s="1140"/>
      <c r="AY225" s="1140"/>
      <c r="AZ225" s="1140">
        <f t="shared" si="8"/>
        <v>0</v>
      </c>
      <c r="BA225" s="1140"/>
      <c r="BB225" s="1140"/>
      <c r="BC225" s="214"/>
      <c r="BD225" s="214"/>
      <c r="BE225" s="1131"/>
      <c r="BF225" s="1153"/>
      <c r="BG225" s="242"/>
      <c r="BH225" s="242"/>
      <c r="BI225" s="242"/>
      <c r="BJ225" s="242">
        <f t="shared" si="9"/>
        <v>0</v>
      </c>
      <c r="BK225" s="242"/>
      <c r="BL225" s="242"/>
      <c r="BM225" s="214"/>
      <c r="BN225" s="214"/>
      <c r="BO225" s="1131"/>
      <c r="BP225" s="1153"/>
      <c r="BQ225" s="242"/>
      <c r="BR225" s="242"/>
      <c r="BS225" s="242"/>
      <c r="BT225" s="242">
        <f t="shared" si="10"/>
        <v>0</v>
      </c>
      <c r="BU225" s="242"/>
      <c r="BV225" s="242"/>
      <c r="BW225" s="237"/>
      <c r="BX225" s="214"/>
      <c r="BY225" s="1131"/>
      <c r="BZ225" s="1153"/>
      <c r="CA225" s="242"/>
      <c r="CB225" s="242"/>
      <c r="CC225" s="242"/>
      <c r="CD225" s="242">
        <f t="shared" si="11"/>
        <v>0</v>
      </c>
      <c r="CE225" s="242"/>
      <c r="CF225" s="242"/>
      <c r="CG225" s="214"/>
      <c r="CH225" s="214"/>
      <c r="CI225" s="1131"/>
      <c r="CJ225" s="1153"/>
      <c r="CK225" s="242"/>
      <c r="CL225" s="242"/>
      <c r="CM225" s="242"/>
      <c r="CN225" s="242">
        <f t="shared" si="12"/>
        <v>0</v>
      </c>
      <c r="CO225" s="242"/>
      <c r="CP225" s="242"/>
      <c r="CQ225" s="214"/>
      <c r="CR225" s="214"/>
      <c r="CS225" s="1131"/>
      <c r="CT225" s="1153"/>
      <c r="CU225" s="242"/>
      <c r="CV225" s="242"/>
      <c r="CW225" s="242"/>
      <c r="CX225" s="242">
        <f t="shared" si="13"/>
        <v>0</v>
      </c>
      <c r="CY225" s="242"/>
      <c r="CZ225" s="242"/>
      <c r="DA225" s="237"/>
      <c r="DB225" s="214"/>
      <c r="DC225" s="1131"/>
      <c r="DD225" s="1153"/>
      <c r="DE225" s="242"/>
      <c r="DF225" s="242"/>
      <c r="DG225" s="242"/>
      <c r="DH225" s="242">
        <f t="shared" si="14"/>
        <v>0</v>
      </c>
      <c r="DI225" s="242"/>
      <c r="DJ225" s="242"/>
      <c r="DK225" s="214"/>
      <c r="DL225" s="214"/>
      <c r="DM225" s="1131"/>
      <c r="DN225" s="1153"/>
      <c r="DO225" s="242"/>
      <c r="DP225" s="242"/>
      <c r="DQ225" s="242"/>
      <c r="DR225" s="242">
        <f t="shared" si="15"/>
        <v>0</v>
      </c>
      <c r="DS225" s="242"/>
      <c r="DT225" s="242"/>
      <c r="DU225" s="214"/>
      <c r="DV225" s="214"/>
      <c r="DW225" s="1131"/>
      <c r="DX225" s="1153"/>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24"/>
      <c r="C226" s="1124"/>
      <c r="D226" s="1124"/>
      <c r="E226" s="1124"/>
      <c r="F226" s="1125">
        <f t="shared" si="2"/>
        <v>0</v>
      </c>
      <c r="G226" s="1126" t="str">
        <f t="shared" si="3"/>
        <v/>
      </c>
      <c r="H226" s="112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7">
        <f t="shared" si="237"/>
        <v>0</v>
      </c>
      <c r="J226" s="1128">
        <f t="shared" si="237"/>
        <v>0</v>
      </c>
      <c r="K226" s="214"/>
      <c r="L226" s="214"/>
      <c r="M226" s="214"/>
      <c r="N226" s="214"/>
      <c r="O226" s="1087"/>
      <c r="P226" s="214"/>
      <c r="Q226" s="1131"/>
      <c r="R226" s="1153"/>
      <c r="S226" s="242"/>
      <c r="T226" s="242"/>
      <c r="U226" s="242"/>
      <c r="V226" s="242">
        <f t="shared" si="5"/>
        <v>0</v>
      </c>
      <c r="W226" s="242"/>
      <c r="X226" s="242"/>
      <c r="Y226" s="214"/>
      <c r="Z226" s="214"/>
      <c r="AA226" s="1131"/>
      <c r="AB226" s="1153"/>
      <c r="AC226" s="242"/>
      <c r="AD226" s="242"/>
      <c r="AE226" s="242"/>
      <c r="AF226" s="242">
        <f t="shared" si="6"/>
        <v>0</v>
      </c>
      <c r="AG226" s="242"/>
      <c r="AH226" s="242"/>
      <c r="AI226" s="214"/>
      <c r="AJ226" s="214"/>
      <c r="AK226" s="1131"/>
      <c r="AL226" s="1153"/>
      <c r="AM226" s="242"/>
      <c r="AN226" s="242"/>
      <c r="AO226" s="242"/>
      <c r="AP226" s="242">
        <f t="shared" si="7"/>
        <v>0</v>
      </c>
      <c r="AQ226" s="242"/>
      <c r="AR226" s="242"/>
      <c r="AS226" s="237"/>
      <c r="AT226" s="214"/>
      <c r="AU226" s="1138"/>
      <c r="AV226" s="1155"/>
      <c r="AW226" s="1140"/>
      <c r="AX226" s="1140"/>
      <c r="AY226" s="1140"/>
      <c r="AZ226" s="1140">
        <f t="shared" si="8"/>
        <v>0</v>
      </c>
      <c r="BA226" s="1140"/>
      <c r="BB226" s="1140"/>
      <c r="BC226" s="214"/>
      <c r="BD226" s="214"/>
      <c r="BE226" s="1131"/>
      <c r="BF226" s="1153"/>
      <c r="BG226" s="242"/>
      <c r="BH226" s="242"/>
      <c r="BI226" s="242"/>
      <c r="BJ226" s="242">
        <f t="shared" si="9"/>
        <v>0</v>
      </c>
      <c r="BK226" s="242"/>
      <c r="BL226" s="242"/>
      <c r="BM226" s="214"/>
      <c r="BN226" s="214"/>
      <c r="BO226" s="1131"/>
      <c r="BP226" s="1153"/>
      <c r="BQ226" s="242"/>
      <c r="BR226" s="242"/>
      <c r="BS226" s="242"/>
      <c r="BT226" s="242">
        <f t="shared" si="10"/>
        <v>0</v>
      </c>
      <c r="BU226" s="242"/>
      <c r="BV226" s="242"/>
      <c r="BW226" s="237"/>
      <c r="BX226" s="214"/>
      <c r="BY226" s="1131"/>
      <c r="BZ226" s="1153"/>
      <c r="CA226" s="242"/>
      <c r="CB226" s="242"/>
      <c r="CC226" s="242"/>
      <c r="CD226" s="242">
        <f t="shared" si="11"/>
        <v>0</v>
      </c>
      <c r="CE226" s="242"/>
      <c r="CF226" s="242"/>
      <c r="CG226" s="214"/>
      <c r="CH226" s="214"/>
      <c r="CI226" s="1131"/>
      <c r="CJ226" s="1153"/>
      <c r="CK226" s="242"/>
      <c r="CL226" s="242"/>
      <c r="CM226" s="242"/>
      <c r="CN226" s="242">
        <f t="shared" si="12"/>
        <v>0</v>
      </c>
      <c r="CO226" s="242"/>
      <c r="CP226" s="242"/>
      <c r="CQ226" s="214"/>
      <c r="CR226" s="214"/>
      <c r="CS226" s="1131"/>
      <c r="CT226" s="1153"/>
      <c r="CU226" s="242"/>
      <c r="CV226" s="242"/>
      <c r="CW226" s="242"/>
      <c r="CX226" s="242">
        <f t="shared" si="13"/>
        <v>0</v>
      </c>
      <c r="CY226" s="242"/>
      <c r="CZ226" s="242"/>
      <c r="DA226" s="237"/>
      <c r="DB226" s="214"/>
      <c r="DC226" s="1131"/>
      <c r="DD226" s="1153"/>
      <c r="DE226" s="242"/>
      <c r="DF226" s="242"/>
      <c r="DG226" s="242"/>
      <c r="DH226" s="242">
        <f t="shared" si="14"/>
        <v>0</v>
      </c>
      <c r="DI226" s="242"/>
      <c r="DJ226" s="242"/>
      <c r="DK226" s="214"/>
      <c r="DL226" s="214"/>
      <c r="DM226" s="1131"/>
      <c r="DN226" s="1153"/>
      <c r="DO226" s="242"/>
      <c r="DP226" s="242"/>
      <c r="DQ226" s="242"/>
      <c r="DR226" s="242">
        <f t="shared" si="15"/>
        <v>0</v>
      </c>
      <c r="DS226" s="242"/>
      <c r="DT226" s="242"/>
      <c r="DU226" s="214"/>
      <c r="DV226" s="214"/>
      <c r="DW226" s="1131"/>
      <c r="DX226" s="1153"/>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24"/>
      <c r="C227" s="1124"/>
      <c r="D227" s="1124"/>
      <c r="E227" s="1124"/>
      <c r="F227" s="1125">
        <f t="shared" si="2"/>
        <v>0</v>
      </c>
      <c r="G227" s="1126" t="str">
        <f t="shared" si="3"/>
        <v/>
      </c>
      <c r="H227" s="112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7">
        <f t="shared" si="238"/>
        <v>0</v>
      </c>
      <c r="J227" s="1128">
        <f t="shared" si="238"/>
        <v>0</v>
      </c>
      <c r="K227" s="214"/>
      <c r="L227" s="214"/>
      <c r="M227" s="214"/>
      <c r="N227" s="214"/>
      <c r="O227" s="1087"/>
      <c r="P227" s="214"/>
      <c r="Q227" s="1131"/>
      <c r="R227" s="1153"/>
      <c r="S227" s="242"/>
      <c r="T227" s="242"/>
      <c r="U227" s="242"/>
      <c r="V227" s="242">
        <f t="shared" si="5"/>
        <v>0</v>
      </c>
      <c r="W227" s="242"/>
      <c r="X227" s="242"/>
      <c r="Y227" s="214"/>
      <c r="Z227" s="214"/>
      <c r="AA227" s="1131"/>
      <c r="AB227" s="1153"/>
      <c r="AC227" s="242"/>
      <c r="AD227" s="242"/>
      <c r="AE227" s="242"/>
      <c r="AF227" s="242">
        <f t="shared" si="6"/>
        <v>0</v>
      </c>
      <c r="AG227" s="242"/>
      <c r="AH227" s="242"/>
      <c r="AI227" s="214"/>
      <c r="AJ227" s="214"/>
      <c r="AK227" s="1131"/>
      <c r="AL227" s="1153"/>
      <c r="AM227" s="242"/>
      <c r="AN227" s="242"/>
      <c r="AO227" s="242"/>
      <c r="AP227" s="242">
        <f t="shared" si="7"/>
        <v>0</v>
      </c>
      <c r="AQ227" s="242"/>
      <c r="AR227" s="242"/>
      <c r="AS227" s="237"/>
      <c r="AT227" s="214"/>
      <c r="AU227" s="1138"/>
      <c r="AV227" s="1155"/>
      <c r="AW227" s="1140"/>
      <c r="AX227" s="1140"/>
      <c r="AY227" s="1140"/>
      <c r="AZ227" s="1140">
        <f t="shared" si="8"/>
        <v>0</v>
      </c>
      <c r="BA227" s="1140"/>
      <c r="BB227" s="1140"/>
      <c r="BC227" s="214"/>
      <c r="BD227" s="214"/>
      <c r="BE227" s="1131"/>
      <c r="BF227" s="1153"/>
      <c r="BG227" s="242"/>
      <c r="BH227" s="242"/>
      <c r="BI227" s="242"/>
      <c r="BJ227" s="242">
        <f t="shared" si="9"/>
        <v>0</v>
      </c>
      <c r="BK227" s="242"/>
      <c r="BL227" s="242"/>
      <c r="BM227" s="214"/>
      <c r="BN227" s="214"/>
      <c r="BO227" s="1131"/>
      <c r="BP227" s="1153"/>
      <c r="BQ227" s="242"/>
      <c r="BR227" s="242"/>
      <c r="BS227" s="242"/>
      <c r="BT227" s="242">
        <f t="shared" si="10"/>
        <v>0</v>
      </c>
      <c r="BU227" s="242"/>
      <c r="BV227" s="242"/>
      <c r="BW227" s="237"/>
      <c r="BX227" s="214"/>
      <c r="BY227" s="1131"/>
      <c r="BZ227" s="1153"/>
      <c r="CA227" s="242"/>
      <c r="CB227" s="242"/>
      <c r="CC227" s="242"/>
      <c r="CD227" s="242">
        <f t="shared" si="11"/>
        <v>0</v>
      </c>
      <c r="CE227" s="242"/>
      <c r="CF227" s="242"/>
      <c r="CG227" s="214"/>
      <c r="CH227" s="214"/>
      <c r="CI227" s="1131"/>
      <c r="CJ227" s="1153"/>
      <c r="CK227" s="242"/>
      <c r="CL227" s="242"/>
      <c r="CM227" s="242"/>
      <c r="CN227" s="242">
        <f t="shared" si="12"/>
        <v>0</v>
      </c>
      <c r="CO227" s="242"/>
      <c r="CP227" s="242"/>
      <c r="CQ227" s="214"/>
      <c r="CR227" s="214"/>
      <c r="CS227" s="1131"/>
      <c r="CT227" s="1153"/>
      <c r="CU227" s="242"/>
      <c r="CV227" s="242"/>
      <c r="CW227" s="242"/>
      <c r="CX227" s="242">
        <f t="shared" si="13"/>
        <v>0</v>
      </c>
      <c r="CY227" s="242"/>
      <c r="CZ227" s="242"/>
      <c r="DA227" s="237"/>
      <c r="DB227" s="214"/>
      <c r="DC227" s="1131"/>
      <c r="DD227" s="1153"/>
      <c r="DE227" s="242"/>
      <c r="DF227" s="242"/>
      <c r="DG227" s="242"/>
      <c r="DH227" s="242">
        <f t="shared" si="14"/>
        <v>0</v>
      </c>
      <c r="DI227" s="242"/>
      <c r="DJ227" s="242"/>
      <c r="DK227" s="214"/>
      <c r="DL227" s="214"/>
      <c r="DM227" s="1131"/>
      <c r="DN227" s="1153"/>
      <c r="DO227" s="242"/>
      <c r="DP227" s="242"/>
      <c r="DQ227" s="242"/>
      <c r="DR227" s="242">
        <f t="shared" si="15"/>
        <v>0</v>
      </c>
      <c r="DS227" s="242"/>
      <c r="DT227" s="242"/>
      <c r="DU227" s="214"/>
      <c r="DV227" s="214"/>
      <c r="DW227" s="1131"/>
      <c r="DX227" s="1153"/>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24"/>
      <c r="C228" s="1124"/>
      <c r="D228" s="1124"/>
      <c r="E228" s="1124"/>
      <c r="F228" s="1125">
        <f t="shared" si="2"/>
        <v>0</v>
      </c>
      <c r="G228" s="1126" t="str">
        <f t="shared" si="3"/>
        <v/>
      </c>
      <c r="H228" s="112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7">
        <f t="shared" si="239"/>
        <v>0</v>
      </c>
      <c r="J228" s="1128">
        <f t="shared" si="239"/>
        <v>0</v>
      </c>
      <c r="K228" s="214"/>
      <c r="L228" s="214"/>
      <c r="M228" s="214"/>
      <c r="N228" s="214"/>
      <c r="O228" s="1087"/>
      <c r="P228" s="214"/>
      <c r="Q228" s="1131"/>
      <c r="R228" s="1153"/>
      <c r="S228" s="242"/>
      <c r="T228" s="242"/>
      <c r="U228" s="242"/>
      <c r="V228" s="242">
        <f t="shared" si="5"/>
        <v>0</v>
      </c>
      <c r="W228" s="242"/>
      <c r="X228" s="242"/>
      <c r="Y228" s="214"/>
      <c r="Z228" s="214"/>
      <c r="AA228" s="1131"/>
      <c r="AB228" s="1153"/>
      <c r="AC228" s="242"/>
      <c r="AD228" s="242"/>
      <c r="AE228" s="242"/>
      <c r="AF228" s="242">
        <f t="shared" si="6"/>
        <v>0</v>
      </c>
      <c r="AG228" s="242"/>
      <c r="AH228" s="242"/>
      <c r="AI228" s="214"/>
      <c r="AJ228" s="214"/>
      <c r="AK228" s="1131"/>
      <c r="AL228" s="1153"/>
      <c r="AM228" s="242"/>
      <c r="AN228" s="242"/>
      <c r="AO228" s="242"/>
      <c r="AP228" s="242">
        <f t="shared" si="7"/>
        <v>0</v>
      </c>
      <c r="AQ228" s="242"/>
      <c r="AR228" s="242"/>
      <c r="AS228" s="237"/>
      <c r="AT228" s="214"/>
      <c r="AU228" s="1138"/>
      <c r="AV228" s="1155"/>
      <c r="AW228" s="1140"/>
      <c r="AX228" s="1140"/>
      <c r="AY228" s="1140"/>
      <c r="AZ228" s="1140">
        <f t="shared" si="8"/>
        <v>0</v>
      </c>
      <c r="BA228" s="1140"/>
      <c r="BB228" s="1140"/>
      <c r="BC228" s="214"/>
      <c r="BD228" s="214"/>
      <c r="BE228" s="1131"/>
      <c r="BF228" s="1153"/>
      <c r="BG228" s="242"/>
      <c r="BH228" s="242"/>
      <c r="BI228" s="242"/>
      <c r="BJ228" s="242">
        <f t="shared" si="9"/>
        <v>0</v>
      </c>
      <c r="BK228" s="242"/>
      <c r="BL228" s="242"/>
      <c r="BM228" s="214"/>
      <c r="BN228" s="214"/>
      <c r="BO228" s="1131"/>
      <c r="BP228" s="1153"/>
      <c r="BQ228" s="242"/>
      <c r="BR228" s="242"/>
      <c r="BS228" s="242"/>
      <c r="BT228" s="242">
        <f t="shared" si="10"/>
        <v>0</v>
      </c>
      <c r="BU228" s="242"/>
      <c r="BV228" s="242"/>
      <c r="BW228" s="237"/>
      <c r="BX228" s="214"/>
      <c r="BY228" s="1131"/>
      <c r="BZ228" s="1153"/>
      <c r="CA228" s="242"/>
      <c r="CB228" s="242"/>
      <c r="CC228" s="242"/>
      <c r="CD228" s="242">
        <f t="shared" si="11"/>
        <v>0</v>
      </c>
      <c r="CE228" s="242"/>
      <c r="CF228" s="242"/>
      <c r="CG228" s="214"/>
      <c r="CH228" s="214"/>
      <c r="CI228" s="1131"/>
      <c r="CJ228" s="1153"/>
      <c r="CK228" s="242"/>
      <c r="CL228" s="242"/>
      <c r="CM228" s="242"/>
      <c r="CN228" s="242">
        <f t="shared" si="12"/>
        <v>0</v>
      </c>
      <c r="CO228" s="242"/>
      <c r="CP228" s="242"/>
      <c r="CQ228" s="214"/>
      <c r="CR228" s="214"/>
      <c r="CS228" s="1131"/>
      <c r="CT228" s="1153"/>
      <c r="CU228" s="242"/>
      <c r="CV228" s="242"/>
      <c r="CW228" s="242"/>
      <c r="CX228" s="242">
        <f t="shared" si="13"/>
        <v>0</v>
      </c>
      <c r="CY228" s="242"/>
      <c r="CZ228" s="242"/>
      <c r="DA228" s="237"/>
      <c r="DB228" s="214"/>
      <c r="DC228" s="1131"/>
      <c r="DD228" s="1153"/>
      <c r="DE228" s="242"/>
      <c r="DF228" s="242"/>
      <c r="DG228" s="242"/>
      <c r="DH228" s="242">
        <f t="shared" si="14"/>
        <v>0</v>
      </c>
      <c r="DI228" s="242"/>
      <c r="DJ228" s="242"/>
      <c r="DK228" s="214"/>
      <c r="DL228" s="214"/>
      <c r="DM228" s="1131"/>
      <c r="DN228" s="1153"/>
      <c r="DO228" s="242"/>
      <c r="DP228" s="242"/>
      <c r="DQ228" s="242"/>
      <c r="DR228" s="242">
        <f t="shared" si="15"/>
        <v>0</v>
      </c>
      <c r="DS228" s="242"/>
      <c r="DT228" s="242"/>
      <c r="DU228" s="214"/>
      <c r="DV228" s="214"/>
      <c r="DW228" s="1131"/>
      <c r="DX228" s="1153"/>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24"/>
      <c r="C229" s="1124"/>
      <c r="D229" s="1124"/>
      <c r="E229" s="1124"/>
      <c r="F229" s="1125">
        <f t="shared" si="2"/>
        <v>0</v>
      </c>
      <c r="G229" s="1126" t="str">
        <f t="shared" si="3"/>
        <v/>
      </c>
      <c r="H229" s="112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7">
        <f t="shared" si="240"/>
        <v>0</v>
      </c>
      <c r="J229" s="1128">
        <f t="shared" si="240"/>
        <v>0</v>
      </c>
      <c r="K229" s="214"/>
      <c r="L229" s="214"/>
      <c r="M229" s="214"/>
      <c r="N229" s="214"/>
      <c r="O229" s="1087"/>
      <c r="P229" s="214"/>
      <c r="Q229" s="1131"/>
      <c r="R229" s="1153"/>
      <c r="S229" s="242"/>
      <c r="T229" s="242"/>
      <c r="U229" s="242"/>
      <c r="V229" s="242">
        <f t="shared" si="5"/>
        <v>0</v>
      </c>
      <c r="W229" s="242"/>
      <c r="X229" s="242"/>
      <c r="Y229" s="214"/>
      <c r="Z229" s="214"/>
      <c r="AA229" s="1131"/>
      <c r="AB229" s="1153"/>
      <c r="AC229" s="242"/>
      <c r="AD229" s="242"/>
      <c r="AE229" s="242"/>
      <c r="AF229" s="242">
        <f t="shared" si="6"/>
        <v>0</v>
      </c>
      <c r="AG229" s="242"/>
      <c r="AH229" s="242"/>
      <c r="AI229" s="214"/>
      <c r="AJ229" s="214"/>
      <c r="AK229" s="1131"/>
      <c r="AL229" s="1153"/>
      <c r="AM229" s="242"/>
      <c r="AN229" s="242"/>
      <c r="AO229" s="242"/>
      <c r="AP229" s="242">
        <f t="shared" si="7"/>
        <v>0</v>
      </c>
      <c r="AQ229" s="242"/>
      <c r="AR229" s="242"/>
      <c r="AS229" s="237"/>
      <c r="AT229" s="214"/>
      <c r="AU229" s="1138"/>
      <c r="AV229" s="1155"/>
      <c r="AW229" s="1140"/>
      <c r="AX229" s="1140"/>
      <c r="AY229" s="1140"/>
      <c r="AZ229" s="1140">
        <f t="shared" si="8"/>
        <v>0</v>
      </c>
      <c r="BA229" s="1140"/>
      <c r="BB229" s="1140"/>
      <c r="BC229" s="214"/>
      <c r="BD229" s="214"/>
      <c r="BE229" s="1131"/>
      <c r="BF229" s="1153"/>
      <c r="BG229" s="242"/>
      <c r="BH229" s="242"/>
      <c r="BI229" s="242"/>
      <c r="BJ229" s="242">
        <f t="shared" si="9"/>
        <v>0</v>
      </c>
      <c r="BK229" s="242"/>
      <c r="BL229" s="242"/>
      <c r="BM229" s="214"/>
      <c r="BN229" s="214"/>
      <c r="BO229" s="1131"/>
      <c r="BP229" s="1153"/>
      <c r="BQ229" s="242"/>
      <c r="BR229" s="242"/>
      <c r="BS229" s="242"/>
      <c r="BT229" s="242">
        <f t="shared" si="10"/>
        <v>0</v>
      </c>
      <c r="BU229" s="242"/>
      <c r="BV229" s="242"/>
      <c r="BW229" s="237"/>
      <c r="BX229" s="214"/>
      <c r="BY229" s="1131"/>
      <c r="BZ229" s="1153"/>
      <c r="CA229" s="242"/>
      <c r="CB229" s="242"/>
      <c r="CC229" s="242"/>
      <c r="CD229" s="242">
        <f t="shared" si="11"/>
        <v>0</v>
      </c>
      <c r="CE229" s="242"/>
      <c r="CF229" s="242"/>
      <c r="CG229" s="214"/>
      <c r="CH229" s="214"/>
      <c r="CI229" s="1131"/>
      <c r="CJ229" s="1153"/>
      <c r="CK229" s="242"/>
      <c r="CL229" s="242"/>
      <c r="CM229" s="242"/>
      <c r="CN229" s="242">
        <f t="shared" si="12"/>
        <v>0</v>
      </c>
      <c r="CO229" s="242"/>
      <c r="CP229" s="242"/>
      <c r="CQ229" s="214"/>
      <c r="CR229" s="214"/>
      <c r="CS229" s="1131"/>
      <c r="CT229" s="1153"/>
      <c r="CU229" s="242"/>
      <c r="CV229" s="242"/>
      <c r="CW229" s="242"/>
      <c r="CX229" s="242">
        <f t="shared" si="13"/>
        <v>0</v>
      </c>
      <c r="CY229" s="242"/>
      <c r="CZ229" s="242"/>
      <c r="DA229" s="237"/>
      <c r="DB229" s="214"/>
      <c r="DC229" s="1131"/>
      <c r="DD229" s="1153"/>
      <c r="DE229" s="242"/>
      <c r="DF229" s="242"/>
      <c r="DG229" s="242"/>
      <c r="DH229" s="242">
        <f t="shared" si="14"/>
        <v>0</v>
      </c>
      <c r="DI229" s="242"/>
      <c r="DJ229" s="242"/>
      <c r="DK229" s="214"/>
      <c r="DL229" s="214"/>
      <c r="DM229" s="1131"/>
      <c r="DN229" s="1153"/>
      <c r="DO229" s="242"/>
      <c r="DP229" s="242"/>
      <c r="DQ229" s="242"/>
      <c r="DR229" s="242">
        <f t="shared" si="15"/>
        <v>0</v>
      </c>
      <c r="DS229" s="242"/>
      <c r="DT229" s="242"/>
      <c r="DU229" s="214"/>
      <c r="DV229" s="214"/>
      <c r="DW229" s="1131"/>
      <c r="DX229" s="1153"/>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24"/>
      <c r="C230" s="1124"/>
      <c r="D230" s="1124"/>
      <c r="E230" s="1124"/>
      <c r="F230" s="1125">
        <f t="shared" si="2"/>
        <v>0</v>
      </c>
      <c r="G230" s="1126" t="str">
        <f t="shared" si="3"/>
        <v/>
      </c>
      <c r="H230" s="112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7">
        <f t="shared" si="241"/>
        <v>0</v>
      </c>
      <c r="J230" s="1128">
        <f t="shared" si="241"/>
        <v>0</v>
      </c>
      <c r="K230" s="214"/>
      <c r="L230" s="214"/>
      <c r="M230" s="214"/>
      <c r="N230" s="214"/>
      <c r="O230" s="1087"/>
      <c r="P230" s="214"/>
      <c r="Q230" s="1131"/>
      <c r="R230" s="1153"/>
      <c r="S230" s="242"/>
      <c r="T230" s="242"/>
      <c r="U230" s="242"/>
      <c r="V230" s="242">
        <f t="shared" si="5"/>
        <v>0</v>
      </c>
      <c r="W230" s="242"/>
      <c r="X230" s="242"/>
      <c r="Y230" s="214"/>
      <c r="Z230" s="214"/>
      <c r="AA230" s="1131"/>
      <c r="AB230" s="1153"/>
      <c r="AC230" s="242"/>
      <c r="AD230" s="242"/>
      <c r="AE230" s="242"/>
      <c r="AF230" s="242">
        <f t="shared" si="6"/>
        <v>0</v>
      </c>
      <c r="AG230" s="242"/>
      <c r="AH230" s="242"/>
      <c r="AI230" s="214"/>
      <c r="AJ230" s="214"/>
      <c r="AK230" s="1131"/>
      <c r="AL230" s="1153"/>
      <c r="AM230" s="242"/>
      <c r="AN230" s="242"/>
      <c r="AO230" s="242"/>
      <c r="AP230" s="242">
        <f t="shared" si="7"/>
        <v>0</v>
      </c>
      <c r="AQ230" s="242"/>
      <c r="AR230" s="242"/>
      <c r="AS230" s="237"/>
      <c r="AT230" s="214"/>
      <c r="AU230" s="1138"/>
      <c r="AV230" s="1155"/>
      <c r="AW230" s="1140"/>
      <c r="AX230" s="1140"/>
      <c r="AY230" s="1140"/>
      <c r="AZ230" s="1140">
        <f t="shared" si="8"/>
        <v>0</v>
      </c>
      <c r="BA230" s="1140"/>
      <c r="BB230" s="1140"/>
      <c r="BC230" s="214"/>
      <c r="BD230" s="214"/>
      <c r="BE230" s="1131"/>
      <c r="BF230" s="1153"/>
      <c r="BG230" s="242"/>
      <c r="BH230" s="242"/>
      <c r="BI230" s="242"/>
      <c r="BJ230" s="242">
        <f t="shared" si="9"/>
        <v>0</v>
      </c>
      <c r="BK230" s="242"/>
      <c r="BL230" s="242"/>
      <c r="BM230" s="214"/>
      <c r="BN230" s="214"/>
      <c r="BO230" s="1131"/>
      <c r="BP230" s="1153"/>
      <c r="BQ230" s="242"/>
      <c r="BR230" s="242"/>
      <c r="BS230" s="242"/>
      <c r="BT230" s="242">
        <f t="shared" si="10"/>
        <v>0</v>
      </c>
      <c r="BU230" s="242"/>
      <c r="BV230" s="242"/>
      <c r="BW230" s="237"/>
      <c r="BX230" s="214"/>
      <c r="BY230" s="1131"/>
      <c r="BZ230" s="1153"/>
      <c r="CA230" s="242"/>
      <c r="CB230" s="242"/>
      <c r="CC230" s="242"/>
      <c r="CD230" s="242">
        <f t="shared" si="11"/>
        <v>0</v>
      </c>
      <c r="CE230" s="242"/>
      <c r="CF230" s="242"/>
      <c r="CG230" s="214"/>
      <c r="CH230" s="214"/>
      <c r="CI230" s="1131"/>
      <c r="CJ230" s="1153"/>
      <c r="CK230" s="242"/>
      <c r="CL230" s="242"/>
      <c r="CM230" s="242"/>
      <c r="CN230" s="242">
        <f t="shared" si="12"/>
        <v>0</v>
      </c>
      <c r="CO230" s="242"/>
      <c r="CP230" s="242"/>
      <c r="CQ230" s="214"/>
      <c r="CR230" s="214"/>
      <c r="CS230" s="1131"/>
      <c r="CT230" s="1153"/>
      <c r="CU230" s="242"/>
      <c r="CV230" s="242"/>
      <c r="CW230" s="242"/>
      <c r="CX230" s="242">
        <f t="shared" si="13"/>
        <v>0</v>
      </c>
      <c r="CY230" s="242"/>
      <c r="CZ230" s="242"/>
      <c r="DA230" s="237"/>
      <c r="DB230" s="214"/>
      <c r="DC230" s="1131"/>
      <c r="DD230" s="1153"/>
      <c r="DE230" s="242"/>
      <c r="DF230" s="242"/>
      <c r="DG230" s="242"/>
      <c r="DH230" s="242">
        <f t="shared" si="14"/>
        <v>0</v>
      </c>
      <c r="DI230" s="242"/>
      <c r="DJ230" s="242"/>
      <c r="DK230" s="214"/>
      <c r="DL230" s="214"/>
      <c r="DM230" s="1131"/>
      <c r="DN230" s="1153"/>
      <c r="DO230" s="242"/>
      <c r="DP230" s="242"/>
      <c r="DQ230" s="242"/>
      <c r="DR230" s="242">
        <f t="shared" si="15"/>
        <v>0</v>
      </c>
      <c r="DS230" s="242"/>
      <c r="DT230" s="242"/>
      <c r="DU230" s="214"/>
      <c r="DV230" s="214"/>
      <c r="DW230" s="1131"/>
      <c r="DX230" s="1153"/>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24"/>
      <c r="C231" s="1124"/>
      <c r="D231" s="1124"/>
      <c r="E231" s="1124"/>
      <c r="F231" s="1125">
        <f t="shared" si="2"/>
        <v>0</v>
      </c>
      <c r="G231" s="1126" t="str">
        <f t="shared" si="3"/>
        <v/>
      </c>
      <c r="H231" s="112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7">
        <f t="shared" si="242"/>
        <v>0</v>
      </c>
      <c r="J231" s="1128">
        <f t="shared" si="242"/>
        <v>0</v>
      </c>
      <c r="K231" s="214"/>
      <c r="L231" s="214"/>
      <c r="M231" s="214"/>
      <c r="N231" s="214"/>
      <c r="O231" s="1087"/>
      <c r="P231" s="214"/>
      <c r="Q231" s="1131"/>
      <c r="R231" s="1153"/>
      <c r="S231" s="242"/>
      <c r="T231" s="242"/>
      <c r="U231" s="242"/>
      <c r="V231" s="242">
        <f t="shared" si="5"/>
        <v>0</v>
      </c>
      <c r="W231" s="242"/>
      <c r="X231" s="242"/>
      <c r="Y231" s="214"/>
      <c r="Z231" s="214"/>
      <c r="AA231" s="1131"/>
      <c r="AB231" s="1153"/>
      <c r="AC231" s="242"/>
      <c r="AD231" s="242"/>
      <c r="AE231" s="242"/>
      <c r="AF231" s="242">
        <f t="shared" si="6"/>
        <v>0</v>
      </c>
      <c r="AG231" s="242"/>
      <c r="AH231" s="242"/>
      <c r="AI231" s="214"/>
      <c r="AJ231" s="214"/>
      <c r="AK231" s="1131"/>
      <c r="AL231" s="1153"/>
      <c r="AM231" s="242"/>
      <c r="AN231" s="242"/>
      <c r="AO231" s="242"/>
      <c r="AP231" s="242">
        <f t="shared" si="7"/>
        <v>0</v>
      </c>
      <c r="AQ231" s="242"/>
      <c r="AR231" s="242"/>
      <c r="AS231" s="237"/>
      <c r="AT231" s="214"/>
      <c r="AU231" s="1138"/>
      <c r="AV231" s="1155"/>
      <c r="AW231" s="1140"/>
      <c r="AX231" s="1140"/>
      <c r="AY231" s="1140"/>
      <c r="AZ231" s="1140">
        <f t="shared" si="8"/>
        <v>0</v>
      </c>
      <c r="BA231" s="1140"/>
      <c r="BB231" s="1140"/>
      <c r="BC231" s="214"/>
      <c r="BD231" s="214"/>
      <c r="BE231" s="1131"/>
      <c r="BF231" s="1153"/>
      <c r="BG231" s="242"/>
      <c r="BH231" s="242"/>
      <c r="BI231" s="242"/>
      <c r="BJ231" s="242">
        <f t="shared" si="9"/>
        <v>0</v>
      </c>
      <c r="BK231" s="242"/>
      <c r="BL231" s="242"/>
      <c r="BM231" s="214"/>
      <c r="BN231" s="214"/>
      <c r="BO231" s="1131"/>
      <c r="BP231" s="1153"/>
      <c r="BQ231" s="242"/>
      <c r="BR231" s="242"/>
      <c r="BS231" s="242"/>
      <c r="BT231" s="242">
        <f t="shared" si="10"/>
        <v>0</v>
      </c>
      <c r="BU231" s="242"/>
      <c r="BV231" s="242"/>
      <c r="BW231" s="237"/>
      <c r="BX231" s="214"/>
      <c r="BY231" s="1131"/>
      <c r="BZ231" s="1153"/>
      <c r="CA231" s="242"/>
      <c r="CB231" s="242"/>
      <c r="CC231" s="242"/>
      <c r="CD231" s="242">
        <f t="shared" si="11"/>
        <v>0</v>
      </c>
      <c r="CE231" s="242"/>
      <c r="CF231" s="242"/>
      <c r="CG231" s="214"/>
      <c r="CH231" s="214"/>
      <c r="CI231" s="1131"/>
      <c r="CJ231" s="1153"/>
      <c r="CK231" s="242"/>
      <c r="CL231" s="242"/>
      <c r="CM231" s="242"/>
      <c r="CN231" s="242">
        <f t="shared" si="12"/>
        <v>0</v>
      </c>
      <c r="CO231" s="242"/>
      <c r="CP231" s="242"/>
      <c r="CQ231" s="214"/>
      <c r="CR231" s="214"/>
      <c r="CS231" s="1131"/>
      <c r="CT231" s="1153"/>
      <c r="CU231" s="242"/>
      <c r="CV231" s="242"/>
      <c r="CW231" s="242"/>
      <c r="CX231" s="242">
        <f t="shared" si="13"/>
        <v>0</v>
      </c>
      <c r="CY231" s="242"/>
      <c r="CZ231" s="242"/>
      <c r="DA231" s="237"/>
      <c r="DB231" s="214"/>
      <c r="DC231" s="1131"/>
      <c r="DD231" s="1153"/>
      <c r="DE231" s="242"/>
      <c r="DF231" s="242"/>
      <c r="DG231" s="242"/>
      <c r="DH231" s="242">
        <f t="shared" si="14"/>
        <v>0</v>
      </c>
      <c r="DI231" s="242"/>
      <c r="DJ231" s="242"/>
      <c r="DK231" s="214"/>
      <c r="DL231" s="214"/>
      <c r="DM231" s="1131"/>
      <c r="DN231" s="1153"/>
      <c r="DO231" s="242"/>
      <c r="DP231" s="242"/>
      <c r="DQ231" s="242"/>
      <c r="DR231" s="242">
        <f t="shared" si="15"/>
        <v>0</v>
      </c>
      <c r="DS231" s="242"/>
      <c r="DT231" s="242"/>
      <c r="DU231" s="214"/>
      <c r="DV231" s="214"/>
      <c r="DW231" s="1131"/>
      <c r="DX231" s="1153"/>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24"/>
      <c r="C232" s="1124"/>
      <c r="D232" s="1124"/>
      <c r="E232" s="1124"/>
      <c r="F232" s="1125">
        <f t="shared" si="2"/>
        <v>0</v>
      </c>
      <c r="G232" s="1126" t="str">
        <f t="shared" si="3"/>
        <v/>
      </c>
      <c r="H232" s="112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7">
        <f t="shared" si="243"/>
        <v>0</v>
      </c>
      <c r="J232" s="1128">
        <f t="shared" si="243"/>
        <v>0</v>
      </c>
      <c r="K232" s="214"/>
      <c r="L232" s="214"/>
      <c r="M232" s="214"/>
      <c r="N232" s="214"/>
      <c r="O232" s="1087"/>
      <c r="P232" s="214"/>
      <c r="Q232" s="1131"/>
      <c r="R232" s="1153"/>
      <c r="S232" s="242"/>
      <c r="T232" s="242"/>
      <c r="U232" s="242"/>
      <c r="V232" s="242">
        <f t="shared" si="5"/>
        <v>0</v>
      </c>
      <c r="W232" s="242"/>
      <c r="X232" s="242"/>
      <c r="Y232" s="214"/>
      <c r="Z232" s="214"/>
      <c r="AA232" s="1131"/>
      <c r="AB232" s="1153"/>
      <c r="AC232" s="242"/>
      <c r="AD232" s="242"/>
      <c r="AE232" s="242"/>
      <c r="AF232" s="242">
        <f t="shared" si="6"/>
        <v>0</v>
      </c>
      <c r="AG232" s="242"/>
      <c r="AH232" s="242"/>
      <c r="AI232" s="214"/>
      <c r="AJ232" s="214"/>
      <c r="AK232" s="1131"/>
      <c r="AL232" s="1153"/>
      <c r="AM232" s="242"/>
      <c r="AN232" s="242"/>
      <c r="AO232" s="242"/>
      <c r="AP232" s="242">
        <f t="shared" si="7"/>
        <v>0</v>
      </c>
      <c r="AQ232" s="242"/>
      <c r="AR232" s="242"/>
      <c r="AS232" s="237"/>
      <c r="AT232" s="214"/>
      <c r="AU232" s="1138"/>
      <c r="AV232" s="1155"/>
      <c r="AW232" s="1140"/>
      <c r="AX232" s="1140"/>
      <c r="AY232" s="1140"/>
      <c r="AZ232" s="1140">
        <f t="shared" si="8"/>
        <v>0</v>
      </c>
      <c r="BA232" s="1140"/>
      <c r="BB232" s="1140"/>
      <c r="BC232" s="214"/>
      <c r="BD232" s="214"/>
      <c r="BE232" s="1131"/>
      <c r="BF232" s="1153"/>
      <c r="BG232" s="242"/>
      <c r="BH232" s="242"/>
      <c r="BI232" s="242"/>
      <c r="BJ232" s="242">
        <f t="shared" si="9"/>
        <v>0</v>
      </c>
      <c r="BK232" s="242"/>
      <c r="BL232" s="242"/>
      <c r="BM232" s="214"/>
      <c r="BN232" s="214"/>
      <c r="BO232" s="1131"/>
      <c r="BP232" s="1153"/>
      <c r="BQ232" s="242"/>
      <c r="BR232" s="242"/>
      <c r="BS232" s="242"/>
      <c r="BT232" s="242">
        <f t="shared" si="10"/>
        <v>0</v>
      </c>
      <c r="BU232" s="242"/>
      <c r="BV232" s="242"/>
      <c r="BW232" s="237"/>
      <c r="BX232" s="214"/>
      <c r="BY232" s="1131"/>
      <c r="BZ232" s="1153"/>
      <c r="CA232" s="242"/>
      <c r="CB232" s="242"/>
      <c r="CC232" s="242"/>
      <c r="CD232" s="242">
        <f t="shared" si="11"/>
        <v>0</v>
      </c>
      <c r="CE232" s="242"/>
      <c r="CF232" s="242"/>
      <c r="CG232" s="214"/>
      <c r="CH232" s="214"/>
      <c r="CI232" s="1131"/>
      <c r="CJ232" s="1153"/>
      <c r="CK232" s="242"/>
      <c r="CL232" s="242"/>
      <c r="CM232" s="242"/>
      <c r="CN232" s="242">
        <f t="shared" si="12"/>
        <v>0</v>
      </c>
      <c r="CO232" s="242"/>
      <c r="CP232" s="242"/>
      <c r="CQ232" s="214"/>
      <c r="CR232" s="214"/>
      <c r="CS232" s="1131"/>
      <c r="CT232" s="1153"/>
      <c r="CU232" s="242"/>
      <c r="CV232" s="242"/>
      <c r="CW232" s="242"/>
      <c r="CX232" s="242">
        <f t="shared" si="13"/>
        <v>0</v>
      </c>
      <c r="CY232" s="242"/>
      <c r="CZ232" s="242"/>
      <c r="DA232" s="237"/>
      <c r="DB232" s="214"/>
      <c r="DC232" s="1131"/>
      <c r="DD232" s="1153"/>
      <c r="DE232" s="242"/>
      <c r="DF232" s="242"/>
      <c r="DG232" s="242"/>
      <c r="DH232" s="242">
        <f t="shared" si="14"/>
        <v>0</v>
      </c>
      <c r="DI232" s="242"/>
      <c r="DJ232" s="242"/>
      <c r="DK232" s="214"/>
      <c r="DL232" s="214"/>
      <c r="DM232" s="1131"/>
      <c r="DN232" s="1153"/>
      <c r="DO232" s="242"/>
      <c r="DP232" s="242"/>
      <c r="DQ232" s="242"/>
      <c r="DR232" s="242">
        <f t="shared" si="15"/>
        <v>0</v>
      </c>
      <c r="DS232" s="242"/>
      <c r="DT232" s="242"/>
      <c r="DU232" s="214"/>
      <c r="DV232" s="214"/>
      <c r="DW232" s="1131"/>
      <c r="DX232" s="1153"/>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24"/>
      <c r="C233" s="1124"/>
      <c r="D233" s="1124"/>
      <c r="E233" s="1124"/>
      <c r="F233" s="1125">
        <f t="shared" si="2"/>
        <v>0</v>
      </c>
      <c r="G233" s="1126" t="str">
        <f t="shared" si="3"/>
        <v/>
      </c>
      <c r="H233" s="112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7">
        <f t="shared" si="244"/>
        <v>0</v>
      </c>
      <c r="J233" s="1128">
        <f t="shared" si="244"/>
        <v>0</v>
      </c>
      <c r="K233" s="214"/>
      <c r="L233" s="214"/>
      <c r="M233" s="214"/>
      <c r="N233" s="214"/>
      <c r="O233" s="1087"/>
      <c r="P233" s="214"/>
      <c r="Q233" s="1131"/>
      <c r="R233" s="1153"/>
      <c r="S233" s="242"/>
      <c r="T233" s="242"/>
      <c r="U233" s="242"/>
      <c r="V233" s="242">
        <f t="shared" si="5"/>
        <v>0</v>
      </c>
      <c r="W233" s="242"/>
      <c r="X233" s="242"/>
      <c r="Y233" s="214"/>
      <c r="Z233" s="214"/>
      <c r="AA233" s="1131"/>
      <c r="AB233" s="1153"/>
      <c r="AC233" s="242"/>
      <c r="AD233" s="242"/>
      <c r="AE233" s="242"/>
      <c r="AF233" s="242">
        <f t="shared" si="6"/>
        <v>0</v>
      </c>
      <c r="AG233" s="242"/>
      <c r="AH233" s="242"/>
      <c r="AI233" s="214"/>
      <c r="AJ233" s="214"/>
      <c r="AK233" s="1131"/>
      <c r="AL233" s="1153"/>
      <c r="AM233" s="242"/>
      <c r="AN233" s="242"/>
      <c r="AO233" s="242"/>
      <c r="AP233" s="242">
        <f t="shared" si="7"/>
        <v>0</v>
      </c>
      <c r="AQ233" s="242"/>
      <c r="AR233" s="242"/>
      <c r="AS233" s="237"/>
      <c r="AT233" s="214"/>
      <c r="AU233" s="1138"/>
      <c r="AV233" s="1155"/>
      <c r="AW233" s="1140"/>
      <c r="AX233" s="1140"/>
      <c r="AY233" s="1140"/>
      <c r="AZ233" s="1140">
        <f t="shared" si="8"/>
        <v>0</v>
      </c>
      <c r="BA233" s="1140"/>
      <c r="BB233" s="1140"/>
      <c r="BC233" s="214"/>
      <c r="BD233" s="214"/>
      <c r="BE233" s="1131"/>
      <c r="BF233" s="1153"/>
      <c r="BG233" s="242"/>
      <c r="BH233" s="242"/>
      <c r="BI233" s="242"/>
      <c r="BJ233" s="242">
        <f t="shared" si="9"/>
        <v>0</v>
      </c>
      <c r="BK233" s="242"/>
      <c r="BL233" s="242"/>
      <c r="BM233" s="214"/>
      <c r="BN233" s="214"/>
      <c r="BO233" s="1131"/>
      <c r="BP233" s="1153"/>
      <c r="BQ233" s="242"/>
      <c r="BR233" s="242"/>
      <c r="BS233" s="242"/>
      <c r="BT233" s="242">
        <f t="shared" si="10"/>
        <v>0</v>
      </c>
      <c r="BU233" s="242"/>
      <c r="BV233" s="242"/>
      <c r="BW233" s="237"/>
      <c r="BX233" s="214"/>
      <c r="BY233" s="1131"/>
      <c r="BZ233" s="1153"/>
      <c r="CA233" s="242"/>
      <c r="CB233" s="242"/>
      <c r="CC233" s="242"/>
      <c r="CD233" s="242">
        <f t="shared" si="11"/>
        <v>0</v>
      </c>
      <c r="CE233" s="242"/>
      <c r="CF233" s="242"/>
      <c r="CG233" s="214"/>
      <c r="CH233" s="214"/>
      <c r="CI233" s="1131"/>
      <c r="CJ233" s="1153"/>
      <c r="CK233" s="242"/>
      <c r="CL233" s="242"/>
      <c r="CM233" s="242"/>
      <c r="CN233" s="242">
        <f t="shared" si="12"/>
        <v>0</v>
      </c>
      <c r="CO233" s="242"/>
      <c r="CP233" s="242"/>
      <c r="CQ233" s="214"/>
      <c r="CR233" s="214"/>
      <c r="CS233" s="1131"/>
      <c r="CT233" s="1153"/>
      <c r="CU233" s="242"/>
      <c r="CV233" s="242"/>
      <c r="CW233" s="242"/>
      <c r="CX233" s="242">
        <f t="shared" si="13"/>
        <v>0</v>
      </c>
      <c r="CY233" s="242"/>
      <c r="CZ233" s="242"/>
      <c r="DA233" s="237"/>
      <c r="DB233" s="214"/>
      <c r="DC233" s="1131"/>
      <c r="DD233" s="1153"/>
      <c r="DE233" s="242"/>
      <c r="DF233" s="242"/>
      <c r="DG233" s="242"/>
      <c r="DH233" s="242">
        <f t="shared" si="14"/>
        <v>0</v>
      </c>
      <c r="DI233" s="242"/>
      <c r="DJ233" s="242"/>
      <c r="DK233" s="214"/>
      <c r="DL233" s="214"/>
      <c r="DM233" s="1131"/>
      <c r="DN233" s="1153"/>
      <c r="DO233" s="242"/>
      <c r="DP233" s="242"/>
      <c r="DQ233" s="242"/>
      <c r="DR233" s="242">
        <f t="shared" si="15"/>
        <v>0</v>
      </c>
      <c r="DS233" s="242"/>
      <c r="DT233" s="242"/>
      <c r="DU233" s="214"/>
      <c r="DV233" s="214"/>
      <c r="DW233" s="1131"/>
      <c r="DX233" s="1153"/>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24"/>
      <c r="C234" s="1124"/>
      <c r="D234" s="1124"/>
      <c r="E234" s="1124"/>
      <c r="F234" s="1125">
        <f t="shared" si="2"/>
        <v>0</v>
      </c>
      <c r="G234" s="1126" t="str">
        <f t="shared" si="3"/>
        <v/>
      </c>
      <c r="H234" s="112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7">
        <f t="shared" si="245"/>
        <v>0</v>
      </c>
      <c r="J234" s="1128">
        <f t="shared" si="245"/>
        <v>0</v>
      </c>
      <c r="K234" s="214"/>
      <c r="L234" s="214"/>
      <c r="M234" s="214"/>
      <c r="N234" s="214"/>
      <c r="O234" s="1087"/>
      <c r="P234" s="214"/>
      <c r="Q234" s="1131"/>
      <c r="R234" s="1153"/>
      <c r="S234" s="242"/>
      <c r="T234" s="242"/>
      <c r="U234" s="242"/>
      <c r="V234" s="242">
        <f t="shared" si="5"/>
        <v>0</v>
      </c>
      <c r="W234" s="242"/>
      <c r="X234" s="242"/>
      <c r="Y234" s="214"/>
      <c r="Z234" s="214"/>
      <c r="AA234" s="1131"/>
      <c r="AB234" s="1153"/>
      <c r="AC234" s="242"/>
      <c r="AD234" s="242"/>
      <c r="AE234" s="242"/>
      <c r="AF234" s="242">
        <f t="shared" si="6"/>
        <v>0</v>
      </c>
      <c r="AG234" s="242"/>
      <c r="AH234" s="242"/>
      <c r="AI234" s="214"/>
      <c r="AJ234" s="214"/>
      <c r="AK234" s="1131"/>
      <c r="AL234" s="1153"/>
      <c r="AM234" s="242"/>
      <c r="AN234" s="242"/>
      <c r="AO234" s="242"/>
      <c r="AP234" s="242">
        <f t="shared" si="7"/>
        <v>0</v>
      </c>
      <c r="AQ234" s="242"/>
      <c r="AR234" s="242"/>
      <c r="AS234" s="237"/>
      <c r="AT234" s="214"/>
      <c r="AU234" s="1138"/>
      <c r="AV234" s="1155"/>
      <c r="AW234" s="1140"/>
      <c r="AX234" s="1140"/>
      <c r="AY234" s="1140"/>
      <c r="AZ234" s="1140">
        <f t="shared" si="8"/>
        <v>0</v>
      </c>
      <c r="BA234" s="1140"/>
      <c r="BB234" s="1140"/>
      <c r="BC234" s="214"/>
      <c r="BD234" s="214"/>
      <c r="BE234" s="1131"/>
      <c r="BF234" s="1153"/>
      <c r="BG234" s="242"/>
      <c r="BH234" s="242"/>
      <c r="BI234" s="242"/>
      <c r="BJ234" s="242">
        <f t="shared" si="9"/>
        <v>0</v>
      </c>
      <c r="BK234" s="242"/>
      <c r="BL234" s="242"/>
      <c r="BM234" s="214"/>
      <c r="BN234" s="214"/>
      <c r="BO234" s="1131"/>
      <c r="BP234" s="1153"/>
      <c r="BQ234" s="242"/>
      <c r="BR234" s="242"/>
      <c r="BS234" s="242"/>
      <c r="BT234" s="242">
        <f t="shared" si="10"/>
        <v>0</v>
      </c>
      <c r="BU234" s="242"/>
      <c r="BV234" s="242"/>
      <c r="BW234" s="237"/>
      <c r="BX234" s="214"/>
      <c r="BY234" s="1131"/>
      <c r="BZ234" s="1153"/>
      <c r="CA234" s="242"/>
      <c r="CB234" s="242"/>
      <c r="CC234" s="242"/>
      <c r="CD234" s="242">
        <f t="shared" si="11"/>
        <v>0</v>
      </c>
      <c r="CE234" s="242"/>
      <c r="CF234" s="242"/>
      <c r="CG234" s="214"/>
      <c r="CH234" s="214"/>
      <c r="CI234" s="1131"/>
      <c r="CJ234" s="1153"/>
      <c r="CK234" s="242"/>
      <c r="CL234" s="242"/>
      <c r="CM234" s="242"/>
      <c r="CN234" s="242">
        <f t="shared" si="12"/>
        <v>0</v>
      </c>
      <c r="CO234" s="242"/>
      <c r="CP234" s="242"/>
      <c r="CQ234" s="214"/>
      <c r="CR234" s="214"/>
      <c r="CS234" s="1131"/>
      <c r="CT234" s="1153"/>
      <c r="CU234" s="242"/>
      <c r="CV234" s="242"/>
      <c r="CW234" s="242"/>
      <c r="CX234" s="242">
        <f t="shared" si="13"/>
        <v>0</v>
      </c>
      <c r="CY234" s="242"/>
      <c r="CZ234" s="242"/>
      <c r="DA234" s="237"/>
      <c r="DB234" s="214"/>
      <c r="DC234" s="1131"/>
      <c r="DD234" s="1153"/>
      <c r="DE234" s="242"/>
      <c r="DF234" s="242"/>
      <c r="DG234" s="242"/>
      <c r="DH234" s="242">
        <f t="shared" si="14"/>
        <v>0</v>
      </c>
      <c r="DI234" s="242"/>
      <c r="DJ234" s="242"/>
      <c r="DK234" s="214"/>
      <c r="DL234" s="214"/>
      <c r="DM234" s="1131"/>
      <c r="DN234" s="1153"/>
      <c r="DO234" s="242"/>
      <c r="DP234" s="242"/>
      <c r="DQ234" s="242"/>
      <c r="DR234" s="242">
        <f t="shared" si="15"/>
        <v>0</v>
      </c>
      <c r="DS234" s="242"/>
      <c r="DT234" s="242"/>
      <c r="DU234" s="214"/>
      <c r="DV234" s="214"/>
      <c r="DW234" s="1131"/>
      <c r="DX234" s="1153"/>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24"/>
      <c r="C235" s="1124"/>
      <c r="D235" s="1124"/>
      <c r="E235" s="1124"/>
      <c r="F235" s="1125">
        <f t="shared" si="2"/>
        <v>0</v>
      </c>
      <c r="G235" s="1126" t="str">
        <f t="shared" si="3"/>
        <v/>
      </c>
      <c r="H235" s="112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7">
        <f t="shared" si="246"/>
        <v>0</v>
      </c>
      <c r="J235" s="1128">
        <f t="shared" si="246"/>
        <v>0</v>
      </c>
      <c r="K235" s="214"/>
      <c r="L235" s="214"/>
      <c r="M235" s="214"/>
      <c r="N235" s="214"/>
      <c r="O235" s="1087"/>
      <c r="P235" s="214"/>
      <c r="Q235" s="1131"/>
      <c r="R235" s="1153"/>
      <c r="S235" s="242"/>
      <c r="T235" s="242"/>
      <c r="U235" s="242"/>
      <c r="V235" s="242">
        <f t="shared" si="5"/>
        <v>0</v>
      </c>
      <c r="W235" s="242"/>
      <c r="X235" s="242"/>
      <c r="Y235" s="214"/>
      <c r="Z235" s="214"/>
      <c r="AA235" s="1131"/>
      <c r="AB235" s="1153"/>
      <c r="AC235" s="242"/>
      <c r="AD235" s="242"/>
      <c r="AE235" s="242"/>
      <c r="AF235" s="242">
        <f t="shared" si="6"/>
        <v>0</v>
      </c>
      <c r="AG235" s="242"/>
      <c r="AH235" s="242"/>
      <c r="AI235" s="214"/>
      <c r="AJ235" s="214"/>
      <c r="AK235" s="1131"/>
      <c r="AL235" s="1153"/>
      <c r="AM235" s="242"/>
      <c r="AN235" s="242"/>
      <c r="AO235" s="242"/>
      <c r="AP235" s="242">
        <f t="shared" si="7"/>
        <v>0</v>
      </c>
      <c r="AQ235" s="242"/>
      <c r="AR235" s="242"/>
      <c r="AS235" s="237"/>
      <c r="AT235" s="214"/>
      <c r="AU235" s="1138"/>
      <c r="AV235" s="1155"/>
      <c r="AW235" s="1140"/>
      <c r="AX235" s="1140"/>
      <c r="AY235" s="1140"/>
      <c r="AZ235" s="1140">
        <f t="shared" si="8"/>
        <v>0</v>
      </c>
      <c r="BA235" s="1140"/>
      <c r="BB235" s="1140"/>
      <c r="BC235" s="214"/>
      <c r="BD235" s="214"/>
      <c r="BE235" s="1131"/>
      <c r="BF235" s="1153"/>
      <c r="BG235" s="242"/>
      <c r="BH235" s="242"/>
      <c r="BI235" s="242"/>
      <c r="BJ235" s="242">
        <f t="shared" si="9"/>
        <v>0</v>
      </c>
      <c r="BK235" s="242"/>
      <c r="BL235" s="242"/>
      <c r="BM235" s="214"/>
      <c r="BN235" s="214"/>
      <c r="BO235" s="1131"/>
      <c r="BP235" s="1153"/>
      <c r="BQ235" s="242"/>
      <c r="BR235" s="242"/>
      <c r="BS235" s="242"/>
      <c r="BT235" s="242">
        <f t="shared" si="10"/>
        <v>0</v>
      </c>
      <c r="BU235" s="242"/>
      <c r="BV235" s="242"/>
      <c r="BW235" s="237"/>
      <c r="BX235" s="214"/>
      <c r="BY235" s="1131"/>
      <c r="BZ235" s="1153"/>
      <c r="CA235" s="242"/>
      <c r="CB235" s="242"/>
      <c r="CC235" s="242"/>
      <c r="CD235" s="242">
        <f t="shared" si="11"/>
        <v>0</v>
      </c>
      <c r="CE235" s="242"/>
      <c r="CF235" s="242"/>
      <c r="CG235" s="214"/>
      <c r="CH235" s="214"/>
      <c r="CI235" s="1131"/>
      <c r="CJ235" s="1153"/>
      <c r="CK235" s="242"/>
      <c r="CL235" s="242"/>
      <c r="CM235" s="242"/>
      <c r="CN235" s="242">
        <f t="shared" si="12"/>
        <v>0</v>
      </c>
      <c r="CO235" s="242"/>
      <c r="CP235" s="242"/>
      <c r="CQ235" s="214"/>
      <c r="CR235" s="214"/>
      <c r="CS235" s="1131"/>
      <c r="CT235" s="1153"/>
      <c r="CU235" s="242"/>
      <c r="CV235" s="242"/>
      <c r="CW235" s="242"/>
      <c r="CX235" s="242">
        <f t="shared" si="13"/>
        <v>0</v>
      </c>
      <c r="CY235" s="242"/>
      <c r="CZ235" s="242"/>
      <c r="DA235" s="237"/>
      <c r="DB235" s="214"/>
      <c r="DC235" s="1131"/>
      <c r="DD235" s="1153"/>
      <c r="DE235" s="242"/>
      <c r="DF235" s="242"/>
      <c r="DG235" s="242"/>
      <c r="DH235" s="242">
        <f t="shared" si="14"/>
        <v>0</v>
      </c>
      <c r="DI235" s="242"/>
      <c r="DJ235" s="242"/>
      <c r="DK235" s="214"/>
      <c r="DL235" s="214"/>
      <c r="DM235" s="1131"/>
      <c r="DN235" s="1153"/>
      <c r="DO235" s="242"/>
      <c r="DP235" s="242"/>
      <c r="DQ235" s="242"/>
      <c r="DR235" s="242">
        <f t="shared" si="15"/>
        <v>0</v>
      </c>
      <c r="DS235" s="242"/>
      <c r="DT235" s="242"/>
      <c r="DU235" s="214"/>
      <c r="DV235" s="214"/>
      <c r="DW235" s="1131"/>
      <c r="DX235" s="1153"/>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24"/>
      <c r="C236" s="1124"/>
      <c r="D236" s="1124"/>
      <c r="E236" s="1124"/>
      <c r="F236" s="1125">
        <f t="shared" si="2"/>
        <v>0</v>
      </c>
      <c r="G236" s="1126" t="str">
        <f t="shared" si="3"/>
        <v/>
      </c>
      <c r="H236" s="112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7">
        <f t="shared" si="247"/>
        <v>0</v>
      </c>
      <c r="J236" s="1128">
        <f t="shared" si="247"/>
        <v>0</v>
      </c>
      <c r="K236" s="214"/>
      <c r="L236" s="214"/>
      <c r="M236" s="214"/>
      <c r="N236" s="214"/>
      <c r="O236" s="1087"/>
      <c r="P236" s="214"/>
      <c r="Q236" s="1131"/>
      <c r="R236" s="1153"/>
      <c r="S236" s="242"/>
      <c r="T236" s="242"/>
      <c r="U236" s="242"/>
      <c r="V236" s="242">
        <f t="shared" si="5"/>
        <v>0</v>
      </c>
      <c r="W236" s="242"/>
      <c r="X236" s="242"/>
      <c r="Y236" s="214"/>
      <c r="Z236" s="214"/>
      <c r="AA236" s="1131"/>
      <c r="AB236" s="1153"/>
      <c r="AC236" s="242"/>
      <c r="AD236" s="242"/>
      <c r="AE236" s="242"/>
      <c r="AF236" s="242">
        <f t="shared" si="6"/>
        <v>0</v>
      </c>
      <c r="AG236" s="242"/>
      <c r="AH236" s="242"/>
      <c r="AI236" s="214"/>
      <c r="AJ236" s="214"/>
      <c r="AK236" s="1131"/>
      <c r="AL236" s="1153"/>
      <c r="AM236" s="242"/>
      <c r="AN236" s="242"/>
      <c r="AO236" s="242"/>
      <c r="AP236" s="242">
        <f t="shared" si="7"/>
        <v>0</v>
      </c>
      <c r="AQ236" s="242"/>
      <c r="AR236" s="242"/>
      <c r="AS236" s="237"/>
      <c r="AT236" s="214"/>
      <c r="AU236" s="1138"/>
      <c r="AV236" s="1155"/>
      <c r="AW236" s="1140"/>
      <c r="AX236" s="1140"/>
      <c r="AY236" s="1140"/>
      <c r="AZ236" s="1140">
        <f t="shared" si="8"/>
        <v>0</v>
      </c>
      <c r="BA236" s="1140"/>
      <c r="BB236" s="1140"/>
      <c r="BC236" s="214"/>
      <c r="BD236" s="214"/>
      <c r="BE236" s="1131"/>
      <c r="BF236" s="1153"/>
      <c r="BG236" s="242"/>
      <c r="BH236" s="242"/>
      <c r="BI236" s="242"/>
      <c r="BJ236" s="242">
        <f t="shared" si="9"/>
        <v>0</v>
      </c>
      <c r="BK236" s="242"/>
      <c r="BL236" s="242"/>
      <c r="BM236" s="214"/>
      <c r="BN236" s="214"/>
      <c r="BO236" s="1131"/>
      <c r="BP236" s="1153"/>
      <c r="BQ236" s="242"/>
      <c r="BR236" s="242"/>
      <c r="BS236" s="242"/>
      <c r="BT236" s="242">
        <f t="shared" si="10"/>
        <v>0</v>
      </c>
      <c r="BU236" s="242"/>
      <c r="BV236" s="242"/>
      <c r="BW236" s="237"/>
      <c r="BX236" s="214"/>
      <c r="BY236" s="1131"/>
      <c r="BZ236" s="1153"/>
      <c r="CA236" s="242"/>
      <c r="CB236" s="242"/>
      <c r="CC236" s="242"/>
      <c r="CD236" s="242">
        <f t="shared" si="11"/>
        <v>0</v>
      </c>
      <c r="CE236" s="242"/>
      <c r="CF236" s="242"/>
      <c r="CG236" s="214"/>
      <c r="CH236" s="214"/>
      <c r="CI236" s="1131"/>
      <c r="CJ236" s="1153"/>
      <c r="CK236" s="242"/>
      <c r="CL236" s="242"/>
      <c r="CM236" s="242"/>
      <c r="CN236" s="242">
        <f t="shared" si="12"/>
        <v>0</v>
      </c>
      <c r="CO236" s="242"/>
      <c r="CP236" s="242"/>
      <c r="CQ236" s="214"/>
      <c r="CR236" s="214"/>
      <c r="CS236" s="1131"/>
      <c r="CT236" s="1153"/>
      <c r="CU236" s="242"/>
      <c r="CV236" s="242"/>
      <c r="CW236" s="242"/>
      <c r="CX236" s="242">
        <f t="shared" si="13"/>
        <v>0</v>
      </c>
      <c r="CY236" s="242"/>
      <c r="CZ236" s="242"/>
      <c r="DA236" s="237"/>
      <c r="DB236" s="214"/>
      <c r="DC236" s="1131"/>
      <c r="DD236" s="1153"/>
      <c r="DE236" s="242"/>
      <c r="DF236" s="242"/>
      <c r="DG236" s="242"/>
      <c r="DH236" s="242">
        <f t="shared" si="14"/>
        <v>0</v>
      </c>
      <c r="DI236" s="242"/>
      <c r="DJ236" s="242"/>
      <c r="DK236" s="214"/>
      <c r="DL236" s="214"/>
      <c r="DM236" s="1131"/>
      <c r="DN236" s="1153"/>
      <c r="DO236" s="242"/>
      <c r="DP236" s="242"/>
      <c r="DQ236" s="242"/>
      <c r="DR236" s="242">
        <f t="shared" si="15"/>
        <v>0</v>
      </c>
      <c r="DS236" s="242"/>
      <c r="DT236" s="242"/>
      <c r="DU236" s="214"/>
      <c r="DV236" s="214"/>
      <c r="DW236" s="1131"/>
      <c r="DX236" s="1153"/>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24"/>
      <c r="C237" s="1124"/>
      <c r="D237" s="1124"/>
      <c r="E237" s="1124"/>
      <c r="F237" s="1125">
        <f t="shared" si="2"/>
        <v>0</v>
      </c>
      <c r="G237" s="1126" t="str">
        <f t="shared" si="3"/>
        <v/>
      </c>
      <c r="H237" s="112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7">
        <f t="shared" si="248"/>
        <v>0</v>
      </c>
      <c r="J237" s="1128">
        <f t="shared" si="248"/>
        <v>0</v>
      </c>
      <c r="K237" s="214"/>
      <c r="L237" s="214"/>
      <c r="M237" s="214"/>
      <c r="N237" s="214"/>
      <c r="O237" s="1087"/>
      <c r="P237" s="214"/>
      <c r="Q237" s="1131"/>
      <c r="R237" s="1153"/>
      <c r="S237" s="242"/>
      <c r="T237" s="242"/>
      <c r="U237" s="242"/>
      <c r="V237" s="242">
        <f t="shared" si="5"/>
        <v>0</v>
      </c>
      <c r="W237" s="242"/>
      <c r="X237" s="242"/>
      <c r="Y237" s="214"/>
      <c r="Z237" s="214"/>
      <c r="AA237" s="1131"/>
      <c r="AB237" s="1153"/>
      <c r="AC237" s="242"/>
      <c r="AD237" s="242"/>
      <c r="AE237" s="242"/>
      <c r="AF237" s="242">
        <f t="shared" si="6"/>
        <v>0</v>
      </c>
      <c r="AG237" s="242"/>
      <c r="AH237" s="242"/>
      <c r="AI237" s="214"/>
      <c r="AJ237" s="214"/>
      <c r="AK237" s="1131"/>
      <c r="AL237" s="1153"/>
      <c r="AM237" s="242"/>
      <c r="AN237" s="242"/>
      <c r="AO237" s="242"/>
      <c r="AP237" s="242">
        <f t="shared" si="7"/>
        <v>0</v>
      </c>
      <c r="AQ237" s="242"/>
      <c r="AR237" s="242"/>
      <c r="AS237" s="237"/>
      <c r="AT237" s="214"/>
      <c r="AU237" s="1138"/>
      <c r="AV237" s="1155"/>
      <c r="AW237" s="1140"/>
      <c r="AX237" s="1140"/>
      <c r="AY237" s="1140"/>
      <c r="AZ237" s="1140">
        <f t="shared" si="8"/>
        <v>0</v>
      </c>
      <c r="BA237" s="1140"/>
      <c r="BB237" s="1140"/>
      <c r="BC237" s="214"/>
      <c r="BD237" s="214"/>
      <c r="BE237" s="1131"/>
      <c r="BF237" s="1153"/>
      <c r="BG237" s="242"/>
      <c r="BH237" s="242"/>
      <c r="BI237" s="242"/>
      <c r="BJ237" s="242">
        <f t="shared" si="9"/>
        <v>0</v>
      </c>
      <c r="BK237" s="242"/>
      <c r="BL237" s="242"/>
      <c r="BM237" s="214"/>
      <c r="BN237" s="214"/>
      <c r="BO237" s="1131"/>
      <c r="BP237" s="1153"/>
      <c r="BQ237" s="242"/>
      <c r="BR237" s="242"/>
      <c r="BS237" s="242"/>
      <c r="BT237" s="242">
        <f t="shared" si="10"/>
        <v>0</v>
      </c>
      <c r="BU237" s="242"/>
      <c r="BV237" s="242"/>
      <c r="BW237" s="237"/>
      <c r="BX237" s="214"/>
      <c r="BY237" s="1131"/>
      <c r="BZ237" s="1153"/>
      <c r="CA237" s="242"/>
      <c r="CB237" s="242"/>
      <c r="CC237" s="242"/>
      <c r="CD237" s="242">
        <f t="shared" si="11"/>
        <v>0</v>
      </c>
      <c r="CE237" s="242"/>
      <c r="CF237" s="242"/>
      <c r="CG237" s="214"/>
      <c r="CH237" s="214"/>
      <c r="CI237" s="1131"/>
      <c r="CJ237" s="1153"/>
      <c r="CK237" s="242"/>
      <c r="CL237" s="242"/>
      <c r="CM237" s="242"/>
      <c r="CN237" s="242">
        <f t="shared" si="12"/>
        <v>0</v>
      </c>
      <c r="CO237" s="242"/>
      <c r="CP237" s="242"/>
      <c r="CQ237" s="214"/>
      <c r="CR237" s="214"/>
      <c r="CS237" s="1131"/>
      <c r="CT237" s="1153"/>
      <c r="CU237" s="242"/>
      <c r="CV237" s="242"/>
      <c r="CW237" s="242"/>
      <c r="CX237" s="242">
        <f t="shared" si="13"/>
        <v>0</v>
      </c>
      <c r="CY237" s="242"/>
      <c r="CZ237" s="242"/>
      <c r="DA237" s="237"/>
      <c r="DB237" s="214"/>
      <c r="DC237" s="1131"/>
      <c r="DD237" s="1153"/>
      <c r="DE237" s="242"/>
      <c r="DF237" s="242"/>
      <c r="DG237" s="242"/>
      <c r="DH237" s="242">
        <f t="shared" si="14"/>
        <v>0</v>
      </c>
      <c r="DI237" s="242"/>
      <c r="DJ237" s="242"/>
      <c r="DK237" s="214"/>
      <c r="DL237" s="214"/>
      <c r="DM237" s="1131"/>
      <c r="DN237" s="1153"/>
      <c r="DO237" s="242"/>
      <c r="DP237" s="242"/>
      <c r="DQ237" s="242"/>
      <c r="DR237" s="242">
        <f t="shared" si="15"/>
        <v>0</v>
      </c>
      <c r="DS237" s="242"/>
      <c r="DT237" s="242"/>
      <c r="DU237" s="214"/>
      <c r="DV237" s="214"/>
      <c r="DW237" s="1131"/>
      <c r="DX237" s="1153"/>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24"/>
      <c r="C238" s="1124"/>
      <c r="D238" s="1124"/>
      <c r="E238" s="1124"/>
      <c r="F238" s="1125">
        <f t="shared" si="2"/>
        <v>0</v>
      </c>
      <c r="G238" s="1126" t="str">
        <f t="shared" si="3"/>
        <v/>
      </c>
      <c r="H238" s="112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7">
        <f t="shared" si="249"/>
        <v>0</v>
      </c>
      <c r="J238" s="1128">
        <f t="shared" si="249"/>
        <v>0</v>
      </c>
      <c r="K238" s="214"/>
      <c r="L238" s="214"/>
      <c r="M238" s="214"/>
      <c r="N238" s="214"/>
      <c r="O238" s="1087"/>
      <c r="P238" s="214"/>
      <c r="Q238" s="1131"/>
      <c r="R238" s="1153"/>
      <c r="S238" s="242"/>
      <c r="T238" s="242"/>
      <c r="U238" s="242"/>
      <c r="V238" s="242">
        <f t="shared" si="5"/>
        <v>0</v>
      </c>
      <c r="W238" s="242"/>
      <c r="X238" s="242"/>
      <c r="Y238" s="214"/>
      <c r="Z238" s="214"/>
      <c r="AA238" s="1131"/>
      <c r="AB238" s="1153"/>
      <c r="AC238" s="242"/>
      <c r="AD238" s="242"/>
      <c r="AE238" s="242"/>
      <c r="AF238" s="242">
        <f t="shared" si="6"/>
        <v>0</v>
      </c>
      <c r="AG238" s="242"/>
      <c r="AH238" s="242"/>
      <c r="AI238" s="214"/>
      <c r="AJ238" s="214"/>
      <c r="AK238" s="1131"/>
      <c r="AL238" s="1153"/>
      <c r="AM238" s="242"/>
      <c r="AN238" s="242"/>
      <c r="AO238" s="242"/>
      <c r="AP238" s="242">
        <f t="shared" si="7"/>
        <v>0</v>
      </c>
      <c r="AQ238" s="242"/>
      <c r="AR238" s="242"/>
      <c r="AS238" s="237"/>
      <c r="AT238" s="214"/>
      <c r="AU238" s="1138"/>
      <c r="AV238" s="1155"/>
      <c r="AW238" s="1140"/>
      <c r="AX238" s="1140"/>
      <c r="AY238" s="1140"/>
      <c r="AZ238" s="1140">
        <f t="shared" si="8"/>
        <v>0</v>
      </c>
      <c r="BA238" s="1140"/>
      <c r="BB238" s="1140"/>
      <c r="BC238" s="214"/>
      <c r="BD238" s="214"/>
      <c r="BE238" s="1131"/>
      <c r="BF238" s="1153"/>
      <c r="BG238" s="242"/>
      <c r="BH238" s="242"/>
      <c r="BI238" s="242"/>
      <c r="BJ238" s="242">
        <f t="shared" si="9"/>
        <v>0</v>
      </c>
      <c r="BK238" s="242"/>
      <c r="BL238" s="242"/>
      <c r="BM238" s="214"/>
      <c r="BN238" s="214"/>
      <c r="BO238" s="1131"/>
      <c r="BP238" s="1153"/>
      <c r="BQ238" s="242"/>
      <c r="BR238" s="242"/>
      <c r="BS238" s="242"/>
      <c r="BT238" s="242">
        <f t="shared" si="10"/>
        <v>0</v>
      </c>
      <c r="BU238" s="242"/>
      <c r="BV238" s="242"/>
      <c r="BW238" s="237"/>
      <c r="BX238" s="214"/>
      <c r="BY238" s="1131"/>
      <c r="BZ238" s="1153"/>
      <c r="CA238" s="242"/>
      <c r="CB238" s="242"/>
      <c r="CC238" s="242"/>
      <c r="CD238" s="242">
        <f t="shared" si="11"/>
        <v>0</v>
      </c>
      <c r="CE238" s="242"/>
      <c r="CF238" s="242"/>
      <c r="CG238" s="214"/>
      <c r="CH238" s="214"/>
      <c r="CI238" s="1131"/>
      <c r="CJ238" s="1153"/>
      <c r="CK238" s="242"/>
      <c r="CL238" s="242"/>
      <c r="CM238" s="242"/>
      <c r="CN238" s="242">
        <f t="shared" si="12"/>
        <v>0</v>
      </c>
      <c r="CO238" s="242"/>
      <c r="CP238" s="242"/>
      <c r="CQ238" s="214"/>
      <c r="CR238" s="214"/>
      <c r="CS238" s="1131"/>
      <c r="CT238" s="1153"/>
      <c r="CU238" s="242"/>
      <c r="CV238" s="242"/>
      <c r="CW238" s="242"/>
      <c r="CX238" s="242">
        <f t="shared" si="13"/>
        <v>0</v>
      </c>
      <c r="CY238" s="242"/>
      <c r="CZ238" s="242"/>
      <c r="DA238" s="237"/>
      <c r="DB238" s="214"/>
      <c r="DC238" s="1131"/>
      <c r="DD238" s="1153"/>
      <c r="DE238" s="242"/>
      <c r="DF238" s="242"/>
      <c r="DG238" s="242"/>
      <c r="DH238" s="242">
        <f t="shared" si="14"/>
        <v>0</v>
      </c>
      <c r="DI238" s="242"/>
      <c r="DJ238" s="242"/>
      <c r="DK238" s="214"/>
      <c r="DL238" s="214"/>
      <c r="DM238" s="1131"/>
      <c r="DN238" s="1153"/>
      <c r="DO238" s="242"/>
      <c r="DP238" s="242"/>
      <c r="DQ238" s="242"/>
      <c r="DR238" s="242">
        <f t="shared" si="15"/>
        <v>0</v>
      </c>
      <c r="DS238" s="242"/>
      <c r="DT238" s="242"/>
      <c r="DU238" s="214"/>
      <c r="DV238" s="214"/>
      <c r="DW238" s="1131"/>
      <c r="DX238" s="1153"/>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24"/>
      <c r="C239" s="1124"/>
      <c r="D239" s="1124"/>
      <c r="E239" s="1124"/>
      <c r="F239" s="1125">
        <f t="shared" si="2"/>
        <v>0</v>
      </c>
      <c r="G239" s="1126" t="str">
        <f t="shared" si="3"/>
        <v/>
      </c>
      <c r="H239" s="112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7">
        <f t="shared" si="250"/>
        <v>0</v>
      </c>
      <c r="J239" s="1128">
        <f t="shared" si="250"/>
        <v>0</v>
      </c>
      <c r="K239" s="214"/>
      <c r="L239" s="214"/>
      <c r="M239" s="214"/>
      <c r="N239" s="214"/>
      <c r="O239" s="1087"/>
      <c r="P239" s="214"/>
      <c r="Q239" s="1131"/>
      <c r="R239" s="1153"/>
      <c r="S239" s="242"/>
      <c r="T239" s="242"/>
      <c r="U239" s="242"/>
      <c r="V239" s="242">
        <f t="shared" si="5"/>
        <v>0</v>
      </c>
      <c r="W239" s="242"/>
      <c r="X239" s="242"/>
      <c r="Y239" s="214"/>
      <c r="Z239" s="214"/>
      <c r="AA239" s="1131"/>
      <c r="AB239" s="1153"/>
      <c r="AC239" s="242"/>
      <c r="AD239" s="242"/>
      <c r="AE239" s="242"/>
      <c r="AF239" s="242">
        <f t="shared" si="6"/>
        <v>0</v>
      </c>
      <c r="AG239" s="242"/>
      <c r="AH239" s="242"/>
      <c r="AI239" s="214"/>
      <c r="AJ239" s="214"/>
      <c r="AK239" s="1131"/>
      <c r="AL239" s="1153"/>
      <c r="AM239" s="242"/>
      <c r="AN239" s="242"/>
      <c r="AO239" s="242"/>
      <c r="AP239" s="242">
        <f t="shared" si="7"/>
        <v>0</v>
      </c>
      <c r="AQ239" s="242"/>
      <c r="AR239" s="242"/>
      <c r="AS239" s="237"/>
      <c r="AT239" s="214"/>
      <c r="AU239" s="1138"/>
      <c r="AV239" s="1155"/>
      <c r="AW239" s="1140"/>
      <c r="AX239" s="1140"/>
      <c r="AY239" s="1140"/>
      <c r="AZ239" s="1140">
        <f t="shared" si="8"/>
        <v>0</v>
      </c>
      <c r="BA239" s="1140"/>
      <c r="BB239" s="1140"/>
      <c r="BC239" s="214"/>
      <c r="BD239" s="214"/>
      <c r="BE239" s="1131"/>
      <c r="BF239" s="1153"/>
      <c r="BG239" s="242"/>
      <c r="BH239" s="242"/>
      <c r="BI239" s="242"/>
      <c r="BJ239" s="242">
        <f t="shared" si="9"/>
        <v>0</v>
      </c>
      <c r="BK239" s="242"/>
      <c r="BL239" s="242"/>
      <c r="BM239" s="214"/>
      <c r="BN239" s="214"/>
      <c r="BO239" s="1131"/>
      <c r="BP239" s="1153"/>
      <c r="BQ239" s="242"/>
      <c r="BR239" s="242"/>
      <c r="BS239" s="242"/>
      <c r="BT239" s="242">
        <f t="shared" si="10"/>
        <v>0</v>
      </c>
      <c r="BU239" s="242"/>
      <c r="BV239" s="242"/>
      <c r="BW239" s="237"/>
      <c r="BX239" s="214"/>
      <c r="BY239" s="1131"/>
      <c r="BZ239" s="1153"/>
      <c r="CA239" s="242"/>
      <c r="CB239" s="242"/>
      <c r="CC239" s="242"/>
      <c r="CD239" s="242">
        <f t="shared" si="11"/>
        <v>0</v>
      </c>
      <c r="CE239" s="242"/>
      <c r="CF239" s="242"/>
      <c r="CG239" s="214"/>
      <c r="CH239" s="214"/>
      <c r="CI239" s="1131"/>
      <c r="CJ239" s="1153"/>
      <c r="CK239" s="242"/>
      <c r="CL239" s="242"/>
      <c r="CM239" s="242"/>
      <c r="CN239" s="242">
        <f t="shared" si="12"/>
        <v>0</v>
      </c>
      <c r="CO239" s="242"/>
      <c r="CP239" s="242"/>
      <c r="CQ239" s="214"/>
      <c r="CR239" s="214"/>
      <c r="CS239" s="1131"/>
      <c r="CT239" s="1153"/>
      <c r="CU239" s="242"/>
      <c r="CV239" s="242"/>
      <c r="CW239" s="242"/>
      <c r="CX239" s="242">
        <f t="shared" si="13"/>
        <v>0</v>
      </c>
      <c r="CY239" s="242"/>
      <c r="CZ239" s="242"/>
      <c r="DA239" s="237"/>
      <c r="DB239" s="214"/>
      <c r="DC239" s="1131"/>
      <c r="DD239" s="1153"/>
      <c r="DE239" s="242"/>
      <c r="DF239" s="242"/>
      <c r="DG239" s="242"/>
      <c r="DH239" s="242">
        <f t="shared" si="14"/>
        <v>0</v>
      </c>
      <c r="DI239" s="242"/>
      <c r="DJ239" s="242"/>
      <c r="DK239" s="214"/>
      <c r="DL239" s="214"/>
      <c r="DM239" s="1131"/>
      <c r="DN239" s="1153"/>
      <c r="DO239" s="242"/>
      <c r="DP239" s="242"/>
      <c r="DQ239" s="242"/>
      <c r="DR239" s="242">
        <f t="shared" si="15"/>
        <v>0</v>
      </c>
      <c r="DS239" s="242"/>
      <c r="DT239" s="242"/>
      <c r="DU239" s="214"/>
      <c r="DV239" s="214"/>
      <c r="DW239" s="1131"/>
      <c r="DX239" s="1153"/>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24"/>
      <c r="C240" s="1124"/>
      <c r="D240" s="1124"/>
      <c r="E240" s="1124"/>
      <c r="F240" s="1125">
        <f t="shared" si="2"/>
        <v>0</v>
      </c>
      <c r="G240" s="1126" t="str">
        <f t="shared" si="3"/>
        <v/>
      </c>
      <c r="H240" s="112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7">
        <f t="shared" si="251"/>
        <v>0</v>
      </c>
      <c r="J240" s="1128">
        <f t="shared" si="251"/>
        <v>0</v>
      </c>
      <c r="K240" s="214"/>
      <c r="L240" s="214"/>
      <c r="M240" s="214"/>
      <c r="N240" s="214"/>
      <c r="O240" s="1087"/>
      <c r="P240" s="214"/>
      <c r="Q240" s="1131"/>
      <c r="R240" s="1153"/>
      <c r="S240" s="242"/>
      <c r="T240" s="242"/>
      <c r="U240" s="242"/>
      <c r="V240" s="242">
        <f t="shared" si="5"/>
        <v>0</v>
      </c>
      <c r="W240" s="242"/>
      <c r="X240" s="242"/>
      <c r="Y240" s="214"/>
      <c r="Z240" s="214"/>
      <c r="AA240" s="1131"/>
      <c r="AB240" s="1153"/>
      <c r="AC240" s="242"/>
      <c r="AD240" s="242"/>
      <c r="AE240" s="242"/>
      <c r="AF240" s="242">
        <f t="shared" si="6"/>
        <v>0</v>
      </c>
      <c r="AG240" s="242"/>
      <c r="AH240" s="242"/>
      <c r="AI240" s="214"/>
      <c r="AJ240" s="214"/>
      <c r="AK240" s="1131"/>
      <c r="AL240" s="1153"/>
      <c r="AM240" s="242"/>
      <c r="AN240" s="242"/>
      <c r="AO240" s="242"/>
      <c r="AP240" s="242">
        <f t="shared" si="7"/>
        <v>0</v>
      </c>
      <c r="AQ240" s="242"/>
      <c r="AR240" s="242"/>
      <c r="AS240" s="237"/>
      <c r="AT240" s="214"/>
      <c r="AU240" s="1138"/>
      <c r="AV240" s="1155"/>
      <c r="AW240" s="1140"/>
      <c r="AX240" s="1140"/>
      <c r="AY240" s="1140"/>
      <c r="AZ240" s="1140">
        <f t="shared" si="8"/>
        <v>0</v>
      </c>
      <c r="BA240" s="1140"/>
      <c r="BB240" s="1140"/>
      <c r="BC240" s="214"/>
      <c r="BD240" s="214"/>
      <c r="BE240" s="1131"/>
      <c r="BF240" s="1153"/>
      <c r="BG240" s="242"/>
      <c r="BH240" s="242"/>
      <c r="BI240" s="242"/>
      <c r="BJ240" s="242">
        <f t="shared" si="9"/>
        <v>0</v>
      </c>
      <c r="BK240" s="242"/>
      <c r="BL240" s="242"/>
      <c r="BM240" s="214"/>
      <c r="BN240" s="214"/>
      <c r="BO240" s="1131"/>
      <c r="BP240" s="1153"/>
      <c r="BQ240" s="242"/>
      <c r="BR240" s="242"/>
      <c r="BS240" s="242"/>
      <c r="BT240" s="242">
        <f t="shared" si="10"/>
        <v>0</v>
      </c>
      <c r="BU240" s="242"/>
      <c r="BV240" s="242"/>
      <c r="BW240" s="237"/>
      <c r="BX240" s="214"/>
      <c r="BY240" s="1131"/>
      <c r="BZ240" s="1153"/>
      <c r="CA240" s="242"/>
      <c r="CB240" s="242"/>
      <c r="CC240" s="242"/>
      <c r="CD240" s="242">
        <f t="shared" si="11"/>
        <v>0</v>
      </c>
      <c r="CE240" s="242"/>
      <c r="CF240" s="242"/>
      <c r="CG240" s="214"/>
      <c r="CH240" s="214"/>
      <c r="CI240" s="1131"/>
      <c r="CJ240" s="1153"/>
      <c r="CK240" s="242"/>
      <c r="CL240" s="242"/>
      <c r="CM240" s="242"/>
      <c r="CN240" s="242">
        <f t="shared" si="12"/>
        <v>0</v>
      </c>
      <c r="CO240" s="242"/>
      <c r="CP240" s="242"/>
      <c r="CQ240" s="214"/>
      <c r="CR240" s="214"/>
      <c r="CS240" s="1131"/>
      <c r="CT240" s="1153"/>
      <c r="CU240" s="242"/>
      <c r="CV240" s="242"/>
      <c r="CW240" s="242"/>
      <c r="CX240" s="242">
        <f t="shared" si="13"/>
        <v>0</v>
      </c>
      <c r="CY240" s="242"/>
      <c r="CZ240" s="242"/>
      <c r="DA240" s="237"/>
      <c r="DB240" s="214"/>
      <c r="DC240" s="1131"/>
      <c r="DD240" s="1153"/>
      <c r="DE240" s="242"/>
      <c r="DF240" s="242"/>
      <c r="DG240" s="242"/>
      <c r="DH240" s="242">
        <f t="shared" si="14"/>
        <v>0</v>
      </c>
      <c r="DI240" s="242"/>
      <c r="DJ240" s="242"/>
      <c r="DK240" s="214"/>
      <c r="DL240" s="214"/>
      <c r="DM240" s="1131"/>
      <c r="DN240" s="1153"/>
      <c r="DO240" s="242"/>
      <c r="DP240" s="242"/>
      <c r="DQ240" s="242"/>
      <c r="DR240" s="242">
        <f t="shared" si="15"/>
        <v>0</v>
      </c>
      <c r="DS240" s="242"/>
      <c r="DT240" s="242"/>
      <c r="DU240" s="214"/>
      <c r="DV240" s="214"/>
      <c r="DW240" s="1131"/>
      <c r="DX240" s="1153"/>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24"/>
      <c r="C241" s="1124"/>
      <c r="D241" s="1124"/>
      <c r="E241" s="1124"/>
      <c r="F241" s="1125">
        <f t="shared" si="2"/>
        <v>0</v>
      </c>
      <c r="G241" s="1126" t="str">
        <f t="shared" si="3"/>
        <v/>
      </c>
      <c r="H241" s="112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7">
        <f t="shared" si="252"/>
        <v>0</v>
      </c>
      <c r="J241" s="1128">
        <f t="shared" si="252"/>
        <v>0</v>
      </c>
      <c r="K241" s="214"/>
      <c r="L241" s="214"/>
      <c r="M241" s="214"/>
      <c r="N241" s="214"/>
      <c r="O241" s="1087"/>
      <c r="P241" s="214"/>
      <c r="Q241" s="1131"/>
      <c r="R241" s="1153"/>
      <c r="S241" s="242"/>
      <c r="T241" s="242"/>
      <c r="U241" s="242"/>
      <c r="V241" s="242">
        <f t="shared" si="5"/>
        <v>0</v>
      </c>
      <c r="W241" s="242"/>
      <c r="X241" s="242"/>
      <c r="Y241" s="214"/>
      <c r="Z241" s="214"/>
      <c r="AA241" s="1131"/>
      <c r="AB241" s="1153"/>
      <c r="AC241" s="242"/>
      <c r="AD241" s="242"/>
      <c r="AE241" s="242"/>
      <c r="AF241" s="242">
        <f t="shared" si="6"/>
        <v>0</v>
      </c>
      <c r="AG241" s="242"/>
      <c r="AH241" s="242"/>
      <c r="AI241" s="214"/>
      <c r="AJ241" s="214"/>
      <c r="AK241" s="1131"/>
      <c r="AL241" s="1153"/>
      <c r="AM241" s="242"/>
      <c r="AN241" s="242"/>
      <c r="AO241" s="242"/>
      <c r="AP241" s="242">
        <f t="shared" si="7"/>
        <v>0</v>
      </c>
      <c r="AQ241" s="242"/>
      <c r="AR241" s="242"/>
      <c r="AS241" s="237"/>
      <c r="AT241" s="214"/>
      <c r="AU241" s="1138"/>
      <c r="AV241" s="1155"/>
      <c r="AW241" s="1140"/>
      <c r="AX241" s="1140"/>
      <c r="AY241" s="1140"/>
      <c r="AZ241" s="1140">
        <f t="shared" si="8"/>
        <v>0</v>
      </c>
      <c r="BA241" s="1140"/>
      <c r="BB241" s="1140"/>
      <c r="BC241" s="214"/>
      <c r="BD241" s="214"/>
      <c r="BE241" s="1131"/>
      <c r="BF241" s="1153"/>
      <c r="BG241" s="242"/>
      <c r="BH241" s="242"/>
      <c r="BI241" s="242"/>
      <c r="BJ241" s="242">
        <f t="shared" si="9"/>
        <v>0</v>
      </c>
      <c r="BK241" s="242"/>
      <c r="BL241" s="242"/>
      <c r="BM241" s="214"/>
      <c r="BN241" s="214"/>
      <c r="BO241" s="1131"/>
      <c r="BP241" s="1153"/>
      <c r="BQ241" s="242"/>
      <c r="BR241" s="242"/>
      <c r="BS241" s="242"/>
      <c r="BT241" s="242">
        <f t="shared" si="10"/>
        <v>0</v>
      </c>
      <c r="BU241" s="242"/>
      <c r="BV241" s="242"/>
      <c r="BW241" s="237"/>
      <c r="BX241" s="214"/>
      <c r="BY241" s="1131"/>
      <c r="BZ241" s="1153"/>
      <c r="CA241" s="242"/>
      <c r="CB241" s="242"/>
      <c r="CC241" s="242"/>
      <c r="CD241" s="242">
        <f t="shared" si="11"/>
        <v>0</v>
      </c>
      <c r="CE241" s="242"/>
      <c r="CF241" s="242"/>
      <c r="CG241" s="214"/>
      <c r="CH241" s="214"/>
      <c r="CI241" s="1131"/>
      <c r="CJ241" s="1153"/>
      <c r="CK241" s="242"/>
      <c r="CL241" s="242"/>
      <c r="CM241" s="242"/>
      <c r="CN241" s="242">
        <f t="shared" si="12"/>
        <v>0</v>
      </c>
      <c r="CO241" s="242"/>
      <c r="CP241" s="242"/>
      <c r="CQ241" s="214"/>
      <c r="CR241" s="214"/>
      <c r="CS241" s="1131"/>
      <c r="CT241" s="1153"/>
      <c r="CU241" s="242"/>
      <c r="CV241" s="242"/>
      <c r="CW241" s="242"/>
      <c r="CX241" s="242">
        <f t="shared" si="13"/>
        <v>0</v>
      </c>
      <c r="CY241" s="242"/>
      <c r="CZ241" s="242"/>
      <c r="DA241" s="237"/>
      <c r="DB241" s="214"/>
      <c r="DC241" s="1131"/>
      <c r="DD241" s="1153"/>
      <c r="DE241" s="242"/>
      <c r="DF241" s="242"/>
      <c r="DG241" s="242"/>
      <c r="DH241" s="242">
        <f t="shared" si="14"/>
        <v>0</v>
      </c>
      <c r="DI241" s="242"/>
      <c r="DJ241" s="242"/>
      <c r="DK241" s="214"/>
      <c r="DL241" s="214"/>
      <c r="DM241" s="1131"/>
      <c r="DN241" s="1153"/>
      <c r="DO241" s="242"/>
      <c r="DP241" s="242"/>
      <c r="DQ241" s="242"/>
      <c r="DR241" s="242">
        <f t="shared" si="15"/>
        <v>0</v>
      </c>
      <c r="DS241" s="242"/>
      <c r="DT241" s="242"/>
      <c r="DU241" s="214"/>
      <c r="DV241" s="214"/>
      <c r="DW241" s="1131"/>
      <c r="DX241" s="1153"/>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24"/>
      <c r="C242" s="1124"/>
      <c r="D242" s="1124"/>
      <c r="E242" s="1124"/>
      <c r="F242" s="1125">
        <f t="shared" si="2"/>
        <v>0</v>
      </c>
      <c r="G242" s="1126" t="str">
        <f t="shared" si="3"/>
        <v/>
      </c>
      <c r="H242" s="112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7">
        <f t="shared" si="253"/>
        <v>0</v>
      </c>
      <c r="J242" s="1128">
        <f t="shared" si="253"/>
        <v>0</v>
      </c>
      <c r="K242" s="214"/>
      <c r="L242" s="214"/>
      <c r="M242" s="214"/>
      <c r="N242" s="214"/>
      <c r="O242" s="1087"/>
      <c r="P242" s="214"/>
      <c r="Q242" s="1131"/>
      <c r="R242" s="1153"/>
      <c r="S242" s="242"/>
      <c r="T242" s="242"/>
      <c r="U242" s="242"/>
      <c r="V242" s="242">
        <f t="shared" si="5"/>
        <v>0</v>
      </c>
      <c r="W242" s="242"/>
      <c r="X242" s="242"/>
      <c r="Y242" s="214"/>
      <c r="Z242" s="214"/>
      <c r="AA242" s="1131"/>
      <c r="AB242" s="1153"/>
      <c r="AC242" s="242"/>
      <c r="AD242" s="242"/>
      <c r="AE242" s="242"/>
      <c r="AF242" s="242">
        <f t="shared" si="6"/>
        <v>0</v>
      </c>
      <c r="AG242" s="242"/>
      <c r="AH242" s="242"/>
      <c r="AI242" s="214"/>
      <c r="AJ242" s="214"/>
      <c r="AK242" s="1131"/>
      <c r="AL242" s="1153"/>
      <c r="AM242" s="242"/>
      <c r="AN242" s="242"/>
      <c r="AO242" s="242"/>
      <c r="AP242" s="242">
        <f t="shared" si="7"/>
        <v>0</v>
      </c>
      <c r="AQ242" s="242"/>
      <c r="AR242" s="242"/>
      <c r="AS242" s="237"/>
      <c r="AT242" s="214"/>
      <c r="AU242" s="1138"/>
      <c r="AV242" s="1155"/>
      <c r="AW242" s="1140"/>
      <c r="AX242" s="1140"/>
      <c r="AY242" s="1140"/>
      <c r="AZ242" s="1140">
        <f t="shared" si="8"/>
        <v>0</v>
      </c>
      <c r="BA242" s="1140"/>
      <c r="BB242" s="1140"/>
      <c r="BC242" s="214"/>
      <c r="BD242" s="214"/>
      <c r="BE242" s="1131"/>
      <c r="BF242" s="1153"/>
      <c r="BG242" s="242"/>
      <c r="BH242" s="242"/>
      <c r="BI242" s="242"/>
      <c r="BJ242" s="242">
        <f t="shared" si="9"/>
        <v>0</v>
      </c>
      <c r="BK242" s="242"/>
      <c r="BL242" s="242"/>
      <c r="BM242" s="214"/>
      <c r="BN242" s="214"/>
      <c r="BO242" s="1131"/>
      <c r="BP242" s="1153"/>
      <c r="BQ242" s="242"/>
      <c r="BR242" s="242"/>
      <c r="BS242" s="242"/>
      <c r="BT242" s="242">
        <f t="shared" si="10"/>
        <v>0</v>
      </c>
      <c r="BU242" s="242"/>
      <c r="BV242" s="242"/>
      <c r="BW242" s="237"/>
      <c r="BX242" s="214"/>
      <c r="BY242" s="1131"/>
      <c r="BZ242" s="1153"/>
      <c r="CA242" s="242"/>
      <c r="CB242" s="242"/>
      <c r="CC242" s="242"/>
      <c r="CD242" s="242">
        <f t="shared" si="11"/>
        <v>0</v>
      </c>
      <c r="CE242" s="242"/>
      <c r="CF242" s="242"/>
      <c r="CG242" s="214"/>
      <c r="CH242" s="214"/>
      <c r="CI242" s="1131"/>
      <c r="CJ242" s="1153"/>
      <c r="CK242" s="242"/>
      <c r="CL242" s="242"/>
      <c r="CM242" s="242"/>
      <c r="CN242" s="242">
        <f t="shared" si="12"/>
        <v>0</v>
      </c>
      <c r="CO242" s="242"/>
      <c r="CP242" s="242"/>
      <c r="CQ242" s="214"/>
      <c r="CR242" s="214"/>
      <c r="CS242" s="1131"/>
      <c r="CT242" s="1153"/>
      <c r="CU242" s="242"/>
      <c r="CV242" s="242"/>
      <c r="CW242" s="242"/>
      <c r="CX242" s="242">
        <f t="shared" si="13"/>
        <v>0</v>
      </c>
      <c r="CY242" s="242"/>
      <c r="CZ242" s="242"/>
      <c r="DA242" s="237"/>
      <c r="DB242" s="214"/>
      <c r="DC242" s="1131"/>
      <c r="DD242" s="1153"/>
      <c r="DE242" s="242"/>
      <c r="DF242" s="242"/>
      <c r="DG242" s="242"/>
      <c r="DH242" s="242">
        <f t="shared" si="14"/>
        <v>0</v>
      </c>
      <c r="DI242" s="242"/>
      <c r="DJ242" s="242"/>
      <c r="DK242" s="214"/>
      <c r="DL242" s="214"/>
      <c r="DM242" s="1131"/>
      <c r="DN242" s="1153"/>
      <c r="DO242" s="242"/>
      <c r="DP242" s="242"/>
      <c r="DQ242" s="242"/>
      <c r="DR242" s="242">
        <f t="shared" si="15"/>
        <v>0</v>
      </c>
      <c r="DS242" s="242"/>
      <c r="DT242" s="242"/>
      <c r="DU242" s="214"/>
      <c r="DV242" s="214"/>
      <c r="DW242" s="1131"/>
      <c r="DX242" s="1153"/>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24"/>
      <c r="C243" s="1124"/>
      <c r="D243" s="1124"/>
      <c r="E243" s="1124"/>
      <c r="F243" s="1125">
        <f t="shared" si="2"/>
        <v>0</v>
      </c>
      <c r="G243" s="1126" t="str">
        <f t="shared" si="3"/>
        <v/>
      </c>
      <c r="H243" s="112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7">
        <f t="shared" si="254"/>
        <v>0</v>
      </c>
      <c r="J243" s="1128">
        <f t="shared" si="254"/>
        <v>0</v>
      </c>
      <c r="K243" s="214"/>
      <c r="L243" s="214"/>
      <c r="M243" s="214"/>
      <c r="N243" s="214"/>
      <c r="O243" s="1087"/>
      <c r="P243" s="214"/>
      <c r="Q243" s="1131"/>
      <c r="R243" s="1153"/>
      <c r="S243" s="242"/>
      <c r="T243" s="242"/>
      <c r="U243" s="242"/>
      <c r="V243" s="242">
        <f t="shared" si="5"/>
        <v>0</v>
      </c>
      <c r="W243" s="242"/>
      <c r="X243" s="242"/>
      <c r="Y243" s="214"/>
      <c r="Z243" s="214"/>
      <c r="AA243" s="1131"/>
      <c r="AB243" s="1153"/>
      <c r="AC243" s="242"/>
      <c r="AD243" s="242"/>
      <c r="AE243" s="242"/>
      <c r="AF243" s="242">
        <f t="shared" si="6"/>
        <v>0</v>
      </c>
      <c r="AG243" s="242"/>
      <c r="AH243" s="242"/>
      <c r="AI243" s="214"/>
      <c r="AJ243" s="214"/>
      <c r="AK243" s="1131"/>
      <c r="AL243" s="1153"/>
      <c r="AM243" s="242"/>
      <c r="AN243" s="242"/>
      <c r="AO243" s="242"/>
      <c r="AP243" s="242">
        <f t="shared" si="7"/>
        <v>0</v>
      </c>
      <c r="AQ243" s="242"/>
      <c r="AR243" s="242"/>
      <c r="AS243" s="237"/>
      <c r="AT243" s="214"/>
      <c r="AU243" s="1138"/>
      <c r="AV243" s="1155"/>
      <c r="AW243" s="1140"/>
      <c r="AX243" s="1140"/>
      <c r="AY243" s="1140"/>
      <c r="AZ243" s="1140">
        <f t="shared" si="8"/>
        <v>0</v>
      </c>
      <c r="BA243" s="1140"/>
      <c r="BB243" s="1140"/>
      <c r="BC243" s="214"/>
      <c r="BD243" s="214"/>
      <c r="BE243" s="1131"/>
      <c r="BF243" s="1153"/>
      <c r="BG243" s="242"/>
      <c r="BH243" s="242"/>
      <c r="BI243" s="242"/>
      <c r="BJ243" s="242">
        <f t="shared" si="9"/>
        <v>0</v>
      </c>
      <c r="BK243" s="242"/>
      <c r="BL243" s="242"/>
      <c r="BM243" s="214"/>
      <c r="BN243" s="214"/>
      <c r="BO243" s="1131"/>
      <c r="BP243" s="1153"/>
      <c r="BQ243" s="242"/>
      <c r="BR243" s="242"/>
      <c r="BS243" s="242"/>
      <c r="BT243" s="242">
        <f t="shared" si="10"/>
        <v>0</v>
      </c>
      <c r="BU243" s="242"/>
      <c r="BV243" s="242"/>
      <c r="BW243" s="237"/>
      <c r="BX243" s="214"/>
      <c r="BY243" s="1131"/>
      <c r="BZ243" s="1153"/>
      <c r="CA243" s="242"/>
      <c r="CB243" s="242"/>
      <c r="CC243" s="242"/>
      <c r="CD243" s="242">
        <f t="shared" si="11"/>
        <v>0</v>
      </c>
      <c r="CE243" s="242"/>
      <c r="CF243" s="242"/>
      <c r="CG243" s="214"/>
      <c r="CH243" s="214"/>
      <c r="CI243" s="1131"/>
      <c r="CJ243" s="1153"/>
      <c r="CK243" s="242"/>
      <c r="CL243" s="242"/>
      <c r="CM243" s="242"/>
      <c r="CN243" s="242">
        <f t="shared" si="12"/>
        <v>0</v>
      </c>
      <c r="CO243" s="242"/>
      <c r="CP243" s="242"/>
      <c r="CQ243" s="214"/>
      <c r="CR243" s="214"/>
      <c r="CS243" s="1131"/>
      <c r="CT243" s="1153"/>
      <c r="CU243" s="242"/>
      <c r="CV243" s="242"/>
      <c r="CW243" s="242"/>
      <c r="CX243" s="242">
        <f t="shared" si="13"/>
        <v>0</v>
      </c>
      <c r="CY243" s="242"/>
      <c r="CZ243" s="242"/>
      <c r="DA243" s="237"/>
      <c r="DB243" s="214"/>
      <c r="DC243" s="1131"/>
      <c r="DD243" s="1153"/>
      <c r="DE243" s="242"/>
      <c r="DF243" s="242"/>
      <c r="DG243" s="242"/>
      <c r="DH243" s="242">
        <f t="shared" si="14"/>
        <v>0</v>
      </c>
      <c r="DI243" s="242"/>
      <c r="DJ243" s="242"/>
      <c r="DK243" s="214"/>
      <c r="DL243" s="214"/>
      <c r="DM243" s="1131"/>
      <c r="DN243" s="1153"/>
      <c r="DO243" s="242"/>
      <c r="DP243" s="242"/>
      <c r="DQ243" s="242"/>
      <c r="DR243" s="242">
        <f t="shared" si="15"/>
        <v>0</v>
      </c>
      <c r="DS243" s="242"/>
      <c r="DT243" s="242"/>
      <c r="DU243" s="214"/>
      <c r="DV243" s="214"/>
      <c r="DW243" s="1131"/>
      <c r="DX243" s="1153"/>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24"/>
      <c r="C244" s="1124"/>
      <c r="D244" s="1124"/>
      <c r="E244" s="1124"/>
      <c r="F244" s="1125">
        <f t="shared" si="2"/>
        <v>0</v>
      </c>
      <c r="G244" s="1126" t="str">
        <f t="shared" si="3"/>
        <v/>
      </c>
      <c r="H244" s="112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7">
        <f t="shared" si="255"/>
        <v>0</v>
      </c>
      <c r="J244" s="1128">
        <f t="shared" si="255"/>
        <v>0</v>
      </c>
      <c r="K244" s="214"/>
      <c r="L244" s="214"/>
      <c r="M244" s="214"/>
      <c r="N244" s="214"/>
      <c r="O244" s="1087"/>
      <c r="P244" s="214"/>
      <c r="Q244" s="1131"/>
      <c r="R244" s="1153"/>
      <c r="S244" s="242"/>
      <c r="T244" s="242"/>
      <c r="U244" s="242"/>
      <c r="V244" s="242">
        <f t="shared" si="5"/>
        <v>0</v>
      </c>
      <c r="W244" s="242"/>
      <c r="X244" s="242"/>
      <c r="Y244" s="214"/>
      <c r="Z244" s="214"/>
      <c r="AA244" s="1131"/>
      <c r="AB244" s="1153"/>
      <c r="AC244" s="242"/>
      <c r="AD244" s="242"/>
      <c r="AE244" s="242"/>
      <c r="AF244" s="242">
        <f t="shared" si="6"/>
        <v>0</v>
      </c>
      <c r="AG244" s="242"/>
      <c r="AH244" s="242"/>
      <c r="AI244" s="214"/>
      <c r="AJ244" s="214"/>
      <c r="AK244" s="1131"/>
      <c r="AL244" s="1153"/>
      <c r="AM244" s="242"/>
      <c r="AN244" s="242"/>
      <c r="AO244" s="242"/>
      <c r="AP244" s="242">
        <f t="shared" si="7"/>
        <v>0</v>
      </c>
      <c r="AQ244" s="242"/>
      <c r="AR244" s="242"/>
      <c r="AS244" s="237"/>
      <c r="AT244" s="214"/>
      <c r="AU244" s="1138"/>
      <c r="AV244" s="1155"/>
      <c r="AW244" s="1140"/>
      <c r="AX244" s="1140"/>
      <c r="AY244" s="1140"/>
      <c r="AZ244" s="1140">
        <f t="shared" si="8"/>
        <v>0</v>
      </c>
      <c r="BA244" s="1140"/>
      <c r="BB244" s="1140"/>
      <c r="BC244" s="214"/>
      <c r="BD244" s="214"/>
      <c r="BE244" s="1131"/>
      <c r="BF244" s="1153"/>
      <c r="BG244" s="242"/>
      <c r="BH244" s="242"/>
      <c r="BI244" s="242"/>
      <c r="BJ244" s="242">
        <f t="shared" si="9"/>
        <v>0</v>
      </c>
      <c r="BK244" s="242"/>
      <c r="BL244" s="242"/>
      <c r="BM244" s="214"/>
      <c r="BN244" s="214"/>
      <c r="BO244" s="1131"/>
      <c r="BP244" s="1153"/>
      <c r="BQ244" s="242"/>
      <c r="BR244" s="242"/>
      <c r="BS244" s="242"/>
      <c r="BT244" s="242">
        <f t="shared" si="10"/>
        <v>0</v>
      </c>
      <c r="BU244" s="242"/>
      <c r="BV244" s="242"/>
      <c r="BW244" s="237"/>
      <c r="BX244" s="214"/>
      <c r="BY244" s="1131"/>
      <c r="BZ244" s="1153"/>
      <c r="CA244" s="242"/>
      <c r="CB244" s="242"/>
      <c r="CC244" s="242"/>
      <c r="CD244" s="242">
        <f t="shared" si="11"/>
        <v>0</v>
      </c>
      <c r="CE244" s="242"/>
      <c r="CF244" s="242"/>
      <c r="CG244" s="214"/>
      <c r="CH244" s="214"/>
      <c r="CI244" s="1131"/>
      <c r="CJ244" s="1153"/>
      <c r="CK244" s="242"/>
      <c r="CL244" s="242"/>
      <c r="CM244" s="242"/>
      <c r="CN244" s="242">
        <f t="shared" si="12"/>
        <v>0</v>
      </c>
      <c r="CO244" s="242"/>
      <c r="CP244" s="242"/>
      <c r="CQ244" s="214"/>
      <c r="CR244" s="214"/>
      <c r="CS244" s="1131"/>
      <c r="CT244" s="1153"/>
      <c r="CU244" s="242"/>
      <c r="CV244" s="242"/>
      <c r="CW244" s="242"/>
      <c r="CX244" s="242">
        <f t="shared" si="13"/>
        <v>0</v>
      </c>
      <c r="CY244" s="242"/>
      <c r="CZ244" s="242"/>
      <c r="DA244" s="237"/>
      <c r="DB244" s="214"/>
      <c r="DC244" s="1131"/>
      <c r="DD244" s="1153"/>
      <c r="DE244" s="242"/>
      <c r="DF244" s="242"/>
      <c r="DG244" s="242"/>
      <c r="DH244" s="242">
        <f t="shared" si="14"/>
        <v>0</v>
      </c>
      <c r="DI244" s="242"/>
      <c r="DJ244" s="242"/>
      <c r="DK244" s="214"/>
      <c r="DL244" s="214"/>
      <c r="DM244" s="1131"/>
      <c r="DN244" s="1153"/>
      <c r="DO244" s="242"/>
      <c r="DP244" s="242"/>
      <c r="DQ244" s="242"/>
      <c r="DR244" s="242">
        <f t="shared" si="15"/>
        <v>0</v>
      </c>
      <c r="DS244" s="242"/>
      <c r="DT244" s="242"/>
      <c r="DU244" s="214"/>
      <c r="DV244" s="214"/>
      <c r="DW244" s="1131"/>
      <c r="DX244" s="1153"/>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24"/>
      <c r="C245" s="1124"/>
      <c r="D245" s="1124"/>
      <c r="E245" s="1124"/>
      <c r="F245" s="1125">
        <f t="shared" si="2"/>
        <v>0</v>
      </c>
      <c r="G245" s="1126" t="str">
        <f t="shared" si="3"/>
        <v/>
      </c>
      <c r="H245" s="112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7">
        <f t="shared" si="256"/>
        <v>0</v>
      </c>
      <c r="J245" s="1128">
        <f t="shared" si="256"/>
        <v>0</v>
      </c>
      <c r="K245" s="214"/>
      <c r="L245" s="214"/>
      <c r="M245" s="214"/>
      <c r="N245" s="214"/>
      <c r="O245" s="1087"/>
      <c r="P245" s="214"/>
      <c r="Q245" s="1131"/>
      <c r="R245" s="1153"/>
      <c r="S245" s="242"/>
      <c r="T245" s="242"/>
      <c r="U245" s="242"/>
      <c r="V245" s="242">
        <f t="shared" si="5"/>
        <v>0</v>
      </c>
      <c r="W245" s="242"/>
      <c r="X245" s="242"/>
      <c r="Y245" s="214"/>
      <c r="Z245" s="214"/>
      <c r="AA245" s="1131"/>
      <c r="AB245" s="1153"/>
      <c r="AC245" s="242"/>
      <c r="AD245" s="242"/>
      <c r="AE245" s="242"/>
      <c r="AF245" s="242">
        <f t="shared" si="6"/>
        <v>0</v>
      </c>
      <c r="AG245" s="242"/>
      <c r="AH245" s="242"/>
      <c r="AI245" s="214"/>
      <c r="AJ245" s="214"/>
      <c r="AK245" s="1131"/>
      <c r="AL245" s="1153"/>
      <c r="AM245" s="242"/>
      <c r="AN245" s="242"/>
      <c r="AO245" s="242"/>
      <c r="AP245" s="242">
        <f t="shared" si="7"/>
        <v>0</v>
      </c>
      <c r="AQ245" s="242"/>
      <c r="AR245" s="242"/>
      <c r="AS245" s="237"/>
      <c r="AT245" s="214"/>
      <c r="AU245" s="1138"/>
      <c r="AV245" s="1155"/>
      <c r="AW245" s="1140"/>
      <c r="AX245" s="1140"/>
      <c r="AY245" s="1140"/>
      <c r="AZ245" s="1140">
        <f t="shared" si="8"/>
        <v>0</v>
      </c>
      <c r="BA245" s="1140"/>
      <c r="BB245" s="1140"/>
      <c r="BC245" s="214"/>
      <c r="BD245" s="214"/>
      <c r="BE245" s="1131"/>
      <c r="BF245" s="1153"/>
      <c r="BG245" s="242"/>
      <c r="BH245" s="242"/>
      <c r="BI245" s="242"/>
      <c r="BJ245" s="242">
        <f t="shared" si="9"/>
        <v>0</v>
      </c>
      <c r="BK245" s="242"/>
      <c r="BL245" s="242"/>
      <c r="BM245" s="214"/>
      <c r="BN245" s="214"/>
      <c r="BO245" s="1131"/>
      <c r="BP245" s="1153"/>
      <c r="BQ245" s="242"/>
      <c r="BR245" s="242"/>
      <c r="BS245" s="242"/>
      <c r="BT245" s="242">
        <f t="shared" si="10"/>
        <v>0</v>
      </c>
      <c r="BU245" s="242"/>
      <c r="BV245" s="242"/>
      <c r="BW245" s="237"/>
      <c r="BX245" s="214"/>
      <c r="BY245" s="1131"/>
      <c r="BZ245" s="1153"/>
      <c r="CA245" s="242"/>
      <c r="CB245" s="242"/>
      <c r="CC245" s="242"/>
      <c r="CD245" s="242">
        <f t="shared" si="11"/>
        <v>0</v>
      </c>
      <c r="CE245" s="242"/>
      <c r="CF245" s="242"/>
      <c r="CG245" s="214"/>
      <c r="CH245" s="214"/>
      <c r="CI245" s="1131"/>
      <c r="CJ245" s="1153"/>
      <c r="CK245" s="242"/>
      <c r="CL245" s="242"/>
      <c r="CM245" s="242"/>
      <c r="CN245" s="242">
        <f t="shared" si="12"/>
        <v>0</v>
      </c>
      <c r="CO245" s="242"/>
      <c r="CP245" s="242"/>
      <c r="CQ245" s="214"/>
      <c r="CR245" s="214"/>
      <c r="CS245" s="1131"/>
      <c r="CT245" s="1153"/>
      <c r="CU245" s="242"/>
      <c r="CV245" s="242"/>
      <c r="CW245" s="242"/>
      <c r="CX245" s="242">
        <f t="shared" si="13"/>
        <v>0</v>
      </c>
      <c r="CY245" s="242"/>
      <c r="CZ245" s="242"/>
      <c r="DA245" s="237"/>
      <c r="DB245" s="214"/>
      <c r="DC245" s="1131"/>
      <c r="DD245" s="1153"/>
      <c r="DE245" s="242"/>
      <c r="DF245" s="242"/>
      <c r="DG245" s="242"/>
      <c r="DH245" s="242">
        <f t="shared" si="14"/>
        <v>0</v>
      </c>
      <c r="DI245" s="242"/>
      <c r="DJ245" s="242"/>
      <c r="DK245" s="214"/>
      <c r="DL245" s="214"/>
      <c r="DM245" s="1131"/>
      <c r="DN245" s="1153"/>
      <c r="DO245" s="242"/>
      <c r="DP245" s="242"/>
      <c r="DQ245" s="242"/>
      <c r="DR245" s="242">
        <f t="shared" si="15"/>
        <v>0</v>
      </c>
      <c r="DS245" s="242"/>
      <c r="DT245" s="242"/>
      <c r="DU245" s="214"/>
      <c r="DV245" s="214"/>
      <c r="DW245" s="1131"/>
      <c r="DX245" s="1153"/>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24"/>
      <c r="C246" s="1124"/>
      <c r="D246" s="1124"/>
      <c r="E246" s="1124"/>
      <c r="F246" s="1125">
        <f t="shared" si="2"/>
        <v>0</v>
      </c>
      <c r="G246" s="1126" t="str">
        <f t="shared" si="3"/>
        <v/>
      </c>
      <c r="H246" s="112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7">
        <f t="shared" si="257"/>
        <v>0</v>
      </c>
      <c r="J246" s="1128">
        <f t="shared" si="257"/>
        <v>0</v>
      </c>
      <c r="K246" s="214"/>
      <c r="L246" s="214"/>
      <c r="M246" s="214"/>
      <c r="N246" s="214"/>
      <c r="O246" s="1087"/>
      <c r="P246" s="214"/>
      <c r="Q246" s="1131"/>
      <c r="R246" s="1153"/>
      <c r="S246" s="242"/>
      <c r="T246" s="242"/>
      <c r="U246" s="242"/>
      <c r="V246" s="242">
        <f t="shared" si="5"/>
        <v>0</v>
      </c>
      <c r="W246" s="242"/>
      <c r="X246" s="242"/>
      <c r="Y246" s="214"/>
      <c r="Z246" s="214"/>
      <c r="AA246" s="1131"/>
      <c r="AB246" s="1153"/>
      <c r="AC246" s="242"/>
      <c r="AD246" s="242"/>
      <c r="AE246" s="242"/>
      <c r="AF246" s="242">
        <f t="shared" si="6"/>
        <v>0</v>
      </c>
      <c r="AG246" s="242"/>
      <c r="AH246" s="242"/>
      <c r="AI246" s="214"/>
      <c r="AJ246" s="214"/>
      <c r="AK246" s="1131"/>
      <c r="AL246" s="1153"/>
      <c r="AM246" s="242"/>
      <c r="AN246" s="242"/>
      <c r="AO246" s="242"/>
      <c r="AP246" s="242">
        <f t="shared" si="7"/>
        <v>0</v>
      </c>
      <c r="AQ246" s="242"/>
      <c r="AR246" s="242"/>
      <c r="AS246" s="237"/>
      <c r="AT246" s="214"/>
      <c r="AU246" s="1138"/>
      <c r="AV246" s="1155"/>
      <c r="AW246" s="1140"/>
      <c r="AX246" s="1140"/>
      <c r="AY246" s="1140"/>
      <c r="AZ246" s="1140">
        <f t="shared" si="8"/>
        <v>0</v>
      </c>
      <c r="BA246" s="1140"/>
      <c r="BB246" s="1140"/>
      <c r="BC246" s="214"/>
      <c r="BD246" s="214"/>
      <c r="BE246" s="1131"/>
      <c r="BF246" s="1153"/>
      <c r="BG246" s="242"/>
      <c r="BH246" s="242"/>
      <c r="BI246" s="242"/>
      <c r="BJ246" s="242">
        <f t="shared" si="9"/>
        <v>0</v>
      </c>
      <c r="BK246" s="242"/>
      <c r="BL246" s="242"/>
      <c r="BM246" s="214"/>
      <c r="BN246" s="214"/>
      <c r="BO246" s="1131"/>
      <c r="BP246" s="1153"/>
      <c r="BQ246" s="242"/>
      <c r="BR246" s="242"/>
      <c r="BS246" s="242"/>
      <c r="BT246" s="242">
        <f t="shared" si="10"/>
        <v>0</v>
      </c>
      <c r="BU246" s="242"/>
      <c r="BV246" s="242"/>
      <c r="BW246" s="237"/>
      <c r="BX246" s="214"/>
      <c r="BY246" s="1131"/>
      <c r="BZ246" s="1153"/>
      <c r="CA246" s="242"/>
      <c r="CB246" s="242"/>
      <c r="CC246" s="242"/>
      <c r="CD246" s="242">
        <f t="shared" si="11"/>
        <v>0</v>
      </c>
      <c r="CE246" s="242"/>
      <c r="CF246" s="242"/>
      <c r="CG246" s="214"/>
      <c r="CH246" s="214"/>
      <c r="CI246" s="1131"/>
      <c r="CJ246" s="1153"/>
      <c r="CK246" s="242"/>
      <c r="CL246" s="242"/>
      <c r="CM246" s="242"/>
      <c r="CN246" s="242">
        <f t="shared" si="12"/>
        <v>0</v>
      </c>
      <c r="CO246" s="242"/>
      <c r="CP246" s="242"/>
      <c r="CQ246" s="214"/>
      <c r="CR246" s="214"/>
      <c r="CS246" s="1131"/>
      <c r="CT246" s="1153"/>
      <c r="CU246" s="242"/>
      <c r="CV246" s="242"/>
      <c r="CW246" s="242"/>
      <c r="CX246" s="242">
        <f t="shared" si="13"/>
        <v>0</v>
      </c>
      <c r="CY246" s="242"/>
      <c r="CZ246" s="242"/>
      <c r="DA246" s="237"/>
      <c r="DB246" s="214"/>
      <c r="DC246" s="1131"/>
      <c r="DD246" s="1153"/>
      <c r="DE246" s="242"/>
      <c r="DF246" s="242"/>
      <c r="DG246" s="242"/>
      <c r="DH246" s="242">
        <f t="shared" si="14"/>
        <v>0</v>
      </c>
      <c r="DI246" s="242"/>
      <c r="DJ246" s="242"/>
      <c r="DK246" s="214"/>
      <c r="DL246" s="214"/>
      <c r="DM246" s="1131"/>
      <c r="DN246" s="1153"/>
      <c r="DO246" s="242"/>
      <c r="DP246" s="242"/>
      <c r="DQ246" s="242"/>
      <c r="DR246" s="242">
        <f t="shared" si="15"/>
        <v>0</v>
      </c>
      <c r="DS246" s="242"/>
      <c r="DT246" s="242"/>
      <c r="DU246" s="214"/>
      <c r="DV246" s="214"/>
      <c r="DW246" s="1131"/>
      <c r="DX246" s="1153"/>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24"/>
      <c r="C247" s="1124"/>
      <c r="D247" s="1124"/>
      <c r="E247" s="1124"/>
      <c r="F247" s="1125">
        <f t="shared" si="2"/>
        <v>0</v>
      </c>
      <c r="G247" s="1126" t="str">
        <f t="shared" si="3"/>
        <v/>
      </c>
      <c r="H247" s="112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7">
        <f t="shared" si="258"/>
        <v>0</v>
      </c>
      <c r="J247" s="1128">
        <f t="shared" si="258"/>
        <v>0</v>
      </c>
      <c r="K247" s="214"/>
      <c r="L247" s="214"/>
      <c r="M247" s="214"/>
      <c r="N247" s="214"/>
      <c r="O247" s="1087"/>
      <c r="P247" s="214"/>
      <c r="Q247" s="1131"/>
      <c r="R247" s="1153"/>
      <c r="S247" s="242"/>
      <c r="T247" s="242"/>
      <c r="U247" s="242"/>
      <c r="V247" s="242">
        <f t="shared" si="5"/>
        <v>0</v>
      </c>
      <c r="W247" s="242"/>
      <c r="X247" s="242"/>
      <c r="Y247" s="214"/>
      <c r="Z247" s="214"/>
      <c r="AA247" s="1131"/>
      <c r="AB247" s="1153"/>
      <c r="AC247" s="242"/>
      <c r="AD247" s="242"/>
      <c r="AE247" s="242"/>
      <c r="AF247" s="242">
        <f t="shared" si="6"/>
        <v>0</v>
      </c>
      <c r="AG247" s="242"/>
      <c r="AH247" s="242"/>
      <c r="AI247" s="214"/>
      <c r="AJ247" s="214"/>
      <c r="AK247" s="1131"/>
      <c r="AL247" s="1153"/>
      <c r="AM247" s="242"/>
      <c r="AN247" s="242"/>
      <c r="AO247" s="242"/>
      <c r="AP247" s="242">
        <f t="shared" si="7"/>
        <v>0</v>
      </c>
      <c r="AQ247" s="242"/>
      <c r="AR247" s="242"/>
      <c r="AS247" s="237"/>
      <c r="AT247" s="214"/>
      <c r="AU247" s="1138"/>
      <c r="AV247" s="1155"/>
      <c r="AW247" s="1140"/>
      <c r="AX247" s="1140"/>
      <c r="AY247" s="1140"/>
      <c r="AZ247" s="1140">
        <f t="shared" si="8"/>
        <v>0</v>
      </c>
      <c r="BA247" s="1140"/>
      <c r="BB247" s="1140"/>
      <c r="BC247" s="214"/>
      <c r="BD247" s="214"/>
      <c r="BE247" s="1131"/>
      <c r="BF247" s="1153"/>
      <c r="BG247" s="242"/>
      <c r="BH247" s="242"/>
      <c r="BI247" s="242"/>
      <c r="BJ247" s="242">
        <f t="shared" si="9"/>
        <v>0</v>
      </c>
      <c r="BK247" s="242"/>
      <c r="BL247" s="242"/>
      <c r="BM247" s="214"/>
      <c r="BN247" s="214"/>
      <c r="BO247" s="1131"/>
      <c r="BP247" s="1153"/>
      <c r="BQ247" s="242"/>
      <c r="BR247" s="242"/>
      <c r="BS247" s="242"/>
      <c r="BT247" s="242">
        <f t="shared" si="10"/>
        <v>0</v>
      </c>
      <c r="BU247" s="242"/>
      <c r="BV247" s="242"/>
      <c r="BW247" s="237"/>
      <c r="BX247" s="214"/>
      <c r="BY247" s="1131"/>
      <c r="BZ247" s="1153"/>
      <c r="CA247" s="242"/>
      <c r="CB247" s="242"/>
      <c r="CC247" s="242"/>
      <c r="CD247" s="242">
        <f t="shared" si="11"/>
        <v>0</v>
      </c>
      <c r="CE247" s="242"/>
      <c r="CF247" s="242"/>
      <c r="CG247" s="214"/>
      <c r="CH247" s="214"/>
      <c r="CI247" s="1131"/>
      <c r="CJ247" s="1153"/>
      <c r="CK247" s="242"/>
      <c r="CL247" s="242"/>
      <c r="CM247" s="242"/>
      <c r="CN247" s="242">
        <f t="shared" si="12"/>
        <v>0</v>
      </c>
      <c r="CO247" s="242"/>
      <c r="CP247" s="242"/>
      <c r="CQ247" s="214"/>
      <c r="CR247" s="214"/>
      <c r="CS247" s="1131"/>
      <c r="CT247" s="1153"/>
      <c r="CU247" s="242"/>
      <c r="CV247" s="242"/>
      <c r="CW247" s="242"/>
      <c r="CX247" s="242">
        <f t="shared" si="13"/>
        <v>0</v>
      </c>
      <c r="CY247" s="242"/>
      <c r="CZ247" s="242"/>
      <c r="DA247" s="237"/>
      <c r="DB247" s="214"/>
      <c r="DC247" s="1131"/>
      <c r="DD247" s="1153"/>
      <c r="DE247" s="242"/>
      <c r="DF247" s="242"/>
      <c r="DG247" s="242"/>
      <c r="DH247" s="242">
        <f t="shared" si="14"/>
        <v>0</v>
      </c>
      <c r="DI247" s="242"/>
      <c r="DJ247" s="242"/>
      <c r="DK247" s="214"/>
      <c r="DL247" s="214"/>
      <c r="DM247" s="1131"/>
      <c r="DN247" s="1153"/>
      <c r="DO247" s="242"/>
      <c r="DP247" s="242"/>
      <c r="DQ247" s="242"/>
      <c r="DR247" s="242">
        <f t="shared" si="15"/>
        <v>0</v>
      </c>
      <c r="DS247" s="242"/>
      <c r="DT247" s="242"/>
      <c r="DU247" s="214"/>
      <c r="DV247" s="214"/>
      <c r="DW247" s="1131"/>
      <c r="DX247" s="1153"/>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24"/>
      <c r="C248" s="1124"/>
      <c r="D248" s="1124"/>
      <c r="E248" s="1124"/>
      <c r="F248" s="1125">
        <f t="shared" si="2"/>
        <v>0</v>
      </c>
      <c r="G248" s="1126" t="str">
        <f t="shared" si="3"/>
        <v/>
      </c>
      <c r="H248" s="112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7">
        <f t="shared" si="259"/>
        <v>0</v>
      </c>
      <c r="J248" s="1128">
        <f t="shared" si="259"/>
        <v>0</v>
      </c>
      <c r="K248" s="214"/>
      <c r="L248" s="214"/>
      <c r="M248" s="214"/>
      <c r="N248" s="214"/>
      <c r="O248" s="1087"/>
      <c r="P248" s="214"/>
      <c r="Q248" s="1131"/>
      <c r="R248" s="1153"/>
      <c r="S248" s="242"/>
      <c r="T248" s="242"/>
      <c r="U248" s="242"/>
      <c r="V248" s="242">
        <f t="shared" si="5"/>
        <v>0</v>
      </c>
      <c r="W248" s="242"/>
      <c r="X248" s="242"/>
      <c r="Y248" s="214"/>
      <c r="Z248" s="214"/>
      <c r="AA248" s="1131"/>
      <c r="AB248" s="1153"/>
      <c r="AC248" s="242"/>
      <c r="AD248" s="242"/>
      <c r="AE248" s="242"/>
      <c r="AF248" s="242">
        <f t="shared" si="6"/>
        <v>0</v>
      </c>
      <c r="AG248" s="242"/>
      <c r="AH248" s="242"/>
      <c r="AI248" s="214"/>
      <c r="AJ248" s="214"/>
      <c r="AK248" s="1131"/>
      <c r="AL248" s="1153"/>
      <c r="AM248" s="242"/>
      <c r="AN248" s="242"/>
      <c r="AO248" s="242"/>
      <c r="AP248" s="242">
        <f t="shared" si="7"/>
        <v>0</v>
      </c>
      <c r="AQ248" s="242"/>
      <c r="AR248" s="242"/>
      <c r="AS248" s="237"/>
      <c r="AT248" s="214"/>
      <c r="AU248" s="1138"/>
      <c r="AV248" s="1155"/>
      <c r="AW248" s="1140"/>
      <c r="AX248" s="1140"/>
      <c r="AY248" s="1140"/>
      <c r="AZ248" s="1140">
        <f t="shared" si="8"/>
        <v>0</v>
      </c>
      <c r="BA248" s="1140"/>
      <c r="BB248" s="1140"/>
      <c r="BC248" s="214"/>
      <c r="BD248" s="214"/>
      <c r="BE248" s="1131"/>
      <c r="BF248" s="1153"/>
      <c r="BG248" s="242"/>
      <c r="BH248" s="242"/>
      <c r="BI248" s="242"/>
      <c r="BJ248" s="242">
        <f t="shared" si="9"/>
        <v>0</v>
      </c>
      <c r="BK248" s="242"/>
      <c r="BL248" s="242"/>
      <c r="BM248" s="214"/>
      <c r="BN248" s="214"/>
      <c r="BO248" s="1131"/>
      <c r="BP248" s="1153"/>
      <c r="BQ248" s="242"/>
      <c r="BR248" s="242"/>
      <c r="BS248" s="242"/>
      <c r="BT248" s="242">
        <f t="shared" si="10"/>
        <v>0</v>
      </c>
      <c r="BU248" s="242"/>
      <c r="BV248" s="242"/>
      <c r="BW248" s="237"/>
      <c r="BX248" s="214"/>
      <c r="BY248" s="1131"/>
      <c r="BZ248" s="1153"/>
      <c r="CA248" s="242"/>
      <c r="CB248" s="242"/>
      <c r="CC248" s="242"/>
      <c r="CD248" s="242">
        <f t="shared" si="11"/>
        <v>0</v>
      </c>
      <c r="CE248" s="242"/>
      <c r="CF248" s="242"/>
      <c r="CG248" s="214"/>
      <c r="CH248" s="214"/>
      <c r="CI248" s="1131"/>
      <c r="CJ248" s="1153"/>
      <c r="CK248" s="242"/>
      <c r="CL248" s="242"/>
      <c r="CM248" s="242"/>
      <c r="CN248" s="242">
        <f t="shared" si="12"/>
        <v>0</v>
      </c>
      <c r="CO248" s="242"/>
      <c r="CP248" s="242"/>
      <c r="CQ248" s="214"/>
      <c r="CR248" s="214"/>
      <c r="CS248" s="1131"/>
      <c r="CT248" s="1153"/>
      <c r="CU248" s="242"/>
      <c r="CV248" s="242"/>
      <c r="CW248" s="242"/>
      <c r="CX248" s="242">
        <f t="shared" si="13"/>
        <v>0</v>
      </c>
      <c r="CY248" s="242"/>
      <c r="CZ248" s="242"/>
      <c r="DA248" s="237"/>
      <c r="DB248" s="214"/>
      <c r="DC248" s="1131"/>
      <c r="DD248" s="1153"/>
      <c r="DE248" s="242"/>
      <c r="DF248" s="242"/>
      <c r="DG248" s="242"/>
      <c r="DH248" s="242">
        <f t="shared" si="14"/>
        <v>0</v>
      </c>
      <c r="DI248" s="242"/>
      <c r="DJ248" s="242"/>
      <c r="DK248" s="214"/>
      <c r="DL248" s="214"/>
      <c r="DM248" s="1131"/>
      <c r="DN248" s="1153"/>
      <c r="DO248" s="242"/>
      <c r="DP248" s="242"/>
      <c r="DQ248" s="242"/>
      <c r="DR248" s="242">
        <f t="shared" si="15"/>
        <v>0</v>
      </c>
      <c r="DS248" s="242"/>
      <c r="DT248" s="242"/>
      <c r="DU248" s="214"/>
      <c r="DV248" s="214"/>
      <c r="DW248" s="1131"/>
      <c r="DX248" s="1153"/>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24"/>
      <c r="C249" s="1124"/>
      <c r="D249" s="1124"/>
      <c r="E249" s="1124"/>
      <c r="F249" s="1125">
        <f t="shared" si="2"/>
        <v>0</v>
      </c>
      <c r="G249" s="1126" t="str">
        <f t="shared" si="3"/>
        <v/>
      </c>
      <c r="H249" s="112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7">
        <f t="shared" si="260"/>
        <v>0</v>
      </c>
      <c r="J249" s="1128">
        <f t="shared" si="260"/>
        <v>0</v>
      </c>
      <c r="K249" s="214"/>
      <c r="L249" s="214"/>
      <c r="M249" s="214"/>
      <c r="N249" s="214"/>
      <c r="O249" s="1087"/>
      <c r="P249" s="214"/>
      <c r="Q249" s="1131"/>
      <c r="R249" s="1153"/>
      <c r="S249" s="242"/>
      <c r="T249" s="242"/>
      <c r="U249" s="242"/>
      <c r="V249" s="242">
        <f t="shared" si="5"/>
        <v>0</v>
      </c>
      <c r="W249" s="242"/>
      <c r="X249" s="242"/>
      <c r="Y249" s="214"/>
      <c r="Z249" s="214"/>
      <c r="AA249" s="1131"/>
      <c r="AB249" s="1153"/>
      <c r="AC249" s="242"/>
      <c r="AD249" s="242"/>
      <c r="AE249" s="242"/>
      <c r="AF249" s="242">
        <f t="shared" si="6"/>
        <v>0</v>
      </c>
      <c r="AG249" s="242"/>
      <c r="AH249" s="242"/>
      <c r="AI249" s="214"/>
      <c r="AJ249" s="214"/>
      <c r="AK249" s="1131"/>
      <c r="AL249" s="1153"/>
      <c r="AM249" s="242"/>
      <c r="AN249" s="242"/>
      <c r="AO249" s="242"/>
      <c r="AP249" s="242">
        <f t="shared" si="7"/>
        <v>0</v>
      </c>
      <c r="AQ249" s="242"/>
      <c r="AR249" s="242"/>
      <c r="AS249" s="237"/>
      <c r="AT249" s="214"/>
      <c r="AU249" s="1138"/>
      <c r="AV249" s="1155"/>
      <c r="AW249" s="1140"/>
      <c r="AX249" s="1140"/>
      <c r="AY249" s="1140"/>
      <c r="AZ249" s="1140">
        <f t="shared" si="8"/>
        <v>0</v>
      </c>
      <c r="BA249" s="1140"/>
      <c r="BB249" s="1140"/>
      <c r="BC249" s="214"/>
      <c r="BD249" s="214"/>
      <c r="BE249" s="1131"/>
      <c r="BF249" s="1153"/>
      <c r="BG249" s="242"/>
      <c r="BH249" s="242"/>
      <c r="BI249" s="242"/>
      <c r="BJ249" s="242">
        <f t="shared" si="9"/>
        <v>0</v>
      </c>
      <c r="BK249" s="242"/>
      <c r="BL249" s="242"/>
      <c r="BM249" s="214"/>
      <c r="BN249" s="214"/>
      <c r="BO249" s="1131"/>
      <c r="BP249" s="1153"/>
      <c r="BQ249" s="242"/>
      <c r="BR249" s="242"/>
      <c r="BS249" s="242"/>
      <c r="BT249" s="242">
        <f t="shared" si="10"/>
        <v>0</v>
      </c>
      <c r="BU249" s="242"/>
      <c r="BV249" s="242"/>
      <c r="BW249" s="237"/>
      <c r="BX249" s="214"/>
      <c r="BY249" s="1131"/>
      <c r="BZ249" s="1153"/>
      <c r="CA249" s="242"/>
      <c r="CB249" s="242"/>
      <c r="CC249" s="242"/>
      <c r="CD249" s="242">
        <f t="shared" si="11"/>
        <v>0</v>
      </c>
      <c r="CE249" s="242"/>
      <c r="CF249" s="242"/>
      <c r="CG249" s="214"/>
      <c r="CH249" s="214"/>
      <c r="CI249" s="1131"/>
      <c r="CJ249" s="1153"/>
      <c r="CK249" s="242"/>
      <c r="CL249" s="242"/>
      <c r="CM249" s="242"/>
      <c r="CN249" s="242">
        <f t="shared" si="12"/>
        <v>0</v>
      </c>
      <c r="CO249" s="242"/>
      <c r="CP249" s="242"/>
      <c r="CQ249" s="214"/>
      <c r="CR249" s="214"/>
      <c r="CS249" s="1131"/>
      <c r="CT249" s="1153"/>
      <c r="CU249" s="242"/>
      <c r="CV249" s="242"/>
      <c r="CW249" s="242"/>
      <c r="CX249" s="242">
        <f t="shared" si="13"/>
        <v>0</v>
      </c>
      <c r="CY249" s="242"/>
      <c r="CZ249" s="242"/>
      <c r="DA249" s="237"/>
      <c r="DB249" s="214"/>
      <c r="DC249" s="1131"/>
      <c r="DD249" s="1153"/>
      <c r="DE249" s="242"/>
      <c r="DF249" s="242"/>
      <c r="DG249" s="242"/>
      <c r="DH249" s="242">
        <f t="shared" si="14"/>
        <v>0</v>
      </c>
      <c r="DI249" s="242"/>
      <c r="DJ249" s="242"/>
      <c r="DK249" s="214"/>
      <c r="DL249" s="214"/>
      <c r="DM249" s="1131"/>
      <c r="DN249" s="1153"/>
      <c r="DO249" s="242"/>
      <c r="DP249" s="242"/>
      <c r="DQ249" s="242"/>
      <c r="DR249" s="242">
        <f t="shared" si="15"/>
        <v>0</v>
      </c>
      <c r="DS249" s="242"/>
      <c r="DT249" s="242"/>
      <c r="DU249" s="214"/>
      <c r="DV249" s="214"/>
      <c r="DW249" s="1131"/>
      <c r="DX249" s="1153"/>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24"/>
      <c r="C250" s="1124"/>
      <c r="D250" s="1124"/>
      <c r="E250" s="1124"/>
      <c r="F250" s="1125">
        <f t="shared" si="2"/>
        <v>0</v>
      </c>
      <c r="G250" s="1126" t="str">
        <f t="shared" si="3"/>
        <v/>
      </c>
      <c r="H250" s="112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7">
        <f t="shared" si="261"/>
        <v>0</v>
      </c>
      <c r="J250" s="1128">
        <f t="shared" si="261"/>
        <v>0</v>
      </c>
      <c r="K250" s="214"/>
      <c r="L250" s="214"/>
      <c r="M250" s="214"/>
      <c r="N250" s="214"/>
      <c r="O250" s="1087"/>
      <c r="P250" s="214"/>
      <c r="Q250" s="1131"/>
      <c r="R250" s="1153"/>
      <c r="S250" s="242"/>
      <c r="T250" s="242"/>
      <c r="U250" s="242"/>
      <c r="V250" s="242">
        <f t="shared" si="5"/>
        <v>0</v>
      </c>
      <c r="W250" s="242"/>
      <c r="X250" s="242"/>
      <c r="Y250" s="214"/>
      <c r="Z250" s="214"/>
      <c r="AA250" s="1131"/>
      <c r="AB250" s="1153"/>
      <c r="AC250" s="242"/>
      <c r="AD250" s="242"/>
      <c r="AE250" s="242"/>
      <c r="AF250" s="242">
        <f t="shared" si="6"/>
        <v>0</v>
      </c>
      <c r="AG250" s="242"/>
      <c r="AH250" s="242"/>
      <c r="AI250" s="214"/>
      <c r="AJ250" s="214"/>
      <c r="AK250" s="1131"/>
      <c r="AL250" s="1153"/>
      <c r="AM250" s="242"/>
      <c r="AN250" s="242"/>
      <c r="AO250" s="242"/>
      <c r="AP250" s="242">
        <f t="shared" si="7"/>
        <v>0</v>
      </c>
      <c r="AQ250" s="242"/>
      <c r="AR250" s="242"/>
      <c r="AS250" s="237"/>
      <c r="AT250" s="214"/>
      <c r="AU250" s="1138"/>
      <c r="AV250" s="1155"/>
      <c r="AW250" s="1140"/>
      <c r="AX250" s="1140"/>
      <c r="AY250" s="1140"/>
      <c r="AZ250" s="1140">
        <f t="shared" si="8"/>
        <v>0</v>
      </c>
      <c r="BA250" s="1140"/>
      <c r="BB250" s="1140"/>
      <c r="BC250" s="214"/>
      <c r="BD250" s="214"/>
      <c r="BE250" s="1131"/>
      <c r="BF250" s="1153"/>
      <c r="BG250" s="242"/>
      <c r="BH250" s="242"/>
      <c r="BI250" s="242"/>
      <c r="BJ250" s="242">
        <f t="shared" si="9"/>
        <v>0</v>
      </c>
      <c r="BK250" s="242"/>
      <c r="BL250" s="242"/>
      <c r="BM250" s="214"/>
      <c r="BN250" s="214"/>
      <c r="BO250" s="1131"/>
      <c r="BP250" s="1153"/>
      <c r="BQ250" s="242"/>
      <c r="BR250" s="242"/>
      <c r="BS250" s="242"/>
      <c r="BT250" s="242">
        <f t="shared" si="10"/>
        <v>0</v>
      </c>
      <c r="BU250" s="242"/>
      <c r="BV250" s="242"/>
      <c r="BW250" s="237"/>
      <c r="BX250" s="214"/>
      <c r="BY250" s="1131"/>
      <c r="BZ250" s="1153"/>
      <c r="CA250" s="242"/>
      <c r="CB250" s="242"/>
      <c r="CC250" s="242"/>
      <c r="CD250" s="242">
        <f t="shared" si="11"/>
        <v>0</v>
      </c>
      <c r="CE250" s="242"/>
      <c r="CF250" s="242"/>
      <c r="CG250" s="214"/>
      <c r="CH250" s="214"/>
      <c r="CI250" s="1131"/>
      <c r="CJ250" s="1153"/>
      <c r="CK250" s="242"/>
      <c r="CL250" s="242"/>
      <c r="CM250" s="242"/>
      <c r="CN250" s="242">
        <f t="shared" si="12"/>
        <v>0</v>
      </c>
      <c r="CO250" s="242"/>
      <c r="CP250" s="242"/>
      <c r="CQ250" s="214"/>
      <c r="CR250" s="214"/>
      <c r="CS250" s="1131"/>
      <c r="CT250" s="1153"/>
      <c r="CU250" s="242"/>
      <c r="CV250" s="242"/>
      <c r="CW250" s="242"/>
      <c r="CX250" s="242">
        <f t="shared" si="13"/>
        <v>0</v>
      </c>
      <c r="CY250" s="242"/>
      <c r="CZ250" s="242"/>
      <c r="DA250" s="237"/>
      <c r="DB250" s="214"/>
      <c r="DC250" s="1131"/>
      <c r="DD250" s="1153"/>
      <c r="DE250" s="242"/>
      <c r="DF250" s="242"/>
      <c r="DG250" s="242"/>
      <c r="DH250" s="242">
        <f t="shared" si="14"/>
        <v>0</v>
      </c>
      <c r="DI250" s="242"/>
      <c r="DJ250" s="242"/>
      <c r="DK250" s="214"/>
      <c r="DL250" s="214"/>
      <c r="DM250" s="1131"/>
      <c r="DN250" s="1153"/>
      <c r="DO250" s="242"/>
      <c r="DP250" s="242"/>
      <c r="DQ250" s="242"/>
      <c r="DR250" s="242">
        <f t="shared" si="15"/>
        <v>0</v>
      </c>
      <c r="DS250" s="242"/>
      <c r="DT250" s="242"/>
      <c r="DU250" s="214"/>
      <c r="DV250" s="214"/>
      <c r="DW250" s="1131"/>
      <c r="DX250" s="1153"/>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24"/>
      <c r="C251" s="1124"/>
      <c r="D251" s="1124"/>
      <c r="E251" s="1124"/>
      <c r="F251" s="1125">
        <f t="shared" si="2"/>
        <v>0</v>
      </c>
      <c r="G251" s="1126" t="str">
        <f t="shared" si="3"/>
        <v/>
      </c>
      <c r="H251" s="112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7">
        <f t="shared" si="262"/>
        <v>0</v>
      </c>
      <c r="J251" s="1128">
        <f t="shared" si="262"/>
        <v>0</v>
      </c>
      <c r="K251" s="214"/>
      <c r="L251" s="214"/>
      <c r="M251" s="214"/>
      <c r="N251" s="214"/>
      <c r="O251" s="1087"/>
      <c r="P251" s="214"/>
      <c r="Q251" s="1131"/>
      <c r="R251" s="1153"/>
      <c r="S251" s="242"/>
      <c r="T251" s="242"/>
      <c r="U251" s="242"/>
      <c r="V251" s="242">
        <f t="shared" si="5"/>
        <v>0</v>
      </c>
      <c r="W251" s="242"/>
      <c r="X251" s="242"/>
      <c r="Y251" s="214"/>
      <c r="Z251" s="214"/>
      <c r="AA251" s="1131"/>
      <c r="AB251" s="1153"/>
      <c r="AC251" s="242"/>
      <c r="AD251" s="242"/>
      <c r="AE251" s="242"/>
      <c r="AF251" s="242">
        <f t="shared" si="6"/>
        <v>0</v>
      </c>
      <c r="AG251" s="242"/>
      <c r="AH251" s="242"/>
      <c r="AI251" s="214"/>
      <c r="AJ251" s="214"/>
      <c r="AK251" s="1131"/>
      <c r="AL251" s="1153"/>
      <c r="AM251" s="242"/>
      <c r="AN251" s="242"/>
      <c r="AO251" s="242"/>
      <c r="AP251" s="242">
        <f t="shared" si="7"/>
        <v>0</v>
      </c>
      <c r="AQ251" s="242"/>
      <c r="AR251" s="242"/>
      <c r="AS251" s="237"/>
      <c r="AT251" s="214"/>
      <c r="AU251" s="1138"/>
      <c r="AV251" s="1155"/>
      <c r="AW251" s="1140"/>
      <c r="AX251" s="1140"/>
      <c r="AY251" s="1140"/>
      <c r="AZ251" s="1140">
        <f t="shared" si="8"/>
        <v>0</v>
      </c>
      <c r="BA251" s="1140"/>
      <c r="BB251" s="1140"/>
      <c r="BC251" s="214"/>
      <c r="BD251" s="214"/>
      <c r="BE251" s="1131"/>
      <c r="BF251" s="1153"/>
      <c r="BG251" s="242"/>
      <c r="BH251" s="242"/>
      <c r="BI251" s="242"/>
      <c r="BJ251" s="242">
        <f t="shared" si="9"/>
        <v>0</v>
      </c>
      <c r="BK251" s="242"/>
      <c r="BL251" s="242"/>
      <c r="BM251" s="214"/>
      <c r="BN251" s="214"/>
      <c r="BO251" s="1131"/>
      <c r="BP251" s="1153"/>
      <c r="BQ251" s="242"/>
      <c r="BR251" s="242"/>
      <c r="BS251" s="242"/>
      <c r="BT251" s="242">
        <f t="shared" si="10"/>
        <v>0</v>
      </c>
      <c r="BU251" s="242"/>
      <c r="BV251" s="242"/>
      <c r="BW251" s="237"/>
      <c r="BX251" s="214"/>
      <c r="BY251" s="1131"/>
      <c r="BZ251" s="1153"/>
      <c r="CA251" s="242"/>
      <c r="CB251" s="242"/>
      <c r="CC251" s="242"/>
      <c r="CD251" s="242">
        <f t="shared" si="11"/>
        <v>0</v>
      </c>
      <c r="CE251" s="242"/>
      <c r="CF251" s="242"/>
      <c r="CG251" s="214"/>
      <c r="CH251" s="214"/>
      <c r="CI251" s="1131"/>
      <c r="CJ251" s="1153"/>
      <c r="CK251" s="242"/>
      <c r="CL251" s="242"/>
      <c r="CM251" s="242"/>
      <c r="CN251" s="242">
        <f t="shared" si="12"/>
        <v>0</v>
      </c>
      <c r="CO251" s="242"/>
      <c r="CP251" s="242"/>
      <c r="CQ251" s="214"/>
      <c r="CR251" s="214"/>
      <c r="CS251" s="1131"/>
      <c r="CT251" s="1153"/>
      <c r="CU251" s="242"/>
      <c r="CV251" s="242"/>
      <c r="CW251" s="242"/>
      <c r="CX251" s="242">
        <f t="shared" si="13"/>
        <v>0</v>
      </c>
      <c r="CY251" s="242"/>
      <c r="CZ251" s="242"/>
      <c r="DA251" s="237"/>
      <c r="DB251" s="214"/>
      <c r="DC251" s="1131"/>
      <c r="DD251" s="1153"/>
      <c r="DE251" s="242"/>
      <c r="DF251" s="242"/>
      <c r="DG251" s="242"/>
      <c r="DH251" s="242">
        <f t="shared" si="14"/>
        <v>0</v>
      </c>
      <c r="DI251" s="242"/>
      <c r="DJ251" s="242"/>
      <c r="DK251" s="214"/>
      <c r="DL251" s="214"/>
      <c r="DM251" s="1131"/>
      <c r="DN251" s="1153"/>
      <c r="DO251" s="242"/>
      <c r="DP251" s="242"/>
      <c r="DQ251" s="242"/>
      <c r="DR251" s="242">
        <f t="shared" si="15"/>
        <v>0</v>
      </c>
      <c r="DS251" s="242"/>
      <c r="DT251" s="242"/>
      <c r="DU251" s="214"/>
      <c r="DV251" s="214"/>
      <c r="DW251" s="1131"/>
      <c r="DX251" s="1153"/>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24"/>
      <c r="C252" s="1124"/>
      <c r="D252" s="1124"/>
      <c r="E252" s="1124"/>
      <c r="F252" s="1125">
        <f t="shared" si="2"/>
        <v>0</v>
      </c>
      <c r="G252" s="1126" t="str">
        <f t="shared" si="3"/>
        <v/>
      </c>
      <c r="H252" s="112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7">
        <f t="shared" si="263"/>
        <v>0</v>
      </c>
      <c r="J252" s="1128">
        <f t="shared" si="263"/>
        <v>0</v>
      </c>
      <c r="K252" s="214"/>
      <c r="L252" s="214"/>
      <c r="M252" s="214"/>
      <c r="N252" s="214"/>
      <c r="O252" s="1087"/>
      <c r="P252" s="214"/>
      <c r="Q252" s="1131"/>
      <c r="R252" s="1153"/>
      <c r="S252" s="242"/>
      <c r="T252" s="242"/>
      <c r="U252" s="242"/>
      <c r="V252" s="242">
        <f t="shared" si="5"/>
        <v>0</v>
      </c>
      <c r="W252" s="242"/>
      <c r="X252" s="242"/>
      <c r="Y252" s="214"/>
      <c r="Z252" s="214"/>
      <c r="AA252" s="1131"/>
      <c r="AB252" s="1153"/>
      <c r="AC252" s="242"/>
      <c r="AD252" s="242"/>
      <c r="AE252" s="242"/>
      <c r="AF252" s="242">
        <f t="shared" si="6"/>
        <v>0</v>
      </c>
      <c r="AG252" s="242"/>
      <c r="AH252" s="242"/>
      <c r="AI252" s="214"/>
      <c r="AJ252" s="214"/>
      <c r="AK252" s="1131"/>
      <c r="AL252" s="1153"/>
      <c r="AM252" s="242"/>
      <c r="AN252" s="242"/>
      <c r="AO252" s="242"/>
      <c r="AP252" s="242">
        <f t="shared" si="7"/>
        <v>0</v>
      </c>
      <c r="AQ252" s="242"/>
      <c r="AR252" s="242"/>
      <c r="AS252" s="237"/>
      <c r="AT252" s="214"/>
      <c r="AU252" s="1138"/>
      <c r="AV252" s="1155"/>
      <c r="AW252" s="1140"/>
      <c r="AX252" s="1140"/>
      <c r="AY252" s="1140"/>
      <c r="AZ252" s="1140">
        <f t="shared" si="8"/>
        <v>0</v>
      </c>
      <c r="BA252" s="1140"/>
      <c r="BB252" s="1140"/>
      <c r="BC252" s="214"/>
      <c r="BD252" s="214"/>
      <c r="BE252" s="1131"/>
      <c r="BF252" s="1153"/>
      <c r="BG252" s="242"/>
      <c r="BH252" s="242"/>
      <c r="BI252" s="242"/>
      <c r="BJ252" s="242">
        <f t="shared" si="9"/>
        <v>0</v>
      </c>
      <c r="BK252" s="242"/>
      <c r="BL252" s="242"/>
      <c r="BM252" s="214"/>
      <c r="BN252" s="214"/>
      <c r="BO252" s="1131"/>
      <c r="BP252" s="1153"/>
      <c r="BQ252" s="242"/>
      <c r="BR252" s="242"/>
      <c r="BS252" s="242"/>
      <c r="BT252" s="242">
        <f t="shared" si="10"/>
        <v>0</v>
      </c>
      <c r="BU252" s="242"/>
      <c r="BV252" s="242"/>
      <c r="BW252" s="237"/>
      <c r="BX252" s="214"/>
      <c r="BY252" s="1131"/>
      <c r="BZ252" s="1153"/>
      <c r="CA252" s="242"/>
      <c r="CB252" s="242"/>
      <c r="CC252" s="242"/>
      <c r="CD252" s="242">
        <f t="shared" si="11"/>
        <v>0</v>
      </c>
      <c r="CE252" s="242"/>
      <c r="CF252" s="242"/>
      <c r="CG252" s="214"/>
      <c r="CH252" s="214"/>
      <c r="CI252" s="1131"/>
      <c r="CJ252" s="1153"/>
      <c r="CK252" s="242"/>
      <c r="CL252" s="242"/>
      <c r="CM252" s="242"/>
      <c r="CN252" s="242">
        <f t="shared" si="12"/>
        <v>0</v>
      </c>
      <c r="CO252" s="242"/>
      <c r="CP252" s="242"/>
      <c r="CQ252" s="214"/>
      <c r="CR252" s="214"/>
      <c r="CS252" s="1131"/>
      <c r="CT252" s="1153"/>
      <c r="CU252" s="242"/>
      <c r="CV252" s="242"/>
      <c r="CW252" s="242"/>
      <c r="CX252" s="242">
        <f t="shared" si="13"/>
        <v>0</v>
      </c>
      <c r="CY252" s="242"/>
      <c r="CZ252" s="242"/>
      <c r="DA252" s="237"/>
      <c r="DB252" s="214"/>
      <c r="DC252" s="1131"/>
      <c r="DD252" s="1153"/>
      <c r="DE252" s="242"/>
      <c r="DF252" s="242"/>
      <c r="DG252" s="242"/>
      <c r="DH252" s="242">
        <f t="shared" si="14"/>
        <v>0</v>
      </c>
      <c r="DI252" s="242"/>
      <c r="DJ252" s="242"/>
      <c r="DK252" s="214"/>
      <c r="DL252" s="214"/>
      <c r="DM252" s="1131"/>
      <c r="DN252" s="1153"/>
      <c r="DO252" s="242"/>
      <c r="DP252" s="242"/>
      <c r="DQ252" s="242"/>
      <c r="DR252" s="242">
        <f t="shared" si="15"/>
        <v>0</v>
      </c>
      <c r="DS252" s="242"/>
      <c r="DT252" s="242"/>
      <c r="DU252" s="214"/>
      <c r="DV252" s="214"/>
      <c r="DW252" s="1131"/>
      <c r="DX252" s="1153"/>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24"/>
      <c r="C253" s="1124"/>
      <c r="D253" s="1124"/>
      <c r="E253" s="1124"/>
      <c r="F253" s="1125">
        <f t="shared" si="2"/>
        <v>0</v>
      </c>
      <c r="G253" s="1126" t="str">
        <f t="shared" si="3"/>
        <v/>
      </c>
      <c r="H253" s="112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7">
        <f t="shared" si="264"/>
        <v>0</v>
      </c>
      <c r="J253" s="1128">
        <f t="shared" si="264"/>
        <v>0</v>
      </c>
      <c r="K253" s="214"/>
      <c r="L253" s="214"/>
      <c r="M253" s="214"/>
      <c r="N253" s="214"/>
      <c r="O253" s="1087"/>
      <c r="P253" s="214"/>
      <c r="Q253" s="1131"/>
      <c r="R253" s="1153"/>
      <c r="S253" s="242"/>
      <c r="T253" s="242"/>
      <c r="U253" s="242"/>
      <c r="V253" s="242">
        <f t="shared" si="5"/>
        <v>0</v>
      </c>
      <c r="W253" s="242"/>
      <c r="X253" s="242"/>
      <c r="Y253" s="214"/>
      <c r="Z253" s="214"/>
      <c r="AA253" s="1131"/>
      <c r="AB253" s="1153"/>
      <c r="AC253" s="242"/>
      <c r="AD253" s="242"/>
      <c r="AE253" s="242"/>
      <c r="AF253" s="242">
        <f t="shared" si="6"/>
        <v>0</v>
      </c>
      <c r="AG253" s="242"/>
      <c r="AH253" s="242"/>
      <c r="AI253" s="214"/>
      <c r="AJ253" s="214"/>
      <c r="AK253" s="1131"/>
      <c r="AL253" s="1153"/>
      <c r="AM253" s="242"/>
      <c r="AN253" s="242"/>
      <c r="AO253" s="242"/>
      <c r="AP253" s="242">
        <f t="shared" si="7"/>
        <v>0</v>
      </c>
      <c r="AQ253" s="242"/>
      <c r="AR253" s="242"/>
      <c r="AS253" s="237"/>
      <c r="AT253" s="214"/>
      <c r="AU253" s="1138"/>
      <c r="AV253" s="1155"/>
      <c r="AW253" s="1140"/>
      <c r="AX253" s="1140"/>
      <c r="AY253" s="1140"/>
      <c r="AZ253" s="1140">
        <f t="shared" si="8"/>
        <v>0</v>
      </c>
      <c r="BA253" s="1140"/>
      <c r="BB253" s="1140"/>
      <c r="BC253" s="214"/>
      <c r="BD253" s="214"/>
      <c r="BE253" s="1131"/>
      <c r="BF253" s="1153"/>
      <c r="BG253" s="242"/>
      <c r="BH253" s="242"/>
      <c r="BI253" s="242"/>
      <c r="BJ253" s="242">
        <f t="shared" si="9"/>
        <v>0</v>
      </c>
      <c r="BK253" s="242"/>
      <c r="BL253" s="242"/>
      <c r="BM253" s="214"/>
      <c r="BN253" s="214"/>
      <c r="BO253" s="1131"/>
      <c r="BP253" s="1153"/>
      <c r="BQ253" s="242"/>
      <c r="BR253" s="242"/>
      <c r="BS253" s="242"/>
      <c r="BT253" s="242">
        <f t="shared" si="10"/>
        <v>0</v>
      </c>
      <c r="BU253" s="242"/>
      <c r="BV253" s="242"/>
      <c r="BW253" s="237"/>
      <c r="BX253" s="214"/>
      <c r="BY253" s="1131"/>
      <c r="BZ253" s="1153"/>
      <c r="CA253" s="242"/>
      <c r="CB253" s="242"/>
      <c r="CC253" s="242"/>
      <c r="CD253" s="242">
        <f t="shared" si="11"/>
        <v>0</v>
      </c>
      <c r="CE253" s="242"/>
      <c r="CF253" s="242"/>
      <c r="CG253" s="214"/>
      <c r="CH253" s="214"/>
      <c r="CI253" s="1131"/>
      <c r="CJ253" s="1153"/>
      <c r="CK253" s="242"/>
      <c r="CL253" s="242"/>
      <c r="CM253" s="242"/>
      <c r="CN253" s="242">
        <f t="shared" si="12"/>
        <v>0</v>
      </c>
      <c r="CO253" s="242"/>
      <c r="CP253" s="242"/>
      <c r="CQ253" s="214"/>
      <c r="CR253" s="214"/>
      <c r="CS253" s="1131"/>
      <c r="CT253" s="1153"/>
      <c r="CU253" s="242"/>
      <c r="CV253" s="242"/>
      <c r="CW253" s="242"/>
      <c r="CX253" s="242">
        <f t="shared" si="13"/>
        <v>0</v>
      </c>
      <c r="CY253" s="242"/>
      <c r="CZ253" s="242"/>
      <c r="DA253" s="237"/>
      <c r="DB253" s="214"/>
      <c r="DC253" s="1131"/>
      <c r="DD253" s="1153"/>
      <c r="DE253" s="242"/>
      <c r="DF253" s="242"/>
      <c r="DG253" s="242"/>
      <c r="DH253" s="242">
        <f t="shared" si="14"/>
        <v>0</v>
      </c>
      <c r="DI253" s="242"/>
      <c r="DJ253" s="242"/>
      <c r="DK253" s="214"/>
      <c r="DL253" s="214"/>
      <c r="DM253" s="1131"/>
      <c r="DN253" s="1153"/>
      <c r="DO253" s="242"/>
      <c r="DP253" s="242"/>
      <c r="DQ253" s="242"/>
      <c r="DR253" s="242">
        <f t="shared" si="15"/>
        <v>0</v>
      </c>
      <c r="DS253" s="242"/>
      <c r="DT253" s="242"/>
      <c r="DU253" s="214"/>
      <c r="DV253" s="214"/>
      <c r="DW253" s="1131"/>
      <c r="DX253" s="1153"/>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24"/>
      <c r="C254" s="1124"/>
      <c r="D254" s="1124"/>
      <c r="E254" s="1124"/>
      <c r="F254" s="1125">
        <f t="shared" si="2"/>
        <v>0</v>
      </c>
      <c r="G254" s="1126" t="str">
        <f t="shared" si="3"/>
        <v/>
      </c>
      <c r="H254" s="112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7">
        <f t="shared" si="265"/>
        <v>0</v>
      </c>
      <c r="J254" s="1128">
        <f t="shared" si="265"/>
        <v>0</v>
      </c>
      <c r="K254" s="214"/>
      <c r="L254" s="214"/>
      <c r="M254" s="214"/>
      <c r="N254" s="214"/>
      <c r="O254" s="1087"/>
      <c r="P254" s="214"/>
      <c r="Q254" s="1131"/>
      <c r="R254" s="1153"/>
      <c r="S254" s="242"/>
      <c r="T254" s="242"/>
      <c r="U254" s="242"/>
      <c r="V254" s="242">
        <f t="shared" si="5"/>
        <v>0</v>
      </c>
      <c r="W254" s="242"/>
      <c r="X254" s="242"/>
      <c r="Y254" s="214"/>
      <c r="Z254" s="214"/>
      <c r="AA254" s="1131"/>
      <c r="AB254" s="1153"/>
      <c r="AC254" s="242"/>
      <c r="AD254" s="242"/>
      <c r="AE254" s="242"/>
      <c r="AF254" s="242">
        <f t="shared" si="6"/>
        <v>0</v>
      </c>
      <c r="AG254" s="242"/>
      <c r="AH254" s="242"/>
      <c r="AI254" s="214"/>
      <c r="AJ254" s="214"/>
      <c r="AK254" s="1131"/>
      <c r="AL254" s="1153"/>
      <c r="AM254" s="242"/>
      <c r="AN254" s="242"/>
      <c r="AO254" s="242"/>
      <c r="AP254" s="242">
        <f t="shared" si="7"/>
        <v>0</v>
      </c>
      <c r="AQ254" s="242"/>
      <c r="AR254" s="242"/>
      <c r="AS254" s="237"/>
      <c r="AT254" s="214"/>
      <c r="AU254" s="1138"/>
      <c r="AV254" s="1155"/>
      <c r="AW254" s="1140"/>
      <c r="AX254" s="1140"/>
      <c r="AY254" s="1140"/>
      <c r="AZ254" s="1140">
        <f t="shared" si="8"/>
        <v>0</v>
      </c>
      <c r="BA254" s="1140"/>
      <c r="BB254" s="1140"/>
      <c r="BC254" s="214"/>
      <c r="BD254" s="214"/>
      <c r="BE254" s="1131"/>
      <c r="BF254" s="1153"/>
      <c r="BG254" s="242"/>
      <c r="BH254" s="242"/>
      <c r="BI254" s="242"/>
      <c r="BJ254" s="242">
        <f t="shared" si="9"/>
        <v>0</v>
      </c>
      <c r="BK254" s="242"/>
      <c r="BL254" s="242"/>
      <c r="BM254" s="214"/>
      <c r="BN254" s="214"/>
      <c r="BO254" s="1131"/>
      <c r="BP254" s="1153"/>
      <c r="BQ254" s="242"/>
      <c r="BR254" s="242"/>
      <c r="BS254" s="242"/>
      <c r="BT254" s="242">
        <f t="shared" si="10"/>
        <v>0</v>
      </c>
      <c r="BU254" s="242"/>
      <c r="BV254" s="242"/>
      <c r="BW254" s="237"/>
      <c r="BX254" s="214"/>
      <c r="BY254" s="1131"/>
      <c r="BZ254" s="1153"/>
      <c r="CA254" s="242"/>
      <c r="CB254" s="242"/>
      <c r="CC254" s="242"/>
      <c r="CD254" s="242">
        <f t="shared" si="11"/>
        <v>0</v>
      </c>
      <c r="CE254" s="242"/>
      <c r="CF254" s="242"/>
      <c r="CG254" s="214"/>
      <c r="CH254" s="214"/>
      <c r="CI254" s="1131"/>
      <c r="CJ254" s="1153"/>
      <c r="CK254" s="242"/>
      <c r="CL254" s="242"/>
      <c r="CM254" s="242"/>
      <c r="CN254" s="242">
        <f t="shared" si="12"/>
        <v>0</v>
      </c>
      <c r="CO254" s="242"/>
      <c r="CP254" s="242"/>
      <c r="CQ254" s="214"/>
      <c r="CR254" s="214"/>
      <c r="CS254" s="1131"/>
      <c r="CT254" s="1153"/>
      <c r="CU254" s="242"/>
      <c r="CV254" s="242"/>
      <c r="CW254" s="242"/>
      <c r="CX254" s="242">
        <f t="shared" si="13"/>
        <v>0</v>
      </c>
      <c r="CY254" s="242"/>
      <c r="CZ254" s="242"/>
      <c r="DA254" s="237"/>
      <c r="DB254" s="214"/>
      <c r="DC254" s="1131"/>
      <c r="DD254" s="1153"/>
      <c r="DE254" s="242"/>
      <c r="DF254" s="242"/>
      <c r="DG254" s="242"/>
      <c r="DH254" s="242">
        <f t="shared" si="14"/>
        <v>0</v>
      </c>
      <c r="DI254" s="242"/>
      <c r="DJ254" s="242"/>
      <c r="DK254" s="214"/>
      <c r="DL254" s="214"/>
      <c r="DM254" s="1131"/>
      <c r="DN254" s="1153"/>
      <c r="DO254" s="242"/>
      <c r="DP254" s="242"/>
      <c r="DQ254" s="242"/>
      <c r="DR254" s="242">
        <f t="shared" si="15"/>
        <v>0</v>
      </c>
      <c r="DS254" s="242"/>
      <c r="DT254" s="242"/>
      <c r="DU254" s="214"/>
      <c r="DV254" s="214"/>
      <c r="DW254" s="1131"/>
      <c r="DX254" s="1153"/>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24"/>
      <c r="C255" s="1124"/>
      <c r="D255" s="1124"/>
      <c r="E255" s="1124"/>
      <c r="F255" s="1125">
        <f t="shared" si="2"/>
        <v>0</v>
      </c>
      <c r="G255" s="1126" t="str">
        <f t="shared" si="3"/>
        <v/>
      </c>
      <c r="H255" s="112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7">
        <f t="shared" si="266"/>
        <v>0</v>
      </c>
      <c r="J255" s="1128">
        <f t="shared" si="266"/>
        <v>0</v>
      </c>
      <c r="K255" s="214"/>
      <c r="L255" s="214"/>
      <c r="M255" s="214"/>
      <c r="N255" s="214"/>
      <c r="O255" s="1087"/>
      <c r="P255" s="214"/>
      <c r="Q255" s="1131"/>
      <c r="R255" s="1153"/>
      <c r="S255" s="242"/>
      <c r="T255" s="242"/>
      <c r="U255" s="242"/>
      <c r="V255" s="242">
        <f t="shared" si="5"/>
        <v>0</v>
      </c>
      <c r="W255" s="242"/>
      <c r="X255" s="242"/>
      <c r="Y255" s="214"/>
      <c r="Z255" s="214"/>
      <c r="AA255" s="1131"/>
      <c r="AB255" s="1153"/>
      <c r="AC255" s="242"/>
      <c r="AD255" s="242"/>
      <c r="AE255" s="242"/>
      <c r="AF255" s="242">
        <f t="shared" si="6"/>
        <v>0</v>
      </c>
      <c r="AG255" s="242"/>
      <c r="AH255" s="242"/>
      <c r="AI255" s="214"/>
      <c r="AJ255" s="214"/>
      <c r="AK255" s="1131"/>
      <c r="AL255" s="1153"/>
      <c r="AM255" s="242"/>
      <c r="AN255" s="242"/>
      <c r="AO255" s="242"/>
      <c r="AP255" s="242">
        <f t="shared" si="7"/>
        <v>0</v>
      </c>
      <c r="AQ255" s="242"/>
      <c r="AR255" s="242"/>
      <c r="AS255" s="237"/>
      <c r="AT255" s="214"/>
      <c r="AU255" s="1138"/>
      <c r="AV255" s="1155"/>
      <c r="AW255" s="1140"/>
      <c r="AX255" s="1140"/>
      <c r="AY255" s="1140"/>
      <c r="AZ255" s="1140">
        <f t="shared" si="8"/>
        <v>0</v>
      </c>
      <c r="BA255" s="1140"/>
      <c r="BB255" s="1140"/>
      <c r="BC255" s="214"/>
      <c r="BD255" s="214"/>
      <c r="BE255" s="1131"/>
      <c r="BF255" s="1153"/>
      <c r="BG255" s="242"/>
      <c r="BH255" s="242"/>
      <c r="BI255" s="242"/>
      <c r="BJ255" s="242">
        <f t="shared" si="9"/>
        <v>0</v>
      </c>
      <c r="BK255" s="242"/>
      <c r="BL255" s="242"/>
      <c r="BM255" s="214"/>
      <c r="BN255" s="214"/>
      <c r="BO255" s="1131"/>
      <c r="BP255" s="1153"/>
      <c r="BQ255" s="242"/>
      <c r="BR255" s="242"/>
      <c r="BS255" s="242"/>
      <c r="BT255" s="242">
        <f t="shared" si="10"/>
        <v>0</v>
      </c>
      <c r="BU255" s="242"/>
      <c r="BV255" s="242"/>
      <c r="BW255" s="237"/>
      <c r="BX255" s="214"/>
      <c r="BY255" s="1131"/>
      <c r="BZ255" s="1153"/>
      <c r="CA255" s="242"/>
      <c r="CB255" s="242"/>
      <c r="CC255" s="242"/>
      <c r="CD255" s="242">
        <f t="shared" si="11"/>
        <v>0</v>
      </c>
      <c r="CE255" s="242"/>
      <c r="CF255" s="242"/>
      <c r="CG255" s="214"/>
      <c r="CH255" s="214"/>
      <c r="CI255" s="1131"/>
      <c r="CJ255" s="1153"/>
      <c r="CK255" s="242"/>
      <c r="CL255" s="242"/>
      <c r="CM255" s="242"/>
      <c r="CN255" s="242">
        <f t="shared" si="12"/>
        <v>0</v>
      </c>
      <c r="CO255" s="242"/>
      <c r="CP255" s="242"/>
      <c r="CQ255" s="214"/>
      <c r="CR255" s="214"/>
      <c r="CS255" s="1131"/>
      <c r="CT255" s="1153"/>
      <c r="CU255" s="242"/>
      <c r="CV255" s="242"/>
      <c r="CW255" s="242"/>
      <c r="CX255" s="242">
        <f t="shared" si="13"/>
        <v>0</v>
      </c>
      <c r="CY255" s="242"/>
      <c r="CZ255" s="242"/>
      <c r="DA255" s="237"/>
      <c r="DB255" s="214"/>
      <c r="DC255" s="1131"/>
      <c r="DD255" s="1153"/>
      <c r="DE255" s="242"/>
      <c r="DF255" s="242"/>
      <c r="DG255" s="242"/>
      <c r="DH255" s="242">
        <f t="shared" si="14"/>
        <v>0</v>
      </c>
      <c r="DI255" s="242"/>
      <c r="DJ255" s="242"/>
      <c r="DK255" s="214"/>
      <c r="DL255" s="214"/>
      <c r="DM255" s="1131"/>
      <c r="DN255" s="1153"/>
      <c r="DO255" s="242"/>
      <c r="DP255" s="242"/>
      <c r="DQ255" s="242"/>
      <c r="DR255" s="242">
        <f t="shared" si="15"/>
        <v>0</v>
      </c>
      <c r="DS255" s="242"/>
      <c r="DT255" s="242"/>
      <c r="DU255" s="214"/>
      <c r="DV255" s="214"/>
      <c r="DW255" s="1131"/>
      <c r="DX255" s="1153"/>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24"/>
      <c r="C256" s="1124"/>
      <c r="D256" s="1124"/>
      <c r="E256" s="1124"/>
      <c r="F256" s="1125">
        <f t="shared" si="2"/>
        <v>0</v>
      </c>
      <c r="G256" s="1126" t="str">
        <f t="shared" si="3"/>
        <v/>
      </c>
      <c r="H256" s="112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7">
        <f t="shared" si="267"/>
        <v>0</v>
      </c>
      <c r="J256" s="1128">
        <f t="shared" si="267"/>
        <v>0</v>
      </c>
      <c r="K256" s="214"/>
      <c r="L256" s="214"/>
      <c r="M256" s="214"/>
      <c r="N256" s="214"/>
      <c r="O256" s="1087"/>
      <c r="P256" s="214"/>
      <c r="Q256" s="1131"/>
      <c r="R256" s="1153"/>
      <c r="S256" s="242"/>
      <c r="T256" s="242"/>
      <c r="U256" s="242"/>
      <c r="V256" s="242">
        <f t="shared" si="5"/>
        <v>0</v>
      </c>
      <c r="W256" s="242"/>
      <c r="X256" s="242"/>
      <c r="Y256" s="214"/>
      <c r="Z256" s="214"/>
      <c r="AA256" s="1131"/>
      <c r="AB256" s="1153"/>
      <c r="AC256" s="242"/>
      <c r="AD256" s="242"/>
      <c r="AE256" s="242"/>
      <c r="AF256" s="242">
        <f t="shared" si="6"/>
        <v>0</v>
      </c>
      <c r="AG256" s="242"/>
      <c r="AH256" s="242"/>
      <c r="AI256" s="214"/>
      <c r="AJ256" s="214"/>
      <c r="AK256" s="1131"/>
      <c r="AL256" s="1153"/>
      <c r="AM256" s="242"/>
      <c r="AN256" s="242"/>
      <c r="AO256" s="242"/>
      <c r="AP256" s="242">
        <f t="shared" si="7"/>
        <v>0</v>
      </c>
      <c r="AQ256" s="242"/>
      <c r="AR256" s="242"/>
      <c r="AS256" s="237"/>
      <c r="AT256" s="214"/>
      <c r="AU256" s="1138"/>
      <c r="AV256" s="1155"/>
      <c r="AW256" s="1140"/>
      <c r="AX256" s="1140"/>
      <c r="AY256" s="1140"/>
      <c r="AZ256" s="1140">
        <f t="shared" si="8"/>
        <v>0</v>
      </c>
      <c r="BA256" s="1140"/>
      <c r="BB256" s="1140"/>
      <c r="BC256" s="214"/>
      <c r="BD256" s="214"/>
      <c r="BE256" s="1131"/>
      <c r="BF256" s="1153"/>
      <c r="BG256" s="242"/>
      <c r="BH256" s="242"/>
      <c r="BI256" s="242"/>
      <c r="BJ256" s="242">
        <f t="shared" si="9"/>
        <v>0</v>
      </c>
      <c r="BK256" s="242"/>
      <c r="BL256" s="242"/>
      <c r="BM256" s="214"/>
      <c r="BN256" s="214"/>
      <c r="BO256" s="1131"/>
      <c r="BP256" s="1153"/>
      <c r="BQ256" s="242"/>
      <c r="BR256" s="242"/>
      <c r="BS256" s="242"/>
      <c r="BT256" s="242">
        <f t="shared" si="10"/>
        <v>0</v>
      </c>
      <c r="BU256" s="242"/>
      <c r="BV256" s="242"/>
      <c r="BW256" s="237"/>
      <c r="BX256" s="214"/>
      <c r="BY256" s="1131"/>
      <c r="BZ256" s="1153"/>
      <c r="CA256" s="242"/>
      <c r="CB256" s="242"/>
      <c r="CC256" s="242"/>
      <c r="CD256" s="242">
        <f t="shared" si="11"/>
        <v>0</v>
      </c>
      <c r="CE256" s="242"/>
      <c r="CF256" s="242"/>
      <c r="CG256" s="214"/>
      <c r="CH256" s="214"/>
      <c r="CI256" s="1131"/>
      <c r="CJ256" s="1153"/>
      <c r="CK256" s="242"/>
      <c r="CL256" s="242"/>
      <c r="CM256" s="242"/>
      <c r="CN256" s="242">
        <f t="shared" si="12"/>
        <v>0</v>
      </c>
      <c r="CO256" s="242"/>
      <c r="CP256" s="242"/>
      <c r="CQ256" s="214"/>
      <c r="CR256" s="214"/>
      <c r="CS256" s="1131"/>
      <c r="CT256" s="1153"/>
      <c r="CU256" s="242"/>
      <c r="CV256" s="242"/>
      <c r="CW256" s="242"/>
      <c r="CX256" s="242">
        <f t="shared" si="13"/>
        <v>0</v>
      </c>
      <c r="CY256" s="242"/>
      <c r="CZ256" s="242"/>
      <c r="DA256" s="237"/>
      <c r="DB256" s="214"/>
      <c r="DC256" s="1131"/>
      <c r="DD256" s="1153"/>
      <c r="DE256" s="242"/>
      <c r="DF256" s="242"/>
      <c r="DG256" s="242"/>
      <c r="DH256" s="242">
        <f t="shared" si="14"/>
        <v>0</v>
      </c>
      <c r="DI256" s="242"/>
      <c r="DJ256" s="242"/>
      <c r="DK256" s="214"/>
      <c r="DL256" s="214"/>
      <c r="DM256" s="1131"/>
      <c r="DN256" s="1153"/>
      <c r="DO256" s="242"/>
      <c r="DP256" s="242"/>
      <c r="DQ256" s="242"/>
      <c r="DR256" s="242">
        <f t="shared" si="15"/>
        <v>0</v>
      </c>
      <c r="DS256" s="242"/>
      <c r="DT256" s="242"/>
      <c r="DU256" s="214"/>
      <c r="DV256" s="214"/>
      <c r="DW256" s="1131"/>
      <c r="DX256" s="1153"/>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24"/>
      <c r="C257" s="1124"/>
      <c r="D257" s="1124"/>
      <c r="E257" s="1124"/>
      <c r="F257" s="1125">
        <f t="shared" si="2"/>
        <v>0</v>
      </c>
      <c r="G257" s="1126" t="str">
        <f t="shared" si="3"/>
        <v/>
      </c>
      <c r="H257" s="112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7">
        <f t="shared" si="268"/>
        <v>0</v>
      </c>
      <c r="J257" s="1128">
        <f t="shared" si="268"/>
        <v>0</v>
      </c>
      <c r="K257" s="214"/>
      <c r="L257" s="214"/>
      <c r="M257" s="214"/>
      <c r="N257" s="214"/>
      <c r="O257" s="1087"/>
      <c r="P257" s="214"/>
      <c r="Q257" s="1131"/>
      <c r="R257" s="1153"/>
      <c r="S257" s="242"/>
      <c r="T257" s="242"/>
      <c r="U257" s="242"/>
      <c r="V257" s="242">
        <f t="shared" si="5"/>
        <v>0</v>
      </c>
      <c r="W257" s="242"/>
      <c r="X257" s="242"/>
      <c r="Y257" s="214"/>
      <c r="Z257" s="214"/>
      <c r="AA257" s="1131"/>
      <c r="AB257" s="1153"/>
      <c r="AC257" s="242"/>
      <c r="AD257" s="242"/>
      <c r="AE257" s="242"/>
      <c r="AF257" s="242">
        <f t="shared" si="6"/>
        <v>0</v>
      </c>
      <c r="AG257" s="242"/>
      <c r="AH257" s="242"/>
      <c r="AI257" s="214"/>
      <c r="AJ257" s="214"/>
      <c r="AK257" s="1131"/>
      <c r="AL257" s="1153"/>
      <c r="AM257" s="242"/>
      <c r="AN257" s="242"/>
      <c r="AO257" s="242"/>
      <c r="AP257" s="242">
        <f t="shared" si="7"/>
        <v>0</v>
      </c>
      <c r="AQ257" s="242"/>
      <c r="AR257" s="242"/>
      <c r="AS257" s="237"/>
      <c r="AT257" s="214"/>
      <c r="AU257" s="1138"/>
      <c r="AV257" s="1155"/>
      <c r="AW257" s="1140"/>
      <c r="AX257" s="1140"/>
      <c r="AY257" s="1140"/>
      <c r="AZ257" s="1140">
        <f t="shared" si="8"/>
        <v>0</v>
      </c>
      <c r="BA257" s="1140"/>
      <c r="BB257" s="1140"/>
      <c r="BC257" s="214"/>
      <c r="BD257" s="214"/>
      <c r="BE257" s="1131"/>
      <c r="BF257" s="1153"/>
      <c r="BG257" s="242"/>
      <c r="BH257" s="242"/>
      <c r="BI257" s="242"/>
      <c r="BJ257" s="242">
        <f t="shared" si="9"/>
        <v>0</v>
      </c>
      <c r="BK257" s="242"/>
      <c r="BL257" s="242"/>
      <c r="BM257" s="214"/>
      <c r="BN257" s="214"/>
      <c r="BO257" s="1131"/>
      <c r="BP257" s="1153"/>
      <c r="BQ257" s="242"/>
      <c r="BR257" s="242"/>
      <c r="BS257" s="242"/>
      <c r="BT257" s="242">
        <f t="shared" si="10"/>
        <v>0</v>
      </c>
      <c r="BU257" s="242"/>
      <c r="BV257" s="242"/>
      <c r="BW257" s="237"/>
      <c r="BX257" s="214"/>
      <c r="BY257" s="1131"/>
      <c r="BZ257" s="1153"/>
      <c r="CA257" s="242"/>
      <c r="CB257" s="242"/>
      <c r="CC257" s="242"/>
      <c r="CD257" s="242">
        <f t="shared" si="11"/>
        <v>0</v>
      </c>
      <c r="CE257" s="242"/>
      <c r="CF257" s="242"/>
      <c r="CG257" s="214"/>
      <c r="CH257" s="214"/>
      <c r="CI257" s="1131"/>
      <c r="CJ257" s="1153"/>
      <c r="CK257" s="242"/>
      <c r="CL257" s="242"/>
      <c r="CM257" s="242"/>
      <c r="CN257" s="242">
        <f t="shared" si="12"/>
        <v>0</v>
      </c>
      <c r="CO257" s="242"/>
      <c r="CP257" s="242"/>
      <c r="CQ257" s="214"/>
      <c r="CR257" s="214"/>
      <c r="CS257" s="1131"/>
      <c r="CT257" s="1153"/>
      <c r="CU257" s="242"/>
      <c r="CV257" s="242"/>
      <c r="CW257" s="242"/>
      <c r="CX257" s="242">
        <f t="shared" si="13"/>
        <v>0</v>
      </c>
      <c r="CY257" s="242"/>
      <c r="CZ257" s="242"/>
      <c r="DA257" s="237"/>
      <c r="DB257" s="214"/>
      <c r="DC257" s="1131"/>
      <c r="DD257" s="1153"/>
      <c r="DE257" s="242"/>
      <c r="DF257" s="242"/>
      <c r="DG257" s="242"/>
      <c r="DH257" s="242">
        <f t="shared" si="14"/>
        <v>0</v>
      </c>
      <c r="DI257" s="242"/>
      <c r="DJ257" s="242"/>
      <c r="DK257" s="214"/>
      <c r="DL257" s="214"/>
      <c r="DM257" s="1131"/>
      <c r="DN257" s="1153"/>
      <c r="DO257" s="242"/>
      <c r="DP257" s="242"/>
      <c r="DQ257" s="242"/>
      <c r="DR257" s="242">
        <f t="shared" si="15"/>
        <v>0</v>
      </c>
      <c r="DS257" s="242"/>
      <c r="DT257" s="242"/>
      <c r="DU257" s="214"/>
      <c r="DV257" s="214"/>
      <c r="DW257" s="1131"/>
      <c r="DX257" s="1153"/>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24"/>
      <c r="C258" s="1124"/>
      <c r="D258" s="1124"/>
      <c r="E258" s="1124"/>
      <c r="F258" s="1125">
        <f t="shared" si="2"/>
        <v>0</v>
      </c>
      <c r="G258" s="1126" t="str">
        <f t="shared" si="3"/>
        <v/>
      </c>
      <c r="H258" s="112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7">
        <f t="shared" si="269"/>
        <v>0</v>
      </c>
      <c r="J258" s="1128">
        <f t="shared" si="269"/>
        <v>0</v>
      </c>
      <c r="K258" s="214"/>
      <c r="L258" s="214"/>
      <c r="M258" s="214"/>
      <c r="N258" s="214"/>
      <c r="O258" s="1087"/>
      <c r="P258" s="214"/>
      <c r="Q258" s="1131"/>
      <c r="R258" s="1153"/>
      <c r="S258" s="242"/>
      <c r="T258" s="242"/>
      <c r="U258" s="242"/>
      <c r="V258" s="242">
        <f t="shared" si="5"/>
        <v>0</v>
      </c>
      <c r="W258" s="242"/>
      <c r="X258" s="242"/>
      <c r="Y258" s="214"/>
      <c r="Z258" s="214"/>
      <c r="AA258" s="1131"/>
      <c r="AB258" s="1153"/>
      <c r="AC258" s="242"/>
      <c r="AD258" s="242"/>
      <c r="AE258" s="242"/>
      <c r="AF258" s="242">
        <f t="shared" si="6"/>
        <v>0</v>
      </c>
      <c r="AG258" s="242"/>
      <c r="AH258" s="242"/>
      <c r="AI258" s="214"/>
      <c r="AJ258" s="214"/>
      <c r="AK258" s="1131"/>
      <c r="AL258" s="1153"/>
      <c r="AM258" s="242"/>
      <c r="AN258" s="242"/>
      <c r="AO258" s="242"/>
      <c r="AP258" s="242">
        <f t="shared" si="7"/>
        <v>0</v>
      </c>
      <c r="AQ258" s="242"/>
      <c r="AR258" s="242"/>
      <c r="AS258" s="237"/>
      <c r="AT258" s="214"/>
      <c r="AU258" s="1138"/>
      <c r="AV258" s="1155"/>
      <c r="AW258" s="1140"/>
      <c r="AX258" s="1140"/>
      <c r="AY258" s="1140"/>
      <c r="AZ258" s="1140">
        <f t="shared" si="8"/>
        <v>0</v>
      </c>
      <c r="BA258" s="1140"/>
      <c r="BB258" s="1140"/>
      <c r="BC258" s="214"/>
      <c r="BD258" s="214"/>
      <c r="BE258" s="1131"/>
      <c r="BF258" s="1153"/>
      <c r="BG258" s="242"/>
      <c r="BH258" s="242"/>
      <c r="BI258" s="242"/>
      <c r="BJ258" s="242">
        <f t="shared" si="9"/>
        <v>0</v>
      </c>
      <c r="BK258" s="242"/>
      <c r="BL258" s="242"/>
      <c r="BM258" s="214"/>
      <c r="BN258" s="214"/>
      <c r="BO258" s="1131"/>
      <c r="BP258" s="1153"/>
      <c r="BQ258" s="242"/>
      <c r="BR258" s="242"/>
      <c r="BS258" s="242"/>
      <c r="BT258" s="242">
        <f t="shared" si="10"/>
        <v>0</v>
      </c>
      <c r="BU258" s="242"/>
      <c r="BV258" s="242"/>
      <c r="BW258" s="237"/>
      <c r="BX258" s="214"/>
      <c r="BY258" s="1131"/>
      <c r="BZ258" s="1153"/>
      <c r="CA258" s="242"/>
      <c r="CB258" s="242"/>
      <c r="CC258" s="242"/>
      <c r="CD258" s="242">
        <f t="shared" si="11"/>
        <v>0</v>
      </c>
      <c r="CE258" s="242"/>
      <c r="CF258" s="242"/>
      <c r="CG258" s="214"/>
      <c r="CH258" s="214"/>
      <c r="CI258" s="1131"/>
      <c r="CJ258" s="1153"/>
      <c r="CK258" s="242"/>
      <c r="CL258" s="242"/>
      <c r="CM258" s="242"/>
      <c r="CN258" s="242">
        <f t="shared" si="12"/>
        <v>0</v>
      </c>
      <c r="CO258" s="242"/>
      <c r="CP258" s="242"/>
      <c r="CQ258" s="214"/>
      <c r="CR258" s="214"/>
      <c r="CS258" s="1131"/>
      <c r="CT258" s="1153"/>
      <c r="CU258" s="242"/>
      <c r="CV258" s="242"/>
      <c r="CW258" s="242"/>
      <c r="CX258" s="242">
        <f t="shared" si="13"/>
        <v>0</v>
      </c>
      <c r="CY258" s="242"/>
      <c r="CZ258" s="242"/>
      <c r="DA258" s="237"/>
      <c r="DB258" s="214"/>
      <c r="DC258" s="1131"/>
      <c r="DD258" s="1153"/>
      <c r="DE258" s="242"/>
      <c r="DF258" s="242"/>
      <c r="DG258" s="242"/>
      <c r="DH258" s="242">
        <f t="shared" si="14"/>
        <v>0</v>
      </c>
      <c r="DI258" s="242"/>
      <c r="DJ258" s="242"/>
      <c r="DK258" s="214"/>
      <c r="DL258" s="214"/>
      <c r="DM258" s="1131"/>
      <c r="DN258" s="1153"/>
      <c r="DO258" s="242"/>
      <c r="DP258" s="242"/>
      <c r="DQ258" s="242"/>
      <c r="DR258" s="242">
        <f t="shared" si="15"/>
        <v>0</v>
      </c>
      <c r="DS258" s="242"/>
      <c r="DT258" s="242"/>
      <c r="DU258" s="214"/>
      <c r="DV258" s="214"/>
      <c r="DW258" s="1131"/>
      <c r="DX258" s="1153"/>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24"/>
      <c r="C259" s="1124"/>
      <c r="D259" s="1124"/>
      <c r="E259" s="1124"/>
      <c r="F259" s="1125">
        <f t="shared" si="2"/>
        <v>0</v>
      </c>
      <c r="G259" s="1126" t="str">
        <f t="shared" si="3"/>
        <v/>
      </c>
      <c r="H259" s="112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7">
        <f t="shared" si="270"/>
        <v>0</v>
      </c>
      <c r="J259" s="1128">
        <f t="shared" si="270"/>
        <v>0</v>
      </c>
      <c r="K259" s="214"/>
      <c r="L259" s="214"/>
      <c r="M259" s="214"/>
      <c r="N259" s="214"/>
      <c r="O259" s="1087"/>
      <c r="P259" s="214"/>
      <c r="Q259" s="1131"/>
      <c r="R259" s="1153"/>
      <c r="S259" s="242"/>
      <c r="T259" s="242"/>
      <c r="U259" s="242"/>
      <c r="V259" s="242">
        <f t="shared" si="5"/>
        <v>0</v>
      </c>
      <c r="W259" s="242"/>
      <c r="X259" s="242"/>
      <c r="Y259" s="214"/>
      <c r="Z259" s="214"/>
      <c r="AA259" s="1131"/>
      <c r="AB259" s="1153"/>
      <c r="AC259" s="242"/>
      <c r="AD259" s="242"/>
      <c r="AE259" s="242"/>
      <c r="AF259" s="242">
        <f t="shared" si="6"/>
        <v>0</v>
      </c>
      <c r="AG259" s="242"/>
      <c r="AH259" s="242"/>
      <c r="AI259" s="214"/>
      <c r="AJ259" s="214"/>
      <c r="AK259" s="1131"/>
      <c r="AL259" s="1153"/>
      <c r="AM259" s="242"/>
      <c r="AN259" s="242"/>
      <c r="AO259" s="242"/>
      <c r="AP259" s="242">
        <f t="shared" si="7"/>
        <v>0</v>
      </c>
      <c r="AQ259" s="242"/>
      <c r="AR259" s="242"/>
      <c r="AS259" s="237"/>
      <c r="AT259" s="214"/>
      <c r="AU259" s="1138"/>
      <c r="AV259" s="1155"/>
      <c r="AW259" s="1140"/>
      <c r="AX259" s="1140"/>
      <c r="AY259" s="1140"/>
      <c r="AZ259" s="1140">
        <f t="shared" si="8"/>
        <v>0</v>
      </c>
      <c r="BA259" s="1140"/>
      <c r="BB259" s="1140"/>
      <c r="BC259" s="214"/>
      <c r="BD259" s="214"/>
      <c r="BE259" s="1131"/>
      <c r="BF259" s="1153"/>
      <c r="BG259" s="242"/>
      <c r="BH259" s="242"/>
      <c r="BI259" s="242"/>
      <c r="BJ259" s="242">
        <f t="shared" si="9"/>
        <v>0</v>
      </c>
      <c r="BK259" s="242"/>
      <c r="BL259" s="242"/>
      <c r="BM259" s="214"/>
      <c r="BN259" s="214"/>
      <c r="BO259" s="1131"/>
      <c r="BP259" s="1153"/>
      <c r="BQ259" s="242"/>
      <c r="BR259" s="242"/>
      <c r="BS259" s="242"/>
      <c r="BT259" s="242">
        <f t="shared" si="10"/>
        <v>0</v>
      </c>
      <c r="BU259" s="242"/>
      <c r="BV259" s="242"/>
      <c r="BW259" s="237"/>
      <c r="BX259" s="214"/>
      <c r="BY259" s="1131"/>
      <c r="BZ259" s="1153"/>
      <c r="CA259" s="242"/>
      <c r="CB259" s="242"/>
      <c r="CC259" s="242"/>
      <c r="CD259" s="242">
        <f t="shared" si="11"/>
        <v>0</v>
      </c>
      <c r="CE259" s="242"/>
      <c r="CF259" s="242"/>
      <c r="CG259" s="214"/>
      <c r="CH259" s="214"/>
      <c r="CI259" s="1131"/>
      <c r="CJ259" s="1153"/>
      <c r="CK259" s="242"/>
      <c r="CL259" s="242"/>
      <c r="CM259" s="242"/>
      <c r="CN259" s="242">
        <f t="shared" si="12"/>
        <v>0</v>
      </c>
      <c r="CO259" s="242"/>
      <c r="CP259" s="242"/>
      <c r="CQ259" s="214"/>
      <c r="CR259" s="214"/>
      <c r="CS259" s="1131"/>
      <c r="CT259" s="1153"/>
      <c r="CU259" s="242"/>
      <c r="CV259" s="242"/>
      <c r="CW259" s="242"/>
      <c r="CX259" s="242">
        <f t="shared" si="13"/>
        <v>0</v>
      </c>
      <c r="CY259" s="242"/>
      <c r="CZ259" s="242"/>
      <c r="DA259" s="237"/>
      <c r="DB259" s="214"/>
      <c r="DC259" s="1131"/>
      <c r="DD259" s="1153"/>
      <c r="DE259" s="242"/>
      <c r="DF259" s="242"/>
      <c r="DG259" s="242"/>
      <c r="DH259" s="242">
        <f t="shared" si="14"/>
        <v>0</v>
      </c>
      <c r="DI259" s="242"/>
      <c r="DJ259" s="242"/>
      <c r="DK259" s="214"/>
      <c r="DL259" s="214"/>
      <c r="DM259" s="1131"/>
      <c r="DN259" s="1153"/>
      <c r="DO259" s="242"/>
      <c r="DP259" s="242"/>
      <c r="DQ259" s="242"/>
      <c r="DR259" s="242">
        <f t="shared" si="15"/>
        <v>0</v>
      </c>
      <c r="DS259" s="242"/>
      <c r="DT259" s="242"/>
      <c r="DU259" s="214"/>
      <c r="DV259" s="214"/>
      <c r="DW259" s="1131"/>
      <c r="DX259" s="1153"/>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24"/>
      <c r="C260" s="1124"/>
      <c r="D260" s="1124"/>
      <c r="E260" s="1124"/>
      <c r="F260" s="1125">
        <f t="shared" si="2"/>
        <v>0</v>
      </c>
      <c r="G260" s="1126" t="str">
        <f t="shared" si="3"/>
        <v/>
      </c>
      <c r="H260" s="112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7">
        <f t="shared" si="271"/>
        <v>0</v>
      </c>
      <c r="J260" s="1128">
        <f t="shared" si="271"/>
        <v>0</v>
      </c>
      <c r="K260" s="214"/>
      <c r="L260" s="214"/>
      <c r="M260" s="214"/>
      <c r="N260" s="214"/>
      <c r="O260" s="1087"/>
      <c r="P260" s="214"/>
      <c r="Q260" s="1131"/>
      <c r="R260" s="1153"/>
      <c r="S260" s="242"/>
      <c r="T260" s="242"/>
      <c r="U260" s="242"/>
      <c r="V260" s="242">
        <f t="shared" si="5"/>
        <v>0</v>
      </c>
      <c r="W260" s="242"/>
      <c r="X260" s="242"/>
      <c r="Y260" s="214"/>
      <c r="Z260" s="214"/>
      <c r="AA260" s="1131"/>
      <c r="AB260" s="1153"/>
      <c r="AC260" s="242"/>
      <c r="AD260" s="242"/>
      <c r="AE260" s="242"/>
      <c r="AF260" s="242">
        <f t="shared" si="6"/>
        <v>0</v>
      </c>
      <c r="AG260" s="242"/>
      <c r="AH260" s="242"/>
      <c r="AI260" s="214"/>
      <c r="AJ260" s="214"/>
      <c r="AK260" s="1131"/>
      <c r="AL260" s="1153"/>
      <c r="AM260" s="242"/>
      <c r="AN260" s="242"/>
      <c r="AO260" s="242"/>
      <c r="AP260" s="242">
        <f t="shared" si="7"/>
        <v>0</v>
      </c>
      <c r="AQ260" s="242"/>
      <c r="AR260" s="242"/>
      <c r="AS260" s="237"/>
      <c r="AT260" s="214"/>
      <c r="AU260" s="1138"/>
      <c r="AV260" s="1155"/>
      <c r="AW260" s="1140"/>
      <c r="AX260" s="1140"/>
      <c r="AY260" s="1140"/>
      <c r="AZ260" s="1140">
        <f t="shared" si="8"/>
        <v>0</v>
      </c>
      <c r="BA260" s="1140"/>
      <c r="BB260" s="1140"/>
      <c r="BC260" s="214"/>
      <c r="BD260" s="214"/>
      <c r="BE260" s="1131"/>
      <c r="BF260" s="1153"/>
      <c r="BG260" s="242"/>
      <c r="BH260" s="242"/>
      <c r="BI260" s="242"/>
      <c r="BJ260" s="242">
        <f t="shared" si="9"/>
        <v>0</v>
      </c>
      <c r="BK260" s="242"/>
      <c r="BL260" s="242"/>
      <c r="BM260" s="214"/>
      <c r="BN260" s="214"/>
      <c r="BO260" s="1131"/>
      <c r="BP260" s="1153"/>
      <c r="BQ260" s="242"/>
      <c r="BR260" s="242"/>
      <c r="BS260" s="242"/>
      <c r="BT260" s="242">
        <f t="shared" si="10"/>
        <v>0</v>
      </c>
      <c r="BU260" s="242"/>
      <c r="BV260" s="242"/>
      <c r="BW260" s="237"/>
      <c r="BX260" s="214"/>
      <c r="BY260" s="1131"/>
      <c r="BZ260" s="1153"/>
      <c r="CA260" s="242"/>
      <c r="CB260" s="242"/>
      <c r="CC260" s="242"/>
      <c r="CD260" s="242">
        <f t="shared" si="11"/>
        <v>0</v>
      </c>
      <c r="CE260" s="242"/>
      <c r="CF260" s="242"/>
      <c r="CG260" s="214"/>
      <c r="CH260" s="214"/>
      <c r="CI260" s="1131"/>
      <c r="CJ260" s="1153"/>
      <c r="CK260" s="242"/>
      <c r="CL260" s="242"/>
      <c r="CM260" s="242"/>
      <c r="CN260" s="242">
        <f t="shared" si="12"/>
        <v>0</v>
      </c>
      <c r="CO260" s="242"/>
      <c r="CP260" s="242"/>
      <c r="CQ260" s="214"/>
      <c r="CR260" s="214"/>
      <c r="CS260" s="1131"/>
      <c r="CT260" s="1153"/>
      <c r="CU260" s="242"/>
      <c r="CV260" s="242"/>
      <c r="CW260" s="242"/>
      <c r="CX260" s="242">
        <f t="shared" si="13"/>
        <v>0</v>
      </c>
      <c r="CY260" s="242"/>
      <c r="CZ260" s="242"/>
      <c r="DA260" s="237"/>
      <c r="DB260" s="214"/>
      <c r="DC260" s="1131"/>
      <c r="DD260" s="1153"/>
      <c r="DE260" s="242"/>
      <c r="DF260" s="242"/>
      <c r="DG260" s="242"/>
      <c r="DH260" s="242">
        <f t="shared" si="14"/>
        <v>0</v>
      </c>
      <c r="DI260" s="242"/>
      <c r="DJ260" s="242"/>
      <c r="DK260" s="214"/>
      <c r="DL260" s="214"/>
      <c r="DM260" s="1131"/>
      <c r="DN260" s="1153"/>
      <c r="DO260" s="242"/>
      <c r="DP260" s="242"/>
      <c r="DQ260" s="242"/>
      <c r="DR260" s="242">
        <f t="shared" si="15"/>
        <v>0</v>
      </c>
      <c r="DS260" s="242"/>
      <c r="DT260" s="242"/>
      <c r="DU260" s="214"/>
      <c r="DV260" s="214"/>
      <c r="DW260" s="1131"/>
      <c r="DX260" s="1153"/>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24"/>
      <c r="C261" s="1124"/>
      <c r="D261" s="1124"/>
      <c r="E261" s="1124"/>
      <c r="F261" s="1125">
        <f t="shared" si="2"/>
        <v>0</v>
      </c>
      <c r="G261" s="1126" t="str">
        <f t="shared" si="3"/>
        <v/>
      </c>
      <c r="H261" s="112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7">
        <f t="shared" si="272"/>
        <v>0</v>
      </c>
      <c r="J261" s="1128">
        <f t="shared" si="272"/>
        <v>0</v>
      </c>
      <c r="K261" s="214"/>
      <c r="L261" s="214"/>
      <c r="M261" s="214"/>
      <c r="N261" s="214"/>
      <c r="O261" s="1087"/>
      <c r="P261" s="214"/>
      <c r="Q261" s="1131"/>
      <c r="R261" s="1153"/>
      <c r="S261" s="242"/>
      <c r="T261" s="242"/>
      <c r="U261" s="242"/>
      <c r="V261" s="242">
        <f t="shared" si="5"/>
        <v>0</v>
      </c>
      <c r="W261" s="242"/>
      <c r="X261" s="242"/>
      <c r="Y261" s="214"/>
      <c r="Z261" s="214"/>
      <c r="AA261" s="1131"/>
      <c r="AB261" s="1153"/>
      <c r="AC261" s="242"/>
      <c r="AD261" s="242"/>
      <c r="AE261" s="242"/>
      <c r="AF261" s="242">
        <f t="shared" si="6"/>
        <v>0</v>
      </c>
      <c r="AG261" s="242"/>
      <c r="AH261" s="242"/>
      <c r="AI261" s="214"/>
      <c r="AJ261" s="214"/>
      <c r="AK261" s="1131"/>
      <c r="AL261" s="1153"/>
      <c r="AM261" s="242"/>
      <c r="AN261" s="242"/>
      <c r="AO261" s="242"/>
      <c r="AP261" s="242">
        <f t="shared" si="7"/>
        <v>0</v>
      </c>
      <c r="AQ261" s="242"/>
      <c r="AR261" s="242"/>
      <c r="AS261" s="237"/>
      <c r="AT261" s="214"/>
      <c r="AU261" s="1138"/>
      <c r="AV261" s="1155"/>
      <c r="AW261" s="1140"/>
      <c r="AX261" s="1140"/>
      <c r="AY261" s="1140"/>
      <c r="AZ261" s="1140">
        <f t="shared" si="8"/>
        <v>0</v>
      </c>
      <c r="BA261" s="1140"/>
      <c r="BB261" s="1140"/>
      <c r="BC261" s="214"/>
      <c r="BD261" s="214"/>
      <c r="BE261" s="1131"/>
      <c r="BF261" s="1153"/>
      <c r="BG261" s="242"/>
      <c r="BH261" s="242"/>
      <c r="BI261" s="242"/>
      <c r="BJ261" s="242">
        <f t="shared" si="9"/>
        <v>0</v>
      </c>
      <c r="BK261" s="242"/>
      <c r="BL261" s="242"/>
      <c r="BM261" s="214"/>
      <c r="BN261" s="214"/>
      <c r="BO261" s="1131"/>
      <c r="BP261" s="1153"/>
      <c r="BQ261" s="242"/>
      <c r="BR261" s="242"/>
      <c r="BS261" s="242"/>
      <c r="BT261" s="242">
        <f t="shared" si="10"/>
        <v>0</v>
      </c>
      <c r="BU261" s="242"/>
      <c r="BV261" s="242"/>
      <c r="BW261" s="237"/>
      <c r="BX261" s="214"/>
      <c r="BY261" s="1131"/>
      <c r="BZ261" s="1153"/>
      <c r="CA261" s="242"/>
      <c r="CB261" s="242"/>
      <c r="CC261" s="242"/>
      <c r="CD261" s="242">
        <f t="shared" si="11"/>
        <v>0</v>
      </c>
      <c r="CE261" s="242"/>
      <c r="CF261" s="242"/>
      <c r="CG261" s="214"/>
      <c r="CH261" s="214"/>
      <c r="CI261" s="1131"/>
      <c r="CJ261" s="1153"/>
      <c r="CK261" s="242"/>
      <c r="CL261" s="242"/>
      <c r="CM261" s="242"/>
      <c r="CN261" s="242">
        <f t="shared" si="12"/>
        <v>0</v>
      </c>
      <c r="CO261" s="242"/>
      <c r="CP261" s="242"/>
      <c r="CQ261" s="214"/>
      <c r="CR261" s="214"/>
      <c r="CS261" s="1131"/>
      <c r="CT261" s="1153"/>
      <c r="CU261" s="242"/>
      <c r="CV261" s="242"/>
      <c r="CW261" s="242"/>
      <c r="CX261" s="242">
        <f t="shared" si="13"/>
        <v>0</v>
      </c>
      <c r="CY261" s="242"/>
      <c r="CZ261" s="242"/>
      <c r="DA261" s="237"/>
      <c r="DB261" s="214"/>
      <c r="DC261" s="1131"/>
      <c r="DD261" s="1153"/>
      <c r="DE261" s="242"/>
      <c r="DF261" s="242"/>
      <c r="DG261" s="242"/>
      <c r="DH261" s="242">
        <f t="shared" si="14"/>
        <v>0</v>
      </c>
      <c r="DI261" s="242"/>
      <c r="DJ261" s="242"/>
      <c r="DK261" s="214"/>
      <c r="DL261" s="214"/>
      <c r="DM261" s="1131"/>
      <c r="DN261" s="1153"/>
      <c r="DO261" s="242"/>
      <c r="DP261" s="242"/>
      <c r="DQ261" s="242"/>
      <c r="DR261" s="242">
        <f t="shared" si="15"/>
        <v>0</v>
      </c>
      <c r="DS261" s="242"/>
      <c r="DT261" s="242"/>
      <c r="DU261" s="214"/>
      <c r="DV261" s="214"/>
      <c r="DW261" s="1131"/>
      <c r="DX261" s="1153"/>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24"/>
      <c r="C262" s="1124"/>
      <c r="D262" s="1124"/>
      <c r="E262" s="1124"/>
      <c r="F262" s="1125">
        <f t="shared" si="2"/>
        <v>0</v>
      </c>
      <c r="G262" s="1126" t="str">
        <f t="shared" si="3"/>
        <v/>
      </c>
      <c r="H262" s="112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7">
        <f t="shared" si="273"/>
        <v>0</v>
      </c>
      <c r="J262" s="1128">
        <f t="shared" si="273"/>
        <v>0</v>
      </c>
      <c r="K262" s="214"/>
      <c r="L262" s="214"/>
      <c r="M262" s="214"/>
      <c r="N262" s="214"/>
      <c r="O262" s="1087"/>
      <c r="P262" s="214"/>
      <c r="Q262" s="1131"/>
      <c r="R262" s="1153"/>
      <c r="S262" s="242"/>
      <c r="T262" s="242"/>
      <c r="U262" s="242"/>
      <c r="V262" s="242">
        <f t="shared" si="5"/>
        <v>0</v>
      </c>
      <c r="W262" s="242"/>
      <c r="X262" s="242"/>
      <c r="Y262" s="214"/>
      <c r="Z262" s="214"/>
      <c r="AA262" s="1131"/>
      <c r="AB262" s="1153"/>
      <c r="AC262" s="242"/>
      <c r="AD262" s="242"/>
      <c r="AE262" s="242"/>
      <c r="AF262" s="242">
        <f t="shared" si="6"/>
        <v>0</v>
      </c>
      <c r="AG262" s="242"/>
      <c r="AH262" s="242"/>
      <c r="AI262" s="214"/>
      <c r="AJ262" s="214"/>
      <c r="AK262" s="1131"/>
      <c r="AL262" s="1153"/>
      <c r="AM262" s="242"/>
      <c r="AN262" s="242"/>
      <c r="AO262" s="242"/>
      <c r="AP262" s="242">
        <f t="shared" si="7"/>
        <v>0</v>
      </c>
      <c r="AQ262" s="242"/>
      <c r="AR262" s="242"/>
      <c r="AS262" s="237"/>
      <c r="AT262" s="214"/>
      <c r="AU262" s="1138"/>
      <c r="AV262" s="1155"/>
      <c r="AW262" s="1140"/>
      <c r="AX262" s="1140"/>
      <c r="AY262" s="1140"/>
      <c r="AZ262" s="1140">
        <f t="shared" si="8"/>
        <v>0</v>
      </c>
      <c r="BA262" s="1140"/>
      <c r="BB262" s="1140"/>
      <c r="BC262" s="214"/>
      <c r="BD262" s="214"/>
      <c r="BE262" s="1131"/>
      <c r="BF262" s="1153"/>
      <c r="BG262" s="242"/>
      <c r="BH262" s="242"/>
      <c r="BI262" s="242"/>
      <c r="BJ262" s="242">
        <f t="shared" si="9"/>
        <v>0</v>
      </c>
      <c r="BK262" s="242"/>
      <c r="BL262" s="242"/>
      <c r="BM262" s="214"/>
      <c r="BN262" s="214"/>
      <c r="BO262" s="1131"/>
      <c r="BP262" s="1153"/>
      <c r="BQ262" s="242"/>
      <c r="BR262" s="242"/>
      <c r="BS262" s="242"/>
      <c r="BT262" s="242">
        <f t="shared" si="10"/>
        <v>0</v>
      </c>
      <c r="BU262" s="242"/>
      <c r="BV262" s="242"/>
      <c r="BW262" s="237"/>
      <c r="BX262" s="214"/>
      <c r="BY262" s="1131"/>
      <c r="BZ262" s="1153"/>
      <c r="CA262" s="242"/>
      <c r="CB262" s="242"/>
      <c r="CC262" s="242"/>
      <c r="CD262" s="242">
        <f t="shared" si="11"/>
        <v>0</v>
      </c>
      <c r="CE262" s="242"/>
      <c r="CF262" s="242"/>
      <c r="CG262" s="214"/>
      <c r="CH262" s="214"/>
      <c r="CI262" s="1131"/>
      <c r="CJ262" s="1153"/>
      <c r="CK262" s="242"/>
      <c r="CL262" s="242"/>
      <c r="CM262" s="242"/>
      <c r="CN262" s="242">
        <f t="shared" si="12"/>
        <v>0</v>
      </c>
      <c r="CO262" s="242"/>
      <c r="CP262" s="242"/>
      <c r="CQ262" s="214"/>
      <c r="CR262" s="214"/>
      <c r="CS262" s="1131"/>
      <c r="CT262" s="1153"/>
      <c r="CU262" s="242"/>
      <c r="CV262" s="242"/>
      <c r="CW262" s="242"/>
      <c r="CX262" s="242">
        <f t="shared" si="13"/>
        <v>0</v>
      </c>
      <c r="CY262" s="242"/>
      <c r="CZ262" s="242"/>
      <c r="DA262" s="237"/>
      <c r="DB262" s="214"/>
      <c r="DC262" s="1131"/>
      <c r="DD262" s="1153"/>
      <c r="DE262" s="242"/>
      <c r="DF262" s="242"/>
      <c r="DG262" s="242"/>
      <c r="DH262" s="242">
        <f t="shared" si="14"/>
        <v>0</v>
      </c>
      <c r="DI262" s="242"/>
      <c r="DJ262" s="242"/>
      <c r="DK262" s="214"/>
      <c r="DL262" s="214"/>
      <c r="DM262" s="1131"/>
      <c r="DN262" s="1153"/>
      <c r="DO262" s="242"/>
      <c r="DP262" s="242"/>
      <c r="DQ262" s="242"/>
      <c r="DR262" s="242">
        <f t="shared" si="15"/>
        <v>0</v>
      </c>
      <c r="DS262" s="242"/>
      <c r="DT262" s="242"/>
      <c r="DU262" s="214"/>
      <c r="DV262" s="214"/>
      <c r="DW262" s="1131"/>
      <c r="DX262" s="1153"/>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24"/>
      <c r="C263" s="1124"/>
      <c r="D263" s="1124"/>
      <c r="E263" s="1124"/>
      <c r="F263" s="1125">
        <f t="shared" si="2"/>
        <v>0</v>
      </c>
      <c r="G263" s="1126" t="str">
        <f t="shared" si="3"/>
        <v/>
      </c>
      <c r="H263" s="112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7">
        <f t="shared" si="274"/>
        <v>0</v>
      </c>
      <c r="J263" s="1128">
        <f t="shared" si="274"/>
        <v>0</v>
      </c>
      <c r="K263" s="214"/>
      <c r="L263" s="214"/>
      <c r="M263" s="214"/>
      <c r="N263" s="214"/>
      <c r="O263" s="1087"/>
      <c r="P263" s="214"/>
      <c r="Q263" s="1131"/>
      <c r="R263" s="1153"/>
      <c r="S263" s="242"/>
      <c r="T263" s="242"/>
      <c r="U263" s="242"/>
      <c r="V263" s="242">
        <f t="shared" si="5"/>
        <v>0</v>
      </c>
      <c r="W263" s="242"/>
      <c r="X263" s="242"/>
      <c r="Y263" s="214"/>
      <c r="Z263" s="214"/>
      <c r="AA263" s="1131"/>
      <c r="AB263" s="1153"/>
      <c r="AC263" s="242"/>
      <c r="AD263" s="242"/>
      <c r="AE263" s="242"/>
      <c r="AF263" s="242">
        <f t="shared" si="6"/>
        <v>0</v>
      </c>
      <c r="AG263" s="242"/>
      <c r="AH263" s="242"/>
      <c r="AI263" s="214"/>
      <c r="AJ263" s="214"/>
      <c r="AK263" s="1131"/>
      <c r="AL263" s="1153"/>
      <c r="AM263" s="242"/>
      <c r="AN263" s="242"/>
      <c r="AO263" s="242"/>
      <c r="AP263" s="242">
        <f t="shared" si="7"/>
        <v>0</v>
      </c>
      <c r="AQ263" s="242"/>
      <c r="AR263" s="242"/>
      <c r="AS263" s="237"/>
      <c r="AT263" s="214"/>
      <c r="AU263" s="1138"/>
      <c r="AV263" s="1155"/>
      <c r="AW263" s="1140"/>
      <c r="AX263" s="1140"/>
      <c r="AY263" s="1140"/>
      <c r="AZ263" s="1140">
        <f t="shared" si="8"/>
        <v>0</v>
      </c>
      <c r="BA263" s="1140"/>
      <c r="BB263" s="1140"/>
      <c r="BC263" s="214"/>
      <c r="BD263" s="214"/>
      <c r="BE263" s="1131"/>
      <c r="BF263" s="1153"/>
      <c r="BG263" s="242"/>
      <c r="BH263" s="242"/>
      <c r="BI263" s="242"/>
      <c r="BJ263" s="242">
        <f t="shared" si="9"/>
        <v>0</v>
      </c>
      <c r="BK263" s="242"/>
      <c r="BL263" s="242"/>
      <c r="BM263" s="214"/>
      <c r="BN263" s="214"/>
      <c r="BO263" s="1131"/>
      <c r="BP263" s="1153"/>
      <c r="BQ263" s="242"/>
      <c r="BR263" s="242"/>
      <c r="BS263" s="242"/>
      <c r="BT263" s="242">
        <f t="shared" si="10"/>
        <v>0</v>
      </c>
      <c r="BU263" s="242"/>
      <c r="BV263" s="242"/>
      <c r="BW263" s="237"/>
      <c r="BX263" s="214"/>
      <c r="BY263" s="1131"/>
      <c r="BZ263" s="1153"/>
      <c r="CA263" s="242"/>
      <c r="CB263" s="242"/>
      <c r="CC263" s="242"/>
      <c r="CD263" s="242">
        <f t="shared" si="11"/>
        <v>0</v>
      </c>
      <c r="CE263" s="242"/>
      <c r="CF263" s="242"/>
      <c r="CG263" s="214"/>
      <c r="CH263" s="214"/>
      <c r="CI263" s="1131"/>
      <c r="CJ263" s="1153"/>
      <c r="CK263" s="242"/>
      <c r="CL263" s="242"/>
      <c r="CM263" s="242"/>
      <c r="CN263" s="242">
        <f t="shared" si="12"/>
        <v>0</v>
      </c>
      <c r="CO263" s="242"/>
      <c r="CP263" s="242"/>
      <c r="CQ263" s="214"/>
      <c r="CR263" s="214"/>
      <c r="CS263" s="1131"/>
      <c r="CT263" s="1153"/>
      <c r="CU263" s="242"/>
      <c r="CV263" s="242"/>
      <c r="CW263" s="242"/>
      <c r="CX263" s="242">
        <f t="shared" si="13"/>
        <v>0</v>
      </c>
      <c r="CY263" s="242"/>
      <c r="CZ263" s="242"/>
      <c r="DA263" s="237"/>
      <c r="DB263" s="214"/>
      <c r="DC263" s="1131"/>
      <c r="DD263" s="1153"/>
      <c r="DE263" s="242"/>
      <c r="DF263" s="242"/>
      <c r="DG263" s="242"/>
      <c r="DH263" s="242">
        <f t="shared" si="14"/>
        <v>0</v>
      </c>
      <c r="DI263" s="242"/>
      <c r="DJ263" s="242"/>
      <c r="DK263" s="214"/>
      <c r="DL263" s="214"/>
      <c r="DM263" s="1131"/>
      <c r="DN263" s="1153"/>
      <c r="DO263" s="242"/>
      <c r="DP263" s="242"/>
      <c r="DQ263" s="242"/>
      <c r="DR263" s="242">
        <f t="shared" si="15"/>
        <v>0</v>
      </c>
      <c r="DS263" s="242"/>
      <c r="DT263" s="242"/>
      <c r="DU263" s="214"/>
      <c r="DV263" s="214"/>
      <c r="DW263" s="1131"/>
      <c r="DX263" s="1153"/>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24"/>
      <c r="C264" s="1124"/>
      <c r="D264" s="1124"/>
      <c r="E264" s="1124"/>
      <c r="F264" s="1125">
        <f t="shared" si="2"/>
        <v>0</v>
      </c>
      <c r="G264" s="1126" t="str">
        <f t="shared" si="3"/>
        <v/>
      </c>
      <c r="H264" s="112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7">
        <f t="shared" si="275"/>
        <v>0</v>
      </c>
      <c r="J264" s="1128">
        <f t="shared" si="275"/>
        <v>0</v>
      </c>
      <c r="K264" s="214"/>
      <c r="L264" s="214"/>
      <c r="M264" s="214"/>
      <c r="N264" s="214"/>
      <c r="O264" s="1087"/>
      <c r="P264" s="214"/>
      <c r="Q264" s="1131"/>
      <c r="R264" s="1153"/>
      <c r="S264" s="242"/>
      <c r="T264" s="242"/>
      <c r="U264" s="242"/>
      <c r="V264" s="242">
        <f t="shared" si="5"/>
        <v>0</v>
      </c>
      <c r="W264" s="242"/>
      <c r="X264" s="242"/>
      <c r="Y264" s="214"/>
      <c r="Z264" s="214"/>
      <c r="AA264" s="1131"/>
      <c r="AB264" s="1153"/>
      <c r="AC264" s="242"/>
      <c r="AD264" s="242"/>
      <c r="AE264" s="242"/>
      <c r="AF264" s="242">
        <f t="shared" si="6"/>
        <v>0</v>
      </c>
      <c r="AG264" s="242"/>
      <c r="AH264" s="242"/>
      <c r="AI264" s="214"/>
      <c r="AJ264" s="214"/>
      <c r="AK264" s="1131"/>
      <c r="AL264" s="1153"/>
      <c r="AM264" s="242"/>
      <c r="AN264" s="242"/>
      <c r="AO264" s="242"/>
      <c r="AP264" s="242">
        <f t="shared" si="7"/>
        <v>0</v>
      </c>
      <c r="AQ264" s="242"/>
      <c r="AR264" s="242"/>
      <c r="AS264" s="237"/>
      <c r="AT264" s="214"/>
      <c r="AU264" s="1138"/>
      <c r="AV264" s="1155"/>
      <c r="AW264" s="1140"/>
      <c r="AX264" s="1140"/>
      <c r="AY264" s="1140"/>
      <c r="AZ264" s="1140">
        <f t="shared" si="8"/>
        <v>0</v>
      </c>
      <c r="BA264" s="1140"/>
      <c r="BB264" s="1140"/>
      <c r="BC264" s="214"/>
      <c r="BD264" s="214"/>
      <c r="BE264" s="1131"/>
      <c r="BF264" s="1153"/>
      <c r="BG264" s="242"/>
      <c r="BH264" s="242"/>
      <c r="BI264" s="242"/>
      <c r="BJ264" s="242">
        <f t="shared" si="9"/>
        <v>0</v>
      </c>
      <c r="BK264" s="242"/>
      <c r="BL264" s="242"/>
      <c r="BM264" s="214"/>
      <c r="BN264" s="214"/>
      <c r="BO264" s="1131"/>
      <c r="BP264" s="1153"/>
      <c r="BQ264" s="242"/>
      <c r="BR264" s="242"/>
      <c r="BS264" s="242"/>
      <c r="BT264" s="242">
        <f t="shared" si="10"/>
        <v>0</v>
      </c>
      <c r="BU264" s="242"/>
      <c r="BV264" s="242"/>
      <c r="BW264" s="237"/>
      <c r="BX264" s="214"/>
      <c r="BY264" s="1131"/>
      <c r="BZ264" s="1153"/>
      <c r="CA264" s="242"/>
      <c r="CB264" s="242"/>
      <c r="CC264" s="242"/>
      <c r="CD264" s="242">
        <f t="shared" si="11"/>
        <v>0</v>
      </c>
      <c r="CE264" s="242"/>
      <c r="CF264" s="242"/>
      <c r="CG264" s="214"/>
      <c r="CH264" s="214"/>
      <c r="CI264" s="1131"/>
      <c r="CJ264" s="1153"/>
      <c r="CK264" s="242"/>
      <c r="CL264" s="242"/>
      <c r="CM264" s="242"/>
      <c r="CN264" s="242">
        <f t="shared" si="12"/>
        <v>0</v>
      </c>
      <c r="CO264" s="242"/>
      <c r="CP264" s="242"/>
      <c r="CQ264" s="214"/>
      <c r="CR264" s="214"/>
      <c r="CS264" s="1131"/>
      <c r="CT264" s="1153"/>
      <c r="CU264" s="242"/>
      <c r="CV264" s="242"/>
      <c r="CW264" s="242"/>
      <c r="CX264" s="242">
        <f t="shared" si="13"/>
        <v>0</v>
      </c>
      <c r="CY264" s="242"/>
      <c r="CZ264" s="242"/>
      <c r="DA264" s="237"/>
      <c r="DB264" s="214"/>
      <c r="DC264" s="1131"/>
      <c r="DD264" s="1153"/>
      <c r="DE264" s="242"/>
      <c r="DF264" s="242"/>
      <c r="DG264" s="242"/>
      <c r="DH264" s="242">
        <f t="shared" si="14"/>
        <v>0</v>
      </c>
      <c r="DI264" s="242"/>
      <c r="DJ264" s="242"/>
      <c r="DK264" s="214"/>
      <c r="DL264" s="214"/>
      <c r="DM264" s="1131"/>
      <c r="DN264" s="1153"/>
      <c r="DO264" s="242"/>
      <c r="DP264" s="242"/>
      <c r="DQ264" s="242"/>
      <c r="DR264" s="242">
        <f t="shared" si="15"/>
        <v>0</v>
      </c>
      <c r="DS264" s="242"/>
      <c r="DT264" s="242"/>
      <c r="DU264" s="214"/>
      <c r="DV264" s="214"/>
      <c r="DW264" s="1131"/>
      <c r="DX264" s="1153"/>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24"/>
      <c r="C265" s="1124"/>
      <c r="D265" s="1124"/>
      <c r="E265" s="1124"/>
      <c r="F265" s="1125">
        <f t="shared" si="2"/>
        <v>0</v>
      </c>
      <c r="G265" s="1126" t="str">
        <f t="shared" si="3"/>
        <v/>
      </c>
      <c r="H265" s="112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7">
        <f t="shared" si="276"/>
        <v>0</v>
      </c>
      <c r="J265" s="1128">
        <f t="shared" si="276"/>
        <v>0</v>
      </c>
      <c r="K265" s="214"/>
      <c r="L265" s="214"/>
      <c r="M265" s="214"/>
      <c r="N265" s="214"/>
      <c r="O265" s="1087"/>
      <c r="P265" s="214"/>
      <c r="Q265" s="1131"/>
      <c r="R265" s="1153"/>
      <c r="S265" s="242"/>
      <c r="T265" s="242"/>
      <c r="U265" s="242"/>
      <c r="V265" s="242">
        <f t="shared" si="5"/>
        <v>0</v>
      </c>
      <c r="W265" s="242"/>
      <c r="X265" s="242"/>
      <c r="Y265" s="214"/>
      <c r="Z265" s="214"/>
      <c r="AA265" s="1131"/>
      <c r="AB265" s="1153"/>
      <c r="AC265" s="242"/>
      <c r="AD265" s="242"/>
      <c r="AE265" s="242"/>
      <c r="AF265" s="242">
        <f t="shared" si="6"/>
        <v>0</v>
      </c>
      <c r="AG265" s="242"/>
      <c r="AH265" s="242"/>
      <c r="AI265" s="214"/>
      <c r="AJ265" s="214"/>
      <c r="AK265" s="1131"/>
      <c r="AL265" s="1153"/>
      <c r="AM265" s="242"/>
      <c r="AN265" s="242"/>
      <c r="AO265" s="242"/>
      <c r="AP265" s="242">
        <f t="shared" si="7"/>
        <v>0</v>
      </c>
      <c r="AQ265" s="242"/>
      <c r="AR265" s="242"/>
      <c r="AS265" s="237"/>
      <c r="AT265" s="214"/>
      <c r="AU265" s="1138"/>
      <c r="AV265" s="1155"/>
      <c r="AW265" s="1140"/>
      <c r="AX265" s="1140"/>
      <c r="AY265" s="1140"/>
      <c r="AZ265" s="1140">
        <f t="shared" si="8"/>
        <v>0</v>
      </c>
      <c r="BA265" s="1140"/>
      <c r="BB265" s="1140"/>
      <c r="BC265" s="214"/>
      <c r="BD265" s="214"/>
      <c r="BE265" s="1131"/>
      <c r="BF265" s="1153"/>
      <c r="BG265" s="242"/>
      <c r="BH265" s="242"/>
      <c r="BI265" s="242"/>
      <c r="BJ265" s="242">
        <f t="shared" si="9"/>
        <v>0</v>
      </c>
      <c r="BK265" s="242"/>
      <c r="BL265" s="242"/>
      <c r="BM265" s="214"/>
      <c r="BN265" s="214"/>
      <c r="BO265" s="1131"/>
      <c r="BP265" s="1153"/>
      <c r="BQ265" s="242"/>
      <c r="BR265" s="242"/>
      <c r="BS265" s="242"/>
      <c r="BT265" s="242">
        <f t="shared" si="10"/>
        <v>0</v>
      </c>
      <c r="BU265" s="242"/>
      <c r="BV265" s="242"/>
      <c r="BW265" s="237"/>
      <c r="BX265" s="214"/>
      <c r="BY265" s="1131"/>
      <c r="BZ265" s="1153"/>
      <c r="CA265" s="242"/>
      <c r="CB265" s="242"/>
      <c r="CC265" s="242"/>
      <c r="CD265" s="242">
        <f t="shared" si="11"/>
        <v>0</v>
      </c>
      <c r="CE265" s="242"/>
      <c r="CF265" s="242"/>
      <c r="CG265" s="214"/>
      <c r="CH265" s="214"/>
      <c r="CI265" s="1131"/>
      <c r="CJ265" s="1153"/>
      <c r="CK265" s="242"/>
      <c r="CL265" s="242"/>
      <c r="CM265" s="242"/>
      <c r="CN265" s="242">
        <f t="shared" si="12"/>
        <v>0</v>
      </c>
      <c r="CO265" s="242"/>
      <c r="CP265" s="242"/>
      <c r="CQ265" s="214"/>
      <c r="CR265" s="214"/>
      <c r="CS265" s="1131"/>
      <c r="CT265" s="1153"/>
      <c r="CU265" s="242"/>
      <c r="CV265" s="242"/>
      <c r="CW265" s="242"/>
      <c r="CX265" s="242">
        <f t="shared" si="13"/>
        <v>0</v>
      </c>
      <c r="CY265" s="242"/>
      <c r="CZ265" s="242"/>
      <c r="DA265" s="237"/>
      <c r="DB265" s="214"/>
      <c r="DC265" s="1131"/>
      <c r="DD265" s="1153"/>
      <c r="DE265" s="242"/>
      <c r="DF265" s="242"/>
      <c r="DG265" s="242"/>
      <c r="DH265" s="242">
        <f t="shared" si="14"/>
        <v>0</v>
      </c>
      <c r="DI265" s="242"/>
      <c r="DJ265" s="242"/>
      <c r="DK265" s="214"/>
      <c r="DL265" s="214"/>
      <c r="DM265" s="1131"/>
      <c r="DN265" s="1153"/>
      <c r="DO265" s="242"/>
      <c r="DP265" s="242"/>
      <c r="DQ265" s="242"/>
      <c r="DR265" s="242">
        <f t="shared" si="15"/>
        <v>0</v>
      </c>
      <c r="DS265" s="242"/>
      <c r="DT265" s="242"/>
      <c r="DU265" s="214"/>
      <c r="DV265" s="214"/>
      <c r="DW265" s="1131"/>
      <c r="DX265" s="1153"/>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24"/>
      <c r="C266" s="1124"/>
      <c r="D266" s="1124"/>
      <c r="E266" s="1124"/>
      <c r="F266" s="1125">
        <f t="shared" si="2"/>
        <v>0</v>
      </c>
      <c r="G266" s="1126" t="str">
        <f t="shared" si="3"/>
        <v/>
      </c>
      <c r="H266" s="112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7">
        <f t="shared" si="277"/>
        <v>0</v>
      </c>
      <c r="J266" s="1128">
        <f t="shared" si="277"/>
        <v>0</v>
      </c>
      <c r="K266" s="214"/>
      <c r="L266" s="214"/>
      <c r="M266" s="214"/>
      <c r="N266" s="214"/>
      <c r="O266" s="1087"/>
      <c r="P266" s="214"/>
      <c r="Q266" s="1131"/>
      <c r="R266" s="1153"/>
      <c r="S266" s="242"/>
      <c r="T266" s="242"/>
      <c r="U266" s="242"/>
      <c r="V266" s="242">
        <f t="shared" si="5"/>
        <v>0</v>
      </c>
      <c r="W266" s="242"/>
      <c r="X266" s="242"/>
      <c r="Y266" s="214"/>
      <c r="Z266" s="214"/>
      <c r="AA266" s="1131"/>
      <c r="AB266" s="1153"/>
      <c r="AC266" s="242"/>
      <c r="AD266" s="242"/>
      <c r="AE266" s="242"/>
      <c r="AF266" s="242">
        <f t="shared" si="6"/>
        <v>0</v>
      </c>
      <c r="AG266" s="242"/>
      <c r="AH266" s="242"/>
      <c r="AI266" s="214"/>
      <c r="AJ266" s="214"/>
      <c r="AK266" s="1131"/>
      <c r="AL266" s="1153"/>
      <c r="AM266" s="242"/>
      <c r="AN266" s="242"/>
      <c r="AO266" s="242"/>
      <c r="AP266" s="242">
        <f t="shared" si="7"/>
        <v>0</v>
      </c>
      <c r="AQ266" s="242"/>
      <c r="AR266" s="242"/>
      <c r="AS266" s="237"/>
      <c r="AT266" s="214"/>
      <c r="AU266" s="1138"/>
      <c r="AV266" s="1155"/>
      <c r="AW266" s="1140"/>
      <c r="AX266" s="1140"/>
      <c r="AY266" s="1140"/>
      <c r="AZ266" s="1140">
        <f t="shared" si="8"/>
        <v>0</v>
      </c>
      <c r="BA266" s="1140"/>
      <c r="BB266" s="1140"/>
      <c r="BC266" s="214"/>
      <c r="BD266" s="214"/>
      <c r="BE266" s="1131"/>
      <c r="BF266" s="1153"/>
      <c r="BG266" s="242"/>
      <c r="BH266" s="242"/>
      <c r="BI266" s="242"/>
      <c r="BJ266" s="242">
        <f t="shared" si="9"/>
        <v>0</v>
      </c>
      <c r="BK266" s="242"/>
      <c r="BL266" s="242"/>
      <c r="BM266" s="214"/>
      <c r="BN266" s="214"/>
      <c r="BO266" s="1131"/>
      <c r="BP266" s="1153"/>
      <c r="BQ266" s="242"/>
      <c r="BR266" s="242"/>
      <c r="BS266" s="242"/>
      <c r="BT266" s="242">
        <f t="shared" si="10"/>
        <v>0</v>
      </c>
      <c r="BU266" s="242"/>
      <c r="BV266" s="242"/>
      <c r="BW266" s="237"/>
      <c r="BX266" s="214"/>
      <c r="BY266" s="1131"/>
      <c r="BZ266" s="1153"/>
      <c r="CA266" s="242"/>
      <c r="CB266" s="242"/>
      <c r="CC266" s="242"/>
      <c r="CD266" s="242">
        <f t="shared" si="11"/>
        <v>0</v>
      </c>
      <c r="CE266" s="242"/>
      <c r="CF266" s="242"/>
      <c r="CG266" s="214"/>
      <c r="CH266" s="214"/>
      <c r="CI266" s="1131"/>
      <c r="CJ266" s="1153"/>
      <c r="CK266" s="242"/>
      <c r="CL266" s="242"/>
      <c r="CM266" s="242"/>
      <c r="CN266" s="242">
        <f t="shared" si="12"/>
        <v>0</v>
      </c>
      <c r="CO266" s="242"/>
      <c r="CP266" s="242"/>
      <c r="CQ266" s="214"/>
      <c r="CR266" s="214"/>
      <c r="CS266" s="1131"/>
      <c r="CT266" s="1153"/>
      <c r="CU266" s="242"/>
      <c r="CV266" s="242"/>
      <c r="CW266" s="242"/>
      <c r="CX266" s="242">
        <f t="shared" si="13"/>
        <v>0</v>
      </c>
      <c r="CY266" s="242"/>
      <c r="CZ266" s="242"/>
      <c r="DA266" s="237"/>
      <c r="DB266" s="214"/>
      <c r="DC266" s="1131"/>
      <c r="DD266" s="1153"/>
      <c r="DE266" s="242"/>
      <c r="DF266" s="242"/>
      <c r="DG266" s="242"/>
      <c r="DH266" s="242">
        <f t="shared" si="14"/>
        <v>0</v>
      </c>
      <c r="DI266" s="242"/>
      <c r="DJ266" s="242"/>
      <c r="DK266" s="214"/>
      <c r="DL266" s="214"/>
      <c r="DM266" s="1131"/>
      <c r="DN266" s="1153"/>
      <c r="DO266" s="242"/>
      <c r="DP266" s="242"/>
      <c r="DQ266" s="242"/>
      <c r="DR266" s="242">
        <f t="shared" si="15"/>
        <v>0</v>
      </c>
      <c r="DS266" s="242"/>
      <c r="DT266" s="242"/>
      <c r="DU266" s="214"/>
      <c r="DV266" s="214"/>
      <c r="DW266" s="1131"/>
      <c r="DX266" s="1153"/>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24"/>
      <c r="C267" s="1124"/>
      <c r="D267" s="1124"/>
      <c r="E267" s="1124"/>
      <c r="F267" s="1125">
        <f t="shared" si="2"/>
        <v>0</v>
      </c>
      <c r="G267" s="1126" t="str">
        <f t="shared" si="3"/>
        <v/>
      </c>
      <c r="H267" s="112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7">
        <f t="shared" si="278"/>
        <v>0</v>
      </c>
      <c r="J267" s="1128">
        <f t="shared" si="278"/>
        <v>0</v>
      </c>
      <c r="K267" s="214"/>
      <c r="L267" s="214"/>
      <c r="M267" s="214"/>
      <c r="N267" s="214"/>
      <c r="O267" s="1087"/>
      <c r="P267" s="214"/>
      <c r="Q267" s="1131"/>
      <c r="R267" s="1153"/>
      <c r="S267" s="242"/>
      <c r="T267" s="242"/>
      <c r="U267" s="242"/>
      <c r="V267" s="242">
        <f t="shared" si="5"/>
        <v>0</v>
      </c>
      <c r="W267" s="242"/>
      <c r="X267" s="242"/>
      <c r="Y267" s="214"/>
      <c r="Z267" s="214"/>
      <c r="AA267" s="1131"/>
      <c r="AB267" s="1153"/>
      <c r="AC267" s="242"/>
      <c r="AD267" s="242"/>
      <c r="AE267" s="242"/>
      <c r="AF267" s="242">
        <f t="shared" si="6"/>
        <v>0</v>
      </c>
      <c r="AG267" s="242"/>
      <c r="AH267" s="242"/>
      <c r="AI267" s="214"/>
      <c r="AJ267" s="214"/>
      <c r="AK267" s="1131"/>
      <c r="AL267" s="1153"/>
      <c r="AM267" s="242"/>
      <c r="AN267" s="242"/>
      <c r="AO267" s="242"/>
      <c r="AP267" s="242">
        <f t="shared" si="7"/>
        <v>0</v>
      </c>
      <c r="AQ267" s="242"/>
      <c r="AR267" s="242"/>
      <c r="AS267" s="237"/>
      <c r="AT267" s="214"/>
      <c r="AU267" s="1138"/>
      <c r="AV267" s="1155"/>
      <c r="AW267" s="1140"/>
      <c r="AX267" s="1140"/>
      <c r="AY267" s="1140"/>
      <c r="AZ267" s="1140">
        <f t="shared" si="8"/>
        <v>0</v>
      </c>
      <c r="BA267" s="1140"/>
      <c r="BB267" s="1140"/>
      <c r="BC267" s="214"/>
      <c r="BD267" s="214"/>
      <c r="BE267" s="1131"/>
      <c r="BF267" s="1153"/>
      <c r="BG267" s="242"/>
      <c r="BH267" s="242"/>
      <c r="BI267" s="242"/>
      <c r="BJ267" s="242">
        <f t="shared" si="9"/>
        <v>0</v>
      </c>
      <c r="BK267" s="242"/>
      <c r="BL267" s="242"/>
      <c r="BM267" s="214"/>
      <c r="BN267" s="214"/>
      <c r="BO267" s="1131"/>
      <c r="BP267" s="1153"/>
      <c r="BQ267" s="242"/>
      <c r="BR267" s="242"/>
      <c r="BS267" s="242"/>
      <c r="BT267" s="242">
        <f t="shared" si="10"/>
        <v>0</v>
      </c>
      <c r="BU267" s="242"/>
      <c r="BV267" s="242"/>
      <c r="BW267" s="237"/>
      <c r="BX267" s="214"/>
      <c r="BY267" s="1131"/>
      <c r="BZ267" s="1153"/>
      <c r="CA267" s="242"/>
      <c r="CB267" s="242"/>
      <c r="CC267" s="242"/>
      <c r="CD267" s="242">
        <f t="shared" si="11"/>
        <v>0</v>
      </c>
      <c r="CE267" s="242"/>
      <c r="CF267" s="242"/>
      <c r="CG267" s="214"/>
      <c r="CH267" s="214"/>
      <c r="CI267" s="1131"/>
      <c r="CJ267" s="1153"/>
      <c r="CK267" s="242"/>
      <c r="CL267" s="242"/>
      <c r="CM267" s="242"/>
      <c r="CN267" s="242">
        <f t="shared" si="12"/>
        <v>0</v>
      </c>
      <c r="CO267" s="242"/>
      <c r="CP267" s="242"/>
      <c r="CQ267" s="214"/>
      <c r="CR267" s="214"/>
      <c r="CS267" s="1131"/>
      <c r="CT267" s="1153"/>
      <c r="CU267" s="242"/>
      <c r="CV267" s="242"/>
      <c r="CW267" s="242"/>
      <c r="CX267" s="242">
        <f t="shared" si="13"/>
        <v>0</v>
      </c>
      <c r="CY267" s="242"/>
      <c r="CZ267" s="242"/>
      <c r="DA267" s="237"/>
      <c r="DB267" s="214"/>
      <c r="DC267" s="1131"/>
      <c r="DD267" s="1153"/>
      <c r="DE267" s="242"/>
      <c r="DF267" s="242"/>
      <c r="DG267" s="242"/>
      <c r="DH267" s="242">
        <f t="shared" si="14"/>
        <v>0</v>
      </c>
      <c r="DI267" s="242"/>
      <c r="DJ267" s="242"/>
      <c r="DK267" s="214"/>
      <c r="DL267" s="214"/>
      <c r="DM267" s="1131"/>
      <c r="DN267" s="1153"/>
      <c r="DO267" s="242"/>
      <c r="DP267" s="242"/>
      <c r="DQ267" s="242"/>
      <c r="DR267" s="242">
        <f t="shared" si="15"/>
        <v>0</v>
      </c>
      <c r="DS267" s="242"/>
      <c r="DT267" s="242"/>
      <c r="DU267" s="214"/>
      <c r="DV267" s="214"/>
      <c r="DW267" s="1131"/>
      <c r="DX267" s="1153"/>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24"/>
      <c r="C268" s="1124"/>
      <c r="D268" s="1124"/>
      <c r="E268" s="1124"/>
      <c r="F268" s="1125">
        <f t="shared" si="2"/>
        <v>0</v>
      </c>
      <c r="G268" s="1126" t="str">
        <f t="shared" si="3"/>
        <v/>
      </c>
      <c r="H268" s="112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7">
        <f t="shared" si="279"/>
        <v>0</v>
      </c>
      <c r="J268" s="1128">
        <f t="shared" si="279"/>
        <v>0</v>
      </c>
      <c r="K268" s="214"/>
      <c r="L268" s="214"/>
      <c r="M268" s="214"/>
      <c r="N268" s="214"/>
      <c r="O268" s="1087"/>
      <c r="P268" s="214"/>
      <c r="Q268" s="1131"/>
      <c r="R268" s="1153"/>
      <c r="S268" s="242"/>
      <c r="T268" s="242"/>
      <c r="U268" s="242"/>
      <c r="V268" s="242">
        <f t="shared" si="5"/>
        <v>0</v>
      </c>
      <c r="W268" s="242"/>
      <c r="X268" s="242"/>
      <c r="Y268" s="214"/>
      <c r="Z268" s="214"/>
      <c r="AA268" s="1131"/>
      <c r="AB268" s="1153"/>
      <c r="AC268" s="242"/>
      <c r="AD268" s="242"/>
      <c r="AE268" s="242"/>
      <c r="AF268" s="242">
        <f t="shared" si="6"/>
        <v>0</v>
      </c>
      <c r="AG268" s="242"/>
      <c r="AH268" s="242"/>
      <c r="AI268" s="214"/>
      <c r="AJ268" s="214"/>
      <c r="AK268" s="1131"/>
      <c r="AL268" s="1153"/>
      <c r="AM268" s="242"/>
      <c r="AN268" s="242"/>
      <c r="AO268" s="242"/>
      <c r="AP268" s="242">
        <f t="shared" si="7"/>
        <v>0</v>
      </c>
      <c r="AQ268" s="242"/>
      <c r="AR268" s="242"/>
      <c r="AS268" s="237"/>
      <c r="AT268" s="214"/>
      <c r="AU268" s="1138"/>
      <c r="AV268" s="1155"/>
      <c r="AW268" s="1140"/>
      <c r="AX268" s="1140"/>
      <c r="AY268" s="1140"/>
      <c r="AZ268" s="1140">
        <f t="shared" si="8"/>
        <v>0</v>
      </c>
      <c r="BA268" s="1140"/>
      <c r="BB268" s="1140"/>
      <c r="BC268" s="214"/>
      <c r="BD268" s="214"/>
      <c r="BE268" s="1131"/>
      <c r="BF268" s="1153"/>
      <c r="BG268" s="242"/>
      <c r="BH268" s="242"/>
      <c r="BI268" s="242"/>
      <c r="BJ268" s="242">
        <f t="shared" si="9"/>
        <v>0</v>
      </c>
      <c r="BK268" s="242"/>
      <c r="BL268" s="242"/>
      <c r="BM268" s="214"/>
      <c r="BN268" s="214"/>
      <c r="BO268" s="1131"/>
      <c r="BP268" s="1153"/>
      <c r="BQ268" s="242"/>
      <c r="BR268" s="242"/>
      <c r="BS268" s="242"/>
      <c r="BT268" s="242">
        <f t="shared" si="10"/>
        <v>0</v>
      </c>
      <c r="BU268" s="242"/>
      <c r="BV268" s="242"/>
      <c r="BW268" s="237"/>
      <c r="BX268" s="214"/>
      <c r="BY268" s="1131"/>
      <c r="BZ268" s="1153"/>
      <c r="CA268" s="242"/>
      <c r="CB268" s="242"/>
      <c r="CC268" s="242"/>
      <c r="CD268" s="242">
        <f t="shared" si="11"/>
        <v>0</v>
      </c>
      <c r="CE268" s="242"/>
      <c r="CF268" s="242"/>
      <c r="CG268" s="214"/>
      <c r="CH268" s="214"/>
      <c r="CI268" s="1131"/>
      <c r="CJ268" s="1153"/>
      <c r="CK268" s="242"/>
      <c r="CL268" s="242"/>
      <c r="CM268" s="242"/>
      <c r="CN268" s="242">
        <f t="shared" si="12"/>
        <v>0</v>
      </c>
      <c r="CO268" s="242"/>
      <c r="CP268" s="242"/>
      <c r="CQ268" s="214"/>
      <c r="CR268" s="214"/>
      <c r="CS268" s="1131"/>
      <c r="CT268" s="1153"/>
      <c r="CU268" s="242"/>
      <c r="CV268" s="242"/>
      <c r="CW268" s="242"/>
      <c r="CX268" s="242">
        <f t="shared" si="13"/>
        <v>0</v>
      </c>
      <c r="CY268" s="242"/>
      <c r="CZ268" s="242"/>
      <c r="DA268" s="237"/>
      <c r="DB268" s="214"/>
      <c r="DC268" s="1131"/>
      <c r="DD268" s="1153"/>
      <c r="DE268" s="242"/>
      <c r="DF268" s="242"/>
      <c r="DG268" s="242"/>
      <c r="DH268" s="242">
        <f t="shared" si="14"/>
        <v>0</v>
      </c>
      <c r="DI268" s="242"/>
      <c r="DJ268" s="242"/>
      <c r="DK268" s="214"/>
      <c r="DL268" s="214"/>
      <c r="DM268" s="1131"/>
      <c r="DN268" s="1153"/>
      <c r="DO268" s="242"/>
      <c r="DP268" s="242"/>
      <c r="DQ268" s="242"/>
      <c r="DR268" s="242">
        <f t="shared" si="15"/>
        <v>0</v>
      </c>
      <c r="DS268" s="242"/>
      <c r="DT268" s="242"/>
      <c r="DU268" s="214"/>
      <c r="DV268" s="214"/>
      <c r="DW268" s="1131"/>
      <c r="DX268" s="1153"/>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24"/>
      <c r="C269" s="1124"/>
      <c r="D269" s="1124"/>
      <c r="E269" s="1124"/>
      <c r="F269" s="1125">
        <f t="shared" si="2"/>
        <v>0</v>
      </c>
      <c r="G269" s="1126" t="str">
        <f t="shared" si="3"/>
        <v/>
      </c>
      <c r="H269" s="112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7">
        <f t="shared" si="280"/>
        <v>0</v>
      </c>
      <c r="J269" s="1128">
        <f t="shared" si="280"/>
        <v>0</v>
      </c>
      <c r="K269" s="214"/>
      <c r="L269" s="214"/>
      <c r="M269" s="214"/>
      <c r="N269" s="214"/>
      <c r="O269" s="1087"/>
      <c r="P269" s="214"/>
      <c r="Q269" s="1131"/>
      <c r="R269" s="1153"/>
      <c r="S269" s="242"/>
      <c r="T269" s="242"/>
      <c r="U269" s="242"/>
      <c r="V269" s="242">
        <f t="shared" si="5"/>
        <v>0</v>
      </c>
      <c r="W269" s="242"/>
      <c r="X269" s="242"/>
      <c r="Y269" s="214"/>
      <c r="Z269" s="214"/>
      <c r="AA269" s="1131"/>
      <c r="AB269" s="1153"/>
      <c r="AC269" s="242"/>
      <c r="AD269" s="242"/>
      <c r="AE269" s="242"/>
      <c r="AF269" s="242">
        <f t="shared" si="6"/>
        <v>0</v>
      </c>
      <c r="AG269" s="242"/>
      <c r="AH269" s="242"/>
      <c r="AI269" s="214"/>
      <c r="AJ269" s="214"/>
      <c r="AK269" s="1131"/>
      <c r="AL269" s="1153"/>
      <c r="AM269" s="242"/>
      <c r="AN269" s="242"/>
      <c r="AO269" s="242"/>
      <c r="AP269" s="242">
        <f t="shared" si="7"/>
        <v>0</v>
      </c>
      <c r="AQ269" s="242"/>
      <c r="AR269" s="242"/>
      <c r="AS269" s="237"/>
      <c r="AT269" s="214"/>
      <c r="AU269" s="1138"/>
      <c r="AV269" s="1155"/>
      <c r="AW269" s="1140"/>
      <c r="AX269" s="1140"/>
      <c r="AY269" s="1140"/>
      <c r="AZ269" s="1140">
        <f t="shared" si="8"/>
        <v>0</v>
      </c>
      <c r="BA269" s="1140"/>
      <c r="BB269" s="1140"/>
      <c r="BC269" s="214"/>
      <c r="BD269" s="214"/>
      <c r="BE269" s="1131"/>
      <c r="BF269" s="1153"/>
      <c r="BG269" s="242"/>
      <c r="BH269" s="242"/>
      <c r="BI269" s="242"/>
      <c r="BJ269" s="242">
        <f t="shared" si="9"/>
        <v>0</v>
      </c>
      <c r="BK269" s="242"/>
      <c r="BL269" s="242"/>
      <c r="BM269" s="214"/>
      <c r="BN269" s="214"/>
      <c r="BO269" s="1131"/>
      <c r="BP269" s="1153"/>
      <c r="BQ269" s="242"/>
      <c r="BR269" s="242"/>
      <c r="BS269" s="242"/>
      <c r="BT269" s="242">
        <f t="shared" si="10"/>
        <v>0</v>
      </c>
      <c r="BU269" s="242"/>
      <c r="BV269" s="242"/>
      <c r="BW269" s="237"/>
      <c r="BX269" s="214"/>
      <c r="BY269" s="1131"/>
      <c r="BZ269" s="1153"/>
      <c r="CA269" s="242"/>
      <c r="CB269" s="242"/>
      <c r="CC269" s="242"/>
      <c r="CD269" s="242">
        <f t="shared" si="11"/>
        <v>0</v>
      </c>
      <c r="CE269" s="242"/>
      <c r="CF269" s="242"/>
      <c r="CG269" s="214"/>
      <c r="CH269" s="214"/>
      <c r="CI269" s="1131"/>
      <c r="CJ269" s="1153"/>
      <c r="CK269" s="242"/>
      <c r="CL269" s="242"/>
      <c r="CM269" s="242"/>
      <c r="CN269" s="242">
        <f t="shared" si="12"/>
        <v>0</v>
      </c>
      <c r="CO269" s="242"/>
      <c r="CP269" s="242"/>
      <c r="CQ269" s="214"/>
      <c r="CR269" s="214"/>
      <c r="CS269" s="1131"/>
      <c r="CT269" s="1153"/>
      <c r="CU269" s="242"/>
      <c r="CV269" s="242"/>
      <c r="CW269" s="242"/>
      <c r="CX269" s="242">
        <f t="shared" si="13"/>
        <v>0</v>
      </c>
      <c r="CY269" s="242"/>
      <c r="CZ269" s="242"/>
      <c r="DA269" s="237"/>
      <c r="DB269" s="214"/>
      <c r="DC269" s="1131"/>
      <c r="DD269" s="1153"/>
      <c r="DE269" s="242"/>
      <c r="DF269" s="242"/>
      <c r="DG269" s="242"/>
      <c r="DH269" s="242">
        <f t="shared" si="14"/>
        <v>0</v>
      </c>
      <c r="DI269" s="242"/>
      <c r="DJ269" s="242"/>
      <c r="DK269" s="214"/>
      <c r="DL269" s="214"/>
      <c r="DM269" s="1131"/>
      <c r="DN269" s="1153"/>
      <c r="DO269" s="242"/>
      <c r="DP269" s="242"/>
      <c r="DQ269" s="242"/>
      <c r="DR269" s="242">
        <f t="shared" si="15"/>
        <v>0</v>
      </c>
      <c r="DS269" s="242"/>
      <c r="DT269" s="242"/>
      <c r="DU269" s="214"/>
      <c r="DV269" s="214"/>
      <c r="DW269" s="1131"/>
      <c r="DX269" s="1153"/>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24"/>
      <c r="C270" s="1124"/>
      <c r="D270" s="1124"/>
      <c r="E270" s="1124"/>
      <c r="F270" s="1125">
        <f t="shared" si="2"/>
        <v>0</v>
      </c>
      <c r="G270" s="1126" t="str">
        <f t="shared" si="3"/>
        <v/>
      </c>
      <c r="H270" s="112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7">
        <f t="shared" si="281"/>
        <v>0</v>
      </c>
      <c r="J270" s="1128">
        <f t="shared" si="281"/>
        <v>0</v>
      </c>
      <c r="K270" s="214"/>
      <c r="L270" s="214"/>
      <c r="M270" s="214"/>
      <c r="N270" s="214"/>
      <c r="O270" s="1087"/>
      <c r="P270" s="214"/>
      <c r="Q270" s="1131"/>
      <c r="R270" s="1153"/>
      <c r="S270" s="242"/>
      <c r="T270" s="242"/>
      <c r="U270" s="242"/>
      <c r="V270" s="242">
        <f t="shared" si="5"/>
        <v>0</v>
      </c>
      <c r="W270" s="242"/>
      <c r="X270" s="242"/>
      <c r="Y270" s="214"/>
      <c r="Z270" s="214"/>
      <c r="AA270" s="1131"/>
      <c r="AB270" s="1153"/>
      <c r="AC270" s="242"/>
      <c r="AD270" s="242"/>
      <c r="AE270" s="242"/>
      <c r="AF270" s="242">
        <f t="shared" si="6"/>
        <v>0</v>
      </c>
      <c r="AG270" s="242"/>
      <c r="AH270" s="242"/>
      <c r="AI270" s="214"/>
      <c r="AJ270" s="214"/>
      <c r="AK270" s="1131"/>
      <c r="AL270" s="1153"/>
      <c r="AM270" s="242"/>
      <c r="AN270" s="242"/>
      <c r="AO270" s="242"/>
      <c r="AP270" s="242">
        <f t="shared" si="7"/>
        <v>0</v>
      </c>
      <c r="AQ270" s="242"/>
      <c r="AR270" s="242"/>
      <c r="AS270" s="237"/>
      <c r="AT270" s="214"/>
      <c r="AU270" s="1138"/>
      <c r="AV270" s="1155"/>
      <c r="AW270" s="1140"/>
      <c r="AX270" s="1140"/>
      <c r="AY270" s="1140"/>
      <c r="AZ270" s="1140">
        <f t="shared" si="8"/>
        <v>0</v>
      </c>
      <c r="BA270" s="1140"/>
      <c r="BB270" s="1140"/>
      <c r="BC270" s="214"/>
      <c r="BD270" s="214"/>
      <c r="BE270" s="1131"/>
      <c r="BF270" s="1153"/>
      <c r="BG270" s="242"/>
      <c r="BH270" s="242"/>
      <c r="BI270" s="242"/>
      <c r="BJ270" s="242">
        <f t="shared" si="9"/>
        <v>0</v>
      </c>
      <c r="BK270" s="242"/>
      <c r="BL270" s="242"/>
      <c r="BM270" s="214"/>
      <c r="BN270" s="214"/>
      <c r="BO270" s="1131"/>
      <c r="BP270" s="1153"/>
      <c r="BQ270" s="242"/>
      <c r="BR270" s="242"/>
      <c r="BS270" s="242"/>
      <c r="BT270" s="242">
        <f t="shared" si="10"/>
        <v>0</v>
      </c>
      <c r="BU270" s="242"/>
      <c r="BV270" s="242"/>
      <c r="BW270" s="237"/>
      <c r="BX270" s="214"/>
      <c r="BY270" s="1131"/>
      <c r="BZ270" s="1153"/>
      <c r="CA270" s="242"/>
      <c r="CB270" s="242"/>
      <c r="CC270" s="242"/>
      <c r="CD270" s="242">
        <f t="shared" si="11"/>
        <v>0</v>
      </c>
      <c r="CE270" s="242"/>
      <c r="CF270" s="242"/>
      <c r="CG270" s="214"/>
      <c r="CH270" s="214"/>
      <c r="CI270" s="1131"/>
      <c r="CJ270" s="1153"/>
      <c r="CK270" s="242"/>
      <c r="CL270" s="242"/>
      <c r="CM270" s="242"/>
      <c r="CN270" s="242">
        <f t="shared" si="12"/>
        <v>0</v>
      </c>
      <c r="CO270" s="242"/>
      <c r="CP270" s="242"/>
      <c r="CQ270" s="214"/>
      <c r="CR270" s="214"/>
      <c r="CS270" s="1131"/>
      <c r="CT270" s="1153"/>
      <c r="CU270" s="242"/>
      <c r="CV270" s="242"/>
      <c r="CW270" s="242"/>
      <c r="CX270" s="242">
        <f t="shared" si="13"/>
        <v>0</v>
      </c>
      <c r="CY270" s="242"/>
      <c r="CZ270" s="242"/>
      <c r="DA270" s="237"/>
      <c r="DB270" s="214"/>
      <c r="DC270" s="1131"/>
      <c r="DD270" s="1153"/>
      <c r="DE270" s="242"/>
      <c r="DF270" s="242"/>
      <c r="DG270" s="242"/>
      <c r="DH270" s="242">
        <f t="shared" si="14"/>
        <v>0</v>
      </c>
      <c r="DI270" s="242"/>
      <c r="DJ270" s="242"/>
      <c r="DK270" s="214"/>
      <c r="DL270" s="214"/>
      <c r="DM270" s="1131"/>
      <c r="DN270" s="1153"/>
      <c r="DO270" s="242"/>
      <c r="DP270" s="242"/>
      <c r="DQ270" s="242"/>
      <c r="DR270" s="242">
        <f t="shared" si="15"/>
        <v>0</v>
      </c>
      <c r="DS270" s="242"/>
      <c r="DT270" s="242"/>
      <c r="DU270" s="214"/>
      <c r="DV270" s="214"/>
      <c r="DW270" s="1131"/>
      <c r="DX270" s="1153"/>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24"/>
      <c r="C271" s="1124"/>
      <c r="D271" s="1124"/>
      <c r="E271" s="1124"/>
      <c r="F271" s="1125">
        <f t="shared" si="2"/>
        <v>0</v>
      </c>
      <c r="G271" s="1126" t="str">
        <f t="shared" si="3"/>
        <v/>
      </c>
      <c r="H271" s="112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7">
        <f t="shared" si="282"/>
        <v>0</v>
      </c>
      <c r="J271" s="1128">
        <f t="shared" si="282"/>
        <v>0</v>
      </c>
      <c r="K271" s="214"/>
      <c r="L271" s="214"/>
      <c r="M271" s="214"/>
      <c r="N271" s="214"/>
      <c r="O271" s="1087"/>
      <c r="P271" s="214"/>
      <c r="Q271" s="1131"/>
      <c r="R271" s="1153"/>
      <c r="S271" s="242"/>
      <c r="T271" s="242"/>
      <c r="U271" s="242"/>
      <c r="V271" s="242">
        <f t="shared" si="5"/>
        <v>0</v>
      </c>
      <c r="W271" s="242"/>
      <c r="X271" s="242"/>
      <c r="Y271" s="214"/>
      <c r="Z271" s="214"/>
      <c r="AA271" s="1131"/>
      <c r="AB271" s="1153"/>
      <c r="AC271" s="242"/>
      <c r="AD271" s="242"/>
      <c r="AE271" s="242"/>
      <c r="AF271" s="242">
        <f t="shared" si="6"/>
        <v>0</v>
      </c>
      <c r="AG271" s="242"/>
      <c r="AH271" s="242"/>
      <c r="AI271" s="214"/>
      <c r="AJ271" s="214"/>
      <c r="AK271" s="1131"/>
      <c r="AL271" s="1153"/>
      <c r="AM271" s="242"/>
      <c r="AN271" s="242"/>
      <c r="AO271" s="242"/>
      <c r="AP271" s="242">
        <f t="shared" si="7"/>
        <v>0</v>
      </c>
      <c r="AQ271" s="242"/>
      <c r="AR271" s="242"/>
      <c r="AS271" s="237"/>
      <c r="AT271" s="214"/>
      <c r="AU271" s="1138"/>
      <c r="AV271" s="1155"/>
      <c r="AW271" s="1140"/>
      <c r="AX271" s="1140"/>
      <c r="AY271" s="1140"/>
      <c r="AZ271" s="1140">
        <f t="shared" si="8"/>
        <v>0</v>
      </c>
      <c r="BA271" s="1140"/>
      <c r="BB271" s="1140"/>
      <c r="BC271" s="214"/>
      <c r="BD271" s="214"/>
      <c r="BE271" s="1131"/>
      <c r="BF271" s="1153"/>
      <c r="BG271" s="242"/>
      <c r="BH271" s="242"/>
      <c r="BI271" s="242"/>
      <c r="BJ271" s="242">
        <f t="shared" si="9"/>
        <v>0</v>
      </c>
      <c r="BK271" s="242"/>
      <c r="BL271" s="242"/>
      <c r="BM271" s="214"/>
      <c r="BN271" s="214"/>
      <c r="BO271" s="1131"/>
      <c r="BP271" s="1153"/>
      <c r="BQ271" s="242"/>
      <c r="BR271" s="242"/>
      <c r="BS271" s="242"/>
      <c r="BT271" s="242">
        <f t="shared" si="10"/>
        <v>0</v>
      </c>
      <c r="BU271" s="242"/>
      <c r="BV271" s="242"/>
      <c r="BW271" s="237"/>
      <c r="BX271" s="214"/>
      <c r="BY271" s="1131"/>
      <c r="BZ271" s="1153"/>
      <c r="CA271" s="242"/>
      <c r="CB271" s="242"/>
      <c r="CC271" s="242"/>
      <c r="CD271" s="242">
        <f t="shared" si="11"/>
        <v>0</v>
      </c>
      <c r="CE271" s="242"/>
      <c r="CF271" s="242"/>
      <c r="CG271" s="214"/>
      <c r="CH271" s="214"/>
      <c r="CI271" s="1131"/>
      <c r="CJ271" s="1153"/>
      <c r="CK271" s="242"/>
      <c r="CL271" s="242"/>
      <c r="CM271" s="242"/>
      <c r="CN271" s="242">
        <f t="shared" si="12"/>
        <v>0</v>
      </c>
      <c r="CO271" s="242"/>
      <c r="CP271" s="242"/>
      <c r="CQ271" s="214"/>
      <c r="CR271" s="214"/>
      <c r="CS271" s="1131"/>
      <c r="CT271" s="1153"/>
      <c r="CU271" s="242"/>
      <c r="CV271" s="242"/>
      <c r="CW271" s="242"/>
      <c r="CX271" s="242">
        <f t="shared" si="13"/>
        <v>0</v>
      </c>
      <c r="CY271" s="242"/>
      <c r="CZ271" s="242"/>
      <c r="DA271" s="237"/>
      <c r="DB271" s="214"/>
      <c r="DC271" s="1131"/>
      <c r="DD271" s="1153"/>
      <c r="DE271" s="242"/>
      <c r="DF271" s="242"/>
      <c r="DG271" s="242"/>
      <c r="DH271" s="242">
        <f t="shared" si="14"/>
        <v>0</v>
      </c>
      <c r="DI271" s="242"/>
      <c r="DJ271" s="242"/>
      <c r="DK271" s="214"/>
      <c r="DL271" s="214"/>
      <c r="DM271" s="1131"/>
      <c r="DN271" s="1153"/>
      <c r="DO271" s="242"/>
      <c r="DP271" s="242"/>
      <c r="DQ271" s="242"/>
      <c r="DR271" s="242">
        <f t="shared" si="15"/>
        <v>0</v>
      </c>
      <c r="DS271" s="242"/>
      <c r="DT271" s="242"/>
      <c r="DU271" s="214"/>
      <c r="DV271" s="214"/>
      <c r="DW271" s="1131"/>
      <c r="DX271" s="1153"/>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24"/>
      <c r="C272" s="1124"/>
      <c r="D272" s="1124"/>
      <c r="E272" s="1124"/>
      <c r="F272" s="1125">
        <f t="shared" si="2"/>
        <v>0</v>
      </c>
      <c r="G272" s="1126" t="str">
        <f t="shared" si="3"/>
        <v/>
      </c>
      <c r="H272" s="112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7">
        <f t="shared" si="283"/>
        <v>0</v>
      </c>
      <c r="J272" s="1128">
        <f t="shared" si="283"/>
        <v>0</v>
      </c>
      <c r="K272" s="214"/>
      <c r="L272" s="214"/>
      <c r="M272" s="214"/>
      <c r="N272" s="214"/>
      <c r="O272" s="1087"/>
      <c r="P272" s="214"/>
      <c r="Q272" s="1131"/>
      <c r="R272" s="1153"/>
      <c r="S272" s="242"/>
      <c r="T272" s="242"/>
      <c r="U272" s="242"/>
      <c r="V272" s="242">
        <f t="shared" si="5"/>
        <v>0</v>
      </c>
      <c r="W272" s="242"/>
      <c r="X272" s="242"/>
      <c r="Y272" s="214"/>
      <c r="Z272" s="214"/>
      <c r="AA272" s="1131"/>
      <c r="AB272" s="1153"/>
      <c r="AC272" s="242"/>
      <c r="AD272" s="242"/>
      <c r="AE272" s="242"/>
      <c r="AF272" s="242">
        <f t="shared" si="6"/>
        <v>0</v>
      </c>
      <c r="AG272" s="242"/>
      <c r="AH272" s="242"/>
      <c r="AI272" s="214"/>
      <c r="AJ272" s="214"/>
      <c r="AK272" s="1131"/>
      <c r="AL272" s="1153"/>
      <c r="AM272" s="242"/>
      <c r="AN272" s="242"/>
      <c r="AO272" s="242"/>
      <c r="AP272" s="242">
        <f t="shared" si="7"/>
        <v>0</v>
      </c>
      <c r="AQ272" s="242"/>
      <c r="AR272" s="242"/>
      <c r="AS272" s="237"/>
      <c r="AT272" s="214"/>
      <c r="AU272" s="1138"/>
      <c r="AV272" s="1155"/>
      <c r="AW272" s="1140"/>
      <c r="AX272" s="1140"/>
      <c r="AY272" s="1140"/>
      <c r="AZ272" s="1140">
        <f t="shared" si="8"/>
        <v>0</v>
      </c>
      <c r="BA272" s="1140"/>
      <c r="BB272" s="1140"/>
      <c r="BC272" s="214"/>
      <c r="BD272" s="214"/>
      <c r="BE272" s="1131"/>
      <c r="BF272" s="1153"/>
      <c r="BG272" s="242"/>
      <c r="BH272" s="242"/>
      <c r="BI272" s="242"/>
      <c r="BJ272" s="242">
        <f t="shared" si="9"/>
        <v>0</v>
      </c>
      <c r="BK272" s="242"/>
      <c r="BL272" s="242"/>
      <c r="BM272" s="214"/>
      <c r="BN272" s="214"/>
      <c r="BO272" s="1131"/>
      <c r="BP272" s="1153"/>
      <c r="BQ272" s="242"/>
      <c r="BR272" s="242"/>
      <c r="BS272" s="242"/>
      <c r="BT272" s="242">
        <f t="shared" si="10"/>
        <v>0</v>
      </c>
      <c r="BU272" s="242"/>
      <c r="BV272" s="242"/>
      <c r="BW272" s="237"/>
      <c r="BX272" s="214"/>
      <c r="BY272" s="1131"/>
      <c r="BZ272" s="1153"/>
      <c r="CA272" s="242"/>
      <c r="CB272" s="242"/>
      <c r="CC272" s="242"/>
      <c r="CD272" s="242">
        <f t="shared" si="11"/>
        <v>0</v>
      </c>
      <c r="CE272" s="242"/>
      <c r="CF272" s="242"/>
      <c r="CG272" s="214"/>
      <c r="CH272" s="214"/>
      <c r="CI272" s="1131"/>
      <c r="CJ272" s="1153"/>
      <c r="CK272" s="242"/>
      <c r="CL272" s="242"/>
      <c r="CM272" s="242"/>
      <c r="CN272" s="242">
        <f t="shared" si="12"/>
        <v>0</v>
      </c>
      <c r="CO272" s="242"/>
      <c r="CP272" s="242"/>
      <c r="CQ272" s="214"/>
      <c r="CR272" s="214"/>
      <c r="CS272" s="1131"/>
      <c r="CT272" s="1153"/>
      <c r="CU272" s="242"/>
      <c r="CV272" s="242"/>
      <c r="CW272" s="242"/>
      <c r="CX272" s="242">
        <f t="shared" si="13"/>
        <v>0</v>
      </c>
      <c r="CY272" s="242"/>
      <c r="CZ272" s="242"/>
      <c r="DA272" s="237"/>
      <c r="DB272" s="214"/>
      <c r="DC272" s="1131"/>
      <c r="DD272" s="1153"/>
      <c r="DE272" s="242"/>
      <c r="DF272" s="242"/>
      <c r="DG272" s="242"/>
      <c r="DH272" s="242">
        <f t="shared" si="14"/>
        <v>0</v>
      </c>
      <c r="DI272" s="242"/>
      <c r="DJ272" s="242"/>
      <c r="DK272" s="214"/>
      <c r="DL272" s="214"/>
      <c r="DM272" s="1131"/>
      <c r="DN272" s="1153"/>
      <c r="DO272" s="242"/>
      <c r="DP272" s="242"/>
      <c r="DQ272" s="242"/>
      <c r="DR272" s="242">
        <f t="shared" si="15"/>
        <v>0</v>
      </c>
      <c r="DS272" s="242"/>
      <c r="DT272" s="242"/>
      <c r="DU272" s="214"/>
      <c r="DV272" s="214"/>
      <c r="DW272" s="1131"/>
      <c r="DX272" s="1153"/>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24"/>
      <c r="C273" s="1124"/>
      <c r="D273" s="1124"/>
      <c r="E273" s="1124"/>
      <c r="F273" s="1125">
        <f t="shared" si="2"/>
        <v>0</v>
      </c>
      <c r="G273" s="1126" t="str">
        <f t="shared" si="3"/>
        <v/>
      </c>
      <c r="H273" s="112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7">
        <f t="shared" si="284"/>
        <v>0</v>
      </c>
      <c r="J273" s="1128">
        <f t="shared" si="284"/>
        <v>0</v>
      </c>
      <c r="K273" s="214"/>
      <c r="L273" s="214"/>
      <c r="M273" s="214"/>
      <c r="N273" s="214"/>
      <c r="O273" s="1087"/>
      <c r="P273" s="214"/>
      <c r="Q273" s="1131"/>
      <c r="R273" s="1153"/>
      <c r="S273" s="242"/>
      <c r="T273" s="242"/>
      <c r="U273" s="242"/>
      <c r="V273" s="242">
        <f t="shared" si="5"/>
        <v>0</v>
      </c>
      <c r="W273" s="242"/>
      <c r="X273" s="242"/>
      <c r="Y273" s="214"/>
      <c r="Z273" s="214"/>
      <c r="AA273" s="1131"/>
      <c r="AB273" s="1153"/>
      <c r="AC273" s="242"/>
      <c r="AD273" s="242"/>
      <c r="AE273" s="242"/>
      <c r="AF273" s="242">
        <f t="shared" si="6"/>
        <v>0</v>
      </c>
      <c r="AG273" s="242"/>
      <c r="AH273" s="242"/>
      <c r="AI273" s="214"/>
      <c r="AJ273" s="214"/>
      <c r="AK273" s="1131"/>
      <c r="AL273" s="1153"/>
      <c r="AM273" s="242"/>
      <c r="AN273" s="242"/>
      <c r="AO273" s="242"/>
      <c r="AP273" s="242">
        <f t="shared" si="7"/>
        <v>0</v>
      </c>
      <c r="AQ273" s="242"/>
      <c r="AR273" s="242"/>
      <c r="AS273" s="237"/>
      <c r="AT273" s="214"/>
      <c r="AU273" s="1138"/>
      <c r="AV273" s="1155"/>
      <c r="AW273" s="1140"/>
      <c r="AX273" s="1140"/>
      <c r="AY273" s="1140"/>
      <c r="AZ273" s="1140">
        <f t="shared" si="8"/>
        <v>0</v>
      </c>
      <c r="BA273" s="1140"/>
      <c r="BB273" s="1140"/>
      <c r="BC273" s="214"/>
      <c r="BD273" s="214"/>
      <c r="BE273" s="1131"/>
      <c r="BF273" s="1153"/>
      <c r="BG273" s="242"/>
      <c r="BH273" s="242"/>
      <c r="BI273" s="242"/>
      <c r="BJ273" s="242">
        <f t="shared" si="9"/>
        <v>0</v>
      </c>
      <c r="BK273" s="242"/>
      <c r="BL273" s="242"/>
      <c r="BM273" s="214"/>
      <c r="BN273" s="214"/>
      <c r="BO273" s="1131"/>
      <c r="BP273" s="1153"/>
      <c r="BQ273" s="242"/>
      <c r="BR273" s="242"/>
      <c r="BS273" s="242"/>
      <c r="BT273" s="242">
        <f t="shared" si="10"/>
        <v>0</v>
      </c>
      <c r="BU273" s="242"/>
      <c r="BV273" s="242"/>
      <c r="BW273" s="237"/>
      <c r="BX273" s="214"/>
      <c r="BY273" s="1131"/>
      <c r="BZ273" s="1153"/>
      <c r="CA273" s="242"/>
      <c r="CB273" s="242"/>
      <c r="CC273" s="242"/>
      <c r="CD273" s="242">
        <f t="shared" si="11"/>
        <v>0</v>
      </c>
      <c r="CE273" s="242"/>
      <c r="CF273" s="242"/>
      <c r="CG273" s="214"/>
      <c r="CH273" s="214"/>
      <c r="CI273" s="1131"/>
      <c r="CJ273" s="1153"/>
      <c r="CK273" s="242"/>
      <c r="CL273" s="242"/>
      <c r="CM273" s="242"/>
      <c r="CN273" s="242">
        <f t="shared" si="12"/>
        <v>0</v>
      </c>
      <c r="CO273" s="242"/>
      <c r="CP273" s="242"/>
      <c r="CQ273" s="214"/>
      <c r="CR273" s="214"/>
      <c r="CS273" s="1131"/>
      <c r="CT273" s="1153"/>
      <c r="CU273" s="242"/>
      <c r="CV273" s="242"/>
      <c r="CW273" s="242"/>
      <c r="CX273" s="242">
        <f t="shared" si="13"/>
        <v>0</v>
      </c>
      <c r="CY273" s="242"/>
      <c r="CZ273" s="242"/>
      <c r="DA273" s="237"/>
      <c r="DB273" s="214"/>
      <c r="DC273" s="1131"/>
      <c r="DD273" s="1153"/>
      <c r="DE273" s="242"/>
      <c r="DF273" s="242"/>
      <c r="DG273" s="242"/>
      <c r="DH273" s="242">
        <f t="shared" si="14"/>
        <v>0</v>
      </c>
      <c r="DI273" s="242"/>
      <c r="DJ273" s="242"/>
      <c r="DK273" s="214"/>
      <c r="DL273" s="214"/>
      <c r="DM273" s="1131"/>
      <c r="DN273" s="1153"/>
      <c r="DO273" s="242"/>
      <c r="DP273" s="242"/>
      <c r="DQ273" s="242"/>
      <c r="DR273" s="242">
        <f t="shared" si="15"/>
        <v>0</v>
      </c>
      <c r="DS273" s="242"/>
      <c r="DT273" s="242"/>
      <c r="DU273" s="214"/>
      <c r="DV273" s="214"/>
      <c r="DW273" s="1131"/>
      <c r="DX273" s="1153"/>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24"/>
      <c r="C274" s="1124"/>
      <c r="D274" s="1124"/>
      <c r="E274" s="1124"/>
      <c r="F274" s="1125">
        <f t="shared" si="2"/>
        <v>0</v>
      </c>
      <c r="G274" s="1126" t="str">
        <f t="shared" si="3"/>
        <v/>
      </c>
      <c r="H274" s="112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7">
        <f t="shared" si="285"/>
        <v>0</v>
      </c>
      <c r="J274" s="1128">
        <f t="shared" si="285"/>
        <v>0</v>
      </c>
      <c r="K274" s="214"/>
      <c r="L274" s="214"/>
      <c r="M274" s="214"/>
      <c r="N274" s="214"/>
      <c r="O274" s="1087"/>
      <c r="P274" s="214"/>
      <c r="Q274" s="1131"/>
      <c r="R274" s="1153"/>
      <c r="S274" s="242"/>
      <c r="T274" s="242"/>
      <c r="U274" s="242"/>
      <c r="V274" s="242">
        <f t="shared" si="5"/>
        <v>0</v>
      </c>
      <c r="W274" s="242"/>
      <c r="X274" s="242"/>
      <c r="Y274" s="214"/>
      <c r="Z274" s="214"/>
      <c r="AA274" s="1131"/>
      <c r="AB274" s="1153"/>
      <c r="AC274" s="242"/>
      <c r="AD274" s="242"/>
      <c r="AE274" s="242"/>
      <c r="AF274" s="242">
        <f t="shared" si="6"/>
        <v>0</v>
      </c>
      <c r="AG274" s="242"/>
      <c r="AH274" s="242"/>
      <c r="AI274" s="214"/>
      <c r="AJ274" s="214"/>
      <c r="AK274" s="1131"/>
      <c r="AL274" s="1153"/>
      <c r="AM274" s="242"/>
      <c r="AN274" s="242"/>
      <c r="AO274" s="242"/>
      <c r="AP274" s="242">
        <f t="shared" si="7"/>
        <v>0</v>
      </c>
      <c r="AQ274" s="242"/>
      <c r="AR274" s="242"/>
      <c r="AS274" s="237"/>
      <c r="AT274" s="214"/>
      <c r="AU274" s="1138"/>
      <c r="AV274" s="1155"/>
      <c r="AW274" s="1140"/>
      <c r="AX274" s="1140"/>
      <c r="AY274" s="1140"/>
      <c r="AZ274" s="1140">
        <f t="shared" si="8"/>
        <v>0</v>
      </c>
      <c r="BA274" s="1140"/>
      <c r="BB274" s="1140"/>
      <c r="BC274" s="214"/>
      <c r="BD274" s="214"/>
      <c r="BE274" s="1131"/>
      <c r="BF274" s="1153"/>
      <c r="BG274" s="242"/>
      <c r="BH274" s="242"/>
      <c r="BI274" s="242"/>
      <c r="BJ274" s="242">
        <f t="shared" si="9"/>
        <v>0</v>
      </c>
      <c r="BK274" s="242"/>
      <c r="BL274" s="242"/>
      <c r="BM274" s="214"/>
      <c r="BN274" s="214"/>
      <c r="BO274" s="1131"/>
      <c r="BP274" s="1153"/>
      <c r="BQ274" s="242"/>
      <c r="BR274" s="242"/>
      <c r="BS274" s="242"/>
      <c r="BT274" s="242">
        <f t="shared" si="10"/>
        <v>0</v>
      </c>
      <c r="BU274" s="242"/>
      <c r="BV274" s="242"/>
      <c r="BW274" s="237"/>
      <c r="BX274" s="214"/>
      <c r="BY274" s="1131"/>
      <c r="BZ274" s="1153"/>
      <c r="CA274" s="242"/>
      <c r="CB274" s="242"/>
      <c r="CC274" s="242"/>
      <c r="CD274" s="242">
        <f t="shared" si="11"/>
        <v>0</v>
      </c>
      <c r="CE274" s="242"/>
      <c r="CF274" s="242"/>
      <c r="CG274" s="214"/>
      <c r="CH274" s="214"/>
      <c r="CI274" s="1131"/>
      <c r="CJ274" s="1153"/>
      <c r="CK274" s="242"/>
      <c r="CL274" s="242"/>
      <c r="CM274" s="242"/>
      <c r="CN274" s="242">
        <f t="shared" si="12"/>
        <v>0</v>
      </c>
      <c r="CO274" s="242"/>
      <c r="CP274" s="242"/>
      <c r="CQ274" s="214"/>
      <c r="CR274" s="214"/>
      <c r="CS274" s="1131"/>
      <c r="CT274" s="1153"/>
      <c r="CU274" s="242"/>
      <c r="CV274" s="242"/>
      <c r="CW274" s="242"/>
      <c r="CX274" s="242">
        <f t="shared" si="13"/>
        <v>0</v>
      </c>
      <c r="CY274" s="242"/>
      <c r="CZ274" s="242"/>
      <c r="DA274" s="237"/>
      <c r="DB274" s="214"/>
      <c r="DC274" s="1131"/>
      <c r="DD274" s="1153"/>
      <c r="DE274" s="242"/>
      <c r="DF274" s="242"/>
      <c r="DG274" s="242"/>
      <c r="DH274" s="242">
        <f t="shared" si="14"/>
        <v>0</v>
      </c>
      <c r="DI274" s="242"/>
      <c r="DJ274" s="242"/>
      <c r="DK274" s="214"/>
      <c r="DL274" s="214"/>
      <c r="DM274" s="1131"/>
      <c r="DN274" s="1153"/>
      <c r="DO274" s="242"/>
      <c r="DP274" s="242"/>
      <c r="DQ274" s="242"/>
      <c r="DR274" s="242">
        <f t="shared" si="15"/>
        <v>0</v>
      </c>
      <c r="DS274" s="242"/>
      <c r="DT274" s="242"/>
      <c r="DU274" s="214"/>
      <c r="DV274" s="214"/>
      <c r="DW274" s="1131"/>
      <c r="DX274" s="1153"/>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24"/>
      <c r="C275" s="1124"/>
      <c r="D275" s="1124"/>
      <c r="E275" s="1124"/>
      <c r="F275" s="1125">
        <f t="shared" si="2"/>
        <v>0</v>
      </c>
      <c r="G275" s="1126" t="str">
        <f t="shared" si="3"/>
        <v/>
      </c>
      <c r="H275" s="112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7">
        <f t="shared" si="286"/>
        <v>0</v>
      </c>
      <c r="J275" s="1128">
        <f t="shared" si="286"/>
        <v>0</v>
      </c>
      <c r="K275" s="214"/>
      <c r="L275" s="214"/>
      <c r="M275" s="214"/>
      <c r="N275" s="214"/>
      <c r="O275" s="1087"/>
      <c r="P275" s="214"/>
      <c r="Q275" s="1131"/>
      <c r="R275" s="1153"/>
      <c r="S275" s="242"/>
      <c r="T275" s="242"/>
      <c r="U275" s="242"/>
      <c r="V275" s="242">
        <f t="shared" si="5"/>
        <v>0</v>
      </c>
      <c r="W275" s="242"/>
      <c r="X275" s="242"/>
      <c r="Y275" s="214"/>
      <c r="Z275" s="214"/>
      <c r="AA275" s="1131"/>
      <c r="AB275" s="1153"/>
      <c r="AC275" s="242"/>
      <c r="AD275" s="242"/>
      <c r="AE275" s="242"/>
      <c r="AF275" s="242">
        <f t="shared" si="6"/>
        <v>0</v>
      </c>
      <c r="AG275" s="242"/>
      <c r="AH275" s="242"/>
      <c r="AI275" s="214"/>
      <c r="AJ275" s="214"/>
      <c r="AK275" s="1131"/>
      <c r="AL275" s="1153"/>
      <c r="AM275" s="242"/>
      <c r="AN275" s="242"/>
      <c r="AO275" s="242"/>
      <c r="AP275" s="242">
        <f t="shared" si="7"/>
        <v>0</v>
      </c>
      <c r="AQ275" s="242"/>
      <c r="AR275" s="242"/>
      <c r="AS275" s="237"/>
      <c r="AT275" s="214"/>
      <c r="AU275" s="1138"/>
      <c r="AV275" s="1155"/>
      <c r="AW275" s="1140"/>
      <c r="AX275" s="1140"/>
      <c r="AY275" s="1140"/>
      <c r="AZ275" s="1140">
        <f t="shared" si="8"/>
        <v>0</v>
      </c>
      <c r="BA275" s="1140"/>
      <c r="BB275" s="1140"/>
      <c r="BC275" s="214"/>
      <c r="BD275" s="214"/>
      <c r="BE275" s="1131"/>
      <c r="BF275" s="1153"/>
      <c r="BG275" s="242"/>
      <c r="BH275" s="242"/>
      <c r="BI275" s="242"/>
      <c r="BJ275" s="242">
        <f t="shared" si="9"/>
        <v>0</v>
      </c>
      <c r="BK275" s="242"/>
      <c r="BL275" s="242"/>
      <c r="BM275" s="214"/>
      <c r="BN275" s="214"/>
      <c r="BO275" s="1131"/>
      <c r="BP275" s="1153"/>
      <c r="BQ275" s="242"/>
      <c r="BR275" s="242"/>
      <c r="BS275" s="242"/>
      <c r="BT275" s="242">
        <f t="shared" si="10"/>
        <v>0</v>
      </c>
      <c r="BU275" s="242"/>
      <c r="BV275" s="242"/>
      <c r="BW275" s="237"/>
      <c r="BX275" s="214"/>
      <c r="BY275" s="1131"/>
      <c r="BZ275" s="1153"/>
      <c r="CA275" s="242"/>
      <c r="CB275" s="242"/>
      <c r="CC275" s="242"/>
      <c r="CD275" s="242">
        <f t="shared" si="11"/>
        <v>0</v>
      </c>
      <c r="CE275" s="242"/>
      <c r="CF275" s="242"/>
      <c r="CG275" s="214"/>
      <c r="CH275" s="214"/>
      <c r="CI275" s="1131"/>
      <c r="CJ275" s="1153"/>
      <c r="CK275" s="242"/>
      <c r="CL275" s="242"/>
      <c r="CM275" s="242"/>
      <c r="CN275" s="242">
        <f t="shared" si="12"/>
        <v>0</v>
      </c>
      <c r="CO275" s="242"/>
      <c r="CP275" s="242"/>
      <c r="CQ275" s="214"/>
      <c r="CR275" s="214"/>
      <c r="CS275" s="1131"/>
      <c r="CT275" s="1153"/>
      <c r="CU275" s="242"/>
      <c r="CV275" s="242"/>
      <c r="CW275" s="242"/>
      <c r="CX275" s="242">
        <f t="shared" si="13"/>
        <v>0</v>
      </c>
      <c r="CY275" s="242"/>
      <c r="CZ275" s="242"/>
      <c r="DA275" s="237"/>
      <c r="DB275" s="214"/>
      <c r="DC275" s="1131"/>
      <c r="DD275" s="1153"/>
      <c r="DE275" s="242"/>
      <c r="DF275" s="242"/>
      <c r="DG275" s="242"/>
      <c r="DH275" s="242">
        <f t="shared" si="14"/>
        <v>0</v>
      </c>
      <c r="DI275" s="242"/>
      <c r="DJ275" s="242"/>
      <c r="DK275" s="214"/>
      <c r="DL275" s="214"/>
      <c r="DM275" s="1131"/>
      <c r="DN275" s="1153"/>
      <c r="DO275" s="242"/>
      <c r="DP275" s="242"/>
      <c r="DQ275" s="242"/>
      <c r="DR275" s="242">
        <f t="shared" si="15"/>
        <v>0</v>
      </c>
      <c r="DS275" s="242"/>
      <c r="DT275" s="242"/>
      <c r="DU275" s="214"/>
      <c r="DV275" s="214"/>
      <c r="DW275" s="1131"/>
      <c r="DX275" s="1153"/>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24"/>
      <c r="C276" s="1124"/>
      <c r="D276" s="1124"/>
      <c r="E276" s="1124"/>
      <c r="F276" s="1125">
        <f t="shared" si="2"/>
        <v>0</v>
      </c>
      <c r="G276" s="1126" t="str">
        <f t="shared" si="3"/>
        <v/>
      </c>
      <c r="H276" s="112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7">
        <f t="shared" si="287"/>
        <v>0</v>
      </c>
      <c r="J276" s="1128">
        <f t="shared" si="287"/>
        <v>0</v>
      </c>
      <c r="K276" s="214"/>
      <c r="L276" s="214"/>
      <c r="M276" s="214"/>
      <c r="N276" s="214"/>
      <c r="O276" s="1087"/>
      <c r="P276" s="214"/>
      <c r="Q276" s="1131"/>
      <c r="R276" s="1153"/>
      <c r="S276" s="242"/>
      <c r="T276" s="242"/>
      <c r="U276" s="242"/>
      <c r="V276" s="242">
        <f t="shared" si="5"/>
        <v>0</v>
      </c>
      <c r="W276" s="242"/>
      <c r="X276" s="242"/>
      <c r="Y276" s="214"/>
      <c r="Z276" s="214"/>
      <c r="AA276" s="1131"/>
      <c r="AB276" s="1153"/>
      <c r="AC276" s="242"/>
      <c r="AD276" s="242"/>
      <c r="AE276" s="242"/>
      <c r="AF276" s="242">
        <f t="shared" si="6"/>
        <v>0</v>
      </c>
      <c r="AG276" s="242"/>
      <c r="AH276" s="242"/>
      <c r="AI276" s="214"/>
      <c r="AJ276" s="214"/>
      <c r="AK276" s="1131"/>
      <c r="AL276" s="1153"/>
      <c r="AM276" s="242"/>
      <c r="AN276" s="242"/>
      <c r="AO276" s="242"/>
      <c r="AP276" s="242">
        <f t="shared" si="7"/>
        <v>0</v>
      </c>
      <c r="AQ276" s="242"/>
      <c r="AR276" s="242"/>
      <c r="AS276" s="237"/>
      <c r="AT276" s="214"/>
      <c r="AU276" s="1138"/>
      <c r="AV276" s="1155"/>
      <c r="AW276" s="1140"/>
      <c r="AX276" s="1140"/>
      <c r="AY276" s="1140"/>
      <c r="AZ276" s="1140">
        <f t="shared" si="8"/>
        <v>0</v>
      </c>
      <c r="BA276" s="1140"/>
      <c r="BB276" s="1140"/>
      <c r="BC276" s="214"/>
      <c r="BD276" s="214"/>
      <c r="BE276" s="1131"/>
      <c r="BF276" s="1153"/>
      <c r="BG276" s="242"/>
      <c r="BH276" s="242"/>
      <c r="BI276" s="242"/>
      <c r="BJ276" s="242">
        <f t="shared" si="9"/>
        <v>0</v>
      </c>
      <c r="BK276" s="242"/>
      <c r="BL276" s="242"/>
      <c r="BM276" s="214"/>
      <c r="BN276" s="214"/>
      <c r="BO276" s="1131"/>
      <c r="BP276" s="1153"/>
      <c r="BQ276" s="242"/>
      <c r="BR276" s="242"/>
      <c r="BS276" s="242"/>
      <c r="BT276" s="242">
        <f t="shared" si="10"/>
        <v>0</v>
      </c>
      <c r="BU276" s="242"/>
      <c r="BV276" s="242"/>
      <c r="BW276" s="237"/>
      <c r="BX276" s="214"/>
      <c r="BY276" s="1131"/>
      <c r="BZ276" s="1153"/>
      <c r="CA276" s="242"/>
      <c r="CB276" s="242"/>
      <c r="CC276" s="242"/>
      <c r="CD276" s="242">
        <f t="shared" si="11"/>
        <v>0</v>
      </c>
      <c r="CE276" s="242"/>
      <c r="CF276" s="242"/>
      <c r="CG276" s="214"/>
      <c r="CH276" s="214"/>
      <c r="CI276" s="1131"/>
      <c r="CJ276" s="1153"/>
      <c r="CK276" s="242"/>
      <c r="CL276" s="242"/>
      <c r="CM276" s="242"/>
      <c r="CN276" s="242">
        <f t="shared" si="12"/>
        <v>0</v>
      </c>
      <c r="CO276" s="242"/>
      <c r="CP276" s="242"/>
      <c r="CQ276" s="214"/>
      <c r="CR276" s="214"/>
      <c r="CS276" s="1131"/>
      <c r="CT276" s="1153"/>
      <c r="CU276" s="242"/>
      <c r="CV276" s="242"/>
      <c r="CW276" s="242"/>
      <c r="CX276" s="242">
        <f t="shared" si="13"/>
        <v>0</v>
      </c>
      <c r="CY276" s="242"/>
      <c r="CZ276" s="242"/>
      <c r="DA276" s="237"/>
      <c r="DB276" s="214"/>
      <c r="DC276" s="1131"/>
      <c r="DD276" s="1153"/>
      <c r="DE276" s="242"/>
      <c r="DF276" s="242"/>
      <c r="DG276" s="242"/>
      <c r="DH276" s="242">
        <f t="shared" si="14"/>
        <v>0</v>
      </c>
      <c r="DI276" s="242"/>
      <c r="DJ276" s="242"/>
      <c r="DK276" s="214"/>
      <c r="DL276" s="214"/>
      <c r="DM276" s="1131"/>
      <c r="DN276" s="1153"/>
      <c r="DO276" s="242"/>
      <c r="DP276" s="242"/>
      <c r="DQ276" s="242"/>
      <c r="DR276" s="242">
        <f t="shared" si="15"/>
        <v>0</v>
      </c>
      <c r="DS276" s="242"/>
      <c r="DT276" s="242"/>
      <c r="DU276" s="214"/>
      <c r="DV276" s="214"/>
      <c r="DW276" s="1131"/>
      <c r="DX276" s="1153"/>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24"/>
      <c r="C277" s="1124"/>
      <c r="D277" s="1124"/>
      <c r="E277" s="1124"/>
      <c r="F277" s="1125">
        <f t="shared" si="2"/>
        <v>0</v>
      </c>
      <c r="G277" s="1126" t="str">
        <f t="shared" si="3"/>
        <v/>
      </c>
      <c r="H277" s="112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7">
        <f t="shared" si="288"/>
        <v>0</v>
      </c>
      <c r="J277" s="1128">
        <f t="shared" si="288"/>
        <v>0</v>
      </c>
      <c r="K277" s="214"/>
      <c r="L277" s="214"/>
      <c r="M277" s="214"/>
      <c r="N277" s="214"/>
      <c r="O277" s="1087"/>
      <c r="P277" s="214"/>
      <c r="Q277" s="1131"/>
      <c r="R277" s="1153"/>
      <c r="S277" s="242"/>
      <c r="T277" s="242"/>
      <c r="U277" s="242"/>
      <c r="V277" s="242">
        <f t="shared" si="5"/>
        <v>0</v>
      </c>
      <c r="W277" s="242"/>
      <c r="X277" s="242"/>
      <c r="Y277" s="214"/>
      <c r="Z277" s="214"/>
      <c r="AA277" s="1131"/>
      <c r="AB277" s="1153"/>
      <c r="AC277" s="242"/>
      <c r="AD277" s="242"/>
      <c r="AE277" s="242"/>
      <c r="AF277" s="242">
        <f t="shared" si="6"/>
        <v>0</v>
      </c>
      <c r="AG277" s="242"/>
      <c r="AH277" s="242"/>
      <c r="AI277" s="214"/>
      <c r="AJ277" s="214"/>
      <c r="AK277" s="1131"/>
      <c r="AL277" s="1153"/>
      <c r="AM277" s="242"/>
      <c r="AN277" s="242"/>
      <c r="AO277" s="242"/>
      <c r="AP277" s="242">
        <f t="shared" si="7"/>
        <v>0</v>
      </c>
      <c r="AQ277" s="242"/>
      <c r="AR277" s="242"/>
      <c r="AS277" s="237"/>
      <c r="AT277" s="214"/>
      <c r="AU277" s="1138"/>
      <c r="AV277" s="1155"/>
      <c r="AW277" s="1140"/>
      <c r="AX277" s="1140"/>
      <c r="AY277" s="1140"/>
      <c r="AZ277" s="1140">
        <f t="shared" si="8"/>
        <v>0</v>
      </c>
      <c r="BA277" s="1140"/>
      <c r="BB277" s="1140"/>
      <c r="BC277" s="214"/>
      <c r="BD277" s="214"/>
      <c r="BE277" s="1131"/>
      <c r="BF277" s="1153"/>
      <c r="BG277" s="242"/>
      <c r="BH277" s="242"/>
      <c r="BI277" s="242"/>
      <c r="BJ277" s="242">
        <f t="shared" si="9"/>
        <v>0</v>
      </c>
      <c r="BK277" s="242"/>
      <c r="BL277" s="242"/>
      <c r="BM277" s="214"/>
      <c r="BN277" s="214"/>
      <c r="BO277" s="1131"/>
      <c r="BP277" s="1153"/>
      <c r="BQ277" s="242"/>
      <c r="BR277" s="242"/>
      <c r="BS277" s="242"/>
      <c r="BT277" s="242">
        <f t="shared" si="10"/>
        <v>0</v>
      </c>
      <c r="BU277" s="242"/>
      <c r="BV277" s="242"/>
      <c r="BW277" s="237"/>
      <c r="BX277" s="214"/>
      <c r="BY277" s="1131"/>
      <c r="BZ277" s="1153"/>
      <c r="CA277" s="242"/>
      <c r="CB277" s="242"/>
      <c r="CC277" s="242"/>
      <c r="CD277" s="242">
        <f t="shared" si="11"/>
        <v>0</v>
      </c>
      <c r="CE277" s="242"/>
      <c r="CF277" s="242"/>
      <c r="CG277" s="214"/>
      <c r="CH277" s="214"/>
      <c r="CI277" s="1131"/>
      <c r="CJ277" s="1153"/>
      <c r="CK277" s="242"/>
      <c r="CL277" s="242"/>
      <c r="CM277" s="242"/>
      <c r="CN277" s="242">
        <f t="shared" si="12"/>
        <v>0</v>
      </c>
      <c r="CO277" s="242"/>
      <c r="CP277" s="242"/>
      <c r="CQ277" s="214"/>
      <c r="CR277" s="214"/>
      <c r="CS277" s="1131"/>
      <c r="CT277" s="1153"/>
      <c r="CU277" s="242"/>
      <c r="CV277" s="242"/>
      <c r="CW277" s="242"/>
      <c r="CX277" s="242">
        <f t="shared" si="13"/>
        <v>0</v>
      </c>
      <c r="CY277" s="242"/>
      <c r="CZ277" s="242"/>
      <c r="DA277" s="237"/>
      <c r="DB277" s="214"/>
      <c r="DC277" s="1131"/>
      <c r="DD277" s="1153"/>
      <c r="DE277" s="242"/>
      <c r="DF277" s="242"/>
      <c r="DG277" s="242"/>
      <c r="DH277" s="242">
        <f t="shared" si="14"/>
        <v>0</v>
      </c>
      <c r="DI277" s="242"/>
      <c r="DJ277" s="242"/>
      <c r="DK277" s="214"/>
      <c r="DL277" s="214"/>
      <c r="DM277" s="1131"/>
      <c r="DN277" s="1153"/>
      <c r="DO277" s="242"/>
      <c r="DP277" s="242"/>
      <c r="DQ277" s="242"/>
      <c r="DR277" s="242">
        <f t="shared" si="15"/>
        <v>0</v>
      </c>
      <c r="DS277" s="242"/>
      <c r="DT277" s="242"/>
      <c r="DU277" s="214"/>
      <c r="DV277" s="214"/>
      <c r="DW277" s="1131"/>
      <c r="DX277" s="1153"/>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24"/>
      <c r="C278" s="1124"/>
      <c r="D278" s="1124"/>
      <c r="E278" s="1124"/>
      <c r="F278" s="1125">
        <f t="shared" si="2"/>
        <v>0</v>
      </c>
      <c r="G278" s="1126" t="str">
        <f t="shared" si="3"/>
        <v/>
      </c>
      <c r="H278" s="112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7">
        <f t="shared" si="289"/>
        <v>0</v>
      </c>
      <c r="J278" s="1128">
        <f t="shared" si="289"/>
        <v>0</v>
      </c>
      <c r="K278" s="214"/>
      <c r="L278" s="214"/>
      <c r="M278" s="214"/>
      <c r="N278" s="214"/>
      <c r="O278" s="1087"/>
      <c r="P278" s="214"/>
      <c r="Q278" s="1131"/>
      <c r="R278" s="1153"/>
      <c r="S278" s="242"/>
      <c r="T278" s="242"/>
      <c r="U278" s="242"/>
      <c r="V278" s="242">
        <f t="shared" si="5"/>
        <v>0</v>
      </c>
      <c r="W278" s="242"/>
      <c r="X278" s="242"/>
      <c r="Y278" s="214"/>
      <c r="Z278" s="214"/>
      <c r="AA278" s="1131"/>
      <c r="AB278" s="1153"/>
      <c r="AC278" s="242"/>
      <c r="AD278" s="242"/>
      <c r="AE278" s="242"/>
      <c r="AF278" s="242">
        <f t="shared" si="6"/>
        <v>0</v>
      </c>
      <c r="AG278" s="242"/>
      <c r="AH278" s="242"/>
      <c r="AI278" s="214"/>
      <c r="AJ278" s="214"/>
      <c r="AK278" s="1131"/>
      <c r="AL278" s="1153"/>
      <c r="AM278" s="242"/>
      <c r="AN278" s="242"/>
      <c r="AO278" s="242"/>
      <c r="AP278" s="242">
        <f t="shared" si="7"/>
        <v>0</v>
      </c>
      <c r="AQ278" s="242"/>
      <c r="AR278" s="242"/>
      <c r="AS278" s="237"/>
      <c r="AT278" s="214"/>
      <c r="AU278" s="1138"/>
      <c r="AV278" s="1155"/>
      <c r="AW278" s="1140"/>
      <c r="AX278" s="1140"/>
      <c r="AY278" s="1140"/>
      <c r="AZ278" s="1140">
        <f t="shared" si="8"/>
        <v>0</v>
      </c>
      <c r="BA278" s="1140"/>
      <c r="BB278" s="1140"/>
      <c r="BC278" s="214"/>
      <c r="BD278" s="214"/>
      <c r="BE278" s="1131"/>
      <c r="BF278" s="1153"/>
      <c r="BG278" s="242"/>
      <c r="BH278" s="242"/>
      <c r="BI278" s="242"/>
      <c r="BJ278" s="242">
        <f t="shared" si="9"/>
        <v>0</v>
      </c>
      <c r="BK278" s="242"/>
      <c r="BL278" s="242"/>
      <c r="BM278" s="214"/>
      <c r="BN278" s="214"/>
      <c r="BO278" s="1131"/>
      <c r="BP278" s="1153"/>
      <c r="BQ278" s="242"/>
      <c r="BR278" s="242"/>
      <c r="BS278" s="242"/>
      <c r="BT278" s="242">
        <f t="shared" si="10"/>
        <v>0</v>
      </c>
      <c r="BU278" s="242"/>
      <c r="BV278" s="242"/>
      <c r="BW278" s="237"/>
      <c r="BX278" s="214"/>
      <c r="BY278" s="1131"/>
      <c r="BZ278" s="1153"/>
      <c r="CA278" s="242"/>
      <c r="CB278" s="242"/>
      <c r="CC278" s="242"/>
      <c r="CD278" s="242">
        <f t="shared" si="11"/>
        <v>0</v>
      </c>
      <c r="CE278" s="242"/>
      <c r="CF278" s="242"/>
      <c r="CG278" s="214"/>
      <c r="CH278" s="214"/>
      <c r="CI278" s="1131"/>
      <c r="CJ278" s="1153"/>
      <c r="CK278" s="242"/>
      <c r="CL278" s="242"/>
      <c r="CM278" s="242"/>
      <c r="CN278" s="242">
        <f t="shared" si="12"/>
        <v>0</v>
      </c>
      <c r="CO278" s="242"/>
      <c r="CP278" s="242"/>
      <c r="CQ278" s="214"/>
      <c r="CR278" s="214"/>
      <c r="CS278" s="1131"/>
      <c r="CT278" s="1153"/>
      <c r="CU278" s="242"/>
      <c r="CV278" s="242"/>
      <c r="CW278" s="242"/>
      <c r="CX278" s="242">
        <f t="shared" si="13"/>
        <v>0</v>
      </c>
      <c r="CY278" s="242"/>
      <c r="CZ278" s="242"/>
      <c r="DA278" s="237"/>
      <c r="DB278" s="214"/>
      <c r="DC278" s="1131"/>
      <c r="DD278" s="1153"/>
      <c r="DE278" s="242"/>
      <c r="DF278" s="242"/>
      <c r="DG278" s="242"/>
      <c r="DH278" s="242">
        <f t="shared" si="14"/>
        <v>0</v>
      </c>
      <c r="DI278" s="242"/>
      <c r="DJ278" s="242"/>
      <c r="DK278" s="214"/>
      <c r="DL278" s="214"/>
      <c r="DM278" s="1131"/>
      <c r="DN278" s="1153"/>
      <c r="DO278" s="242"/>
      <c r="DP278" s="242"/>
      <c r="DQ278" s="242"/>
      <c r="DR278" s="242">
        <f t="shared" si="15"/>
        <v>0</v>
      </c>
      <c r="DS278" s="242"/>
      <c r="DT278" s="242"/>
      <c r="DU278" s="214"/>
      <c r="DV278" s="214"/>
      <c r="DW278" s="1131"/>
      <c r="DX278" s="1153"/>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24"/>
      <c r="C279" s="1124"/>
      <c r="D279" s="1124"/>
      <c r="E279" s="1124"/>
      <c r="F279" s="1125">
        <f t="shared" si="2"/>
        <v>0</v>
      </c>
      <c r="G279" s="1126" t="str">
        <f t="shared" si="3"/>
        <v/>
      </c>
      <c r="H279" s="112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7">
        <f t="shared" si="290"/>
        <v>0</v>
      </c>
      <c r="J279" s="1128">
        <f t="shared" si="290"/>
        <v>0</v>
      </c>
      <c r="K279" s="214"/>
      <c r="L279" s="214"/>
      <c r="M279" s="214"/>
      <c r="N279" s="214"/>
      <c r="O279" s="1087"/>
      <c r="P279" s="214"/>
      <c r="Q279" s="1131"/>
      <c r="R279" s="1153"/>
      <c r="S279" s="242"/>
      <c r="T279" s="242"/>
      <c r="U279" s="242"/>
      <c r="V279" s="242">
        <f t="shared" si="5"/>
        <v>0</v>
      </c>
      <c r="W279" s="242"/>
      <c r="X279" s="242"/>
      <c r="Y279" s="214"/>
      <c r="Z279" s="214"/>
      <c r="AA279" s="1131"/>
      <c r="AB279" s="1153"/>
      <c r="AC279" s="242"/>
      <c r="AD279" s="242"/>
      <c r="AE279" s="242"/>
      <c r="AF279" s="242">
        <f t="shared" si="6"/>
        <v>0</v>
      </c>
      <c r="AG279" s="242"/>
      <c r="AH279" s="242"/>
      <c r="AI279" s="214"/>
      <c r="AJ279" s="214"/>
      <c r="AK279" s="1131"/>
      <c r="AL279" s="1153"/>
      <c r="AM279" s="242"/>
      <c r="AN279" s="242"/>
      <c r="AO279" s="242"/>
      <c r="AP279" s="242">
        <f t="shared" si="7"/>
        <v>0</v>
      </c>
      <c r="AQ279" s="242"/>
      <c r="AR279" s="242"/>
      <c r="AS279" s="237"/>
      <c r="AT279" s="214"/>
      <c r="AU279" s="1138"/>
      <c r="AV279" s="1155"/>
      <c r="AW279" s="1140"/>
      <c r="AX279" s="1140"/>
      <c r="AY279" s="1140"/>
      <c r="AZ279" s="1140">
        <f t="shared" si="8"/>
        <v>0</v>
      </c>
      <c r="BA279" s="1140"/>
      <c r="BB279" s="1140"/>
      <c r="BC279" s="214"/>
      <c r="BD279" s="214"/>
      <c r="BE279" s="1131"/>
      <c r="BF279" s="1153"/>
      <c r="BG279" s="242"/>
      <c r="BH279" s="242"/>
      <c r="BI279" s="242"/>
      <c r="BJ279" s="242">
        <f t="shared" si="9"/>
        <v>0</v>
      </c>
      <c r="BK279" s="242"/>
      <c r="BL279" s="242"/>
      <c r="BM279" s="214"/>
      <c r="BN279" s="214"/>
      <c r="BO279" s="1131"/>
      <c r="BP279" s="1153"/>
      <c r="BQ279" s="242"/>
      <c r="BR279" s="242"/>
      <c r="BS279" s="242"/>
      <c r="BT279" s="242">
        <f t="shared" si="10"/>
        <v>0</v>
      </c>
      <c r="BU279" s="242"/>
      <c r="BV279" s="242"/>
      <c r="BW279" s="237"/>
      <c r="BX279" s="214"/>
      <c r="BY279" s="1131"/>
      <c r="BZ279" s="1153"/>
      <c r="CA279" s="242"/>
      <c r="CB279" s="242"/>
      <c r="CC279" s="242"/>
      <c r="CD279" s="242">
        <f t="shared" si="11"/>
        <v>0</v>
      </c>
      <c r="CE279" s="242"/>
      <c r="CF279" s="242"/>
      <c r="CG279" s="214"/>
      <c r="CH279" s="214"/>
      <c r="CI279" s="1131"/>
      <c r="CJ279" s="1153"/>
      <c r="CK279" s="242"/>
      <c r="CL279" s="242"/>
      <c r="CM279" s="242"/>
      <c r="CN279" s="242">
        <f t="shared" si="12"/>
        <v>0</v>
      </c>
      <c r="CO279" s="242"/>
      <c r="CP279" s="242"/>
      <c r="CQ279" s="214"/>
      <c r="CR279" s="214"/>
      <c r="CS279" s="1131"/>
      <c r="CT279" s="1153"/>
      <c r="CU279" s="242"/>
      <c r="CV279" s="242"/>
      <c r="CW279" s="242"/>
      <c r="CX279" s="242">
        <f t="shared" si="13"/>
        <v>0</v>
      </c>
      <c r="CY279" s="242"/>
      <c r="CZ279" s="242"/>
      <c r="DA279" s="237"/>
      <c r="DB279" s="214"/>
      <c r="DC279" s="1131"/>
      <c r="DD279" s="1153"/>
      <c r="DE279" s="242"/>
      <c r="DF279" s="242"/>
      <c r="DG279" s="242"/>
      <c r="DH279" s="242">
        <f t="shared" si="14"/>
        <v>0</v>
      </c>
      <c r="DI279" s="242"/>
      <c r="DJ279" s="242"/>
      <c r="DK279" s="214"/>
      <c r="DL279" s="214"/>
      <c r="DM279" s="1131"/>
      <c r="DN279" s="1153"/>
      <c r="DO279" s="242"/>
      <c r="DP279" s="242"/>
      <c r="DQ279" s="242"/>
      <c r="DR279" s="242">
        <f t="shared" si="15"/>
        <v>0</v>
      </c>
      <c r="DS279" s="242"/>
      <c r="DT279" s="242"/>
      <c r="DU279" s="214"/>
      <c r="DV279" s="214"/>
      <c r="DW279" s="1131"/>
      <c r="DX279" s="1153"/>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24"/>
      <c r="C280" s="1124"/>
      <c r="D280" s="1124"/>
      <c r="E280" s="1124"/>
      <c r="F280" s="1125">
        <f t="shared" si="2"/>
        <v>0</v>
      </c>
      <c r="G280" s="1126" t="str">
        <f t="shared" si="3"/>
        <v/>
      </c>
      <c r="H280" s="112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7">
        <f t="shared" si="291"/>
        <v>0</v>
      </c>
      <c r="J280" s="1128">
        <f t="shared" si="291"/>
        <v>0</v>
      </c>
      <c r="K280" s="214"/>
      <c r="L280" s="214"/>
      <c r="M280" s="214"/>
      <c r="N280" s="214"/>
      <c r="O280" s="1087"/>
      <c r="P280" s="214"/>
      <c r="Q280" s="1131"/>
      <c r="R280" s="1153"/>
      <c r="S280" s="242"/>
      <c r="T280" s="242"/>
      <c r="U280" s="242"/>
      <c r="V280" s="242">
        <f t="shared" si="5"/>
        <v>0</v>
      </c>
      <c r="W280" s="242"/>
      <c r="X280" s="242"/>
      <c r="Y280" s="214"/>
      <c r="Z280" s="214"/>
      <c r="AA280" s="1131"/>
      <c r="AB280" s="1153"/>
      <c r="AC280" s="242"/>
      <c r="AD280" s="242"/>
      <c r="AE280" s="242"/>
      <c r="AF280" s="242">
        <f t="shared" si="6"/>
        <v>0</v>
      </c>
      <c r="AG280" s="242"/>
      <c r="AH280" s="242"/>
      <c r="AI280" s="214"/>
      <c r="AJ280" s="214"/>
      <c r="AK280" s="1131"/>
      <c r="AL280" s="1153"/>
      <c r="AM280" s="242"/>
      <c r="AN280" s="242"/>
      <c r="AO280" s="242"/>
      <c r="AP280" s="242">
        <f t="shared" si="7"/>
        <v>0</v>
      </c>
      <c r="AQ280" s="242"/>
      <c r="AR280" s="242"/>
      <c r="AS280" s="237"/>
      <c r="AT280" s="214"/>
      <c r="AU280" s="1138"/>
      <c r="AV280" s="1155"/>
      <c r="AW280" s="1140"/>
      <c r="AX280" s="1140"/>
      <c r="AY280" s="1140"/>
      <c r="AZ280" s="1140">
        <f t="shared" si="8"/>
        <v>0</v>
      </c>
      <c r="BA280" s="1140"/>
      <c r="BB280" s="1140"/>
      <c r="BC280" s="214"/>
      <c r="BD280" s="214"/>
      <c r="BE280" s="1131"/>
      <c r="BF280" s="1153"/>
      <c r="BG280" s="242"/>
      <c r="BH280" s="242"/>
      <c r="BI280" s="242"/>
      <c r="BJ280" s="242">
        <f t="shared" si="9"/>
        <v>0</v>
      </c>
      <c r="BK280" s="242"/>
      <c r="BL280" s="242"/>
      <c r="BM280" s="214"/>
      <c r="BN280" s="214"/>
      <c r="BO280" s="1131"/>
      <c r="BP280" s="1153"/>
      <c r="BQ280" s="242"/>
      <c r="BR280" s="242"/>
      <c r="BS280" s="242"/>
      <c r="BT280" s="242">
        <f t="shared" si="10"/>
        <v>0</v>
      </c>
      <c r="BU280" s="242"/>
      <c r="BV280" s="242"/>
      <c r="BW280" s="237"/>
      <c r="BX280" s="214"/>
      <c r="BY280" s="1131"/>
      <c r="BZ280" s="1153"/>
      <c r="CA280" s="242"/>
      <c r="CB280" s="242"/>
      <c r="CC280" s="242"/>
      <c r="CD280" s="242">
        <f t="shared" si="11"/>
        <v>0</v>
      </c>
      <c r="CE280" s="242"/>
      <c r="CF280" s="242"/>
      <c r="CG280" s="214"/>
      <c r="CH280" s="214"/>
      <c r="CI280" s="1131"/>
      <c r="CJ280" s="1153"/>
      <c r="CK280" s="242"/>
      <c r="CL280" s="242"/>
      <c r="CM280" s="242"/>
      <c r="CN280" s="242">
        <f t="shared" si="12"/>
        <v>0</v>
      </c>
      <c r="CO280" s="242"/>
      <c r="CP280" s="242"/>
      <c r="CQ280" s="214"/>
      <c r="CR280" s="214"/>
      <c r="CS280" s="1131"/>
      <c r="CT280" s="1153"/>
      <c r="CU280" s="242"/>
      <c r="CV280" s="242"/>
      <c r="CW280" s="242"/>
      <c r="CX280" s="242">
        <f t="shared" si="13"/>
        <v>0</v>
      </c>
      <c r="CY280" s="242"/>
      <c r="CZ280" s="242"/>
      <c r="DA280" s="237"/>
      <c r="DB280" s="214"/>
      <c r="DC280" s="1131"/>
      <c r="DD280" s="1153"/>
      <c r="DE280" s="242"/>
      <c r="DF280" s="242"/>
      <c r="DG280" s="242"/>
      <c r="DH280" s="242">
        <f t="shared" si="14"/>
        <v>0</v>
      </c>
      <c r="DI280" s="242"/>
      <c r="DJ280" s="242"/>
      <c r="DK280" s="214"/>
      <c r="DL280" s="214"/>
      <c r="DM280" s="1131"/>
      <c r="DN280" s="1153"/>
      <c r="DO280" s="242"/>
      <c r="DP280" s="242"/>
      <c r="DQ280" s="242"/>
      <c r="DR280" s="242">
        <f t="shared" si="15"/>
        <v>0</v>
      </c>
      <c r="DS280" s="242"/>
      <c r="DT280" s="242"/>
      <c r="DU280" s="214"/>
      <c r="DV280" s="214"/>
      <c r="DW280" s="1131"/>
      <c r="DX280" s="1153"/>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24"/>
      <c r="C281" s="1124"/>
      <c r="D281" s="1124"/>
      <c r="E281" s="1124"/>
      <c r="F281" s="1125">
        <f t="shared" si="2"/>
        <v>0</v>
      </c>
      <c r="G281" s="1126" t="str">
        <f t="shared" si="3"/>
        <v/>
      </c>
      <c r="H281" s="112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7">
        <f t="shared" si="292"/>
        <v>0</v>
      </c>
      <c r="J281" s="1128">
        <f t="shared" si="292"/>
        <v>0</v>
      </c>
      <c r="K281" s="214"/>
      <c r="L281" s="214"/>
      <c r="M281" s="214"/>
      <c r="N281" s="214"/>
      <c r="O281" s="1087"/>
      <c r="P281" s="214"/>
      <c r="Q281" s="1131"/>
      <c r="R281" s="1153"/>
      <c r="S281" s="242"/>
      <c r="T281" s="242"/>
      <c r="U281" s="242"/>
      <c r="V281" s="242">
        <f t="shared" si="5"/>
        <v>0</v>
      </c>
      <c r="W281" s="242"/>
      <c r="X281" s="242"/>
      <c r="Y281" s="214"/>
      <c r="Z281" s="214"/>
      <c r="AA281" s="1131"/>
      <c r="AB281" s="1153"/>
      <c r="AC281" s="242"/>
      <c r="AD281" s="242"/>
      <c r="AE281" s="242"/>
      <c r="AF281" s="242">
        <f t="shared" si="6"/>
        <v>0</v>
      </c>
      <c r="AG281" s="242"/>
      <c r="AH281" s="242"/>
      <c r="AI281" s="214"/>
      <c r="AJ281" s="214"/>
      <c r="AK281" s="1131"/>
      <c r="AL281" s="1153"/>
      <c r="AM281" s="242"/>
      <c r="AN281" s="242"/>
      <c r="AO281" s="242"/>
      <c r="AP281" s="242">
        <f t="shared" si="7"/>
        <v>0</v>
      </c>
      <c r="AQ281" s="242"/>
      <c r="AR281" s="242"/>
      <c r="AS281" s="237"/>
      <c r="AT281" s="214"/>
      <c r="AU281" s="1138"/>
      <c r="AV281" s="1155"/>
      <c r="AW281" s="1140"/>
      <c r="AX281" s="1140"/>
      <c r="AY281" s="1140"/>
      <c r="AZ281" s="1140">
        <f t="shared" si="8"/>
        <v>0</v>
      </c>
      <c r="BA281" s="1140"/>
      <c r="BB281" s="1140"/>
      <c r="BC281" s="214"/>
      <c r="BD281" s="214"/>
      <c r="BE281" s="1131"/>
      <c r="BF281" s="1153"/>
      <c r="BG281" s="242"/>
      <c r="BH281" s="242"/>
      <c r="BI281" s="242"/>
      <c r="BJ281" s="242">
        <f t="shared" si="9"/>
        <v>0</v>
      </c>
      <c r="BK281" s="242"/>
      <c r="BL281" s="242"/>
      <c r="BM281" s="214"/>
      <c r="BN281" s="214"/>
      <c r="BO281" s="1131"/>
      <c r="BP281" s="1153"/>
      <c r="BQ281" s="242"/>
      <c r="BR281" s="242"/>
      <c r="BS281" s="242"/>
      <c r="BT281" s="242">
        <f t="shared" si="10"/>
        <v>0</v>
      </c>
      <c r="BU281" s="242"/>
      <c r="BV281" s="242"/>
      <c r="BW281" s="237"/>
      <c r="BX281" s="214"/>
      <c r="BY281" s="1131"/>
      <c r="BZ281" s="1153"/>
      <c r="CA281" s="242"/>
      <c r="CB281" s="242"/>
      <c r="CC281" s="242"/>
      <c r="CD281" s="242">
        <f t="shared" si="11"/>
        <v>0</v>
      </c>
      <c r="CE281" s="242"/>
      <c r="CF281" s="242"/>
      <c r="CG281" s="214"/>
      <c r="CH281" s="214"/>
      <c r="CI281" s="1131"/>
      <c r="CJ281" s="1153"/>
      <c r="CK281" s="242"/>
      <c r="CL281" s="242"/>
      <c r="CM281" s="242"/>
      <c r="CN281" s="242">
        <f t="shared" si="12"/>
        <v>0</v>
      </c>
      <c r="CO281" s="242"/>
      <c r="CP281" s="242"/>
      <c r="CQ281" s="214"/>
      <c r="CR281" s="214"/>
      <c r="CS281" s="1131"/>
      <c r="CT281" s="1153"/>
      <c r="CU281" s="242"/>
      <c r="CV281" s="242"/>
      <c r="CW281" s="242"/>
      <c r="CX281" s="242">
        <f t="shared" si="13"/>
        <v>0</v>
      </c>
      <c r="CY281" s="242"/>
      <c r="CZ281" s="242"/>
      <c r="DA281" s="237"/>
      <c r="DB281" s="214"/>
      <c r="DC281" s="1131"/>
      <c r="DD281" s="1153"/>
      <c r="DE281" s="242"/>
      <c r="DF281" s="242"/>
      <c r="DG281" s="242"/>
      <c r="DH281" s="242">
        <f t="shared" si="14"/>
        <v>0</v>
      </c>
      <c r="DI281" s="242"/>
      <c r="DJ281" s="242"/>
      <c r="DK281" s="214"/>
      <c r="DL281" s="214"/>
      <c r="DM281" s="1131"/>
      <c r="DN281" s="1153"/>
      <c r="DO281" s="242"/>
      <c r="DP281" s="242"/>
      <c r="DQ281" s="242"/>
      <c r="DR281" s="242">
        <f t="shared" si="15"/>
        <v>0</v>
      </c>
      <c r="DS281" s="242"/>
      <c r="DT281" s="242"/>
      <c r="DU281" s="214"/>
      <c r="DV281" s="214"/>
      <c r="DW281" s="1131"/>
      <c r="DX281" s="1153"/>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24"/>
      <c r="C282" s="1124"/>
      <c r="D282" s="1124"/>
      <c r="E282" s="1124"/>
      <c r="F282" s="1125">
        <f t="shared" si="2"/>
        <v>0</v>
      </c>
      <c r="G282" s="1126" t="str">
        <f t="shared" si="3"/>
        <v/>
      </c>
      <c r="H282" s="112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7">
        <f t="shared" si="293"/>
        <v>0</v>
      </c>
      <c r="J282" s="1128">
        <f t="shared" si="293"/>
        <v>0</v>
      </c>
      <c r="K282" s="214"/>
      <c r="L282" s="214"/>
      <c r="M282" s="214"/>
      <c r="N282" s="214"/>
      <c r="O282" s="1087"/>
      <c r="P282" s="214"/>
      <c r="Q282" s="1131"/>
      <c r="R282" s="1153"/>
      <c r="S282" s="242"/>
      <c r="T282" s="242"/>
      <c r="U282" s="242"/>
      <c r="V282" s="242">
        <f t="shared" si="5"/>
        <v>0</v>
      </c>
      <c r="W282" s="242"/>
      <c r="X282" s="242"/>
      <c r="Y282" s="214"/>
      <c r="Z282" s="214"/>
      <c r="AA282" s="1131"/>
      <c r="AB282" s="1153"/>
      <c r="AC282" s="242"/>
      <c r="AD282" s="242"/>
      <c r="AE282" s="242"/>
      <c r="AF282" s="242">
        <f t="shared" si="6"/>
        <v>0</v>
      </c>
      <c r="AG282" s="242"/>
      <c r="AH282" s="242"/>
      <c r="AI282" s="214"/>
      <c r="AJ282" s="214"/>
      <c r="AK282" s="1131"/>
      <c r="AL282" s="1153"/>
      <c r="AM282" s="242"/>
      <c r="AN282" s="242"/>
      <c r="AO282" s="242"/>
      <c r="AP282" s="242">
        <f t="shared" si="7"/>
        <v>0</v>
      </c>
      <c r="AQ282" s="242"/>
      <c r="AR282" s="242"/>
      <c r="AS282" s="237"/>
      <c r="AT282" s="214"/>
      <c r="AU282" s="1138"/>
      <c r="AV282" s="1155"/>
      <c r="AW282" s="1140"/>
      <c r="AX282" s="1140"/>
      <c r="AY282" s="1140"/>
      <c r="AZ282" s="1140">
        <f t="shared" si="8"/>
        <v>0</v>
      </c>
      <c r="BA282" s="1140"/>
      <c r="BB282" s="1140"/>
      <c r="BC282" s="214"/>
      <c r="BD282" s="214"/>
      <c r="BE282" s="1131"/>
      <c r="BF282" s="1153"/>
      <c r="BG282" s="242"/>
      <c r="BH282" s="242"/>
      <c r="BI282" s="242"/>
      <c r="BJ282" s="242">
        <f t="shared" si="9"/>
        <v>0</v>
      </c>
      <c r="BK282" s="242"/>
      <c r="BL282" s="242"/>
      <c r="BM282" s="214"/>
      <c r="BN282" s="214"/>
      <c r="BO282" s="1131"/>
      <c r="BP282" s="1153"/>
      <c r="BQ282" s="242"/>
      <c r="BR282" s="242"/>
      <c r="BS282" s="242"/>
      <c r="BT282" s="242">
        <f t="shared" si="10"/>
        <v>0</v>
      </c>
      <c r="BU282" s="242"/>
      <c r="BV282" s="242"/>
      <c r="BW282" s="237"/>
      <c r="BX282" s="214"/>
      <c r="BY282" s="1131"/>
      <c r="BZ282" s="1153"/>
      <c r="CA282" s="242"/>
      <c r="CB282" s="242"/>
      <c r="CC282" s="242"/>
      <c r="CD282" s="242">
        <f t="shared" si="11"/>
        <v>0</v>
      </c>
      <c r="CE282" s="242"/>
      <c r="CF282" s="242"/>
      <c r="CG282" s="214"/>
      <c r="CH282" s="214"/>
      <c r="CI282" s="1131"/>
      <c r="CJ282" s="1153"/>
      <c r="CK282" s="242"/>
      <c r="CL282" s="242"/>
      <c r="CM282" s="242"/>
      <c r="CN282" s="242">
        <f t="shared" si="12"/>
        <v>0</v>
      </c>
      <c r="CO282" s="242"/>
      <c r="CP282" s="242"/>
      <c r="CQ282" s="214"/>
      <c r="CR282" s="214"/>
      <c r="CS282" s="1131"/>
      <c r="CT282" s="1153"/>
      <c r="CU282" s="242"/>
      <c r="CV282" s="242"/>
      <c r="CW282" s="242"/>
      <c r="CX282" s="242">
        <f t="shared" si="13"/>
        <v>0</v>
      </c>
      <c r="CY282" s="242"/>
      <c r="CZ282" s="242"/>
      <c r="DA282" s="237"/>
      <c r="DB282" s="214"/>
      <c r="DC282" s="1131"/>
      <c r="DD282" s="1153"/>
      <c r="DE282" s="242"/>
      <c r="DF282" s="242"/>
      <c r="DG282" s="242"/>
      <c r="DH282" s="242">
        <f t="shared" si="14"/>
        <v>0</v>
      </c>
      <c r="DI282" s="242"/>
      <c r="DJ282" s="242"/>
      <c r="DK282" s="214"/>
      <c r="DL282" s="214"/>
      <c r="DM282" s="1131"/>
      <c r="DN282" s="1153"/>
      <c r="DO282" s="242"/>
      <c r="DP282" s="242"/>
      <c r="DQ282" s="242"/>
      <c r="DR282" s="242">
        <f t="shared" si="15"/>
        <v>0</v>
      </c>
      <c r="DS282" s="242"/>
      <c r="DT282" s="242"/>
      <c r="DU282" s="214"/>
      <c r="DV282" s="214"/>
      <c r="DW282" s="1131"/>
      <c r="DX282" s="1153"/>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24"/>
      <c r="C283" s="1124"/>
      <c r="D283" s="1124"/>
      <c r="E283" s="1124"/>
      <c r="F283" s="1125">
        <f t="shared" si="2"/>
        <v>0</v>
      </c>
      <c r="G283" s="1126" t="str">
        <f t="shared" si="3"/>
        <v/>
      </c>
      <c r="H283" s="112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7">
        <f t="shared" si="294"/>
        <v>0</v>
      </c>
      <c r="J283" s="1128">
        <f t="shared" si="294"/>
        <v>0</v>
      </c>
      <c r="K283" s="214"/>
      <c r="L283" s="214"/>
      <c r="M283" s="214"/>
      <c r="N283" s="214"/>
      <c r="O283" s="1087"/>
      <c r="P283" s="214"/>
      <c r="Q283" s="1131"/>
      <c r="R283" s="1153"/>
      <c r="S283" s="242"/>
      <c r="T283" s="242"/>
      <c r="U283" s="242"/>
      <c r="V283" s="242">
        <f t="shared" si="5"/>
        <v>0</v>
      </c>
      <c r="W283" s="242"/>
      <c r="X283" s="242"/>
      <c r="Y283" s="214"/>
      <c r="Z283" s="214"/>
      <c r="AA283" s="1131"/>
      <c r="AB283" s="1153"/>
      <c r="AC283" s="242"/>
      <c r="AD283" s="242"/>
      <c r="AE283" s="242"/>
      <c r="AF283" s="242">
        <f t="shared" si="6"/>
        <v>0</v>
      </c>
      <c r="AG283" s="242"/>
      <c r="AH283" s="242"/>
      <c r="AI283" s="214"/>
      <c r="AJ283" s="214"/>
      <c r="AK283" s="1131"/>
      <c r="AL283" s="1153"/>
      <c r="AM283" s="242"/>
      <c r="AN283" s="242"/>
      <c r="AO283" s="242"/>
      <c r="AP283" s="242">
        <f t="shared" si="7"/>
        <v>0</v>
      </c>
      <c r="AQ283" s="242"/>
      <c r="AR283" s="242"/>
      <c r="AS283" s="237"/>
      <c r="AT283" s="214"/>
      <c r="AU283" s="1138"/>
      <c r="AV283" s="1155"/>
      <c r="AW283" s="1140"/>
      <c r="AX283" s="1140"/>
      <c r="AY283" s="1140"/>
      <c r="AZ283" s="1140">
        <f t="shared" si="8"/>
        <v>0</v>
      </c>
      <c r="BA283" s="1140"/>
      <c r="BB283" s="1140"/>
      <c r="BC283" s="214"/>
      <c r="BD283" s="214"/>
      <c r="BE283" s="1131"/>
      <c r="BF283" s="1153"/>
      <c r="BG283" s="242"/>
      <c r="BH283" s="242"/>
      <c r="BI283" s="242"/>
      <c r="BJ283" s="242">
        <f t="shared" si="9"/>
        <v>0</v>
      </c>
      <c r="BK283" s="242"/>
      <c r="BL283" s="242"/>
      <c r="BM283" s="214"/>
      <c r="BN283" s="214"/>
      <c r="BO283" s="1131"/>
      <c r="BP283" s="1153"/>
      <c r="BQ283" s="242"/>
      <c r="BR283" s="242"/>
      <c r="BS283" s="242"/>
      <c r="BT283" s="242">
        <f t="shared" si="10"/>
        <v>0</v>
      </c>
      <c r="BU283" s="242"/>
      <c r="BV283" s="242"/>
      <c r="BW283" s="237"/>
      <c r="BX283" s="214"/>
      <c r="BY283" s="1131"/>
      <c r="BZ283" s="1153"/>
      <c r="CA283" s="242"/>
      <c r="CB283" s="242"/>
      <c r="CC283" s="242"/>
      <c r="CD283" s="242">
        <f t="shared" si="11"/>
        <v>0</v>
      </c>
      <c r="CE283" s="242"/>
      <c r="CF283" s="242"/>
      <c r="CG283" s="214"/>
      <c r="CH283" s="214"/>
      <c r="CI283" s="1131"/>
      <c r="CJ283" s="1153"/>
      <c r="CK283" s="242"/>
      <c r="CL283" s="242"/>
      <c r="CM283" s="242"/>
      <c r="CN283" s="242">
        <f t="shared" si="12"/>
        <v>0</v>
      </c>
      <c r="CO283" s="242"/>
      <c r="CP283" s="242"/>
      <c r="CQ283" s="214"/>
      <c r="CR283" s="214"/>
      <c r="CS283" s="1131"/>
      <c r="CT283" s="1153"/>
      <c r="CU283" s="242"/>
      <c r="CV283" s="242"/>
      <c r="CW283" s="242"/>
      <c r="CX283" s="242">
        <f t="shared" si="13"/>
        <v>0</v>
      </c>
      <c r="CY283" s="242"/>
      <c r="CZ283" s="242"/>
      <c r="DA283" s="237"/>
      <c r="DB283" s="214"/>
      <c r="DC283" s="1131"/>
      <c r="DD283" s="1153"/>
      <c r="DE283" s="242"/>
      <c r="DF283" s="242"/>
      <c r="DG283" s="242"/>
      <c r="DH283" s="242">
        <f t="shared" si="14"/>
        <v>0</v>
      </c>
      <c r="DI283" s="242"/>
      <c r="DJ283" s="242"/>
      <c r="DK283" s="214"/>
      <c r="DL283" s="214"/>
      <c r="DM283" s="1131"/>
      <c r="DN283" s="1153"/>
      <c r="DO283" s="242"/>
      <c r="DP283" s="242"/>
      <c r="DQ283" s="242"/>
      <c r="DR283" s="242">
        <f t="shared" si="15"/>
        <v>0</v>
      </c>
      <c r="DS283" s="242"/>
      <c r="DT283" s="242"/>
      <c r="DU283" s="214"/>
      <c r="DV283" s="214"/>
      <c r="DW283" s="1131"/>
      <c r="DX283" s="1153"/>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24"/>
      <c r="C284" s="1124"/>
      <c r="D284" s="1124"/>
      <c r="E284" s="1124"/>
      <c r="F284" s="1125">
        <f t="shared" si="2"/>
        <v>0</v>
      </c>
      <c r="G284" s="1126" t="str">
        <f t="shared" si="3"/>
        <v/>
      </c>
      <c r="H284" s="112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7">
        <f t="shared" si="295"/>
        <v>0</v>
      </c>
      <c r="J284" s="1128">
        <f t="shared" si="295"/>
        <v>0</v>
      </c>
      <c r="K284" s="214"/>
      <c r="L284" s="214"/>
      <c r="M284" s="214"/>
      <c r="N284" s="214"/>
      <c r="O284" s="1087"/>
      <c r="P284" s="214"/>
      <c r="Q284" s="1131"/>
      <c r="R284" s="1153"/>
      <c r="S284" s="242"/>
      <c r="T284" s="242"/>
      <c r="U284" s="242"/>
      <c r="V284" s="242">
        <f t="shared" si="5"/>
        <v>0</v>
      </c>
      <c r="W284" s="242"/>
      <c r="X284" s="242"/>
      <c r="Y284" s="214"/>
      <c r="Z284" s="214"/>
      <c r="AA284" s="1131"/>
      <c r="AB284" s="1153"/>
      <c r="AC284" s="242"/>
      <c r="AD284" s="242"/>
      <c r="AE284" s="242"/>
      <c r="AF284" s="242">
        <f t="shared" si="6"/>
        <v>0</v>
      </c>
      <c r="AG284" s="242"/>
      <c r="AH284" s="242"/>
      <c r="AI284" s="214"/>
      <c r="AJ284" s="214"/>
      <c r="AK284" s="1131"/>
      <c r="AL284" s="1153"/>
      <c r="AM284" s="242"/>
      <c r="AN284" s="242"/>
      <c r="AO284" s="242"/>
      <c r="AP284" s="242">
        <f t="shared" si="7"/>
        <v>0</v>
      </c>
      <c r="AQ284" s="242"/>
      <c r="AR284" s="242"/>
      <c r="AS284" s="237"/>
      <c r="AT284" s="214"/>
      <c r="AU284" s="1138"/>
      <c r="AV284" s="1155"/>
      <c r="AW284" s="1140"/>
      <c r="AX284" s="1140"/>
      <c r="AY284" s="1140"/>
      <c r="AZ284" s="1140">
        <f t="shared" si="8"/>
        <v>0</v>
      </c>
      <c r="BA284" s="1140"/>
      <c r="BB284" s="1140"/>
      <c r="BC284" s="214"/>
      <c r="BD284" s="214"/>
      <c r="BE284" s="1131"/>
      <c r="BF284" s="1153"/>
      <c r="BG284" s="242"/>
      <c r="BH284" s="242"/>
      <c r="BI284" s="242"/>
      <c r="BJ284" s="242">
        <f t="shared" si="9"/>
        <v>0</v>
      </c>
      <c r="BK284" s="242"/>
      <c r="BL284" s="242"/>
      <c r="BM284" s="214"/>
      <c r="BN284" s="214"/>
      <c r="BO284" s="1131"/>
      <c r="BP284" s="1153"/>
      <c r="BQ284" s="242"/>
      <c r="BR284" s="242"/>
      <c r="BS284" s="242"/>
      <c r="BT284" s="242">
        <f t="shared" si="10"/>
        <v>0</v>
      </c>
      <c r="BU284" s="242"/>
      <c r="BV284" s="242"/>
      <c r="BW284" s="237"/>
      <c r="BX284" s="214"/>
      <c r="BY284" s="1131"/>
      <c r="BZ284" s="1153"/>
      <c r="CA284" s="242"/>
      <c r="CB284" s="242"/>
      <c r="CC284" s="242"/>
      <c r="CD284" s="242">
        <f t="shared" si="11"/>
        <v>0</v>
      </c>
      <c r="CE284" s="242"/>
      <c r="CF284" s="242"/>
      <c r="CG284" s="214"/>
      <c r="CH284" s="214"/>
      <c r="CI284" s="1131"/>
      <c r="CJ284" s="1153"/>
      <c r="CK284" s="242"/>
      <c r="CL284" s="242"/>
      <c r="CM284" s="242"/>
      <c r="CN284" s="242">
        <f t="shared" si="12"/>
        <v>0</v>
      </c>
      <c r="CO284" s="242"/>
      <c r="CP284" s="242"/>
      <c r="CQ284" s="214"/>
      <c r="CR284" s="214"/>
      <c r="CS284" s="1131"/>
      <c r="CT284" s="1153"/>
      <c r="CU284" s="242"/>
      <c r="CV284" s="242"/>
      <c r="CW284" s="242"/>
      <c r="CX284" s="242">
        <f t="shared" si="13"/>
        <v>0</v>
      </c>
      <c r="CY284" s="242"/>
      <c r="CZ284" s="242"/>
      <c r="DA284" s="237"/>
      <c r="DB284" s="214"/>
      <c r="DC284" s="1131"/>
      <c r="DD284" s="1153"/>
      <c r="DE284" s="242"/>
      <c r="DF284" s="242"/>
      <c r="DG284" s="242"/>
      <c r="DH284" s="242">
        <f t="shared" si="14"/>
        <v>0</v>
      </c>
      <c r="DI284" s="242"/>
      <c r="DJ284" s="242"/>
      <c r="DK284" s="214"/>
      <c r="DL284" s="214"/>
      <c r="DM284" s="1131"/>
      <c r="DN284" s="1153"/>
      <c r="DO284" s="242"/>
      <c r="DP284" s="242"/>
      <c r="DQ284" s="242"/>
      <c r="DR284" s="242">
        <f t="shared" si="15"/>
        <v>0</v>
      </c>
      <c r="DS284" s="242"/>
      <c r="DT284" s="242"/>
      <c r="DU284" s="214"/>
      <c r="DV284" s="214"/>
      <c r="DW284" s="1131"/>
      <c r="DX284" s="1153"/>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24"/>
      <c r="C285" s="1124"/>
      <c r="D285" s="1124"/>
      <c r="E285" s="1124"/>
      <c r="F285" s="1125">
        <f t="shared" si="2"/>
        <v>0</v>
      </c>
      <c r="G285" s="1126" t="str">
        <f t="shared" si="3"/>
        <v/>
      </c>
      <c r="H285" s="112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7">
        <f t="shared" si="296"/>
        <v>0</v>
      </c>
      <c r="J285" s="1128">
        <f t="shared" si="296"/>
        <v>0</v>
      </c>
      <c r="K285" s="214"/>
      <c r="L285" s="214"/>
      <c r="M285" s="214"/>
      <c r="N285" s="214"/>
      <c r="O285" s="1087"/>
      <c r="P285" s="214"/>
      <c r="Q285" s="1131"/>
      <c r="R285" s="1153"/>
      <c r="S285" s="242"/>
      <c r="T285" s="242"/>
      <c r="U285" s="242"/>
      <c r="V285" s="242">
        <f t="shared" si="5"/>
        <v>0</v>
      </c>
      <c r="W285" s="242"/>
      <c r="X285" s="242"/>
      <c r="Y285" s="214"/>
      <c r="Z285" s="214"/>
      <c r="AA285" s="1131"/>
      <c r="AB285" s="1153"/>
      <c r="AC285" s="242"/>
      <c r="AD285" s="242"/>
      <c r="AE285" s="242"/>
      <c r="AF285" s="242">
        <f t="shared" si="6"/>
        <v>0</v>
      </c>
      <c r="AG285" s="242"/>
      <c r="AH285" s="242"/>
      <c r="AI285" s="214"/>
      <c r="AJ285" s="214"/>
      <c r="AK285" s="1131"/>
      <c r="AL285" s="1153"/>
      <c r="AM285" s="242"/>
      <c r="AN285" s="242"/>
      <c r="AO285" s="242"/>
      <c r="AP285" s="242">
        <f t="shared" si="7"/>
        <v>0</v>
      </c>
      <c r="AQ285" s="242"/>
      <c r="AR285" s="242"/>
      <c r="AS285" s="237"/>
      <c r="AT285" s="214"/>
      <c r="AU285" s="1138"/>
      <c r="AV285" s="1155"/>
      <c r="AW285" s="1140"/>
      <c r="AX285" s="1140"/>
      <c r="AY285" s="1140"/>
      <c r="AZ285" s="1140">
        <f t="shared" si="8"/>
        <v>0</v>
      </c>
      <c r="BA285" s="1140"/>
      <c r="BB285" s="1140"/>
      <c r="BC285" s="214"/>
      <c r="BD285" s="214"/>
      <c r="BE285" s="1131"/>
      <c r="BF285" s="1153"/>
      <c r="BG285" s="242"/>
      <c r="BH285" s="242"/>
      <c r="BI285" s="242"/>
      <c r="BJ285" s="242">
        <f t="shared" si="9"/>
        <v>0</v>
      </c>
      <c r="BK285" s="242"/>
      <c r="BL285" s="242"/>
      <c r="BM285" s="214"/>
      <c r="BN285" s="214"/>
      <c r="BO285" s="1131"/>
      <c r="BP285" s="1153"/>
      <c r="BQ285" s="242"/>
      <c r="BR285" s="242"/>
      <c r="BS285" s="242"/>
      <c r="BT285" s="242">
        <f t="shared" si="10"/>
        <v>0</v>
      </c>
      <c r="BU285" s="242"/>
      <c r="BV285" s="242"/>
      <c r="BW285" s="237"/>
      <c r="BX285" s="214"/>
      <c r="BY285" s="1131"/>
      <c r="BZ285" s="1153"/>
      <c r="CA285" s="242"/>
      <c r="CB285" s="242"/>
      <c r="CC285" s="242"/>
      <c r="CD285" s="242">
        <f t="shared" si="11"/>
        <v>0</v>
      </c>
      <c r="CE285" s="242"/>
      <c r="CF285" s="242"/>
      <c r="CG285" s="214"/>
      <c r="CH285" s="214"/>
      <c r="CI285" s="1131"/>
      <c r="CJ285" s="1153"/>
      <c r="CK285" s="242"/>
      <c r="CL285" s="242"/>
      <c r="CM285" s="242"/>
      <c r="CN285" s="242">
        <f t="shared" si="12"/>
        <v>0</v>
      </c>
      <c r="CO285" s="242"/>
      <c r="CP285" s="242"/>
      <c r="CQ285" s="214"/>
      <c r="CR285" s="214"/>
      <c r="CS285" s="1131"/>
      <c r="CT285" s="1153"/>
      <c r="CU285" s="242"/>
      <c r="CV285" s="242"/>
      <c r="CW285" s="242"/>
      <c r="CX285" s="242">
        <f t="shared" si="13"/>
        <v>0</v>
      </c>
      <c r="CY285" s="242"/>
      <c r="CZ285" s="242"/>
      <c r="DA285" s="237"/>
      <c r="DB285" s="214"/>
      <c r="DC285" s="1131"/>
      <c r="DD285" s="1153"/>
      <c r="DE285" s="242"/>
      <c r="DF285" s="242"/>
      <c r="DG285" s="242"/>
      <c r="DH285" s="242">
        <f t="shared" si="14"/>
        <v>0</v>
      </c>
      <c r="DI285" s="242"/>
      <c r="DJ285" s="242"/>
      <c r="DK285" s="214"/>
      <c r="DL285" s="214"/>
      <c r="DM285" s="1131"/>
      <c r="DN285" s="1153"/>
      <c r="DO285" s="242"/>
      <c r="DP285" s="242"/>
      <c r="DQ285" s="242"/>
      <c r="DR285" s="242">
        <f t="shared" si="15"/>
        <v>0</v>
      </c>
      <c r="DS285" s="242"/>
      <c r="DT285" s="242"/>
      <c r="DU285" s="214"/>
      <c r="DV285" s="214"/>
      <c r="DW285" s="1131"/>
      <c r="DX285" s="1153"/>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24"/>
      <c r="C286" s="1124"/>
      <c r="D286" s="1124"/>
      <c r="E286" s="1124"/>
      <c r="F286" s="1125">
        <f t="shared" si="2"/>
        <v>0</v>
      </c>
      <c r="G286" s="1126" t="str">
        <f t="shared" si="3"/>
        <v/>
      </c>
      <c r="H286" s="112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7">
        <f t="shared" si="297"/>
        <v>0</v>
      </c>
      <c r="J286" s="1128">
        <f t="shared" si="297"/>
        <v>0</v>
      </c>
      <c r="K286" s="214"/>
      <c r="L286" s="214"/>
      <c r="M286" s="214"/>
      <c r="N286" s="214"/>
      <c r="O286" s="1087"/>
      <c r="P286" s="214"/>
      <c r="Q286" s="1131"/>
      <c r="R286" s="1153"/>
      <c r="S286" s="242"/>
      <c r="T286" s="242"/>
      <c r="U286" s="242"/>
      <c r="V286" s="242">
        <f t="shared" si="5"/>
        <v>0</v>
      </c>
      <c r="W286" s="242"/>
      <c r="X286" s="242"/>
      <c r="Y286" s="214"/>
      <c r="Z286" s="214"/>
      <c r="AA286" s="1131"/>
      <c r="AB286" s="1153"/>
      <c r="AC286" s="242"/>
      <c r="AD286" s="242"/>
      <c r="AE286" s="242"/>
      <c r="AF286" s="242">
        <f t="shared" si="6"/>
        <v>0</v>
      </c>
      <c r="AG286" s="242"/>
      <c r="AH286" s="242"/>
      <c r="AI286" s="214"/>
      <c r="AJ286" s="214"/>
      <c r="AK286" s="1131"/>
      <c r="AL286" s="1153"/>
      <c r="AM286" s="242"/>
      <c r="AN286" s="242"/>
      <c r="AO286" s="242"/>
      <c r="AP286" s="242">
        <f t="shared" si="7"/>
        <v>0</v>
      </c>
      <c r="AQ286" s="242"/>
      <c r="AR286" s="242"/>
      <c r="AS286" s="237"/>
      <c r="AT286" s="214"/>
      <c r="AU286" s="1138"/>
      <c r="AV286" s="1155"/>
      <c r="AW286" s="1140"/>
      <c r="AX286" s="1140"/>
      <c r="AY286" s="1140"/>
      <c r="AZ286" s="1140">
        <f t="shared" si="8"/>
        <v>0</v>
      </c>
      <c r="BA286" s="1140"/>
      <c r="BB286" s="1140"/>
      <c r="BC286" s="214"/>
      <c r="BD286" s="214"/>
      <c r="BE286" s="1131"/>
      <c r="BF286" s="1153"/>
      <c r="BG286" s="242"/>
      <c r="BH286" s="242"/>
      <c r="BI286" s="242"/>
      <c r="BJ286" s="242">
        <f t="shared" si="9"/>
        <v>0</v>
      </c>
      <c r="BK286" s="242"/>
      <c r="BL286" s="242"/>
      <c r="BM286" s="214"/>
      <c r="BN286" s="214"/>
      <c r="BO286" s="1131"/>
      <c r="BP286" s="1153"/>
      <c r="BQ286" s="242"/>
      <c r="BR286" s="242"/>
      <c r="BS286" s="242"/>
      <c r="BT286" s="242">
        <f t="shared" si="10"/>
        <v>0</v>
      </c>
      <c r="BU286" s="242"/>
      <c r="BV286" s="242"/>
      <c r="BW286" s="237"/>
      <c r="BX286" s="214"/>
      <c r="BY286" s="1131"/>
      <c r="BZ286" s="1153"/>
      <c r="CA286" s="242"/>
      <c r="CB286" s="242"/>
      <c r="CC286" s="242"/>
      <c r="CD286" s="242">
        <f t="shared" si="11"/>
        <v>0</v>
      </c>
      <c r="CE286" s="242"/>
      <c r="CF286" s="242"/>
      <c r="CG286" s="214"/>
      <c r="CH286" s="214"/>
      <c r="CI286" s="1131"/>
      <c r="CJ286" s="1153"/>
      <c r="CK286" s="242"/>
      <c r="CL286" s="242"/>
      <c r="CM286" s="242"/>
      <c r="CN286" s="242">
        <f t="shared" si="12"/>
        <v>0</v>
      </c>
      <c r="CO286" s="242"/>
      <c r="CP286" s="242"/>
      <c r="CQ286" s="214"/>
      <c r="CR286" s="214"/>
      <c r="CS286" s="1131"/>
      <c r="CT286" s="1153"/>
      <c r="CU286" s="242"/>
      <c r="CV286" s="242"/>
      <c r="CW286" s="242"/>
      <c r="CX286" s="242">
        <f t="shared" si="13"/>
        <v>0</v>
      </c>
      <c r="CY286" s="242"/>
      <c r="CZ286" s="242"/>
      <c r="DA286" s="237"/>
      <c r="DB286" s="214"/>
      <c r="DC286" s="1131"/>
      <c r="DD286" s="1153"/>
      <c r="DE286" s="242"/>
      <c r="DF286" s="242"/>
      <c r="DG286" s="242"/>
      <c r="DH286" s="242">
        <f t="shared" si="14"/>
        <v>0</v>
      </c>
      <c r="DI286" s="242"/>
      <c r="DJ286" s="242"/>
      <c r="DK286" s="214"/>
      <c r="DL286" s="214"/>
      <c r="DM286" s="1131"/>
      <c r="DN286" s="1153"/>
      <c r="DO286" s="242"/>
      <c r="DP286" s="242"/>
      <c r="DQ286" s="242"/>
      <c r="DR286" s="242">
        <f t="shared" si="15"/>
        <v>0</v>
      </c>
      <c r="DS286" s="242"/>
      <c r="DT286" s="242"/>
      <c r="DU286" s="214"/>
      <c r="DV286" s="214"/>
      <c r="DW286" s="1131"/>
      <c r="DX286" s="1153"/>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24"/>
      <c r="C287" s="1124"/>
      <c r="D287" s="1124"/>
      <c r="E287" s="1124"/>
      <c r="F287" s="1125">
        <f t="shared" si="2"/>
        <v>0</v>
      </c>
      <c r="G287" s="1126" t="str">
        <f t="shared" si="3"/>
        <v/>
      </c>
      <c r="H287" s="112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7">
        <f t="shared" si="298"/>
        <v>0</v>
      </c>
      <c r="J287" s="1128">
        <f t="shared" si="298"/>
        <v>0</v>
      </c>
      <c r="K287" s="214"/>
      <c r="L287" s="214"/>
      <c r="M287" s="214"/>
      <c r="N287" s="214"/>
      <c r="O287" s="1087"/>
      <c r="P287" s="214"/>
      <c r="Q287" s="1131"/>
      <c r="R287" s="1153"/>
      <c r="S287" s="242"/>
      <c r="T287" s="242"/>
      <c r="U287" s="242"/>
      <c r="V287" s="242">
        <f t="shared" si="5"/>
        <v>0</v>
      </c>
      <c r="W287" s="242"/>
      <c r="X287" s="242"/>
      <c r="Y287" s="214"/>
      <c r="Z287" s="214"/>
      <c r="AA287" s="1131"/>
      <c r="AB287" s="1153"/>
      <c r="AC287" s="242"/>
      <c r="AD287" s="242"/>
      <c r="AE287" s="242"/>
      <c r="AF287" s="242">
        <f t="shared" si="6"/>
        <v>0</v>
      </c>
      <c r="AG287" s="242"/>
      <c r="AH287" s="242"/>
      <c r="AI287" s="214"/>
      <c r="AJ287" s="214"/>
      <c r="AK287" s="1131"/>
      <c r="AL287" s="1153"/>
      <c r="AM287" s="242"/>
      <c r="AN287" s="242"/>
      <c r="AO287" s="242"/>
      <c r="AP287" s="242">
        <f t="shared" si="7"/>
        <v>0</v>
      </c>
      <c r="AQ287" s="242"/>
      <c r="AR287" s="242"/>
      <c r="AS287" s="237"/>
      <c r="AT287" s="214"/>
      <c r="AU287" s="1138"/>
      <c r="AV287" s="1155"/>
      <c r="AW287" s="1140"/>
      <c r="AX287" s="1140"/>
      <c r="AY287" s="1140"/>
      <c r="AZ287" s="1140">
        <f t="shared" si="8"/>
        <v>0</v>
      </c>
      <c r="BA287" s="1140"/>
      <c r="BB287" s="1140"/>
      <c r="BC287" s="214"/>
      <c r="BD287" s="214"/>
      <c r="BE287" s="1131"/>
      <c r="BF287" s="1153"/>
      <c r="BG287" s="242"/>
      <c r="BH287" s="242"/>
      <c r="BI287" s="242"/>
      <c r="BJ287" s="242">
        <f t="shared" si="9"/>
        <v>0</v>
      </c>
      <c r="BK287" s="242"/>
      <c r="BL287" s="242"/>
      <c r="BM287" s="214"/>
      <c r="BN287" s="214"/>
      <c r="BO287" s="1131"/>
      <c r="BP287" s="1153"/>
      <c r="BQ287" s="242"/>
      <c r="BR287" s="242"/>
      <c r="BS287" s="242"/>
      <c r="BT287" s="242">
        <f t="shared" si="10"/>
        <v>0</v>
      </c>
      <c r="BU287" s="242"/>
      <c r="BV287" s="242"/>
      <c r="BW287" s="237"/>
      <c r="BX287" s="214"/>
      <c r="BY287" s="1131"/>
      <c r="BZ287" s="1153"/>
      <c r="CA287" s="242"/>
      <c r="CB287" s="242"/>
      <c r="CC287" s="242"/>
      <c r="CD287" s="242">
        <f t="shared" si="11"/>
        <v>0</v>
      </c>
      <c r="CE287" s="242"/>
      <c r="CF287" s="242"/>
      <c r="CG287" s="214"/>
      <c r="CH287" s="214"/>
      <c r="CI287" s="1131"/>
      <c r="CJ287" s="1153"/>
      <c r="CK287" s="242"/>
      <c r="CL287" s="242"/>
      <c r="CM287" s="242"/>
      <c r="CN287" s="242">
        <f t="shared" si="12"/>
        <v>0</v>
      </c>
      <c r="CO287" s="242"/>
      <c r="CP287" s="242"/>
      <c r="CQ287" s="214"/>
      <c r="CR287" s="214"/>
      <c r="CS287" s="1131"/>
      <c r="CT287" s="1153"/>
      <c r="CU287" s="242"/>
      <c r="CV287" s="242"/>
      <c r="CW287" s="242"/>
      <c r="CX287" s="242">
        <f t="shared" si="13"/>
        <v>0</v>
      </c>
      <c r="CY287" s="242"/>
      <c r="CZ287" s="242"/>
      <c r="DA287" s="237"/>
      <c r="DB287" s="214"/>
      <c r="DC287" s="1131"/>
      <c r="DD287" s="1153"/>
      <c r="DE287" s="242"/>
      <c r="DF287" s="242"/>
      <c r="DG287" s="242"/>
      <c r="DH287" s="242">
        <f t="shared" si="14"/>
        <v>0</v>
      </c>
      <c r="DI287" s="242"/>
      <c r="DJ287" s="242"/>
      <c r="DK287" s="214"/>
      <c r="DL287" s="214"/>
      <c r="DM287" s="1131"/>
      <c r="DN287" s="1153"/>
      <c r="DO287" s="242"/>
      <c r="DP287" s="242"/>
      <c r="DQ287" s="242"/>
      <c r="DR287" s="242">
        <f t="shared" si="15"/>
        <v>0</v>
      </c>
      <c r="DS287" s="242"/>
      <c r="DT287" s="242"/>
      <c r="DU287" s="214"/>
      <c r="DV287" s="214"/>
      <c r="DW287" s="1131"/>
      <c r="DX287" s="1153"/>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24"/>
      <c r="C288" s="1124"/>
      <c r="D288" s="1124"/>
      <c r="E288" s="1124"/>
      <c r="F288" s="1125">
        <f t="shared" si="2"/>
        <v>0</v>
      </c>
      <c r="G288" s="1126" t="str">
        <f t="shared" si="3"/>
        <v/>
      </c>
      <c r="H288" s="112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7">
        <f t="shared" si="299"/>
        <v>0</v>
      </c>
      <c r="J288" s="1128">
        <f t="shared" si="299"/>
        <v>0</v>
      </c>
      <c r="K288" s="214"/>
      <c r="L288" s="214"/>
      <c r="M288" s="214"/>
      <c r="N288" s="214"/>
      <c r="O288" s="1087"/>
      <c r="P288" s="214"/>
      <c r="Q288" s="1131"/>
      <c r="R288" s="1153"/>
      <c r="S288" s="242"/>
      <c r="T288" s="242"/>
      <c r="U288" s="242"/>
      <c r="V288" s="242">
        <f t="shared" si="5"/>
        <v>0</v>
      </c>
      <c r="W288" s="242"/>
      <c r="X288" s="242"/>
      <c r="Y288" s="214"/>
      <c r="Z288" s="214"/>
      <c r="AA288" s="1131"/>
      <c r="AB288" s="1153"/>
      <c r="AC288" s="242"/>
      <c r="AD288" s="242"/>
      <c r="AE288" s="242"/>
      <c r="AF288" s="242">
        <f t="shared" si="6"/>
        <v>0</v>
      </c>
      <c r="AG288" s="242"/>
      <c r="AH288" s="242"/>
      <c r="AI288" s="214"/>
      <c r="AJ288" s="214"/>
      <c r="AK288" s="1131"/>
      <c r="AL288" s="1153"/>
      <c r="AM288" s="242"/>
      <c r="AN288" s="242"/>
      <c r="AO288" s="242"/>
      <c r="AP288" s="242">
        <f t="shared" si="7"/>
        <v>0</v>
      </c>
      <c r="AQ288" s="242"/>
      <c r="AR288" s="242"/>
      <c r="AS288" s="237"/>
      <c r="AT288" s="214"/>
      <c r="AU288" s="1138"/>
      <c r="AV288" s="1155"/>
      <c r="AW288" s="1140"/>
      <c r="AX288" s="1140"/>
      <c r="AY288" s="1140"/>
      <c r="AZ288" s="1140">
        <f t="shared" si="8"/>
        <v>0</v>
      </c>
      <c r="BA288" s="1140"/>
      <c r="BB288" s="1140"/>
      <c r="BC288" s="214"/>
      <c r="BD288" s="214"/>
      <c r="BE288" s="1131"/>
      <c r="BF288" s="1153"/>
      <c r="BG288" s="242"/>
      <c r="BH288" s="242"/>
      <c r="BI288" s="242"/>
      <c r="BJ288" s="242">
        <f t="shared" si="9"/>
        <v>0</v>
      </c>
      <c r="BK288" s="242"/>
      <c r="BL288" s="242"/>
      <c r="BM288" s="214"/>
      <c r="BN288" s="214"/>
      <c r="BO288" s="1131"/>
      <c r="BP288" s="1153"/>
      <c r="BQ288" s="242"/>
      <c r="BR288" s="242"/>
      <c r="BS288" s="242"/>
      <c r="BT288" s="242">
        <f t="shared" si="10"/>
        <v>0</v>
      </c>
      <c r="BU288" s="242"/>
      <c r="BV288" s="242"/>
      <c r="BW288" s="237"/>
      <c r="BX288" s="214"/>
      <c r="BY288" s="1131"/>
      <c r="BZ288" s="1153"/>
      <c r="CA288" s="242"/>
      <c r="CB288" s="242"/>
      <c r="CC288" s="242"/>
      <c r="CD288" s="242">
        <f t="shared" si="11"/>
        <v>0</v>
      </c>
      <c r="CE288" s="242"/>
      <c r="CF288" s="242"/>
      <c r="CG288" s="214"/>
      <c r="CH288" s="214"/>
      <c r="CI288" s="1131"/>
      <c r="CJ288" s="1153"/>
      <c r="CK288" s="242"/>
      <c r="CL288" s="242"/>
      <c r="CM288" s="242"/>
      <c r="CN288" s="242">
        <f t="shared" si="12"/>
        <v>0</v>
      </c>
      <c r="CO288" s="242"/>
      <c r="CP288" s="242"/>
      <c r="CQ288" s="214"/>
      <c r="CR288" s="214"/>
      <c r="CS288" s="1131"/>
      <c r="CT288" s="1153"/>
      <c r="CU288" s="242"/>
      <c r="CV288" s="242"/>
      <c r="CW288" s="242"/>
      <c r="CX288" s="242">
        <f t="shared" si="13"/>
        <v>0</v>
      </c>
      <c r="CY288" s="242"/>
      <c r="CZ288" s="242"/>
      <c r="DA288" s="237"/>
      <c r="DB288" s="214"/>
      <c r="DC288" s="1131"/>
      <c r="DD288" s="1153"/>
      <c r="DE288" s="242"/>
      <c r="DF288" s="242"/>
      <c r="DG288" s="242"/>
      <c r="DH288" s="242">
        <f t="shared" si="14"/>
        <v>0</v>
      </c>
      <c r="DI288" s="242"/>
      <c r="DJ288" s="242"/>
      <c r="DK288" s="214"/>
      <c r="DL288" s="214"/>
      <c r="DM288" s="1131"/>
      <c r="DN288" s="1153"/>
      <c r="DO288" s="242"/>
      <c r="DP288" s="242"/>
      <c r="DQ288" s="242"/>
      <c r="DR288" s="242">
        <f t="shared" si="15"/>
        <v>0</v>
      </c>
      <c r="DS288" s="242"/>
      <c r="DT288" s="242"/>
      <c r="DU288" s="214"/>
      <c r="DV288" s="214"/>
      <c r="DW288" s="1131"/>
      <c r="DX288" s="1153"/>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24"/>
      <c r="C289" s="1124"/>
      <c r="D289" s="1124"/>
      <c r="E289" s="1124"/>
      <c r="F289" s="1125">
        <f t="shared" si="2"/>
        <v>0</v>
      </c>
      <c r="G289" s="1126" t="str">
        <f t="shared" si="3"/>
        <v/>
      </c>
      <c r="H289" s="112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7">
        <f t="shared" si="300"/>
        <v>0</v>
      </c>
      <c r="J289" s="1128">
        <f t="shared" si="300"/>
        <v>0</v>
      </c>
      <c r="K289" s="214"/>
      <c r="L289" s="214"/>
      <c r="M289" s="214"/>
      <c r="N289" s="214"/>
      <c r="O289" s="1087"/>
      <c r="P289" s="214"/>
      <c r="Q289" s="1131"/>
      <c r="R289" s="1153"/>
      <c r="S289" s="242"/>
      <c r="T289" s="242"/>
      <c r="U289" s="242"/>
      <c r="V289" s="242">
        <f t="shared" si="5"/>
        <v>0</v>
      </c>
      <c r="W289" s="242"/>
      <c r="X289" s="242"/>
      <c r="Y289" s="214"/>
      <c r="Z289" s="214"/>
      <c r="AA289" s="1131"/>
      <c r="AB289" s="1153"/>
      <c r="AC289" s="242"/>
      <c r="AD289" s="242"/>
      <c r="AE289" s="242"/>
      <c r="AF289" s="242">
        <f t="shared" si="6"/>
        <v>0</v>
      </c>
      <c r="AG289" s="242"/>
      <c r="AH289" s="242"/>
      <c r="AI289" s="214"/>
      <c r="AJ289" s="214"/>
      <c r="AK289" s="1131"/>
      <c r="AL289" s="1153"/>
      <c r="AM289" s="242"/>
      <c r="AN289" s="242"/>
      <c r="AO289" s="242"/>
      <c r="AP289" s="242">
        <f t="shared" si="7"/>
        <v>0</v>
      </c>
      <c r="AQ289" s="242"/>
      <c r="AR289" s="242"/>
      <c r="AS289" s="237"/>
      <c r="AT289" s="214"/>
      <c r="AU289" s="1138"/>
      <c r="AV289" s="1155"/>
      <c r="AW289" s="1140"/>
      <c r="AX289" s="1140"/>
      <c r="AY289" s="1140"/>
      <c r="AZ289" s="1140">
        <f t="shared" si="8"/>
        <v>0</v>
      </c>
      <c r="BA289" s="1140"/>
      <c r="BB289" s="1140"/>
      <c r="BC289" s="214"/>
      <c r="BD289" s="214"/>
      <c r="BE289" s="1131"/>
      <c r="BF289" s="1153"/>
      <c r="BG289" s="242"/>
      <c r="BH289" s="242"/>
      <c r="BI289" s="242"/>
      <c r="BJ289" s="242">
        <f t="shared" si="9"/>
        <v>0</v>
      </c>
      <c r="BK289" s="242"/>
      <c r="BL289" s="242"/>
      <c r="BM289" s="214"/>
      <c r="BN289" s="214"/>
      <c r="BO289" s="1131"/>
      <c r="BP289" s="1153"/>
      <c r="BQ289" s="242"/>
      <c r="BR289" s="242"/>
      <c r="BS289" s="242"/>
      <c r="BT289" s="242">
        <f t="shared" si="10"/>
        <v>0</v>
      </c>
      <c r="BU289" s="242"/>
      <c r="BV289" s="242"/>
      <c r="BW289" s="237"/>
      <c r="BX289" s="214"/>
      <c r="BY289" s="1131"/>
      <c r="BZ289" s="1153"/>
      <c r="CA289" s="242"/>
      <c r="CB289" s="242"/>
      <c r="CC289" s="242"/>
      <c r="CD289" s="242">
        <f t="shared" si="11"/>
        <v>0</v>
      </c>
      <c r="CE289" s="242"/>
      <c r="CF289" s="242"/>
      <c r="CG289" s="214"/>
      <c r="CH289" s="214"/>
      <c r="CI289" s="1131"/>
      <c r="CJ289" s="1153"/>
      <c r="CK289" s="242"/>
      <c r="CL289" s="242"/>
      <c r="CM289" s="242"/>
      <c r="CN289" s="242">
        <f t="shared" si="12"/>
        <v>0</v>
      </c>
      <c r="CO289" s="242"/>
      <c r="CP289" s="242"/>
      <c r="CQ289" s="214"/>
      <c r="CR289" s="214"/>
      <c r="CS289" s="1131"/>
      <c r="CT289" s="1153"/>
      <c r="CU289" s="242"/>
      <c r="CV289" s="242"/>
      <c r="CW289" s="242"/>
      <c r="CX289" s="242">
        <f t="shared" si="13"/>
        <v>0</v>
      </c>
      <c r="CY289" s="242"/>
      <c r="CZ289" s="242"/>
      <c r="DA289" s="237"/>
      <c r="DB289" s="214"/>
      <c r="DC289" s="1131"/>
      <c r="DD289" s="1153"/>
      <c r="DE289" s="242"/>
      <c r="DF289" s="242"/>
      <c r="DG289" s="242"/>
      <c r="DH289" s="242">
        <f t="shared" si="14"/>
        <v>0</v>
      </c>
      <c r="DI289" s="242"/>
      <c r="DJ289" s="242"/>
      <c r="DK289" s="214"/>
      <c r="DL289" s="214"/>
      <c r="DM289" s="1131"/>
      <c r="DN289" s="1153"/>
      <c r="DO289" s="242"/>
      <c r="DP289" s="242"/>
      <c r="DQ289" s="242"/>
      <c r="DR289" s="242">
        <f t="shared" si="15"/>
        <v>0</v>
      </c>
      <c r="DS289" s="242"/>
      <c r="DT289" s="242"/>
      <c r="DU289" s="214"/>
      <c r="DV289" s="214"/>
      <c r="DW289" s="1131"/>
      <c r="DX289" s="1153"/>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24"/>
      <c r="C290" s="1124"/>
      <c r="D290" s="1124"/>
      <c r="E290" s="1124"/>
      <c r="F290" s="1125">
        <f t="shared" si="2"/>
        <v>0</v>
      </c>
      <c r="G290" s="1126" t="str">
        <f t="shared" si="3"/>
        <v/>
      </c>
      <c r="H290" s="112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7">
        <f t="shared" si="301"/>
        <v>0</v>
      </c>
      <c r="J290" s="1128">
        <f t="shared" si="301"/>
        <v>0</v>
      </c>
      <c r="K290" s="214"/>
      <c r="L290" s="214"/>
      <c r="M290" s="214"/>
      <c r="N290" s="214"/>
      <c r="O290" s="1087"/>
      <c r="P290" s="214"/>
      <c r="Q290" s="1131"/>
      <c r="R290" s="1153"/>
      <c r="S290" s="242"/>
      <c r="T290" s="242"/>
      <c r="U290" s="242"/>
      <c r="V290" s="242">
        <f t="shared" si="5"/>
        <v>0</v>
      </c>
      <c r="W290" s="242"/>
      <c r="X290" s="242"/>
      <c r="Y290" s="214"/>
      <c r="Z290" s="214"/>
      <c r="AA290" s="1131"/>
      <c r="AB290" s="1153"/>
      <c r="AC290" s="242"/>
      <c r="AD290" s="242"/>
      <c r="AE290" s="242"/>
      <c r="AF290" s="242">
        <f t="shared" si="6"/>
        <v>0</v>
      </c>
      <c r="AG290" s="242"/>
      <c r="AH290" s="242"/>
      <c r="AI290" s="214"/>
      <c r="AJ290" s="214"/>
      <c r="AK290" s="1131"/>
      <c r="AL290" s="1153"/>
      <c r="AM290" s="242"/>
      <c r="AN290" s="242"/>
      <c r="AO290" s="242"/>
      <c r="AP290" s="242">
        <f t="shared" si="7"/>
        <v>0</v>
      </c>
      <c r="AQ290" s="242"/>
      <c r="AR290" s="242"/>
      <c r="AS290" s="237"/>
      <c r="AT290" s="214"/>
      <c r="AU290" s="1138"/>
      <c r="AV290" s="1155"/>
      <c r="AW290" s="1140"/>
      <c r="AX290" s="1140"/>
      <c r="AY290" s="1140"/>
      <c r="AZ290" s="1140">
        <f t="shared" si="8"/>
        <v>0</v>
      </c>
      <c r="BA290" s="1140"/>
      <c r="BB290" s="1140"/>
      <c r="BC290" s="214"/>
      <c r="BD290" s="214"/>
      <c r="BE290" s="1131"/>
      <c r="BF290" s="1153"/>
      <c r="BG290" s="242"/>
      <c r="BH290" s="242"/>
      <c r="BI290" s="242"/>
      <c r="BJ290" s="242">
        <f t="shared" si="9"/>
        <v>0</v>
      </c>
      <c r="BK290" s="242"/>
      <c r="BL290" s="242"/>
      <c r="BM290" s="214"/>
      <c r="BN290" s="214"/>
      <c r="BO290" s="1131"/>
      <c r="BP290" s="1153"/>
      <c r="BQ290" s="242"/>
      <c r="BR290" s="242"/>
      <c r="BS290" s="242"/>
      <c r="BT290" s="242">
        <f t="shared" si="10"/>
        <v>0</v>
      </c>
      <c r="BU290" s="242"/>
      <c r="BV290" s="242"/>
      <c r="BW290" s="237"/>
      <c r="BX290" s="214"/>
      <c r="BY290" s="1131"/>
      <c r="BZ290" s="1153"/>
      <c r="CA290" s="242"/>
      <c r="CB290" s="242"/>
      <c r="CC290" s="242"/>
      <c r="CD290" s="242">
        <f t="shared" si="11"/>
        <v>0</v>
      </c>
      <c r="CE290" s="242"/>
      <c r="CF290" s="242"/>
      <c r="CG290" s="214"/>
      <c r="CH290" s="214"/>
      <c r="CI290" s="1131"/>
      <c r="CJ290" s="1153"/>
      <c r="CK290" s="242"/>
      <c r="CL290" s="242"/>
      <c r="CM290" s="242"/>
      <c r="CN290" s="242">
        <f t="shared" si="12"/>
        <v>0</v>
      </c>
      <c r="CO290" s="242"/>
      <c r="CP290" s="242"/>
      <c r="CQ290" s="214"/>
      <c r="CR290" s="214"/>
      <c r="CS290" s="1131"/>
      <c r="CT290" s="1153"/>
      <c r="CU290" s="242"/>
      <c r="CV290" s="242"/>
      <c r="CW290" s="242"/>
      <c r="CX290" s="242">
        <f t="shared" si="13"/>
        <v>0</v>
      </c>
      <c r="CY290" s="242"/>
      <c r="CZ290" s="242"/>
      <c r="DA290" s="237"/>
      <c r="DB290" s="214"/>
      <c r="DC290" s="1131"/>
      <c r="DD290" s="1153"/>
      <c r="DE290" s="242"/>
      <c r="DF290" s="242"/>
      <c r="DG290" s="242"/>
      <c r="DH290" s="242">
        <f t="shared" si="14"/>
        <v>0</v>
      </c>
      <c r="DI290" s="242"/>
      <c r="DJ290" s="242"/>
      <c r="DK290" s="214"/>
      <c r="DL290" s="214"/>
      <c r="DM290" s="1131"/>
      <c r="DN290" s="1153"/>
      <c r="DO290" s="242"/>
      <c r="DP290" s="242"/>
      <c r="DQ290" s="242"/>
      <c r="DR290" s="242">
        <f t="shared" si="15"/>
        <v>0</v>
      </c>
      <c r="DS290" s="242"/>
      <c r="DT290" s="242"/>
      <c r="DU290" s="214"/>
      <c r="DV290" s="214"/>
      <c r="DW290" s="1131"/>
      <c r="DX290" s="1153"/>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24"/>
      <c r="C291" s="1124"/>
      <c r="D291" s="1124"/>
      <c r="E291" s="1124"/>
      <c r="F291" s="1125">
        <f t="shared" si="2"/>
        <v>0</v>
      </c>
      <c r="G291" s="1126" t="str">
        <f t="shared" si="3"/>
        <v/>
      </c>
      <c r="H291" s="112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7">
        <f t="shared" si="302"/>
        <v>0</v>
      </c>
      <c r="J291" s="1128">
        <f t="shared" si="302"/>
        <v>0</v>
      </c>
      <c r="K291" s="214"/>
      <c r="L291" s="214"/>
      <c r="M291" s="214"/>
      <c r="N291" s="214"/>
      <c r="O291" s="1087"/>
      <c r="P291" s="214"/>
      <c r="Q291" s="1131"/>
      <c r="R291" s="1153"/>
      <c r="S291" s="242"/>
      <c r="T291" s="242"/>
      <c r="U291" s="242"/>
      <c r="V291" s="242">
        <f t="shared" si="5"/>
        <v>0</v>
      </c>
      <c r="W291" s="242"/>
      <c r="X291" s="242"/>
      <c r="Y291" s="214"/>
      <c r="Z291" s="214"/>
      <c r="AA291" s="1131"/>
      <c r="AB291" s="1153"/>
      <c r="AC291" s="242"/>
      <c r="AD291" s="242"/>
      <c r="AE291" s="242"/>
      <c r="AF291" s="242">
        <f t="shared" si="6"/>
        <v>0</v>
      </c>
      <c r="AG291" s="242"/>
      <c r="AH291" s="242"/>
      <c r="AI291" s="214"/>
      <c r="AJ291" s="214"/>
      <c r="AK291" s="1131"/>
      <c r="AL291" s="1153"/>
      <c r="AM291" s="242"/>
      <c r="AN291" s="242"/>
      <c r="AO291" s="242"/>
      <c r="AP291" s="242">
        <f t="shared" si="7"/>
        <v>0</v>
      </c>
      <c r="AQ291" s="242"/>
      <c r="AR291" s="242"/>
      <c r="AS291" s="237"/>
      <c r="AT291" s="214"/>
      <c r="AU291" s="1138"/>
      <c r="AV291" s="1155"/>
      <c r="AW291" s="1140"/>
      <c r="AX291" s="1140"/>
      <c r="AY291" s="1140"/>
      <c r="AZ291" s="1140">
        <f t="shared" si="8"/>
        <v>0</v>
      </c>
      <c r="BA291" s="1140"/>
      <c r="BB291" s="1140"/>
      <c r="BC291" s="214"/>
      <c r="BD291" s="214"/>
      <c r="BE291" s="1131"/>
      <c r="BF291" s="1153"/>
      <c r="BG291" s="242"/>
      <c r="BH291" s="242"/>
      <c r="BI291" s="242"/>
      <c r="BJ291" s="242">
        <f t="shared" si="9"/>
        <v>0</v>
      </c>
      <c r="BK291" s="242"/>
      <c r="BL291" s="242"/>
      <c r="BM291" s="214"/>
      <c r="BN291" s="214"/>
      <c r="BO291" s="1131"/>
      <c r="BP291" s="1153"/>
      <c r="BQ291" s="242"/>
      <c r="BR291" s="242"/>
      <c r="BS291" s="242"/>
      <c r="BT291" s="242">
        <f t="shared" si="10"/>
        <v>0</v>
      </c>
      <c r="BU291" s="242"/>
      <c r="BV291" s="242"/>
      <c r="BW291" s="237"/>
      <c r="BX291" s="214"/>
      <c r="BY291" s="1131"/>
      <c r="BZ291" s="1153"/>
      <c r="CA291" s="242"/>
      <c r="CB291" s="242"/>
      <c r="CC291" s="242"/>
      <c r="CD291" s="242">
        <f t="shared" si="11"/>
        <v>0</v>
      </c>
      <c r="CE291" s="242"/>
      <c r="CF291" s="242"/>
      <c r="CG291" s="214"/>
      <c r="CH291" s="214"/>
      <c r="CI291" s="1131"/>
      <c r="CJ291" s="1153"/>
      <c r="CK291" s="242"/>
      <c r="CL291" s="242"/>
      <c r="CM291" s="242"/>
      <c r="CN291" s="242">
        <f t="shared" si="12"/>
        <v>0</v>
      </c>
      <c r="CO291" s="242"/>
      <c r="CP291" s="242"/>
      <c r="CQ291" s="214"/>
      <c r="CR291" s="214"/>
      <c r="CS291" s="1131"/>
      <c r="CT291" s="1153"/>
      <c r="CU291" s="242"/>
      <c r="CV291" s="242"/>
      <c r="CW291" s="242"/>
      <c r="CX291" s="242">
        <f t="shared" si="13"/>
        <v>0</v>
      </c>
      <c r="CY291" s="242"/>
      <c r="CZ291" s="242"/>
      <c r="DA291" s="237"/>
      <c r="DB291" s="214"/>
      <c r="DC291" s="1131"/>
      <c r="DD291" s="1153"/>
      <c r="DE291" s="242"/>
      <c r="DF291" s="242"/>
      <c r="DG291" s="242"/>
      <c r="DH291" s="242">
        <f t="shared" si="14"/>
        <v>0</v>
      </c>
      <c r="DI291" s="242"/>
      <c r="DJ291" s="242"/>
      <c r="DK291" s="214"/>
      <c r="DL291" s="214"/>
      <c r="DM291" s="1131"/>
      <c r="DN291" s="1153"/>
      <c r="DO291" s="242"/>
      <c r="DP291" s="242"/>
      <c r="DQ291" s="242"/>
      <c r="DR291" s="242">
        <f t="shared" si="15"/>
        <v>0</v>
      </c>
      <c r="DS291" s="242"/>
      <c r="DT291" s="242"/>
      <c r="DU291" s="214"/>
      <c r="DV291" s="214"/>
      <c r="DW291" s="1131"/>
      <c r="DX291" s="1153"/>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24"/>
      <c r="C292" s="1124"/>
      <c r="D292" s="1124"/>
      <c r="E292" s="1124"/>
      <c r="F292" s="1125">
        <f t="shared" si="2"/>
        <v>0</v>
      </c>
      <c r="G292" s="1126" t="str">
        <f t="shared" si="3"/>
        <v/>
      </c>
      <c r="H292" s="112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7">
        <f t="shared" si="303"/>
        <v>0</v>
      </c>
      <c r="J292" s="1128">
        <f t="shared" si="303"/>
        <v>0</v>
      </c>
      <c r="K292" s="214"/>
      <c r="L292" s="214"/>
      <c r="M292" s="214"/>
      <c r="N292" s="214"/>
      <c r="O292" s="1087"/>
      <c r="P292" s="214"/>
      <c r="Q292" s="1131"/>
      <c r="R292" s="1153"/>
      <c r="S292" s="242"/>
      <c r="T292" s="242"/>
      <c r="U292" s="242"/>
      <c r="V292" s="242">
        <f t="shared" si="5"/>
        <v>0</v>
      </c>
      <c r="W292" s="242"/>
      <c r="X292" s="242"/>
      <c r="Y292" s="214"/>
      <c r="Z292" s="214"/>
      <c r="AA292" s="1131"/>
      <c r="AB292" s="1153"/>
      <c r="AC292" s="242"/>
      <c r="AD292" s="242"/>
      <c r="AE292" s="242"/>
      <c r="AF292" s="242">
        <f t="shared" si="6"/>
        <v>0</v>
      </c>
      <c r="AG292" s="242"/>
      <c r="AH292" s="242"/>
      <c r="AI292" s="214"/>
      <c r="AJ292" s="214"/>
      <c r="AK292" s="1131"/>
      <c r="AL292" s="1153"/>
      <c r="AM292" s="242"/>
      <c r="AN292" s="242"/>
      <c r="AO292" s="242"/>
      <c r="AP292" s="242">
        <f t="shared" si="7"/>
        <v>0</v>
      </c>
      <c r="AQ292" s="242"/>
      <c r="AR292" s="242"/>
      <c r="AS292" s="237"/>
      <c r="AT292" s="214"/>
      <c r="AU292" s="1138"/>
      <c r="AV292" s="1155"/>
      <c r="AW292" s="1140"/>
      <c r="AX292" s="1140"/>
      <c r="AY292" s="1140"/>
      <c r="AZ292" s="1140">
        <f t="shared" si="8"/>
        <v>0</v>
      </c>
      <c r="BA292" s="1140"/>
      <c r="BB292" s="1140"/>
      <c r="BC292" s="214"/>
      <c r="BD292" s="214"/>
      <c r="BE292" s="1131"/>
      <c r="BF292" s="1153"/>
      <c r="BG292" s="242"/>
      <c r="BH292" s="242"/>
      <c r="BI292" s="242"/>
      <c r="BJ292" s="242">
        <f t="shared" si="9"/>
        <v>0</v>
      </c>
      <c r="BK292" s="242"/>
      <c r="BL292" s="242"/>
      <c r="BM292" s="214"/>
      <c r="BN292" s="214"/>
      <c r="BO292" s="1131"/>
      <c r="BP292" s="1153"/>
      <c r="BQ292" s="242"/>
      <c r="BR292" s="242"/>
      <c r="BS292" s="242"/>
      <c r="BT292" s="242">
        <f t="shared" si="10"/>
        <v>0</v>
      </c>
      <c r="BU292" s="242"/>
      <c r="BV292" s="242"/>
      <c r="BW292" s="237"/>
      <c r="BX292" s="214"/>
      <c r="BY292" s="1131"/>
      <c r="BZ292" s="1153"/>
      <c r="CA292" s="242"/>
      <c r="CB292" s="242"/>
      <c r="CC292" s="242"/>
      <c r="CD292" s="242">
        <f t="shared" si="11"/>
        <v>0</v>
      </c>
      <c r="CE292" s="242"/>
      <c r="CF292" s="242"/>
      <c r="CG292" s="214"/>
      <c r="CH292" s="214"/>
      <c r="CI292" s="1131"/>
      <c r="CJ292" s="1153"/>
      <c r="CK292" s="242"/>
      <c r="CL292" s="242"/>
      <c r="CM292" s="242"/>
      <c r="CN292" s="242">
        <f t="shared" si="12"/>
        <v>0</v>
      </c>
      <c r="CO292" s="242"/>
      <c r="CP292" s="242"/>
      <c r="CQ292" s="214"/>
      <c r="CR292" s="214"/>
      <c r="CS292" s="1131"/>
      <c r="CT292" s="1153"/>
      <c r="CU292" s="242"/>
      <c r="CV292" s="242"/>
      <c r="CW292" s="242"/>
      <c r="CX292" s="242">
        <f t="shared" si="13"/>
        <v>0</v>
      </c>
      <c r="CY292" s="242"/>
      <c r="CZ292" s="242"/>
      <c r="DA292" s="237"/>
      <c r="DB292" s="214"/>
      <c r="DC292" s="1131"/>
      <c r="DD292" s="1153"/>
      <c r="DE292" s="242"/>
      <c r="DF292" s="242"/>
      <c r="DG292" s="242"/>
      <c r="DH292" s="242">
        <f t="shared" si="14"/>
        <v>0</v>
      </c>
      <c r="DI292" s="242"/>
      <c r="DJ292" s="242"/>
      <c r="DK292" s="214"/>
      <c r="DL292" s="214"/>
      <c r="DM292" s="1131"/>
      <c r="DN292" s="1153"/>
      <c r="DO292" s="242"/>
      <c r="DP292" s="242"/>
      <c r="DQ292" s="242"/>
      <c r="DR292" s="242">
        <f t="shared" si="15"/>
        <v>0</v>
      </c>
      <c r="DS292" s="242"/>
      <c r="DT292" s="242"/>
      <c r="DU292" s="214"/>
      <c r="DV292" s="214"/>
      <c r="DW292" s="1131"/>
      <c r="DX292" s="1153"/>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24"/>
      <c r="C293" s="1124"/>
      <c r="D293" s="1124"/>
      <c r="E293" s="1124"/>
      <c r="F293" s="1125">
        <f t="shared" si="2"/>
        <v>0</v>
      </c>
      <c r="G293" s="1126" t="str">
        <f t="shared" si="3"/>
        <v/>
      </c>
      <c r="H293" s="112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7">
        <f t="shared" si="304"/>
        <v>0</v>
      </c>
      <c r="J293" s="1128">
        <f t="shared" si="304"/>
        <v>0</v>
      </c>
      <c r="K293" s="214"/>
      <c r="L293" s="214"/>
      <c r="M293" s="214"/>
      <c r="N293" s="214"/>
      <c r="O293" s="1087"/>
      <c r="P293" s="214"/>
      <c r="Q293" s="1131"/>
      <c r="R293" s="1153"/>
      <c r="S293" s="242"/>
      <c r="T293" s="242"/>
      <c r="U293" s="242"/>
      <c r="V293" s="242">
        <f t="shared" si="5"/>
        <v>0</v>
      </c>
      <c r="W293" s="242"/>
      <c r="X293" s="242"/>
      <c r="Y293" s="214"/>
      <c r="Z293" s="214"/>
      <c r="AA293" s="1131"/>
      <c r="AB293" s="1153"/>
      <c r="AC293" s="242"/>
      <c r="AD293" s="242"/>
      <c r="AE293" s="242"/>
      <c r="AF293" s="242">
        <f t="shared" si="6"/>
        <v>0</v>
      </c>
      <c r="AG293" s="242"/>
      <c r="AH293" s="242"/>
      <c r="AI293" s="214"/>
      <c r="AJ293" s="214"/>
      <c r="AK293" s="1131"/>
      <c r="AL293" s="1153"/>
      <c r="AM293" s="242"/>
      <c r="AN293" s="242"/>
      <c r="AO293" s="242"/>
      <c r="AP293" s="242">
        <f t="shared" si="7"/>
        <v>0</v>
      </c>
      <c r="AQ293" s="242"/>
      <c r="AR293" s="242"/>
      <c r="AS293" s="237"/>
      <c r="AT293" s="214"/>
      <c r="AU293" s="1138"/>
      <c r="AV293" s="1155"/>
      <c r="AW293" s="1140"/>
      <c r="AX293" s="1140"/>
      <c r="AY293" s="1140"/>
      <c r="AZ293" s="1140">
        <f t="shared" si="8"/>
        <v>0</v>
      </c>
      <c r="BA293" s="1140"/>
      <c r="BB293" s="1140"/>
      <c r="BC293" s="214"/>
      <c r="BD293" s="214"/>
      <c r="BE293" s="1131"/>
      <c r="BF293" s="1153"/>
      <c r="BG293" s="242"/>
      <c r="BH293" s="242"/>
      <c r="BI293" s="242"/>
      <c r="BJ293" s="242">
        <f t="shared" si="9"/>
        <v>0</v>
      </c>
      <c r="BK293" s="242"/>
      <c r="BL293" s="242"/>
      <c r="BM293" s="214"/>
      <c r="BN293" s="214"/>
      <c r="BO293" s="1131"/>
      <c r="BP293" s="1153"/>
      <c r="BQ293" s="242"/>
      <c r="BR293" s="242"/>
      <c r="BS293" s="242"/>
      <c r="BT293" s="242">
        <f t="shared" si="10"/>
        <v>0</v>
      </c>
      <c r="BU293" s="242"/>
      <c r="BV293" s="242"/>
      <c r="BW293" s="237"/>
      <c r="BX293" s="214"/>
      <c r="BY293" s="1131"/>
      <c r="BZ293" s="1153"/>
      <c r="CA293" s="242"/>
      <c r="CB293" s="242"/>
      <c r="CC293" s="242"/>
      <c r="CD293" s="242">
        <f t="shared" si="11"/>
        <v>0</v>
      </c>
      <c r="CE293" s="242"/>
      <c r="CF293" s="242"/>
      <c r="CG293" s="214"/>
      <c r="CH293" s="214"/>
      <c r="CI293" s="1131"/>
      <c r="CJ293" s="1153"/>
      <c r="CK293" s="242"/>
      <c r="CL293" s="242"/>
      <c r="CM293" s="242"/>
      <c r="CN293" s="242">
        <f t="shared" si="12"/>
        <v>0</v>
      </c>
      <c r="CO293" s="242"/>
      <c r="CP293" s="242"/>
      <c r="CQ293" s="214"/>
      <c r="CR293" s="214"/>
      <c r="CS293" s="1131"/>
      <c r="CT293" s="1153"/>
      <c r="CU293" s="242"/>
      <c r="CV293" s="242"/>
      <c r="CW293" s="242"/>
      <c r="CX293" s="242">
        <f t="shared" si="13"/>
        <v>0</v>
      </c>
      <c r="CY293" s="242"/>
      <c r="CZ293" s="242"/>
      <c r="DA293" s="237"/>
      <c r="DB293" s="214"/>
      <c r="DC293" s="1131"/>
      <c r="DD293" s="1153"/>
      <c r="DE293" s="242"/>
      <c r="DF293" s="242"/>
      <c r="DG293" s="242"/>
      <c r="DH293" s="242">
        <f t="shared" si="14"/>
        <v>0</v>
      </c>
      <c r="DI293" s="242"/>
      <c r="DJ293" s="242"/>
      <c r="DK293" s="214"/>
      <c r="DL293" s="214"/>
      <c r="DM293" s="1131"/>
      <c r="DN293" s="1153"/>
      <c r="DO293" s="242"/>
      <c r="DP293" s="242"/>
      <c r="DQ293" s="242"/>
      <c r="DR293" s="242">
        <f t="shared" si="15"/>
        <v>0</v>
      </c>
      <c r="DS293" s="242"/>
      <c r="DT293" s="242"/>
      <c r="DU293" s="214"/>
      <c r="DV293" s="214"/>
      <c r="DW293" s="1131"/>
      <c r="DX293" s="1153"/>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24"/>
      <c r="C294" s="1124"/>
      <c r="D294" s="1124"/>
      <c r="E294" s="1124"/>
      <c r="F294" s="1125">
        <f t="shared" si="2"/>
        <v>0</v>
      </c>
      <c r="G294" s="1126" t="str">
        <f t="shared" si="3"/>
        <v/>
      </c>
      <c r="H294" s="112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7">
        <f t="shared" si="305"/>
        <v>0</v>
      </c>
      <c r="J294" s="1128">
        <f t="shared" si="305"/>
        <v>0</v>
      </c>
      <c r="K294" s="214"/>
      <c r="L294" s="214"/>
      <c r="M294" s="214"/>
      <c r="N294" s="214"/>
      <c r="O294" s="1087"/>
      <c r="P294" s="214"/>
      <c r="Q294" s="1131"/>
      <c r="R294" s="1153"/>
      <c r="S294" s="242"/>
      <c r="T294" s="242"/>
      <c r="U294" s="242"/>
      <c r="V294" s="242">
        <f t="shared" si="5"/>
        <v>0</v>
      </c>
      <c r="W294" s="242"/>
      <c r="X294" s="242"/>
      <c r="Y294" s="214"/>
      <c r="Z294" s="214"/>
      <c r="AA294" s="1131"/>
      <c r="AB294" s="1153"/>
      <c r="AC294" s="242"/>
      <c r="AD294" s="242"/>
      <c r="AE294" s="242"/>
      <c r="AF294" s="242">
        <f t="shared" si="6"/>
        <v>0</v>
      </c>
      <c r="AG294" s="242"/>
      <c r="AH294" s="242"/>
      <c r="AI294" s="214"/>
      <c r="AJ294" s="214"/>
      <c r="AK294" s="1131"/>
      <c r="AL294" s="1153"/>
      <c r="AM294" s="242"/>
      <c r="AN294" s="242"/>
      <c r="AO294" s="242"/>
      <c r="AP294" s="242">
        <f t="shared" si="7"/>
        <v>0</v>
      </c>
      <c r="AQ294" s="242"/>
      <c r="AR294" s="242"/>
      <c r="AS294" s="237"/>
      <c r="AT294" s="214"/>
      <c r="AU294" s="1138"/>
      <c r="AV294" s="1155"/>
      <c r="AW294" s="1140"/>
      <c r="AX294" s="1140"/>
      <c r="AY294" s="1140"/>
      <c r="AZ294" s="1140">
        <f t="shared" si="8"/>
        <v>0</v>
      </c>
      <c r="BA294" s="1140"/>
      <c r="BB294" s="1140"/>
      <c r="BC294" s="214"/>
      <c r="BD294" s="214"/>
      <c r="BE294" s="1131"/>
      <c r="BF294" s="1153"/>
      <c r="BG294" s="242"/>
      <c r="BH294" s="242"/>
      <c r="BI294" s="242"/>
      <c r="BJ294" s="242">
        <f t="shared" si="9"/>
        <v>0</v>
      </c>
      <c r="BK294" s="242"/>
      <c r="BL294" s="242"/>
      <c r="BM294" s="214"/>
      <c r="BN294" s="214"/>
      <c r="BO294" s="1131"/>
      <c r="BP294" s="1153"/>
      <c r="BQ294" s="242"/>
      <c r="BR294" s="242"/>
      <c r="BS294" s="242"/>
      <c r="BT294" s="242">
        <f t="shared" si="10"/>
        <v>0</v>
      </c>
      <c r="BU294" s="242"/>
      <c r="BV294" s="242"/>
      <c r="BW294" s="237"/>
      <c r="BX294" s="214"/>
      <c r="BY294" s="1131"/>
      <c r="BZ294" s="1153"/>
      <c r="CA294" s="242"/>
      <c r="CB294" s="242"/>
      <c r="CC294" s="242"/>
      <c r="CD294" s="242">
        <f t="shared" si="11"/>
        <v>0</v>
      </c>
      <c r="CE294" s="242"/>
      <c r="CF294" s="242"/>
      <c r="CG294" s="214"/>
      <c r="CH294" s="214"/>
      <c r="CI294" s="1131"/>
      <c r="CJ294" s="1153"/>
      <c r="CK294" s="242"/>
      <c r="CL294" s="242"/>
      <c r="CM294" s="242"/>
      <c r="CN294" s="242">
        <f t="shared" si="12"/>
        <v>0</v>
      </c>
      <c r="CO294" s="242"/>
      <c r="CP294" s="242"/>
      <c r="CQ294" s="214"/>
      <c r="CR294" s="214"/>
      <c r="CS294" s="1131"/>
      <c r="CT294" s="1153"/>
      <c r="CU294" s="242"/>
      <c r="CV294" s="242"/>
      <c r="CW294" s="242"/>
      <c r="CX294" s="242">
        <f t="shared" si="13"/>
        <v>0</v>
      </c>
      <c r="CY294" s="242"/>
      <c r="CZ294" s="242"/>
      <c r="DA294" s="237"/>
      <c r="DB294" s="214"/>
      <c r="DC294" s="1131"/>
      <c r="DD294" s="1153"/>
      <c r="DE294" s="242"/>
      <c r="DF294" s="242"/>
      <c r="DG294" s="242"/>
      <c r="DH294" s="242">
        <f t="shared" si="14"/>
        <v>0</v>
      </c>
      <c r="DI294" s="242"/>
      <c r="DJ294" s="242"/>
      <c r="DK294" s="214"/>
      <c r="DL294" s="214"/>
      <c r="DM294" s="1131"/>
      <c r="DN294" s="1153"/>
      <c r="DO294" s="242"/>
      <c r="DP294" s="242"/>
      <c r="DQ294" s="242"/>
      <c r="DR294" s="242">
        <f t="shared" si="15"/>
        <v>0</v>
      </c>
      <c r="DS294" s="242"/>
      <c r="DT294" s="242"/>
      <c r="DU294" s="214"/>
      <c r="DV294" s="214"/>
      <c r="DW294" s="1131"/>
      <c r="DX294" s="1153"/>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24"/>
      <c r="C295" s="1124"/>
      <c r="D295" s="1124"/>
      <c r="E295" s="1124"/>
      <c r="F295" s="1125">
        <f t="shared" si="2"/>
        <v>0</v>
      </c>
      <c r="G295" s="1126" t="str">
        <f t="shared" si="3"/>
        <v/>
      </c>
      <c r="H295" s="112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7">
        <f t="shared" si="306"/>
        <v>0</v>
      </c>
      <c r="J295" s="1128">
        <f t="shared" si="306"/>
        <v>0</v>
      </c>
      <c r="K295" s="214"/>
      <c r="L295" s="214"/>
      <c r="M295" s="214"/>
      <c r="N295" s="214"/>
      <c r="O295" s="1087"/>
      <c r="P295" s="214"/>
      <c r="Q295" s="1131"/>
      <c r="R295" s="1153"/>
      <c r="S295" s="242"/>
      <c r="T295" s="242"/>
      <c r="U295" s="242"/>
      <c r="V295" s="242">
        <f t="shared" si="5"/>
        <v>0</v>
      </c>
      <c r="W295" s="242"/>
      <c r="X295" s="242"/>
      <c r="Y295" s="214"/>
      <c r="Z295" s="214"/>
      <c r="AA295" s="1131"/>
      <c r="AB295" s="1153"/>
      <c r="AC295" s="242"/>
      <c r="AD295" s="242"/>
      <c r="AE295" s="242"/>
      <c r="AF295" s="242">
        <f t="shared" si="6"/>
        <v>0</v>
      </c>
      <c r="AG295" s="242"/>
      <c r="AH295" s="242"/>
      <c r="AI295" s="214"/>
      <c r="AJ295" s="214"/>
      <c r="AK295" s="1131"/>
      <c r="AL295" s="1153"/>
      <c r="AM295" s="242"/>
      <c r="AN295" s="242"/>
      <c r="AO295" s="242"/>
      <c r="AP295" s="242">
        <f t="shared" si="7"/>
        <v>0</v>
      </c>
      <c r="AQ295" s="242"/>
      <c r="AR295" s="242"/>
      <c r="AS295" s="237"/>
      <c r="AT295" s="214"/>
      <c r="AU295" s="1138"/>
      <c r="AV295" s="1155"/>
      <c r="AW295" s="1140"/>
      <c r="AX295" s="1140"/>
      <c r="AY295" s="1140"/>
      <c r="AZ295" s="1140">
        <f t="shared" si="8"/>
        <v>0</v>
      </c>
      <c r="BA295" s="1140"/>
      <c r="BB295" s="1140"/>
      <c r="BC295" s="214"/>
      <c r="BD295" s="214"/>
      <c r="BE295" s="1131"/>
      <c r="BF295" s="1153"/>
      <c r="BG295" s="242"/>
      <c r="BH295" s="242"/>
      <c r="BI295" s="242"/>
      <c r="BJ295" s="242">
        <f t="shared" si="9"/>
        <v>0</v>
      </c>
      <c r="BK295" s="242"/>
      <c r="BL295" s="242"/>
      <c r="BM295" s="214"/>
      <c r="BN295" s="214"/>
      <c r="BO295" s="1131"/>
      <c r="BP295" s="1153"/>
      <c r="BQ295" s="242"/>
      <c r="BR295" s="242"/>
      <c r="BS295" s="242"/>
      <c r="BT295" s="242">
        <f t="shared" si="10"/>
        <v>0</v>
      </c>
      <c r="BU295" s="242"/>
      <c r="BV295" s="242"/>
      <c r="BW295" s="237"/>
      <c r="BX295" s="214"/>
      <c r="BY295" s="1131"/>
      <c r="BZ295" s="1153"/>
      <c r="CA295" s="242"/>
      <c r="CB295" s="242"/>
      <c r="CC295" s="242"/>
      <c r="CD295" s="242">
        <f t="shared" si="11"/>
        <v>0</v>
      </c>
      <c r="CE295" s="242"/>
      <c r="CF295" s="242"/>
      <c r="CG295" s="214"/>
      <c r="CH295" s="214"/>
      <c r="CI295" s="1131"/>
      <c r="CJ295" s="1153"/>
      <c r="CK295" s="242"/>
      <c r="CL295" s="242"/>
      <c r="CM295" s="242"/>
      <c r="CN295" s="242">
        <f t="shared" si="12"/>
        <v>0</v>
      </c>
      <c r="CO295" s="242"/>
      <c r="CP295" s="242"/>
      <c r="CQ295" s="214"/>
      <c r="CR295" s="214"/>
      <c r="CS295" s="1131"/>
      <c r="CT295" s="1153"/>
      <c r="CU295" s="242"/>
      <c r="CV295" s="242"/>
      <c r="CW295" s="242"/>
      <c r="CX295" s="242">
        <f t="shared" si="13"/>
        <v>0</v>
      </c>
      <c r="CY295" s="242"/>
      <c r="CZ295" s="242"/>
      <c r="DA295" s="237"/>
      <c r="DB295" s="214"/>
      <c r="DC295" s="1131"/>
      <c r="DD295" s="1153"/>
      <c r="DE295" s="242"/>
      <c r="DF295" s="242"/>
      <c r="DG295" s="242"/>
      <c r="DH295" s="242">
        <f t="shared" si="14"/>
        <v>0</v>
      </c>
      <c r="DI295" s="242"/>
      <c r="DJ295" s="242"/>
      <c r="DK295" s="214"/>
      <c r="DL295" s="214"/>
      <c r="DM295" s="1131"/>
      <c r="DN295" s="1153"/>
      <c r="DO295" s="242"/>
      <c r="DP295" s="242"/>
      <c r="DQ295" s="242"/>
      <c r="DR295" s="242">
        <f t="shared" si="15"/>
        <v>0</v>
      </c>
      <c r="DS295" s="242"/>
      <c r="DT295" s="242"/>
      <c r="DU295" s="214"/>
      <c r="DV295" s="214"/>
      <c r="DW295" s="1131"/>
      <c r="DX295" s="1153"/>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24"/>
      <c r="C296" s="1124"/>
      <c r="D296" s="1124"/>
      <c r="E296" s="1124"/>
      <c r="F296" s="1125">
        <f t="shared" si="2"/>
        <v>0</v>
      </c>
      <c r="G296" s="1126" t="str">
        <f t="shared" si="3"/>
        <v/>
      </c>
      <c r="H296" s="112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7">
        <f t="shared" si="307"/>
        <v>0</v>
      </c>
      <c r="J296" s="1128">
        <f t="shared" si="307"/>
        <v>0</v>
      </c>
      <c r="K296" s="214"/>
      <c r="L296" s="214"/>
      <c r="M296" s="214"/>
      <c r="N296" s="214"/>
      <c r="O296" s="1087"/>
      <c r="P296" s="214"/>
      <c r="Q296" s="1131"/>
      <c r="R296" s="1153"/>
      <c r="S296" s="242"/>
      <c r="T296" s="242"/>
      <c r="U296" s="242"/>
      <c r="V296" s="242">
        <f t="shared" si="5"/>
        <v>0</v>
      </c>
      <c r="W296" s="242"/>
      <c r="X296" s="242"/>
      <c r="Y296" s="214"/>
      <c r="Z296" s="214"/>
      <c r="AA296" s="1131"/>
      <c r="AB296" s="1153"/>
      <c r="AC296" s="242"/>
      <c r="AD296" s="242"/>
      <c r="AE296" s="242"/>
      <c r="AF296" s="242">
        <f t="shared" si="6"/>
        <v>0</v>
      </c>
      <c r="AG296" s="242"/>
      <c r="AH296" s="242"/>
      <c r="AI296" s="214"/>
      <c r="AJ296" s="214"/>
      <c r="AK296" s="1131"/>
      <c r="AL296" s="1153"/>
      <c r="AM296" s="242"/>
      <c r="AN296" s="242"/>
      <c r="AO296" s="242"/>
      <c r="AP296" s="242">
        <f t="shared" si="7"/>
        <v>0</v>
      </c>
      <c r="AQ296" s="242"/>
      <c r="AR296" s="242"/>
      <c r="AS296" s="237"/>
      <c r="AT296" s="214"/>
      <c r="AU296" s="1138"/>
      <c r="AV296" s="1155"/>
      <c r="AW296" s="1140"/>
      <c r="AX296" s="1140"/>
      <c r="AY296" s="1140"/>
      <c r="AZ296" s="1140">
        <f t="shared" si="8"/>
        <v>0</v>
      </c>
      <c r="BA296" s="1140"/>
      <c r="BB296" s="1140"/>
      <c r="BC296" s="214"/>
      <c r="BD296" s="214"/>
      <c r="BE296" s="1131"/>
      <c r="BF296" s="1153"/>
      <c r="BG296" s="242"/>
      <c r="BH296" s="242"/>
      <c r="BI296" s="242"/>
      <c r="BJ296" s="242">
        <f t="shared" si="9"/>
        <v>0</v>
      </c>
      <c r="BK296" s="242"/>
      <c r="BL296" s="242"/>
      <c r="BM296" s="214"/>
      <c r="BN296" s="214"/>
      <c r="BO296" s="1131"/>
      <c r="BP296" s="1153"/>
      <c r="BQ296" s="242"/>
      <c r="BR296" s="242"/>
      <c r="BS296" s="242"/>
      <c r="BT296" s="242">
        <f t="shared" si="10"/>
        <v>0</v>
      </c>
      <c r="BU296" s="242"/>
      <c r="BV296" s="242"/>
      <c r="BW296" s="237"/>
      <c r="BX296" s="214"/>
      <c r="BY296" s="1131"/>
      <c r="BZ296" s="1153"/>
      <c r="CA296" s="242"/>
      <c r="CB296" s="242"/>
      <c r="CC296" s="242"/>
      <c r="CD296" s="242">
        <f t="shared" si="11"/>
        <v>0</v>
      </c>
      <c r="CE296" s="242"/>
      <c r="CF296" s="242"/>
      <c r="CG296" s="214"/>
      <c r="CH296" s="214"/>
      <c r="CI296" s="1131"/>
      <c r="CJ296" s="1153"/>
      <c r="CK296" s="242"/>
      <c r="CL296" s="242"/>
      <c r="CM296" s="242"/>
      <c r="CN296" s="242">
        <f t="shared" si="12"/>
        <v>0</v>
      </c>
      <c r="CO296" s="242"/>
      <c r="CP296" s="242"/>
      <c r="CQ296" s="214"/>
      <c r="CR296" s="214"/>
      <c r="CS296" s="1131"/>
      <c r="CT296" s="1153"/>
      <c r="CU296" s="242"/>
      <c r="CV296" s="242"/>
      <c r="CW296" s="242"/>
      <c r="CX296" s="242">
        <f t="shared" si="13"/>
        <v>0</v>
      </c>
      <c r="CY296" s="242"/>
      <c r="CZ296" s="242"/>
      <c r="DA296" s="237"/>
      <c r="DB296" s="214"/>
      <c r="DC296" s="1131"/>
      <c r="DD296" s="1153"/>
      <c r="DE296" s="242"/>
      <c r="DF296" s="242"/>
      <c r="DG296" s="242"/>
      <c r="DH296" s="242">
        <f t="shared" si="14"/>
        <v>0</v>
      </c>
      <c r="DI296" s="242"/>
      <c r="DJ296" s="242"/>
      <c r="DK296" s="214"/>
      <c r="DL296" s="214"/>
      <c r="DM296" s="1131"/>
      <c r="DN296" s="1153"/>
      <c r="DO296" s="242"/>
      <c r="DP296" s="242"/>
      <c r="DQ296" s="242"/>
      <c r="DR296" s="242">
        <f t="shared" si="15"/>
        <v>0</v>
      </c>
      <c r="DS296" s="242"/>
      <c r="DT296" s="242"/>
      <c r="DU296" s="214"/>
      <c r="DV296" s="214"/>
      <c r="DW296" s="1131"/>
      <c r="DX296" s="1153"/>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24"/>
      <c r="C297" s="1124"/>
      <c r="D297" s="1124"/>
      <c r="E297" s="1124"/>
      <c r="F297" s="1125">
        <f t="shared" si="2"/>
        <v>0</v>
      </c>
      <c r="G297" s="1126" t="str">
        <f t="shared" si="3"/>
        <v/>
      </c>
      <c r="H297" s="112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7">
        <f t="shared" si="308"/>
        <v>0</v>
      </c>
      <c r="J297" s="1128">
        <f t="shared" si="308"/>
        <v>0</v>
      </c>
      <c r="K297" s="214"/>
      <c r="L297" s="214"/>
      <c r="M297" s="214"/>
      <c r="N297" s="214"/>
      <c r="O297" s="1087"/>
      <c r="P297" s="214"/>
      <c r="Q297" s="1131"/>
      <c r="R297" s="1153"/>
      <c r="S297" s="242"/>
      <c r="T297" s="242"/>
      <c r="U297" s="242"/>
      <c r="V297" s="242">
        <f t="shared" si="5"/>
        <v>0</v>
      </c>
      <c r="W297" s="242"/>
      <c r="X297" s="242"/>
      <c r="Y297" s="214"/>
      <c r="Z297" s="214"/>
      <c r="AA297" s="1131"/>
      <c r="AB297" s="1153"/>
      <c r="AC297" s="242"/>
      <c r="AD297" s="242"/>
      <c r="AE297" s="242"/>
      <c r="AF297" s="242">
        <f t="shared" si="6"/>
        <v>0</v>
      </c>
      <c r="AG297" s="242"/>
      <c r="AH297" s="242"/>
      <c r="AI297" s="214"/>
      <c r="AJ297" s="214"/>
      <c r="AK297" s="1131"/>
      <c r="AL297" s="1153"/>
      <c r="AM297" s="242"/>
      <c r="AN297" s="242"/>
      <c r="AO297" s="242"/>
      <c r="AP297" s="242">
        <f t="shared" si="7"/>
        <v>0</v>
      </c>
      <c r="AQ297" s="242"/>
      <c r="AR297" s="242"/>
      <c r="AS297" s="237"/>
      <c r="AT297" s="214"/>
      <c r="AU297" s="1138"/>
      <c r="AV297" s="1155"/>
      <c r="AW297" s="1140"/>
      <c r="AX297" s="1140"/>
      <c r="AY297" s="1140"/>
      <c r="AZ297" s="1140">
        <f t="shared" si="8"/>
        <v>0</v>
      </c>
      <c r="BA297" s="1140"/>
      <c r="BB297" s="1140"/>
      <c r="BC297" s="214"/>
      <c r="BD297" s="214"/>
      <c r="BE297" s="1131"/>
      <c r="BF297" s="1153"/>
      <c r="BG297" s="242"/>
      <c r="BH297" s="242"/>
      <c r="BI297" s="242"/>
      <c r="BJ297" s="242">
        <f t="shared" si="9"/>
        <v>0</v>
      </c>
      <c r="BK297" s="242"/>
      <c r="BL297" s="242"/>
      <c r="BM297" s="214"/>
      <c r="BN297" s="214"/>
      <c r="BO297" s="1131"/>
      <c r="BP297" s="1153"/>
      <c r="BQ297" s="242"/>
      <c r="BR297" s="242"/>
      <c r="BS297" s="242"/>
      <c r="BT297" s="242">
        <f t="shared" si="10"/>
        <v>0</v>
      </c>
      <c r="BU297" s="242"/>
      <c r="BV297" s="242"/>
      <c r="BW297" s="237"/>
      <c r="BX297" s="214"/>
      <c r="BY297" s="1131"/>
      <c r="BZ297" s="1153"/>
      <c r="CA297" s="242"/>
      <c r="CB297" s="242"/>
      <c r="CC297" s="242"/>
      <c r="CD297" s="242">
        <f t="shared" si="11"/>
        <v>0</v>
      </c>
      <c r="CE297" s="242"/>
      <c r="CF297" s="242"/>
      <c r="CG297" s="214"/>
      <c r="CH297" s="214"/>
      <c r="CI297" s="1131"/>
      <c r="CJ297" s="1153"/>
      <c r="CK297" s="242"/>
      <c r="CL297" s="242"/>
      <c r="CM297" s="242"/>
      <c r="CN297" s="242">
        <f t="shared" si="12"/>
        <v>0</v>
      </c>
      <c r="CO297" s="242"/>
      <c r="CP297" s="242"/>
      <c r="CQ297" s="214"/>
      <c r="CR297" s="214"/>
      <c r="CS297" s="1131"/>
      <c r="CT297" s="1153"/>
      <c r="CU297" s="242"/>
      <c r="CV297" s="242"/>
      <c r="CW297" s="242"/>
      <c r="CX297" s="242">
        <f t="shared" si="13"/>
        <v>0</v>
      </c>
      <c r="CY297" s="242"/>
      <c r="CZ297" s="242"/>
      <c r="DA297" s="237"/>
      <c r="DB297" s="214"/>
      <c r="DC297" s="1131"/>
      <c r="DD297" s="1153"/>
      <c r="DE297" s="242"/>
      <c r="DF297" s="242"/>
      <c r="DG297" s="242"/>
      <c r="DH297" s="242">
        <f t="shared" si="14"/>
        <v>0</v>
      </c>
      <c r="DI297" s="242"/>
      <c r="DJ297" s="242"/>
      <c r="DK297" s="214"/>
      <c r="DL297" s="214"/>
      <c r="DM297" s="1131"/>
      <c r="DN297" s="1153"/>
      <c r="DO297" s="242"/>
      <c r="DP297" s="242"/>
      <c r="DQ297" s="242"/>
      <c r="DR297" s="242">
        <f t="shared" si="15"/>
        <v>0</v>
      </c>
      <c r="DS297" s="242"/>
      <c r="DT297" s="242"/>
      <c r="DU297" s="214"/>
      <c r="DV297" s="214"/>
      <c r="DW297" s="1131"/>
      <c r="DX297" s="1153"/>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24"/>
      <c r="C298" s="1124"/>
      <c r="D298" s="1124"/>
      <c r="E298" s="1124"/>
      <c r="F298" s="1125">
        <f t="shared" si="2"/>
        <v>0</v>
      </c>
      <c r="G298" s="1126" t="str">
        <f t="shared" si="3"/>
        <v/>
      </c>
      <c r="H298" s="112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7">
        <f t="shared" si="309"/>
        <v>0</v>
      </c>
      <c r="J298" s="1128">
        <f t="shared" si="309"/>
        <v>0</v>
      </c>
      <c r="K298" s="214"/>
      <c r="L298" s="214"/>
      <c r="M298" s="214"/>
      <c r="N298" s="214"/>
      <c r="O298" s="1087"/>
      <c r="P298" s="214"/>
      <c r="Q298" s="1131"/>
      <c r="R298" s="1153"/>
      <c r="S298" s="242"/>
      <c r="T298" s="242"/>
      <c r="U298" s="242"/>
      <c r="V298" s="242">
        <f t="shared" si="5"/>
        <v>0</v>
      </c>
      <c r="W298" s="242"/>
      <c r="X298" s="242"/>
      <c r="Y298" s="214"/>
      <c r="Z298" s="214"/>
      <c r="AA298" s="1131"/>
      <c r="AB298" s="1153"/>
      <c r="AC298" s="242"/>
      <c r="AD298" s="242"/>
      <c r="AE298" s="242"/>
      <c r="AF298" s="242">
        <f t="shared" si="6"/>
        <v>0</v>
      </c>
      <c r="AG298" s="242"/>
      <c r="AH298" s="242"/>
      <c r="AI298" s="214"/>
      <c r="AJ298" s="214"/>
      <c r="AK298" s="1131"/>
      <c r="AL298" s="1153"/>
      <c r="AM298" s="242"/>
      <c r="AN298" s="242"/>
      <c r="AO298" s="242"/>
      <c r="AP298" s="242">
        <f t="shared" si="7"/>
        <v>0</v>
      </c>
      <c r="AQ298" s="242"/>
      <c r="AR298" s="242"/>
      <c r="AS298" s="237"/>
      <c r="AT298" s="214"/>
      <c r="AU298" s="1138"/>
      <c r="AV298" s="1155"/>
      <c r="AW298" s="1140"/>
      <c r="AX298" s="1140"/>
      <c r="AY298" s="1140"/>
      <c r="AZ298" s="1140">
        <f t="shared" si="8"/>
        <v>0</v>
      </c>
      <c r="BA298" s="1140"/>
      <c r="BB298" s="1140"/>
      <c r="BC298" s="214"/>
      <c r="BD298" s="214"/>
      <c r="BE298" s="1131"/>
      <c r="BF298" s="1153"/>
      <c r="BG298" s="242"/>
      <c r="BH298" s="242"/>
      <c r="BI298" s="242"/>
      <c r="BJ298" s="242">
        <f t="shared" si="9"/>
        <v>0</v>
      </c>
      <c r="BK298" s="242"/>
      <c r="BL298" s="242"/>
      <c r="BM298" s="214"/>
      <c r="BN298" s="214"/>
      <c r="BO298" s="1131"/>
      <c r="BP298" s="1153"/>
      <c r="BQ298" s="242"/>
      <c r="BR298" s="242"/>
      <c r="BS298" s="242"/>
      <c r="BT298" s="242">
        <f t="shared" si="10"/>
        <v>0</v>
      </c>
      <c r="BU298" s="242"/>
      <c r="BV298" s="242"/>
      <c r="BW298" s="237"/>
      <c r="BX298" s="214"/>
      <c r="BY298" s="1131"/>
      <c r="BZ298" s="1153"/>
      <c r="CA298" s="242"/>
      <c r="CB298" s="242"/>
      <c r="CC298" s="242"/>
      <c r="CD298" s="242">
        <f t="shared" si="11"/>
        <v>0</v>
      </c>
      <c r="CE298" s="242"/>
      <c r="CF298" s="242"/>
      <c r="CG298" s="214"/>
      <c r="CH298" s="214"/>
      <c r="CI298" s="1131"/>
      <c r="CJ298" s="1153"/>
      <c r="CK298" s="242"/>
      <c r="CL298" s="242"/>
      <c r="CM298" s="242"/>
      <c r="CN298" s="242">
        <f t="shared" si="12"/>
        <v>0</v>
      </c>
      <c r="CO298" s="242"/>
      <c r="CP298" s="242"/>
      <c r="CQ298" s="214"/>
      <c r="CR298" s="214"/>
      <c r="CS298" s="1131"/>
      <c r="CT298" s="1153"/>
      <c r="CU298" s="242"/>
      <c r="CV298" s="242"/>
      <c r="CW298" s="242"/>
      <c r="CX298" s="242">
        <f t="shared" si="13"/>
        <v>0</v>
      </c>
      <c r="CY298" s="242"/>
      <c r="CZ298" s="242"/>
      <c r="DA298" s="237"/>
      <c r="DB298" s="214"/>
      <c r="DC298" s="1131"/>
      <c r="DD298" s="1153"/>
      <c r="DE298" s="242"/>
      <c r="DF298" s="242"/>
      <c r="DG298" s="242"/>
      <c r="DH298" s="242">
        <f t="shared" si="14"/>
        <v>0</v>
      </c>
      <c r="DI298" s="242"/>
      <c r="DJ298" s="242"/>
      <c r="DK298" s="214"/>
      <c r="DL298" s="214"/>
      <c r="DM298" s="1131"/>
      <c r="DN298" s="1153"/>
      <c r="DO298" s="242"/>
      <c r="DP298" s="242"/>
      <c r="DQ298" s="242"/>
      <c r="DR298" s="242">
        <f t="shared" si="15"/>
        <v>0</v>
      </c>
      <c r="DS298" s="242"/>
      <c r="DT298" s="242"/>
      <c r="DU298" s="214"/>
      <c r="DV298" s="214"/>
      <c r="DW298" s="1131"/>
      <c r="DX298" s="1153"/>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24"/>
      <c r="C299" s="1124"/>
      <c r="D299" s="1124"/>
      <c r="E299" s="1124"/>
      <c r="F299" s="1125"/>
      <c r="G299" s="1126" t="str">
        <f t="shared" si="3"/>
        <v/>
      </c>
      <c r="H299" s="112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7">
        <f t="shared" si="310"/>
        <v>0</v>
      </c>
      <c r="J299" s="1128">
        <f t="shared" si="310"/>
        <v>0</v>
      </c>
      <c r="K299" s="214"/>
      <c r="L299" s="214"/>
      <c r="M299" s="214"/>
      <c r="N299" s="214"/>
      <c r="O299" s="1087"/>
      <c r="P299" s="214"/>
      <c r="Q299" s="1131"/>
      <c r="R299" s="1153"/>
      <c r="S299" s="242"/>
      <c r="T299" s="242"/>
      <c r="U299" s="242"/>
      <c r="V299" s="242">
        <f t="shared" si="5"/>
        <v>0</v>
      </c>
      <c r="W299" s="242"/>
      <c r="X299" s="242"/>
      <c r="Y299" s="214"/>
      <c r="Z299" s="214"/>
      <c r="AA299" s="1131"/>
      <c r="AB299" s="1153"/>
      <c r="AC299" s="242"/>
      <c r="AD299" s="242"/>
      <c r="AE299" s="242"/>
      <c r="AF299" s="242">
        <f t="shared" si="6"/>
        <v>0</v>
      </c>
      <c r="AG299" s="242"/>
      <c r="AH299" s="242"/>
      <c r="AI299" s="214"/>
      <c r="AJ299" s="214"/>
      <c r="AK299" s="1131"/>
      <c r="AL299" s="1153"/>
      <c r="AM299" s="242"/>
      <c r="AN299" s="242"/>
      <c r="AO299" s="242"/>
      <c r="AP299" s="242">
        <f t="shared" si="7"/>
        <v>0</v>
      </c>
      <c r="AQ299" s="242"/>
      <c r="AR299" s="242"/>
      <c r="AS299" s="237"/>
      <c r="AT299" s="214"/>
      <c r="AU299" s="1138"/>
      <c r="AV299" s="1155"/>
      <c r="AW299" s="1140"/>
      <c r="AX299" s="1140"/>
      <c r="AY299" s="1140"/>
      <c r="AZ299" s="1140">
        <f t="shared" si="8"/>
        <v>0</v>
      </c>
      <c r="BA299" s="1140"/>
      <c r="BB299" s="1140"/>
      <c r="BC299" s="214"/>
      <c r="BD299" s="214"/>
      <c r="BE299" s="1131"/>
      <c r="BF299" s="1153"/>
      <c r="BG299" s="242"/>
      <c r="BH299" s="242"/>
      <c r="BI299" s="242"/>
      <c r="BJ299" s="242">
        <f t="shared" si="9"/>
        <v>0</v>
      </c>
      <c r="BK299" s="242"/>
      <c r="BL299" s="242"/>
      <c r="BM299" s="214"/>
      <c r="BN299" s="214"/>
      <c r="BO299" s="1131"/>
      <c r="BP299" s="1153"/>
      <c r="BQ299" s="242"/>
      <c r="BR299" s="242"/>
      <c r="BS299" s="242"/>
      <c r="BT299" s="242">
        <f t="shared" si="10"/>
        <v>0</v>
      </c>
      <c r="BU299" s="242"/>
      <c r="BV299" s="242"/>
      <c r="BW299" s="237"/>
      <c r="BX299" s="214"/>
      <c r="BY299" s="1131"/>
      <c r="BZ299" s="1153"/>
      <c r="CA299" s="242"/>
      <c r="CB299" s="242"/>
      <c r="CC299" s="242"/>
      <c r="CD299" s="242">
        <f t="shared" si="11"/>
        <v>0</v>
      </c>
      <c r="CE299" s="242"/>
      <c r="CF299" s="242"/>
      <c r="CG299" s="214"/>
      <c r="CH299" s="214"/>
      <c r="CI299" s="1131"/>
      <c r="CJ299" s="1153"/>
      <c r="CK299" s="242"/>
      <c r="CL299" s="242"/>
      <c r="CM299" s="242"/>
      <c r="CN299" s="242">
        <f t="shared" si="12"/>
        <v>0</v>
      </c>
      <c r="CO299" s="242"/>
      <c r="CP299" s="242"/>
      <c r="CQ299" s="214"/>
      <c r="CR299" s="214"/>
      <c r="CS299" s="1131"/>
      <c r="CT299" s="1153"/>
      <c r="CU299" s="242"/>
      <c r="CV299" s="242"/>
      <c r="CW299" s="242"/>
      <c r="CX299" s="242">
        <f t="shared" si="13"/>
        <v>0</v>
      </c>
      <c r="CY299" s="242"/>
      <c r="CZ299" s="242"/>
      <c r="DA299" s="237"/>
      <c r="DB299" s="214"/>
      <c r="DC299" s="1131"/>
      <c r="DD299" s="1153"/>
      <c r="DE299" s="242"/>
      <c r="DF299" s="242"/>
      <c r="DG299" s="242"/>
      <c r="DH299" s="242">
        <f t="shared" si="14"/>
        <v>0</v>
      </c>
      <c r="DI299" s="242"/>
      <c r="DJ299" s="242"/>
      <c r="DK299" s="214"/>
      <c r="DL299" s="214"/>
      <c r="DM299" s="1131"/>
      <c r="DN299" s="1153"/>
      <c r="DO299" s="242"/>
      <c r="DP299" s="242"/>
      <c r="DQ299" s="242"/>
      <c r="DR299" s="242">
        <f t="shared" si="15"/>
        <v>0</v>
      </c>
      <c r="DS299" s="242"/>
      <c r="DT299" s="242"/>
      <c r="DU299" s="214"/>
      <c r="DV299" s="214"/>
      <c r="DW299" s="1131"/>
      <c r="DX299" s="1153"/>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087"/>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56"/>
      <c r="AV300" s="1157"/>
      <c r="AW300" s="1158"/>
      <c r="AX300" s="1158"/>
      <c r="AY300" s="1158"/>
      <c r="AZ300" s="1158"/>
      <c r="BA300" s="1158"/>
      <c r="BB300" s="1158"/>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087"/>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56"/>
      <c r="AV301" s="1157"/>
      <c r="AW301" s="1158"/>
      <c r="AX301" s="1158"/>
      <c r="AY301" s="1158"/>
      <c r="AZ301" s="1158"/>
      <c r="BA301" s="1158"/>
      <c r="BB301" s="1158"/>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087"/>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56"/>
      <c r="AV302" s="1157"/>
      <c r="AW302" s="1158"/>
      <c r="AX302" s="1158"/>
      <c r="AY302" s="1158"/>
      <c r="AZ302" s="1158"/>
      <c r="BA302" s="1158"/>
      <c r="BB302" s="1158"/>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087"/>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56"/>
      <c r="AV303" s="1157"/>
      <c r="AW303" s="1158"/>
      <c r="AX303" s="1158"/>
      <c r="AY303" s="1158"/>
      <c r="AZ303" s="1158"/>
      <c r="BA303" s="1158"/>
      <c r="BB303" s="1158"/>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087"/>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56"/>
      <c r="AV304" s="1157"/>
      <c r="AW304" s="1158"/>
      <c r="AX304" s="1158"/>
      <c r="AY304" s="1158"/>
      <c r="AZ304" s="1158"/>
      <c r="BA304" s="1158"/>
      <c r="BB304" s="1158"/>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087"/>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56"/>
      <c r="AV305" s="1157"/>
      <c r="AW305" s="1158"/>
      <c r="AX305" s="1158"/>
      <c r="AY305" s="1158"/>
      <c r="AZ305" s="1158"/>
      <c r="BA305" s="1158"/>
      <c r="BB305" s="1158"/>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087"/>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56"/>
      <c r="AV306" s="1157"/>
      <c r="AW306" s="1158"/>
      <c r="AX306" s="1158"/>
      <c r="AY306" s="1158"/>
      <c r="AZ306" s="1158"/>
      <c r="BA306" s="1158"/>
      <c r="BB306" s="1158"/>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087"/>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56"/>
      <c r="AV307" s="1157"/>
      <c r="AW307" s="1158"/>
      <c r="AX307" s="1158"/>
      <c r="AY307" s="1158"/>
      <c r="AZ307" s="1158"/>
      <c r="BA307" s="1158"/>
      <c r="BB307" s="1158"/>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087"/>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56"/>
      <c r="AV308" s="1157"/>
      <c r="AW308" s="1158"/>
      <c r="AX308" s="1158"/>
      <c r="AY308" s="1158"/>
      <c r="AZ308" s="1158"/>
      <c r="BA308" s="1158"/>
      <c r="BB308" s="1158"/>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087"/>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56"/>
      <c r="AV309" s="1157"/>
      <c r="AW309" s="1158"/>
      <c r="AX309" s="1158"/>
      <c r="AY309" s="1158"/>
      <c r="AZ309" s="1158"/>
      <c r="BA309" s="1158"/>
      <c r="BB309" s="1158"/>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087"/>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56"/>
      <c r="AV310" s="1157"/>
      <c r="AW310" s="1158"/>
      <c r="AX310" s="1158"/>
      <c r="AY310" s="1158"/>
      <c r="AZ310" s="1158"/>
      <c r="BA310" s="1158"/>
      <c r="BB310" s="1158"/>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087"/>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56"/>
      <c r="AV311" s="1157"/>
      <c r="AW311" s="1158"/>
      <c r="AX311" s="1158"/>
      <c r="AY311" s="1158"/>
      <c r="AZ311" s="1158"/>
      <c r="BA311" s="1158"/>
      <c r="BB311" s="1158"/>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087"/>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56"/>
      <c r="AV312" s="1157"/>
      <c r="AW312" s="1158"/>
      <c r="AX312" s="1158"/>
      <c r="AY312" s="1158"/>
      <c r="AZ312" s="1158"/>
      <c r="BA312" s="1158"/>
      <c r="BB312" s="1158"/>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087"/>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56"/>
      <c r="AV313" s="1157"/>
      <c r="AW313" s="1158"/>
      <c r="AX313" s="1158"/>
      <c r="AY313" s="1158"/>
      <c r="AZ313" s="1158"/>
      <c r="BA313" s="1158"/>
      <c r="BB313" s="1158"/>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087"/>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56"/>
      <c r="AV314" s="1157"/>
      <c r="AW314" s="1158"/>
      <c r="AX314" s="1158"/>
      <c r="AY314" s="1158"/>
      <c r="AZ314" s="1158"/>
      <c r="BA314" s="1158"/>
      <c r="BB314" s="1158"/>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087"/>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56"/>
      <c r="AV315" s="1157"/>
      <c r="AW315" s="1158"/>
      <c r="AX315" s="1158"/>
      <c r="AY315" s="1158"/>
      <c r="AZ315" s="1158"/>
      <c r="BA315" s="1158"/>
      <c r="BB315" s="1158"/>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087"/>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56"/>
      <c r="AV316" s="1157"/>
      <c r="AW316" s="1158"/>
      <c r="AX316" s="1158"/>
      <c r="AY316" s="1158"/>
      <c r="AZ316" s="1158"/>
      <c r="BA316" s="1158"/>
      <c r="BB316" s="1158"/>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087"/>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56"/>
      <c r="AV317" s="1157"/>
      <c r="AW317" s="1158"/>
      <c r="AX317" s="1158"/>
      <c r="AY317" s="1158"/>
      <c r="AZ317" s="1158"/>
      <c r="BA317" s="1158"/>
      <c r="BB317" s="1158"/>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087"/>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56"/>
      <c r="AV318" s="1157"/>
      <c r="AW318" s="1158"/>
      <c r="AX318" s="1158"/>
      <c r="AY318" s="1158"/>
      <c r="AZ318" s="1158"/>
      <c r="BA318" s="1158"/>
      <c r="BB318" s="1158"/>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087"/>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56"/>
      <c r="AV319" s="1157"/>
      <c r="AW319" s="1158"/>
      <c r="AX319" s="1158"/>
      <c r="AY319" s="1158"/>
      <c r="AZ319" s="1158"/>
      <c r="BA319" s="1158"/>
      <c r="BB319" s="1158"/>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087"/>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56"/>
      <c r="AV320" s="1157"/>
      <c r="AW320" s="1158"/>
      <c r="AX320" s="1158"/>
      <c r="AY320" s="1158"/>
      <c r="AZ320" s="1158"/>
      <c r="BA320" s="1158"/>
      <c r="BB320" s="1158"/>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087"/>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56"/>
      <c r="AV321" s="1157"/>
      <c r="AW321" s="1158"/>
      <c r="AX321" s="1158"/>
      <c r="AY321" s="1158"/>
      <c r="AZ321" s="1158"/>
      <c r="BA321" s="1158"/>
      <c r="BB321" s="1158"/>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087"/>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56"/>
      <c r="AV322" s="1157"/>
      <c r="AW322" s="1158"/>
      <c r="AX322" s="1158"/>
      <c r="AY322" s="1158"/>
      <c r="AZ322" s="1158"/>
      <c r="BA322" s="1158"/>
      <c r="BB322" s="1158"/>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087"/>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56"/>
      <c r="AV323" s="1157"/>
      <c r="AW323" s="1158"/>
      <c r="AX323" s="1158"/>
      <c r="AY323" s="1158"/>
      <c r="AZ323" s="1158"/>
      <c r="BA323" s="1158"/>
      <c r="BB323" s="1158"/>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087"/>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56"/>
      <c r="AV324" s="1157"/>
      <c r="AW324" s="1158"/>
      <c r="AX324" s="1158"/>
      <c r="AY324" s="1158"/>
      <c r="AZ324" s="1158"/>
      <c r="BA324" s="1158"/>
      <c r="BB324" s="1158"/>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087"/>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56"/>
      <c r="AV325" s="1157"/>
      <c r="AW325" s="1158"/>
      <c r="AX325" s="1158"/>
      <c r="AY325" s="1158"/>
      <c r="AZ325" s="1158"/>
      <c r="BA325" s="1158"/>
      <c r="BB325" s="1158"/>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087"/>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56"/>
      <c r="AV326" s="1157"/>
      <c r="AW326" s="1158"/>
      <c r="AX326" s="1158"/>
      <c r="AY326" s="1158"/>
      <c r="AZ326" s="1158"/>
      <c r="BA326" s="1158"/>
      <c r="BB326" s="1158"/>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087"/>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56"/>
      <c r="AV327" s="1157"/>
      <c r="AW327" s="1158"/>
      <c r="AX327" s="1158"/>
      <c r="AY327" s="1158"/>
      <c r="AZ327" s="1158"/>
      <c r="BA327" s="1158"/>
      <c r="BB327" s="1158"/>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087"/>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56"/>
      <c r="AV328" s="1157"/>
      <c r="AW328" s="1158"/>
      <c r="AX328" s="1158"/>
      <c r="AY328" s="1158"/>
      <c r="AZ328" s="1158"/>
      <c r="BA328" s="1158"/>
      <c r="BB328" s="1158"/>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087"/>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56"/>
      <c r="AV329" s="1157"/>
      <c r="AW329" s="1158"/>
      <c r="AX329" s="1158"/>
      <c r="AY329" s="1158"/>
      <c r="AZ329" s="1158"/>
      <c r="BA329" s="1158"/>
      <c r="BB329" s="1158"/>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087"/>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56"/>
      <c r="AV330" s="1157"/>
      <c r="AW330" s="1158"/>
      <c r="AX330" s="1158"/>
      <c r="AY330" s="1158"/>
      <c r="AZ330" s="1158"/>
      <c r="BA330" s="1158"/>
      <c r="BB330" s="1158"/>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087"/>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56"/>
      <c r="AV331" s="1157"/>
      <c r="AW331" s="1158"/>
      <c r="AX331" s="1158"/>
      <c r="AY331" s="1158"/>
      <c r="AZ331" s="1158"/>
      <c r="BA331" s="1158"/>
      <c r="BB331" s="1158"/>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087"/>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56"/>
      <c r="AV332" s="1157"/>
      <c r="AW332" s="1158"/>
      <c r="AX332" s="1158"/>
      <c r="AY332" s="1158"/>
      <c r="AZ332" s="1158"/>
      <c r="BA332" s="1158"/>
      <c r="BB332" s="1158"/>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087"/>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56"/>
      <c r="AV333" s="1157"/>
      <c r="AW333" s="1158"/>
      <c r="AX333" s="1158"/>
      <c r="AY333" s="1158"/>
      <c r="AZ333" s="1158"/>
      <c r="BA333" s="1158"/>
      <c r="BB333" s="1158"/>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087"/>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56"/>
      <c r="AV334" s="1157"/>
      <c r="AW334" s="1158"/>
      <c r="AX334" s="1158"/>
      <c r="AY334" s="1158"/>
      <c r="AZ334" s="1158"/>
      <c r="BA334" s="1158"/>
      <c r="BB334" s="1158"/>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087"/>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56"/>
      <c r="AV335" s="1157"/>
      <c r="AW335" s="1158"/>
      <c r="AX335" s="1158"/>
      <c r="AY335" s="1158"/>
      <c r="AZ335" s="1158"/>
      <c r="BA335" s="1158"/>
      <c r="BB335" s="1158"/>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087"/>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56"/>
      <c r="AV336" s="1157"/>
      <c r="AW336" s="1158"/>
      <c r="AX336" s="1158"/>
      <c r="AY336" s="1158"/>
      <c r="AZ336" s="1158"/>
      <c r="BA336" s="1158"/>
      <c r="BB336" s="1158"/>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087"/>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56"/>
      <c r="AV337" s="1157"/>
      <c r="AW337" s="1158"/>
      <c r="AX337" s="1158"/>
      <c r="AY337" s="1158"/>
      <c r="AZ337" s="1158"/>
      <c r="BA337" s="1158"/>
      <c r="BB337" s="1158"/>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087"/>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56"/>
      <c r="AV338" s="1157"/>
      <c r="AW338" s="1158"/>
      <c r="AX338" s="1158"/>
      <c r="AY338" s="1158"/>
      <c r="AZ338" s="1158"/>
      <c r="BA338" s="1158"/>
      <c r="BB338" s="1158"/>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087"/>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56"/>
      <c r="AV339" s="1157"/>
      <c r="AW339" s="1158"/>
      <c r="AX339" s="1158"/>
      <c r="AY339" s="1158"/>
      <c r="AZ339" s="1158"/>
      <c r="BA339" s="1158"/>
      <c r="BB339" s="1158"/>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087"/>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56"/>
      <c r="AV340" s="1157"/>
      <c r="AW340" s="1158"/>
      <c r="AX340" s="1158"/>
      <c r="AY340" s="1158"/>
      <c r="AZ340" s="1158"/>
      <c r="BA340" s="1158"/>
      <c r="BB340" s="1158"/>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087"/>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56"/>
      <c r="AV341" s="1157"/>
      <c r="AW341" s="1158"/>
      <c r="AX341" s="1158"/>
      <c r="AY341" s="1158"/>
      <c r="AZ341" s="1158"/>
      <c r="BA341" s="1158"/>
      <c r="BB341" s="1158"/>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087"/>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56"/>
      <c r="AV342" s="1157"/>
      <c r="AW342" s="1158"/>
      <c r="AX342" s="1158"/>
      <c r="AY342" s="1158"/>
      <c r="AZ342" s="1158"/>
      <c r="BA342" s="1158"/>
      <c r="BB342" s="1158"/>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087"/>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56"/>
      <c r="AV343" s="1157"/>
      <c r="AW343" s="1158"/>
      <c r="AX343" s="1158"/>
      <c r="AY343" s="1158"/>
      <c r="AZ343" s="1158"/>
      <c r="BA343" s="1158"/>
      <c r="BB343" s="1158"/>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087"/>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56"/>
      <c r="AV344" s="1157"/>
      <c r="AW344" s="1158"/>
      <c r="AX344" s="1158"/>
      <c r="AY344" s="1158"/>
      <c r="AZ344" s="1158"/>
      <c r="BA344" s="1158"/>
      <c r="BB344" s="1158"/>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087"/>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56"/>
      <c r="AV345" s="1157"/>
      <c r="AW345" s="1158"/>
      <c r="AX345" s="1158"/>
      <c r="AY345" s="1158"/>
      <c r="AZ345" s="1158"/>
      <c r="BA345" s="1158"/>
      <c r="BB345" s="1158"/>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087"/>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56"/>
      <c r="AV346" s="1157"/>
      <c r="AW346" s="1158"/>
      <c r="AX346" s="1158"/>
      <c r="AY346" s="1158"/>
      <c r="AZ346" s="1158"/>
      <c r="BA346" s="1158"/>
      <c r="BB346" s="1158"/>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087"/>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56"/>
      <c r="AV347" s="1157"/>
      <c r="AW347" s="1158"/>
      <c r="AX347" s="1158"/>
      <c r="AY347" s="1158"/>
      <c r="AZ347" s="1158"/>
      <c r="BA347" s="1158"/>
      <c r="BB347" s="1158"/>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087"/>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56"/>
      <c r="AV348" s="1157"/>
      <c r="AW348" s="1158"/>
      <c r="AX348" s="1158"/>
      <c r="AY348" s="1158"/>
      <c r="AZ348" s="1158"/>
      <c r="BA348" s="1158"/>
      <c r="BB348" s="1158"/>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087"/>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56"/>
      <c r="AV349" s="1157"/>
      <c r="AW349" s="1158"/>
      <c r="AX349" s="1158"/>
      <c r="AY349" s="1158"/>
      <c r="AZ349" s="1158"/>
      <c r="BA349" s="1158"/>
      <c r="BB349" s="1158"/>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087"/>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56"/>
      <c r="AV350" s="1157"/>
      <c r="AW350" s="1158"/>
      <c r="AX350" s="1158"/>
      <c r="AY350" s="1158"/>
      <c r="AZ350" s="1158"/>
      <c r="BA350" s="1158"/>
      <c r="BB350" s="1158"/>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087"/>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56"/>
      <c r="AV351" s="1157"/>
      <c r="AW351" s="1158"/>
      <c r="AX351" s="1158"/>
      <c r="AY351" s="1158"/>
      <c r="AZ351" s="1158"/>
      <c r="BA351" s="1158"/>
      <c r="BB351" s="1158"/>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087"/>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56"/>
      <c r="AV352" s="1157"/>
      <c r="AW352" s="1158"/>
      <c r="AX352" s="1158"/>
      <c r="AY352" s="1158"/>
      <c r="AZ352" s="1158"/>
      <c r="BA352" s="1158"/>
      <c r="BB352" s="1158"/>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087"/>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56"/>
      <c r="AV353" s="1157"/>
      <c r="AW353" s="1158"/>
      <c r="AX353" s="1158"/>
      <c r="AY353" s="1158"/>
      <c r="AZ353" s="1158"/>
      <c r="BA353" s="1158"/>
      <c r="BB353" s="1158"/>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087"/>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56"/>
      <c r="AV354" s="1157"/>
      <c r="AW354" s="1158"/>
      <c r="AX354" s="1158"/>
      <c r="AY354" s="1158"/>
      <c r="AZ354" s="1158"/>
      <c r="BA354" s="1158"/>
      <c r="BB354" s="1158"/>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087"/>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56"/>
      <c r="AV355" s="1157"/>
      <c r="AW355" s="1158"/>
      <c r="AX355" s="1158"/>
      <c r="AY355" s="1158"/>
      <c r="AZ355" s="1158"/>
      <c r="BA355" s="1158"/>
      <c r="BB355" s="1158"/>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087"/>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56"/>
      <c r="AV356" s="1157"/>
      <c r="AW356" s="1158"/>
      <c r="AX356" s="1158"/>
      <c r="AY356" s="1158"/>
      <c r="AZ356" s="1158"/>
      <c r="BA356" s="1158"/>
      <c r="BB356" s="1158"/>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087"/>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56"/>
      <c r="AV357" s="1157"/>
      <c r="AW357" s="1158"/>
      <c r="AX357" s="1158"/>
      <c r="AY357" s="1158"/>
      <c r="AZ357" s="1158"/>
      <c r="BA357" s="1158"/>
      <c r="BB357" s="1158"/>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087"/>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56"/>
      <c r="AV358" s="1157"/>
      <c r="AW358" s="1158"/>
      <c r="AX358" s="1158"/>
      <c r="AY358" s="1158"/>
      <c r="AZ358" s="1158"/>
      <c r="BA358" s="1158"/>
      <c r="BB358" s="1158"/>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087"/>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56"/>
      <c r="AV359" s="1157"/>
      <c r="AW359" s="1158"/>
      <c r="AX359" s="1158"/>
      <c r="AY359" s="1158"/>
      <c r="AZ359" s="1158"/>
      <c r="BA359" s="1158"/>
      <c r="BB359" s="1158"/>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087"/>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56"/>
      <c r="AV360" s="1157"/>
      <c r="AW360" s="1158"/>
      <c r="AX360" s="1158"/>
      <c r="AY360" s="1158"/>
      <c r="AZ360" s="1158"/>
      <c r="BA360" s="1158"/>
      <c r="BB360" s="1158"/>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087"/>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56"/>
      <c r="AV361" s="1157"/>
      <c r="AW361" s="1158"/>
      <c r="AX361" s="1158"/>
      <c r="AY361" s="1158"/>
      <c r="AZ361" s="1158"/>
      <c r="BA361" s="1158"/>
      <c r="BB361" s="1158"/>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087"/>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56"/>
      <c r="AV362" s="1157"/>
      <c r="AW362" s="1158"/>
      <c r="AX362" s="1158"/>
      <c r="AY362" s="1158"/>
      <c r="AZ362" s="1158"/>
      <c r="BA362" s="1158"/>
      <c r="BB362" s="1158"/>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087"/>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56"/>
      <c r="AV363" s="1157"/>
      <c r="AW363" s="1158"/>
      <c r="AX363" s="1158"/>
      <c r="AY363" s="1158"/>
      <c r="AZ363" s="1158"/>
      <c r="BA363" s="1158"/>
      <c r="BB363" s="1158"/>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087"/>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56"/>
      <c r="AV364" s="1157"/>
      <c r="AW364" s="1158"/>
      <c r="AX364" s="1158"/>
      <c r="AY364" s="1158"/>
      <c r="AZ364" s="1158"/>
      <c r="BA364" s="1158"/>
      <c r="BB364" s="1158"/>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087"/>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56"/>
      <c r="AV365" s="1157"/>
      <c r="AW365" s="1158"/>
      <c r="AX365" s="1158"/>
      <c r="AY365" s="1158"/>
      <c r="AZ365" s="1158"/>
      <c r="BA365" s="1158"/>
      <c r="BB365" s="1158"/>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087"/>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56"/>
      <c r="AV366" s="1157"/>
      <c r="AW366" s="1158"/>
      <c r="AX366" s="1158"/>
      <c r="AY366" s="1158"/>
      <c r="AZ366" s="1158"/>
      <c r="BA366" s="1158"/>
      <c r="BB366" s="1158"/>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087"/>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56"/>
      <c r="AV367" s="1157"/>
      <c r="AW367" s="1158"/>
      <c r="AX367" s="1158"/>
      <c r="AY367" s="1158"/>
      <c r="AZ367" s="1158"/>
      <c r="BA367" s="1158"/>
      <c r="BB367" s="1158"/>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087"/>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56"/>
      <c r="AV368" s="1157"/>
      <c r="AW368" s="1158"/>
      <c r="AX368" s="1158"/>
      <c r="AY368" s="1158"/>
      <c r="AZ368" s="1158"/>
      <c r="BA368" s="1158"/>
      <c r="BB368" s="1158"/>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087"/>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56"/>
      <c r="AV369" s="1157"/>
      <c r="AW369" s="1158"/>
      <c r="AX369" s="1158"/>
      <c r="AY369" s="1158"/>
      <c r="AZ369" s="1158"/>
      <c r="BA369" s="1158"/>
      <c r="BB369" s="1158"/>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087"/>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56"/>
      <c r="AV370" s="1157"/>
      <c r="AW370" s="1158"/>
      <c r="AX370" s="1158"/>
      <c r="AY370" s="1158"/>
      <c r="AZ370" s="1158"/>
      <c r="BA370" s="1158"/>
      <c r="BB370" s="1158"/>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087"/>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56"/>
      <c r="AV371" s="1157"/>
      <c r="AW371" s="1158"/>
      <c r="AX371" s="1158"/>
      <c r="AY371" s="1158"/>
      <c r="AZ371" s="1158"/>
      <c r="BA371" s="1158"/>
      <c r="BB371" s="1158"/>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087"/>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56"/>
      <c r="AV372" s="1157"/>
      <c r="AW372" s="1158"/>
      <c r="AX372" s="1158"/>
      <c r="AY372" s="1158"/>
      <c r="AZ372" s="1158"/>
      <c r="BA372" s="1158"/>
      <c r="BB372" s="1158"/>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087"/>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56"/>
      <c r="AV373" s="1157"/>
      <c r="AW373" s="1158"/>
      <c r="AX373" s="1158"/>
      <c r="AY373" s="1158"/>
      <c r="AZ373" s="1158"/>
      <c r="BA373" s="1158"/>
      <c r="BB373" s="1158"/>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087"/>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56"/>
      <c r="AV374" s="1157"/>
      <c r="AW374" s="1158"/>
      <c r="AX374" s="1158"/>
      <c r="AY374" s="1158"/>
      <c r="AZ374" s="1158"/>
      <c r="BA374" s="1158"/>
      <c r="BB374" s="1158"/>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087"/>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56"/>
      <c r="AV375" s="1157"/>
      <c r="AW375" s="1158"/>
      <c r="AX375" s="1158"/>
      <c r="AY375" s="1158"/>
      <c r="AZ375" s="1158"/>
      <c r="BA375" s="1158"/>
      <c r="BB375" s="1158"/>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087"/>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56"/>
      <c r="AV376" s="1157"/>
      <c r="AW376" s="1158"/>
      <c r="AX376" s="1158"/>
      <c r="AY376" s="1158"/>
      <c r="AZ376" s="1158"/>
      <c r="BA376" s="1158"/>
      <c r="BB376" s="1158"/>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087"/>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56"/>
      <c r="AV377" s="1157"/>
      <c r="AW377" s="1158"/>
      <c r="AX377" s="1158"/>
      <c r="AY377" s="1158"/>
      <c r="AZ377" s="1158"/>
      <c r="BA377" s="1158"/>
      <c r="BB377" s="1158"/>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087"/>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56"/>
      <c r="AV378" s="1157"/>
      <c r="AW378" s="1158"/>
      <c r="AX378" s="1158"/>
      <c r="AY378" s="1158"/>
      <c r="AZ378" s="1158"/>
      <c r="BA378" s="1158"/>
      <c r="BB378" s="1158"/>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087"/>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56"/>
      <c r="AV379" s="1157"/>
      <c r="AW379" s="1158"/>
      <c r="AX379" s="1158"/>
      <c r="AY379" s="1158"/>
      <c r="AZ379" s="1158"/>
      <c r="BA379" s="1158"/>
      <c r="BB379" s="1158"/>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087"/>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56"/>
      <c r="AV380" s="1157"/>
      <c r="AW380" s="1158"/>
      <c r="AX380" s="1158"/>
      <c r="AY380" s="1158"/>
      <c r="AZ380" s="1158"/>
      <c r="BA380" s="1158"/>
      <c r="BB380" s="1158"/>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087"/>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56"/>
      <c r="AV381" s="1157"/>
      <c r="AW381" s="1158"/>
      <c r="AX381" s="1158"/>
      <c r="AY381" s="1158"/>
      <c r="AZ381" s="1158"/>
      <c r="BA381" s="1158"/>
      <c r="BB381" s="1158"/>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087"/>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56"/>
      <c r="AV382" s="1157"/>
      <c r="AW382" s="1158"/>
      <c r="AX382" s="1158"/>
      <c r="AY382" s="1158"/>
      <c r="AZ382" s="1158"/>
      <c r="BA382" s="1158"/>
      <c r="BB382" s="1158"/>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087"/>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56"/>
      <c r="AV383" s="1157"/>
      <c r="AW383" s="1158"/>
      <c r="AX383" s="1158"/>
      <c r="AY383" s="1158"/>
      <c r="AZ383" s="1158"/>
      <c r="BA383" s="1158"/>
      <c r="BB383" s="1158"/>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087"/>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56"/>
      <c r="AV384" s="1157"/>
      <c r="AW384" s="1158"/>
      <c r="AX384" s="1158"/>
      <c r="AY384" s="1158"/>
      <c r="AZ384" s="1158"/>
      <c r="BA384" s="1158"/>
      <c r="BB384" s="1158"/>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087"/>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56"/>
      <c r="AV385" s="1157"/>
      <c r="AW385" s="1158"/>
      <c r="AX385" s="1158"/>
      <c r="AY385" s="1158"/>
      <c r="AZ385" s="1158"/>
      <c r="BA385" s="1158"/>
      <c r="BB385" s="1158"/>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087"/>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56"/>
      <c r="AV386" s="1157"/>
      <c r="AW386" s="1158"/>
      <c r="AX386" s="1158"/>
      <c r="AY386" s="1158"/>
      <c r="AZ386" s="1158"/>
      <c r="BA386" s="1158"/>
      <c r="BB386" s="1158"/>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087"/>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56"/>
      <c r="AV387" s="1157"/>
      <c r="AW387" s="1158"/>
      <c r="AX387" s="1158"/>
      <c r="AY387" s="1158"/>
      <c r="AZ387" s="1158"/>
      <c r="BA387" s="1158"/>
      <c r="BB387" s="1158"/>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087"/>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56"/>
      <c r="AV388" s="1157"/>
      <c r="AW388" s="1158"/>
      <c r="AX388" s="1158"/>
      <c r="AY388" s="1158"/>
      <c r="AZ388" s="1158"/>
      <c r="BA388" s="1158"/>
      <c r="BB388" s="1158"/>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087"/>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56"/>
      <c r="AV389" s="1157"/>
      <c r="AW389" s="1158"/>
      <c r="AX389" s="1158"/>
      <c r="AY389" s="1158"/>
      <c r="AZ389" s="1158"/>
      <c r="BA389" s="1158"/>
      <c r="BB389" s="1158"/>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087"/>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56"/>
      <c r="AV390" s="1157"/>
      <c r="AW390" s="1158"/>
      <c r="AX390" s="1158"/>
      <c r="AY390" s="1158"/>
      <c r="AZ390" s="1158"/>
      <c r="BA390" s="1158"/>
      <c r="BB390" s="1158"/>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087"/>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56"/>
      <c r="AV391" s="1157"/>
      <c r="AW391" s="1158"/>
      <c r="AX391" s="1158"/>
      <c r="AY391" s="1158"/>
      <c r="AZ391" s="1158"/>
      <c r="BA391" s="1158"/>
      <c r="BB391" s="1158"/>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087"/>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56"/>
      <c r="AV392" s="1157"/>
      <c r="AW392" s="1158"/>
      <c r="AX392" s="1158"/>
      <c r="AY392" s="1158"/>
      <c r="AZ392" s="1158"/>
      <c r="BA392" s="1158"/>
      <c r="BB392" s="1158"/>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087"/>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56"/>
      <c r="AV393" s="1157"/>
      <c r="AW393" s="1158"/>
      <c r="AX393" s="1158"/>
      <c r="AY393" s="1158"/>
      <c r="AZ393" s="1158"/>
      <c r="BA393" s="1158"/>
      <c r="BB393" s="1158"/>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087"/>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56"/>
      <c r="AV394" s="1157"/>
      <c r="AW394" s="1158"/>
      <c r="AX394" s="1158"/>
      <c r="AY394" s="1158"/>
      <c r="AZ394" s="1158"/>
      <c r="BA394" s="1158"/>
      <c r="BB394" s="1158"/>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087"/>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56"/>
      <c r="AV395" s="1157"/>
      <c r="AW395" s="1158"/>
      <c r="AX395" s="1158"/>
      <c r="AY395" s="1158"/>
      <c r="AZ395" s="1158"/>
      <c r="BA395" s="1158"/>
      <c r="BB395" s="1158"/>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087"/>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56"/>
      <c r="AV396" s="1157"/>
      <c r="AW396" s="1158"/>
      <c r="AX396" s="1158"/>
      <c r="AY396" s="1158"/>
      <c r="AZ396" s="1158"/>
      <c r="BA396" s="1158"/>
      <c r="BB396" s="1158"/>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087"/>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56"/>
      <c r="AV397" s="1157"/>
      <c r="AW397" s="1158"/>
      <c r="AX397" s="1158"/>
      <c r="AY397" s="1158"/>
      <c r="AZ397" s="1158"/>
      <c r="BA397" s="1158"/>
      <c r="BB397" s="1158"/>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087"/>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56"/>
      <c r="AV398" s="1157"/>
      <c r="AW398" s="1158"/>
      <c r="AX398" s="1158"/>
      <c r="AY398" s="1158"/>
      <c r="AZ398" s="1158"/>
      <c r="BA398" s="1158"/>
      <c r="BB398" s="1158"/>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087"/>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56"/>
      <c r="AV399" s="1157"/>
      <c r="AW399" s="1158"/>
      <c r="AX399" s="1158"/>
      <c r="AY399" s="1158"/>
      <c r="AZ399" s="1158"/>
      <c r="BA399" s="1158"/>
      <c r="BB399" s="1158"/>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087"/>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56"/>
      <c r="AV400" s="1157"/>
      <c r="AW400" s="1158"/>
      <c r="AX400" s="1158"/>
      <c r="AY400" s="1158"/>
      <c r="AZ400" s="1158"/>
      <c r="BA400" s="1158"/>
      <c r="BB400" s="1158"/>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087"/>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56"/>
      <c r="AV401" s="1157"/>
      <c r="AW401" s="1158"/>
      <c r="AX401" s="1158"/>
      <c r="AY401" s="1158"/>
      <c r="AZ401" s="1158"/>
      <c r="BA401" s="1158"/>
      <c r="BB401" s="1158"/>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087"/>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56"/>
      <c r="AV402" s="1157"/>
      <c r="AW402" s="1158"/>
      <c r="AX402" s="1158"/>
      <c r="AY402" s="1158"/>
      <c r="AZ402" s="1158"/>
      <c r="BA402" s="1158"/>
      <c r="BB402" s="1158"/>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087"/>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56"/>
      <c r="AV403" s="1157"/>
      <c r="AW403" s="1158"/>
      <c r="AX403" s="1158"/>
      <c r="AY403" s="1158"/>
      <c r="AZ403" s="1158"/>
      <c r="BA403" s="1158"/>
      <c r="BB403" s="1158"/>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087"/>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56"/>
      <c r="AV404" s="1157"/>
      <c r="AW404" s="1158"/>
      <c r="AX404" s="1158"/>
      <c r="AY404" s="1158"/>
      <c r="AZ404" s="1158"/>
      <c r="BA404" s="1158"/>
      <c r="BB404" s="1158"/>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087"/>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56"/>
      <c r="AV405" s="1157"/>
      <c r="AW405" s="1158"/>
      <c r="AX405" s="1158"/>
      <c r="AY405" s="1158"/>
      <c r="AZ405" s="1158"/>
      <c r="BA405" s="1158"/>
      <c r="BB405" s="1158"/>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087"/>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56"/>
      <c r="AV406" s="1157"/>
      <c r="AW406" s="1158"/>
      <c r="AX406" s="1158"/>
      <c r="AY406" s="1158"/>
      <c r="AZ406" s="1158"/>
      <c r="BA406" s="1158"/>
      <c r="BB406" s="1158"/>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087"/>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56"/>
      <c r="AV407" s="1157"/>
      <c r="AW407" s="1158"/>
      <c r="AX407" s="1158"/>
      <c r="AY407" s="1158"/>
      <c r="AZ407" s="1158"/>
      <c r="BA407" s="1158"/>
      <c r="BB407" s="1158"/>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087"/>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56"/>
      <c r="AV408" s="1157"/>
      <c r="AW408" s="1158"/>
      <c r="AX408" s="1158"/>
      <c r="AY408" s="1158"/>
      <c r="AZ408" s="1158"/>
      <c r="BA408" s="1158"/>
      <c r="BB408" s="1158"/>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087"/>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56"/>
      <c r="AV409" s="1157"/>
      <c r="AW409" s="1158"/>
      <c r="AX409" s="1158"/>
      <c r="AY409" s="1158"/>
      <c r="AZ409" s="1158"/>
      <c r="BA409" s="1158"/>
      <c r="BB409" s="1158"/>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087"/>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56"/>
      <c r="AV410" s="1157"/>
      <c r="AW410" s="1158"/>
      <c r="AX410" s="1158"/>
      <c r="AY410" s="1158"/>
      <c r="AZ410" s="1158"/>
      <c r="BA410" s="1158"/>
      <c r="BB410" s="1158"/>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087"/>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56"/>
      <c r="AV411" s="1157"/>
      <c r="AW411" s="1158"/>
      <c r="AX411" s="1158"/>
      <c r="AY411" s="1158"/>
      <c r="AZ411" s="1158"/>
      <c r="BA411" s="1158"/>
      <c r="BB411" s="1158"/>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087"/>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56"/>
      <c r="AV412" s="1157"/>
      <c r="AW412" s="1158"/>
      <c r="AX412" s="1158"/>
      <c r="AY412" s="1158"/>
      <c r="AZ412" s="1158"/>
      <c r="BA412" s="1158"/>
      <c r="BB412" s="1158"/>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087"/>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56"/>
      <c r="AV413" s="1157"/>
      <c r="AW413" s="1158"/>
      <c r="AX413" s="1158"/>
      <c r="AY413" s="1158"/>
      <c r="AZ413" s="1158"/>
      <c r="BA413" s="1158"/>
      <c r="BB413" s="1158"/>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087"/>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56"/>
      <c r="AV414" s="1157"/>
      <c r="AW414" s="1158"/>
      <c r="AX414" s="1158"/>
      <c r="AY414" s="1158"/>
      <c r="AZ414" s="1158"/>
      <c r="BA414" s="1158"/>
      <c r="BB414" s="1158"/>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087"/>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56"/>
      <c r="AV415" s="1157"/>
      <c r="AW415" s="1158"/>
      <c r="AX415" s="1158"/>
      <c r="AY415" s="1158"/>
      <c r="AZ415" s="1158"/>
      <c r="BA415" s="1158"/>
      <c r="BB415" s="1158"/>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087"/>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56"/>
      <c r="AV416" s="1157"/>
      <c r="AW416" s="1158"/>
      <c r="AX416" s="1158"/>
      <c r="AY416" s="1158"/>
      <c r="AZ416" s="1158"/>
      <c r="BA416" s="1158"/>
      <c r="BB416" s="1158"/>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087"/>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56"/>
      <c r="AV417" s="1157"/>
      <c r="AW417" s="1158"/>
      <c r="AX417" s="1158"/>
      <c r="AY417" s="1158"/>
      <c r="AZ417" s="1158"/>
      <c r="BA417" s="1158"/>
      <c r="BB417" s="1158"/>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087"/>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56"/>
      <c r="AV418" s="1157"/>
      <c r="AW418" s="1158"/>
      <c r="AX418" s="1158"/>
      <c r="AY418" s="1158"/>
      <c r="AZ418" s="1158"/>
      <c r="BA418" s="1158"/>
      <c r="BB418" s="1158"/>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087"/>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56"/>
      <c r="AV419" s="1157"/>
      <c r="AW419" s="1158"/>
      <c r="AX419" s="1158"/>
      <c r="AY419" s="1158"/>
      <c r="AZ419" s="1158"/>
      <c r="BA419" s="1158"/>
      <c r="BB419" s="1158"/>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087"/>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56"/>
      <c r="AV420" s="1157"/>
      <c r="AW420" s="1158"/>
      <c r="AX420" s="1158"/>
      <c r="AY420" s="1158"/>
      <c r="AZ420" s="1158"/>
      <c r="BA420" s="1158"/>
      <c r="BB420" s="1158"/>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087"/>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56"/>
      <c r="AV421" s="1157"/>
      <c r="AW421" s="1158"/>
      <c r="AX421" s="1158"/>
      <c r="AY421" s="1158"/>
      <c r="AZ421" s="1158"/>
      <c r="BA421" s="1158"/>
      <c r="BB421" s="1158"/>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087"/>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56"/>
      <c r="AV422" s="1157"/>
      <c r="AW422" s="1158"/>
      <c r="AX422" s="1158"/>
      <c r="AY422" s="1158"/>
      <c r="AZ422" s="1158"/>
      <c r="BA422" s="1158"/>
      <c r="BB422" s="1158"/>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087"/>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56"/>
      <c r="AV423" s="1157"/>
      <c r="AW423" s="1158"/>
      <c r="AX423" s="1158"/>
      <c r="AY423" s="1158"/>
      <c r="AZ423" s="1158"/>
      <c r="BA423" s="1158"/>
      <c r="BB423" s="1158"/>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087"/>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56"/>
      <c r="AV424" s="1157"/>
      <c r="AW424" s="1158"/>
      <c r="AX424" s="1158"/>
      <c r="AY424" s="1158"/>
      <c r="AZ424" s="1158"/>
      <c r="BA424" s="1158"/>
      <c r="BB424" s="1158"/>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087"/>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56"/>
      <c r="AV425" s="1157"/>
      <c r="AW425" s="1158"/>
      <c r="AX425" s="1158"/>
      <c r="AY425" s="1158"/>
      <c r="AZ425" s="1158"/>
      <c r="BA425" s="1158"/>
      <c r="BB425" s="1158"/>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087"/>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56"/>
      <c r="AV426" s="1157"/>
      <c r="AW426" s="1158"/>
      <c r="AX426" s="1158"/>
      <c r="AY426" s="1158"/>
      <c r="AZ426" s="1158"/>
      <c r="BA426" s="1158"/>
      <c r="BB426" s="1158"/>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087"/>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56"/>
      <c r="AV427" s="1157"/>
      <c r="AW427" s="1158"/>
      <c r="AX427" s="1158"/>
      <c r="AY427" s="1158"/>
      <c r="AZ427" s="1158"/>
      <c r="BA427" s="1158"/>
      <c r="BB427" s="1158"/>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087"/>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56"/>
      <c r="AV428" s="1157"/>
      <c r="AW428" s="1158"/>
      <c r="AX428" s="1158"/>
      <c r="AY428" s="1158"/>
      <c r="AZ428" s="1158"/>
      <c r="BA428" s="1158"/>
      <c r="BB428" s="1158"/>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087"/>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56"/>
      <c r="AV429" s="1157"/>
      <c r="AW429" s="1158"/>
      <c r="AX429" s="1158"/>
      <c r="AY429" s="1158"/>
      <c r="AZ429" s="1158"/>
      <c r="BA429" s="1158"/>
      <c r="BB429" s="1158"/>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087"/>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56"/>
      <c r="AV430" s="1157"/>
      <c r="AW430" s="1158"/>
      <c r="AX430" s="1158"/>
      <c r="AY430" s="1158"/>
      <c r="AZ430" s="1158"/>
      <c r="BA430" s="1158"/>
      <c r="BB430" s="1158"/>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087"/>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56"/>
      <c r="AV431" s="1157"/>
      <c r="AW431" s="1158"/>
      <c r="AX431" s="1158"/>
      <c r="AY431" s="1158"/>
      <c r="AZ431" s="1158"/>
      <c r="BA431" s="1158"/>
      <c r="BB431" s="1158"/>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087"/>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56"/>
      <c r="AV432" s="1157"/>
      <c r="AW432" s="1158"/>
      <c r="AX432" s="1158"/>
      <c r="AY432" s="1158"/>
      <c r="AZ432" s="1158"/>
      <c r="BA432" s="1158"/>
      <c r="BB432" s="1158"/>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087"/>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56"/>
      <c r="AV433" s="1157"/>
      <c r="AW433" s="1158"/>
      <c r="AX433" s="1158"/>
      <c r="AY433" s="1158"/>
      <c r="AZ433" s="1158"/>
      <c r="BA433" s="1158"/>
      <c r="BB433" s="1158"/>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087"/>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56"/>
      <c r="AV434" s="1157"/>
      <c r="AW434" s="1158"/>
      <c r="AX434" s="1158"/>
      <c r="AY434" s="1158"/>
      <c r="AZ434" s="1158"/>
      <c r="BA434" s="1158"/>
      <c r="BB434" s="1158"/>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087"/>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56"/>
      <c r="AV435" s="1157"/>
      <c r="AW435" s="1158"/>
      <c r="AX435" s="1158"/>
      <c r="AY435" s="1158"/>
      <c r="AZ435" s="1158"/>
      <c r="BA435" s="1158"/>
      <c r="BB435" s="1158"/>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087"/>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56"/>
      <c r="AV436" s="1157"/>
      <c r="AW436" s="1158"/>
      <c r="AX436" s="1158"/>
      <c r="AY436" s="1158"/>
      <c r="AZ436" s="1158"/>
      <c r="BA436" s="1158"/>
      <c r="BB436" s="1158"/>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087"/>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56"/>
      <c r="AV437" s="1157"/>
      <c r="AW437" s="1158"/>
      <c r="AX437" s="1158"/>
      <c r="AY437" s="1158"/>
      <c r="AZ437" s="1158"/>
      <c r="BA437" s="1158"/>
      <c r="BB437" s="1158"/>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087"/>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56"/>
      <c r="AV438" s="1157"/>
      <c r="AW438" s="1158"/>
      <c r="AX438" s="1158"/>
      <c r="AY438" s="1158"/>
      <c r="AZ438" s="1158"/>
      <c r="BA438" s="1158"/>
      <c r="BB438" s="1158"/>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087"/>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56"/>
      <c r="AV439" s="1157"/>
      <c r="AW439" s="1158"/>
      <c r="AX439" s="1158"/>
      <c r="AY439" s="1158"/>
      <c r="AZ439" s="1158"/>
      <c r="BA439" s="1158"/>
      <c r="BB439" s="1158"/>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087"/>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56"/>
      <c r="AV440" s="1157"/>
      <c r="AW440" s="1158"/>
      <c r="AX440" s="1158"/>
      <c r="AY440" s="1158"/>
      <c r="AZ440" s="1158"/>
      <c r="BA440" s="1158"/>
      <c r="BB440" s="1158"/>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087"/>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56"/>
      <c r="AV441" s="1157"/>
      <c r="AW441" s="1158"/>
      <c r="AX441" s="1158"/>
      <c r="AY441" s="1158"/>
      <c r="AZ441" s="1158"/>
      <c r="BA441" s="1158"/>
      <c r="BB441" s="1158"/>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087"/>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56"/>
      <c r="AV442" s="1157"/>
      <c r="AW442" s="1158"/>
      <c r="AX442" s="1158"/>
      <c r="AY442" s="1158"/>
      <c r="AZ442" s="1158"/>
      <c r="BA442" s="1158"/>
      <c r="BB442" s="1158"/>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087"/>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56"/>
      <c r="AV443" s="1157"/>
      <c r="AW443" s="1158"/>
      <c r="AX443" s="1158"/>
      <c r="AY443" s="1158"/>
      <c r="AZ443" s="1158"/>
      <c r="BA443" s="1158"/>
      <c r="BB443" s="1158"/>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087"/>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56"/>
      <c r="AV444" s="1157"/>
      <c r="AW444" s="1158"/>
      <c r="AX444" s="1158"/>
      <c r="AY444" s="1158"/>
      <c r="AZ444" s="1158"/>
      <c r="BA444" s="1158"/>
      <c r="BB444" s="1158"/>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087"/>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56"/>
      <c r="AV445" s="1157"/>
      <c r="AW445" s="1158"/>
      <c r="AX445" s="1158"/>
      <c r="AY445" s="1158"/>
      <c r="AZ445" s="1158"/>
      <c r="BA445" s="1158"/>
      <c r="BB445" s="1158"/>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087"/>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56"/>
      <c r="AV446" s="1157"/>
      <c r="AW446" s="1158"/>
      <c r="AX446" s="1158"/>
      <c r="AY446" s="1158"/>
      <c r="AZ446" s="1158"/>
      <c r="BA446" s="1158"/>
      <c r="BB446" s="1158"/>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087"/>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56"/>
      <c r="AV447" s="1157"/>
      <c r="AW447" s="1158"/>
      <c r="AX447" s="1158"/>
      <c r="AY447" s="1158"/>
      <c r="AZ447" s="1158"/>
      <c r="BA447" s="1158"/>
      <c r="BB447" s="1158"/>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087"/>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56"/>
      <c r="AV448" s="1157"/>
      <c r="AW448" s="1158"/>
      <c r="AX448" s="1158"/>
      <c r="AY448" s="1158"/>
      <c r="AZ448" s="1158"/>
      <c r="BA448" s="1158"/>
      <c r="BB448" s="1158"/>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087"/>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56"/>
      <c r="AV449" s="1157"/>
      <c r="AW449" s="1158"/>
      <c r="AX449" s="1158"/>
      <c r="AY449" s="1158"/>
      <c r="AZ449" s="1158"/>
      <c r="BA449" s="1158"/>
      <c r="BB449" s="1158"/>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087"/>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56"/>
      <c r="AV450" s="1157"/>
      <c r="AW450" s="1158"/>
      <c r="AX450" s="1158"/>
      <c r="AY450" s="1158"/>
      <c r="AZ450" s="1158"/>
      <c r="BA450" s="1158"/>
      <c r="BB450" s="1158"/>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087"/>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56"/>
      <c r="AV451" s="1157"/>
      <c r="AW451" s="1158"/>
      <c r="AX451" s="1158"/>
      <c r="AY451" s="1158"/>
      <c r="AZ451" s="1158"/>
      <c r="BA451" s="1158"/>
      <c r="BB451" s="1158"/>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087"/>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56"/>
      <c r="AV452" s="1157"/>
      <c r="AW452" s="1158"/>
      <c r="AX452" s="1158"/>
      <c r="AY452" s="1158"/>
      <c r="AZ452" s="1158"/>
      <c r="BA452" s="1158"/>
      <c r="BB452" s="1158"/>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087"/>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56"/>
      <c r="AV453" s="1157"/>
      <c r="AW453" s="1158"/>
      <c r="AX453" s="1158"/>
      <c r="AY453" s="1158"/>
      <c r="AZ453" s="1158"/>
      <c r="BA453" s="1158"/>
      <c r="BB453" s="1158"/>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087"/>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56"/>
      <c r="AV454" s="1157"/>
      <c r="AW454" s="1158"/>
      <c r="AX454" s="1158"/>
      <c r="AY454" s="1158"/>
      <c r="AZ454" s="1158"/>
      <c r="BA454" s="1158"/>
      <c r="BB454" s="1158"/>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087"/>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56"/>
      <c r="AV455" s="1157"/>
      <c r="AW455" s="1158"/>
      <c r="AX455" s="1158"/>
      <c r="AY455" s="1158"/>
      <c r="AZ455" s="1158"/>
      <c r="BA455" s="1158"/>
      <c r="BB455" s="1158"/>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087"/>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56"/>
      <c r="AV456" s="1157"/>
      <c r="AW456" s="1158"/>
      <c r="AX456" s="1158"/>
      <c r="AY456" s="1158"/>
      <c r="AZ456" s="1158"/>
      <c r="BA456" s="1158"/>
      <c r="BB456" s="1158"/>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087"/>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56"/>
      <c r="AV457" s="1157"/>
      <c r="AW457" s="1158"/>
      <c r="AX457" s="1158"/>
      <c r="AY457" s="1158"/>
      <c r="AZ457" s="1158"/>
      <c r="BA457" s="1158"/>
      <c r="BB457" s="1158"/>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087"/>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56"/>
      <c r="AV458" s="1157"/>
      <c r="AW458" s="1158"/>
      <c r="AX458" s="1158"/>
      <c r="AY458" s="1158"/>
      <c r="AZ458" s="1158"/>
      <c r="BA458" s="1158"/>
      <c r="BB458" s="1158"/>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087"/>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56"/>
      <c r="AV459" s="1157"/>
      <c r="AW459" s="1158"/>
      <c r="AX459" s="1158"/>
      <c r="AY459" s="1158"/>
      <c r="AZ459" s="1158"/>
      <c r="BA459" s="1158"/>
      <c r="BB459" s="1158"/>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087"/>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56"/>
      <c r="AV460" s="1157"/>
      <c r="AW460" s="1158"/>
      <c r="AX460" s="1158"/>
      <c r="AY460" s="1158"/>
      <c r="AZ460" s="1158"/>
      <c r="BA460" s="1158"/>
      <c r="BB460" s="1158"/>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087"/>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56"/>
      <c r="AV461" s="1157"/>
      <c r="AW461" s="1158"/>
      <c r="AX461" s="1158"/>
      <c r="AY461" s="1158"/>
      <c r="AZ461" s="1158"/>
      <c r="BA461" s="1158"/>
      <c r="BB461" s="1158"/>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087"/>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56"/>
      <c r="AV462" s="1157"/>
      <c r="AW462" s="1158"/>
      <c r="AX462" s="1158"/>
      <c r="AY462" s="1158"/>
      <c r="AZ462" s="1158"/>
      <c r="BA462" s="1158"/>
      <c r="BB462" s="1158"/>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087"/>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56"/>
      <c r="AV463" s="1157"/>
      <c r="AW463" s="1158"/>
      <c r="AX463" s="1158"/>
      <c r="AY463" s="1158"/>
      <c r="AZ463" s="1158"/>
      <c r="BA463" s="1158"/>
      <c r="BB463" s="1158"/>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087"/>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56"/>
      <c r="AV464" s="1157"/>
      <c r="AW464" s="1158"/>
      <c r="AX464" s="1158"/>
      <c r="AY464" s="1158"/>
      <c r="AZ464" s="1158"/>
      <c r="BA464" s="1158"/>
      <c r="BB464" s="1158"/>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087"/>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56"/>
      <c r="AV465" s="1157"/>
      <c r="AW465" s="1158"/>
      <c r="AX465" s="1158"/>
      <c r="AY465" s="1158"/>
      <c r="AZ465" s="1158"/>
      <c r="BA465" s="1158"/>
      <c r="BB465" s="1158"/>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087"/>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56"/>
      <c r="AV466" s="1157"/>
      <c r="AW466" s="1158"/>
      <c r="AX466" s="1158"/>
      <c r="AY466" s="1158"/>
      <c r="AZ466" s="1158"/>
      <c r="BA466" s="1158"/>
      <c r="BB466" s="1158"/>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087"/>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56"/>
      <c r="AV467" s="1157"/>
      <c r="AW467" s="1158"/>
      <c r="AX467" s="1158"/>
      <c r="AY467" s="1158"/>
      <c r="AZ467" s="1158"/>
      <c r="BA467" s="1158"/>
      <c r="BB467" s="1158"/>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087"/>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56"/>
      <c r="AV468" s="1157"/>
      <c r="AW468" s="1158"/>
      <c r="AX468" s="1158"/>
      <c r="AY468" s="1158"/>
      <c r="AZ468" s="1158"/>
      <c r="BA468" s="1158"/>
      <c r="BB468" s="1158"/>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087"/>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56"/>
      <c r="AV469" s="1157"/>
      <c r="AW469" s="1158"/>
      <c r="AX469" s="1158"/>
      <c r="AY469" s="1158"/>
      <c r="AZ469" s="1158"/>
      <c r="BA469" s="1158"/>
      <c r="BB469" s="1158"/>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087"/>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56"/>
      <c r="AV470" s="1157"/>
      <c r="AW470" s="1158"/>
      <c r="AX470" s="1158"/>
      <c r="AY470" s="1158"/>
      <c r="AZ470" s="1158"/>
      <c r="BA470" s="1158"/>
      <c r="BB470" s="1158"/>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087"/>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56"/>
      <c r="AV471" s="1157"/>
      <c r="AW471" s="1158"/>
      <c r="AX471" s="1158"/>
      <c r="AY471" s="1158"/>
      <c r="AZ471" s="1158"/>
      <c r="BA471" s="1158"/>
      <c r="BB471" s="1158"/>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087"/>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56"/>
      <c r="AV472" s="1157"/>
      <c r="AW472" s="1158"/>
      <c r="AX472" s="1158"/>
      <c r="AY472" s="1158"/>
      <c r="AZ472" s="1158"/>
      <c r="BA472" s="1158"/>
      <c r="BB472" s="1158"/>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087"/>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56"/>
      <c r="AV473" s="1157"/>
      <c r="AW473" s="1158"/>
      <c r="AX473" s="1158"/>
      <c r="AY473" s="1158"/>
      <c r="AZ473" s="1158"/>
      <c r="BA473" s="1158"/>
      <c r="BB473" s="1158"/>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087"/>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56"/>
      <c r="AV474" s="1157"/>
      <c r="AW474" s="1158"/>
      <c r="AX474" s="1158"/>
      <c r="AY474" s="1158"/>
      <c r="AZ474" s="1158"/>
      <c r="BA474" s="1158"/>
      <c r="BB474" s="1158"/>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087"/>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56"/>
      <c r="AV475" s="1157"/>
      <c r="AW475" s="1158"/>
      <c r="AX475" s="1158"/>
      <c r="AY475" s="1158"/>
      <c r="AZ475" s="1158"/>
      <c r="BA475" s="1158"/>
      <c r="BB475" s="1158"/>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087"/>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56"/>
      <c r="AV476" s="1157"/>
      <c r="AW476" s="1158"/>
      <c r="AX476" s="1158"/>
      <c r="AY476" s="1158"/>
      <c r="AZ476" s="1158"/>
      <c r="BA476" s="1158"/>
      <c r="BB476" s="1158"/>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087"/>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56"/>
      <c r="AV477" s="1157"/>
      <c r="AW477" s="1158"/>
      <c r="AX477" s="1158"/>
      <c r="AY477" s="1158"/>
      <c r="AZ477" s="1158"/>
      <c r="BA477" s="1158"/>
      <c r="BB477" s="1158"/>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087"/>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56"/>
      <c r="AV478" s="1157"/>
      <c r="AW478" s="1158"/>
      <c r="AX478" s="1158"/>
      <c r="AY478" s="1158"/>
      <c r="AZ478" s="1158"/>
      <c r="BA478" s="1158"/>
      <c r="BB478" s="1158"/>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087"/>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56"/>
      <c r="AV479" s="1157"/>
      <c r="AW479" s="1158"/>
      <c r="AX479" s="1158"/>
      <c r="AY479" s="1158"/>
      <c r="AZ479" s="1158"/>
      <c r="BA479" s="1158"/>
      <c r="BB479" s="1158"/>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087"/>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56"/>
      <c r="AV480" s="1157"/>
      <c r="AW480" s="1158"/>
      <c r="AX480" s="1158"/>
      <c r="AY480" s="1158"/>
      <c r="AZ480" s="1158"/>
      <c r="BA480" s="1158"/>
      <c r="BB480" s="1158"/>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087"/>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56"/>
      <c r="AV481" s="1157"/>
      <c r="AW481" s="1158"/>
      <c r="AX481" s="1158"/>
      <c r="AY481" s="1158"/>
      <c r="AZ481" s="1158"/>
      <c r="BA481" s="1158"/>
      <c r="BB481" s="1158"/>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087"/>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56"/>
      <c r="AV482" s="1157"/>
      <c r="AW482" s="1158"/>
      <c r="AX482" s="1158"/>
      <c r="AY482" s="1158"/>
      <c r="AZ482" s="1158"/>
      <c r="BA482" s="1158"/>
      <c r="BB482" s="1158"/>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087"/>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56"/>
      <c r="AV483" s="1157"/>
      <c r="AW483" s="1158"/>
      <c r="AX483" s="1158"/>
      <c r="AY483" s="1158"/>
      <c r="AZ483" s="1158"/>
      <c r="BA483" s="1158"/>
      <c r="BB483" s="1158"/>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087"/>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56"/>
      <c r="AV484" s="1157"/>
      <c r="AW484" s="1158"/>
      <c r="AX484" s="1158"/>
      <c r="AY484" s="1158"/>
      <c r="AZ484" s="1158"/>
      <c r="BA484" s="1158"/>
      <c r="BB484" s="1158"/>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087"/>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56"/>
      <c r="AV485" s="1157"/>
      <c r="AW485" s="1158"/>
      <c r="AX485" s="1158"/>
      <c r="AY485" s="1158"/>
      <c r="AZ485" s="1158"/>
      <c r="BA485" s="1158"/>
      <c r="BB485" s="1158"/>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087"/>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56"/>
      <c r="AV486" s="1157"/>
      <c r="AW486" s="1158"/>
      <c r="AX486" s="1158"/>
      <c r="AY486" s="1158"/>
      <c r="AZ486" s="1158"/>
      <c r="BA486" s="1158"/>
      <c r="BB486" s="1158"/>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087"/>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56"/>
      <c r="AV487" s="1157"/>
      <c r="AW487" s="1158"/>
      <c r="AX487" s="1158"/>
      <c r="AY487" s="1158"/>
      <c r="AZ487" s="1158"/>
      <c r="BA487" s="1158"/>
      <c r="BB487" s="1158"/>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087"/>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56"/>
      <c r="AV488" s="1157"/>
      <c r="AW488" s="1158"/>
      <c r="AX488" s="1158"/>
      <c r="AY488" s="1158"/>
      <c r="AZ488" s="1158"/>
      <c r="BA488" s="1158"/>
      <c r="BB488" s="1158"/>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087"/>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56"/>
      <c r="AV489" s="1157"/>
      <c r="AW489" s="1158"/>
      <c r="AX489" s="1158"/>
      <c r="AY489" s="1158"/>
      <c r="AZ489" s="1158"/>
      <c r="BA489" s="1158"/>
      <c r="BB489" s="1158"/>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087"/>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56"/>
      <c r="AV490" s="1157"/>
      <c r="AW490" s="1158"/>
      <c r="AX490" s="1158"/>
      <c r="AY490" s="1158"/>
      <c r="AZ490" s="1158"/>
      <c r="BA490" s="1158"/>
      <c r="BB490" s="1158"/>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087"/>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56"/>
      <c r="AV491" s="1157"/>
      <c r="AW491" s="1158"/>
      <c r="AX491" s="1158"/>
      <c r="AY491" s="1158"/>
      <c r="AZ491" s="1158"/>
      <c r="BA491" s="1158"/>
      <c r="BB491" s="1158"/>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087"/>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56"/>
      <c r="AV492" s="1157"/>
      <c r="AW492" s="1158"/>
      <c r="AX492" s="1158"/>
      <c r="AY492" s="1158"/>
      <c r="AZ492" s="1158"/>
      <c r="BA492" s="1158"/>
      <c r="BB492" s="1158"/>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087"/>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56"/>
      <c r="AV493" s="1157"/>
      <c r="AW493" s="1158"/>
      <c r="AX493" s="1158"/>
      <c r="AY493" s="1158"/>
      <c r="AZ493" s="1158"/>
      <c r="BA493" s="1158"/>
      <c r="BB493" s="1158"/>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087"/>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56"/>
      <c r="AV494" s="1157"/>
      <c r="AW494" s="1158"/>
      <c r="AX494" s="1158"/>
      <c r="AY494" s="1158"/>
      <c r="AZ494" s="1158"/>
      <c r="BA494" s="1158"/>
      <c r="BB494" s="1158"/>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087"/>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56"/>
      <c r="AV495" s="1157"/>
      <c r="AW495" s="1158"/>
      <c r="AX495" s="1158"/>
      <c r="AY495" s="1158"/>
      <c r="AZ495" s="1158"/>
      <c r="BA495" s="1158"/>
      <c r="BB495" s="1158"/>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087"/>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56"/>
      <c r="AV496" s="1157"/>
      <c r="AW496" s="1158"/>
      <c r="AX496" s="1158"/>
      <c r="AY496" s="1158"/>
      <c r="AZ496" s="1158"/>
      <c r="BA496" s="1158"/>
      <c r="BB496" s="1158"/>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087"/>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56"/>
      <c r="AV497" s="1157"/>
      <c r="AW497" s="1158"/>
      <c r="AX497" s="1158"/>
      <c r="AY497" s="1158"/>
      <c r="AZ497" s="1158"/>
      <c r="BA497" s="1158"/>
      <c r="BB497" s="1158"/>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087"/>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56"/>
      <c r="AV498" s="1157"/>
      <c r="AW498" s="1158"/>
      <c r="AX498" s="1158"/>
      <c r="AY498" s="1158"/>
      <c r="AZ498" s="1158"/>
      <c r="BA498" s="1158"/>
      <c r="BB498" s="1158"/>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087"/>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56"/>
      <c r="AV499" s="1157"/>
      <c r="AW499" s="1158"/>
      <c r="AX499" s="1158"/>
      <c r="AY499" s="1158"/>
      <c r="AZ499" s="1158"/>
      <c r="BA499" s="1158"/>
      <c r="BB499" s="1158"/>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087"/>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56"/>
      <c r="AV500" s="1157"/>
      <c r="AW500" s="1158"/>
      <c r="AX500" s="1158"/>
      <c r="AY500" s="1158"/>
      <c r="AZ500" s="1158"/>
      <c r="BA500" s="1158"/>
      <c r="BB500" s="1158"/>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087"/>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56"/>
      <c r="AV501" s="1157"/>
      <c r="AW501" s="1158"/>
      <c r="AX501" s="1158"/>
      <c r="AY501" s="1158"/>
      <c r="AZ501" s="1158"/>
      <c r="BA501" s="1158"/>
      <c r="BB501" s="1158"/>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087"/>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56"/>
      <c r="AV502" s="1157"/>
      <c r="AW502" s="1158"/>
      <c r="AX502" s="1158"/>
      <c r="AY502" s="1158"/>
      <c r="AZ502" s="1158"/>
      <c r="BA502" s="1158"/>
      <c r="BB502" s="1158"/>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087"/>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56"/>
      <c r="AV503" s="1157"/>
      <c r="AW503" s="1158"/>
      <c r="AX503" s="1158"/>
      <c r="AY503" s="1158"/>
      <c r="AZ503" s="1158"/>
      <c r="BA503" s="1158"/>
      <c r="BB503" s="1158"/>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087"/>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56"/>
      <c r="AV504" s="1157"/>
      <c r="AW504" s="1158"/>
      <c r="AX504" s="1158"/>
      <c r="AY504" s="1158"/>
      <c r="AZ504" s="1158"/>
      <c r="BA504" s="1158"/>
      <c r="BB504" s="1158"/>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087"/>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56"/>
      <c r="AV505" s="1157"/>
      <c r="AW505" s="1158"/>
      <c r="AX505" s="1158"/>
      <c r="AY505" s="1158"/>
      <c r="AZ505" s="1158"/>
      <c r="BA505" s="1158"/>
      <c r="BB505" s="1158"/>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087"/>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56"/>
      <c r="AV506" s="1157"/>
      <c r="AW506" s="1158"/>
      <c r="AX506" s="1158"/>
      <c r="AY506" s="1158"/>
      <c r="AZ506" s="1158"/>
      <c r="BA506" s="1158"/>
      <c r="BB506" s="1158"/>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087"/>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56"/>
      <c r="AV507" s="1157"/>
      <c r="AW507" s="1158"/>
      <c r="AX507" s="1158"/>
      <c r="AY507" s="1158"/>
      <c r="AZ507" s="1158"/>
      <c r="BA507" s="1158"/>
      <c r="BB507" s="1158"/>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087"/>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56"/>
      <c r="AV508" s="1157"/>
      <c r="AW508" s="1158"/>
      <c r="AX508" s="1158"/>
      <c r="AY508" s="1158"/>
      <c r="AZ508" s="1158"/>
      <c r="BA508" s="1158"/>
      <c r="BB508" s="1158"/>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087"/>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56"/>
      <c r="AV509" s="1157"/>
      <c r="AW509" s="1158"/>
      <c r="AX509" s="1158"/>
      <c r="AY509" s="1158"/>
      <c r="AZ509" s="1158"/>
      <c r="BA509" s="1158"/>
      <c r="BB509" s="1158"/>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087"/>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56"/>
      <c r="AV510" s="1157"/>
      <c r="AW510" s="1158"/>
      <c r="AX510" s="1158"/>
      <c r="AY510" s="1158"/>
      <c r="AZ510" s="1158"/>
      <c r="BA510" s="1158"/>
      <c r="BB510" s="1158"/>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087"/>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56"/>
      <c r="AV511" s="1157"/>
      <c r="AW511" s="1158"/>
      <c r="AX511" s="1158"/>
      <c r="AY511" s="1158"/>
      <c r="AZ511" s="1158"/>
      <c r="BA511" s="1158"/>
      <c r="BB511" s="1158"/>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087"/>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56"/>
      <c r="AV512" s="1157"/>
      <c r="AW512" s="1158"/>
      <c r="AX512" s="1158"/>
      <c r="AY512" s="1158"/>
      <c r="AZ512" s="1158"/>
      <c r="BA512" s="1158"/>
      <c r="BB512" s="1158"/>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087"/>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56"/>
      <c r="AV513" s="1157"/>
      <c r="AW513" s="1158"/>
      <c r="AX513" s="1158"/>
      <c r="AY513" s="1158"/>
      <c r="AZ513" s="1158"/>
      <c r="BA513" s="1158"/>
      <c r="BB513" s="1158"/>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087"/>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56"/>
      <c r="AV514" s="1157"/>
      <c r="AW514" s="1158"/>
      <c r="AX514" s="1158"/>
      <c r="AY514" s="1158"/>
      <c r="AZ514" s="1158"/>
      <c r="BA514" s="1158"/>
      <c r="BB514" s="1158"/>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087"/>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56"/>
      <c r="AV515" s="1157"/>
      <c r="AW515" s="1158"/>
      <c r="AX515" s="1158"/>
      <c r="AY515" s="1158"/>
      <c r="AZ515" s="1158"/>
      <c r="BA515" s="1158"/>
      <c r="BB515" s="1158"/>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087"/>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56"/>
      <c r="AV516" s="1157"/>
      <c r="AW516" s="1158"/>
      <c r="AX516" s="1158"/>
      <c r="AY516" s="1158"/>
      <c r="AZ516" s="1158"/>
      <c r="BA516" s="1158"/>
      <c r="BB516" s="1158"/>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087"/>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56"/>
      <c r="AV517" s="1157"/>
      <c r="AW517" s="1158"/>
      <c r="AX517" s="1158"/>
      <c r="AY517" s="1158"/>
      <c r="AZ517" s="1158"/>
      <c r="BA517" s="1158"/>
      <c r="BB517" s="1158"/>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087"/>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56"/>
      <c r="AV518" s="1157"/>
      <c r="AW518" s="1158"/>
      <c r="AX518" s="1158"/>
      <c r="AY518" s="1158"/>
      <c r="AZ518" s="1158"/>
      <c r="BA518" s="1158"/>
      <c r="BB518" s="1158"/>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087"/>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56"/>
      <c r="AV519" s="1157"/>
      <c r="AW519" s="1158"/>
      <c r="AX519" s="1158"/>
      <c r="AY519" s="1158"/>
      <c r="AZ519" s="1158"/>
      <c r="BA519" s="1158"/>
      <c r="BB519" s="1158"/>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087"/>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56"/>
      <c r="AV520" s="1157"/>
      <c r="AW520" s="1158"/>
      <c r="AX520" s="1158"/>
      <c r="AY520" s="1158"/>
      <c r="AZ520" s="1158"/>
      <c r="BA520" s="1158"/>
      <c r="BB520" s="1158"/>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087"/>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56"/>
      <c r="AV521" s="1157"/>
      <c r="AW521" s="1158"/>
      <c r="AX521" s="1158"/>
      <c r="AY521" s="1158"/>
      <c r="AZ521" s="1158"/>
      <c r="BA521" s="1158"/>
      <c r="BB521" s="1158"/>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087"/>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56"/>
      <c r="AV522" s="1157"/>
      <c r="AW522" s="1158"/>
      <c r="AX522" s="1158"/>
      <c r="AY522" s="1158"/>
      <c r="AZ522" s="1158"/>
      <c r="BA522" s="1158"/>
      <c r="BB522" s="1158"/>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087"/>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56"/>
      <c r="AV523" s="1157"/>
      <c r="AW523" s="1158"/>
      <c r="AX523" s="1158"/>
      <c r="AY523" s="1158"/>
      <c r="AZ523" s="1158"/>
      <c r="BA523" s="1158"/>
      <c r="BB523" s="1158"/>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087"/>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56"/>
      <c r="AV524" s="1157"/>
      <c r="AW524" s="1158"/>
      <c r="AX524" s="1158"/>
      <c r="AY524" s="1158"/>
      <c r="AZ524" s="1158"/>
      <c r="BA524" s="1158"/>
      <c r="BB524" s="1158"/>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087"/>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56"/>
      <c r="AV525" s="1157"/>
      <c r="AW525" s="1158"/>
      <c r="AX525" s="1158"/>
      <c r="AY525" s="1158"/>
      <c r="AZ525" s="1158"/>
      <c r="BA525" s="1158"/>
      <c r="BB525" s="1158"/>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087"/>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56"/>
      <c r="AV526" s="1157"/>
      <c r="AW526" s="1158"/>
      <c r="AX526" s="1158"/>
      <c r="AY526" s="1158"/>
      <c r="AZ526" s="1158"/>
      <c r="BA526" s="1158"/>
      <c r="BB526" s="1158"/>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087"/>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56"/>
      <c r="AV527" s="1157"/>
      <c r="AW527" s="1158"/>
      <c r="AX527" s="1158"/>
      <c r="AY527" s="1158"/>
      <c r="AZ527" s="1158"/>
      <c r="BA527" s="1158"/>
      <c r="BB527" s="1158"/>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087"/>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56"/>
      <c r="AV528" s="1157"/>
      <c r="AW528" s="1158"/>
      <c r="AX528" s="1158"/>
      <c r="AY528" s="1158"/>
      <c r="AZ528" s="1158"/>
      <c r="BA528" s="1158"/>
      <c r="BB528" s="1158"/>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087"/>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56"/>
      <c r="AV529" s="1157"/>
      <c r="AW529" s="1158"/>
      <c r="AX529" s="1158"/>
      <c r="AY529" s="1158"/>
      <c r="AZ529" s="1158"/>
      <c r="BA529" s="1158"/>
      <c r="BB529" s="1158"/>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087"/>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56"/>
      <c r="AV530" s="1157"/>
      <c r="AW530" s="1158"/>
      <c r="AX530" s="1158"/>
      <c r="AY530" s="1158"/>
      <c r="AZ530" s="1158"/>
      <c r="BA530" s="1158"/>
      <c r="BB530" s="1158"/>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087"/>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56"/>
      <c r="AV531" s="1157"/>
      <c r="AW531" s="1158"/>
      <c r="AX531" s="1158"/>
      <c r="AY531" s="1158"/>
      <c r="AZ531" s="1158"/>
      <c r="BA531" s="1158"/>
      <c r="BB531" s="1158"/>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087"/>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56"/>
      <c r="AV532" s="1157"/>
      <c r="AW532" s="1158"/>
      <c r="AX532" s="1158"/>
      <c r="AY532" s="1158"/>
      <c r="AZ532" s="1158"/>
      <c r="BA532" s="1158"/>
      <c r="BB532" s="1158"/>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087"/>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56"/>
      <c r="AV533" s="1157"/>
      <c r="AW533" s="1158"/>
      <c r="AX533" s="1158"/>
      <c r="AY533" s="1158"/>
      <c r="AZ533" s="1158"/>
      <c r="BA533" s="1158"/>
      <c r="BB533" s="1158"/>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087"/>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56"/>
      <c r="AV534" s="1157"/>
      <c r="AW534" s="1158"/>
      <c r="AX534" s="1158"/>
      <c r="AY534" s="1158"/>
      <c r="AZ534" s="1158"/>
      <c r="BA534" s="1158"/>
      <c r="BB534" s="1158"/>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087"/>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56"/>
      <c r="AV535" s="1157"/>
      <c r="AW535" s="1158"/>
      <c r="AX535" s="1158"/>
      <c r="AY535" s="1158"/>
      <c r="AZ535" s="1158"/>
      <c r="BA535" s="1158"/>
      <c r="BB535" s="1158"/>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087"/>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56"/>
      <c r="AV536" s="1157"/>
      <c r="AW536" s="1158"/>
      <c r="AX536" s="1158"/>
      <c r="AY536" s="1158"/>
      <c r="AZ536" s="1158"/>
      <c r="BA536" s="1158"/>
      <c r="BB536" s="1158"/>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087"/>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56"/>
      <c r="AV537" s="1157"/>
      <c r="AW537" s="1158"/>
      <c r="AX537" s="1158"/>
      <c r="AY537" s="1158"/>
      <c r="AZ537" s="1158"/>
      <c r="BA537" s="1158"/>
      <c r="BB537" s="1158"/>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087"/>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56"/>
      <c r="AV538" s="1157"/>
      <c r="AW538" s="1158"/>
      <c r="AX538" s="1158"/>
      <c r="AY538" s="1158"/>
      <c r="AZ538" s="1158"/>
      <c r="BA538" s="1158"/>
      <c r="BB538" s="1158"/>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087"/>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56"/>
      <c r="AV539" s="1157"/>
      <c r="AW539" s="1158"/>
      <c r="AX539" s="1158"/>
      <c r="AY539" s="1158"/>
      <c r="AZ539" s="1158"/>
      <c r="BA539" s="1158"/>
      <c r="BB539" s="1158"/>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087"/>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56"/>
      <c r="AV540" s="1157"/>
      <c r="AW540" s="1158"/>
      <c r="AX540" s="1158"/>
      <c r="AY540" s="1158"/>
      <c r="AZ540" s="1158"/>
      <c r="BA540" s="1158"/>
      <c r="BB540" s="1158"/>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087"/>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56"/>
      <c r="AV541" s="1157"/>
      <c r="AW541" s="1158"/>
      <c r="AX541" s="1158"/>
      <c r="AY541" s="1158"/>
      <c r="AZ541" s="1158"/>
      <c r="BA541" s="1158"/>
      <c r="BB541" s="1158"/>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087"/>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56"/>
      <c r="AV542" s="1157"/>
      <c r="AW542" s="1158"/>
      <c r="AX542" s="1158"/>
      <c r="AY542" s="1158"/>
      <c r="AZ542" s="1158"/>
      <c r="BA542" s="1158"/>
      <c r="BB542" s="1158"/>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087"/>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56"/>
      <c r="AV543" s="1157"/>
      <c r="AW543" s="1158"/>
      <c r="AX543" s="1158"/>
      <c r="AY543" s="1158"/>
      <c r="AZ543" s="1158"/>
      <c r="BA543" s="1158"/>
      <c r="BB543" s="1158"/>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087"/>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56"/>
      <c r="AV544" s="1157"/>
      <c r="AW544" s="1158"/>
      <c r="AX544" s="1158"/>
      <c r="AY544" s="1158"/>
      <c r="AZ544" s="1158"/>
      <c r="BA544" s="1158"/>
      <c r="BB544" s="1158"/>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087"/>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56"/>
      <c r="AV545" s="1157"/>
      <c r="AW545" s="1158"/>
      <c r="AX545" s="1158"/>
      <c r="AY545" s="1158"/>
      <c r="AZ545" s="1158"/>
      <c r="BA545" s="1158"/>
      <c r="BB545" s="1158"/>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087"/>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56"/>
      <c r="AV546" s="1157"/>
      <c r="AW546" s="1158"/>
      <c r="AX546" s="1158"/>
      <c r="AY546" s="1158"/>
      <c r="AZ546" s="1158"/>
      <c r="BA546" s="1158"/>
      <c r="BB546" s="1158"/>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087"/>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56"/>
      <c r="AV547" s="1157"/>
      <c r="AW547" s="1158"/>
      <c r="AX547" s="1158"/>
      <c r="AY547" s="1158"/>
      <c r="AZ547" s="1158"/>
      <c r="BA547" s="1158"/>
      <c r="BB547" s="1158"/>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087"/>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56"/>
      <c r="AV548" s="1157"/>
      <c r="AW548" s="1158"/>
      <c r="AX548" s="1158"/>
      <c r="AY548" s="1158"/>
      <c r="AZ548" s="1158"/>
      <c r="BA548" s="1158"/>
      <c r="BB548" s="1158"/>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087"/>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56"/>
      <c r="AV549" s="1157"/>
      <c r="AW549" s="1158"/>
      <c r="AX549" s="1158"/>
      <c r="AY549" s="1158"/>
      <c r="AZ549" s="1158"/>
      <c r="BA549" s="1158"/>
      <c r="BB549" s="1158"/>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087"/>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56"/>
      <c r="AV550" s="1157"/>
      <c r="AW550" s="1158"/>
      <c r="AX550" s="1158"/>
      <c r="AY550" s="1158"/>
      <c r="AZ550" s="1158"/>
      <c r="BA550" s="1158"/>
      <c r="BB550" s="1158"/>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087"/>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56"/>
      <c r="AV551" s="1157"/>
      <c r="AW551" s="1158"/>
      <c r="AX551" s="1158"/>
      <c r="AY551" s="1158"/>
      <c r="AZ551" s="1158"/>
      <c r="BA551" s="1158"/>
      <c r="BB551" s="1158"/>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087"/>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56"/>
      <c r="AV552" s="1157"/>
      <c r="AW552" s="1158"/>
      <c r="AX552" s="1158"/>
      <c r="AY552" s="1158"/>
      <c r="AZ552" s="1158"/>
      <c r="BA552" s="1158"/>
      <c r="BB552" s="1158"/>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087"/>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56"/>
      <c r="AV553" s="1157"/>
      <c r="AW553" s="1158"/>
      <c r="AX553" s="1158"/>
      <c r="AY553" s="1158"/>
      <c r="AZ553" s="1158"/>
      <c r="BA553" s="1158"/>
      <c r="BB553" s="1158"/>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087"/>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56"/>
      <c r="AV554" s="1157"/>
      <c r="AW554" s="1158"/>
      <c r="AX554" s="1158"/>
      <c r="AY554" s="1158"/>
      <c r="AZ554" s="1158"/>
      <c r="BA554" s="1158"/>
      <c r="BB554" s="1158"/>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087"/>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56"/>
      <c r="AV555" s="1157"/>
      <c r="AW555" s="1158"/>
      <c r="AX555" s="1158"/>
      <c r="AY555" s="1158"/>
      <c r="AZ555" s="1158"/>
      <c r="BA555" s="1158"/>
      <c r="BB555" s="1158"/>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087"/>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56"/>
      <c r="AV556" s="1157"/>
      <c r="AW556" s="1158"/>
      <c r="AX556" s="1158"/>
      <c r="AY556" s="1158"/>
      <c r="AZ556" s="1158"/>
      <c r="BA556" s="1158"/>
      <c r="BB556" s="1158"/>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087"/>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56"/>
      <c r="AV557" s="1157"/>
      <c r="AW557" s="1158"/>
      <c r="AX557" s="1158"/>
      <c r="AY557" s="1158"/>
      <c r="AZ557" s="1158"/>
      <c r="BA557" s="1158"/>
      <c r="BB557" s="1158"/>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087"/>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56"/>
      <c r="AV558" s="1157"/>
      <c r="AW558" s="1158"/>
      <c r="AX558" s="1158"/>
      <c r="AY558" s="1158"/>
      <c r="AZ558" s="1158"/>
      <c r="BA558" s="1158"/>
      <c r="BB558" s="1158"/>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087"/>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56"/>
      <c r="AV559" s="1157"/>
      <c r="AW559" s="1158"/>
      <c r="AX559" s="1158"/>
      <c r="AY559" s="1158"/>
      <c r="AZ559" s="1158"/>
      <c r="BA559" s="1158"/>
      <c r="BB559" s="1158"/>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087"/>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56"/>
      <c r="AV560" s="1157"/>
      <c r="AW560" s="1158"/>
      <c r="AX560" s="1158"/>
      <c r="AY560" s="1158"/>
      <c r="AZ560" s="1158"/>
      <c r="BA560" s="1158"/>
      <c r="BB560" s="1158"/>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087"/>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56"/>
      <c r="AV561" s="1157"/>
      <c r="AW561" s="1158"/>
      <c r="AX561" s="1158"/>
      <c r="AY561" s="1158"/>
      <c r="AZ561" s="1158"/>
      <c r="BA561" s="1158"/>
      <c r="BB561" s="1158"/>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087"/>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56"/>
      <c r="AV562" s="1157"/>
      <c r="AW562" s="1158"/>
      <c r="AX562" s="1158"/>
      <c r="AY562" s="1158"/>
      <c r="AZ562" s="1158"/>
      <c r="BA562" s="1158"/>
      <c r="BB562" s="1158"/>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087"/>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56"/>
      <c r="AV563" s="1157"/>
      <c r="AW563" s="1158"/>
      <c r="AX563" s="1158"/>
      <c r="AY563" s="1158"/>
      <c r="AZ563" s="1158"/>
      <c r="BA563" s="1158"/>
      <c r="BB563" s="1158"/>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087"/>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56"/>
      <c r="AV564" s="1157"/>
      <c r="AW564" s="1158"/>
      <c r="AX564" s="1158"/>
      <c r="AY564" s="1158"/>
      <c r="AZ564" s="1158"/>
      <c r="BA564" s="1158"/>
      <c r="BB564" s="1158"/>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087"/>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56"/>
      <c r="AV565" s="1157"/>
      <c r="AW565" s="1158"/>
      <c r="AX565" s="1158"/>
      <c r="AY565" s="1158"/>
      <c r="AZ565" s="1158"/>
      <c r="BA565" s="1158"/>
      <c r="BB565" s="1158"/>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087"/>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56"/>
      <c r="AV566" s="1157"/>
      <c r="AW566" s="1158"/>
      <c r="AX566" s="1158"/>
      <c r="AY566" s="1158"/>
      <c r="AZ566" s="1158"/>
      <c r="BA566" s="1158"/>
      <c r="BB566" s="1158"/>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087"/>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56"/>
      <c r="AV567" s="1157"/>
      <c r="AW567" s="1158"/>
      <c r="AX567" s="1158"/>
      <c r="AY567" s="1158"/>
      <c r="AZ567" s="1158"/>
      <c r="BA567" s="1158"/>
      <c r="BB567" s="1158"/>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087"/>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56"/>
      <c r="AV568" s="1157"/>
      <c r="AW568" s="1158"/>
      <c r="AX568" s="1158"/>
      <c r="AY568" s="1158"/>
      <c r="AZ568" s="1158"/>
      <c r="BA568" s="1158"/>
      <c r="BB568" s="1158"/>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087"/>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56"/>
      <c r="AV569" s="1157"/>
      <c r="AW569" s="1158"/>
      <c r="AX569" s="1158"/>
      <c r="AY569" s="1158"/>
      <c r="AZ569" s="1158"/>
      <c r="BA569" s="1158"/>
      <c r="BB569" s="1158"/>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087"/>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56"/>
      <c r="AV570" s="1157"/>
      <c r="AW570" s="1158"/>
      <c r="AX570" s="1158"/>
      <c r="AY570" s="1158"/>
      <c r="AZ570" s="1158"/>
      <c r="BA570" s="1158"/>
      <c r="BB570" s="1158"/>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087"/>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56"/>
      <c r="AV571" s="1157"/>
      <c r="AW571" s="1158"/>
      <c r="AX571" s="1158"/>
      <c r="AY571" s="1158"/>
      <c r="AZ571" s="1158"/>
      <c r="BA571" s="1158"/>
      <c r="BB571" s="1158"/>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087"/>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56"/>
      <c r="AV572" s="1157"/>
      <c r="AW572" s="1158"/>
      <c r="AX572" s="1158"/>
      <c r="AY572" s="1158"/>
      <c r="AZ572" s="1158"/>
      <c r="BA572" s="1158"/>
      <c r="BB572" s="1158"/>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087"/>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56"/>
      <c r="AV573" s="1157"/>
      <c r="AW573" s="1158"/>
      <c r="AX573" s="1158"/>
      <c r="AY573" s="1158"/>
      <c r="AZ573" s="1158"/>
      <c r="BA573" s="1158"/>
      <c r="BB573" s="1158"/>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087"/>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56"/>
      <c r="AV574" s="1157"/>
      <c r="AW574" s="1158"/>
      <c r="AX574" s="1158"/>
      <c r="AY574" s="1158"/>
      <c r="AZ574" s="1158"/>
      <c r="BA574" s="1158"/>
      <c r="BB574" s="1158"/>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087"/>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56"/>
      <c r="AV575" s="1157"/>
      <c r="AW575" s="1158"/>
      <c r="AX575" s="1158"/>
      <c r="AY575" s="1158"/>
      <c r="AZ575" s="1158"/>
      <c r="BA575" s="1158"/>
      <c r="BB575" s="1158"/>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087"/>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56"/>
      <c r="AV576" s="1157"/>
      <c r="AW576" s="1158"/>
      <c r="AX576" s="1158"/>
      <c r="AY576" s="1158"/>
      <c r="AZ576" s="1158"/>
      <c r="BA576" s="1158"/>
      <c r="BB576" s="1158"/>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087"/>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56"/>
      <c r="AV577" s="1157"/>
      <c r="AW577" s="1158"/>
      <c r="AX577" s="1158"/>
      <c r="AY577" s="1158"/>
      <c r="AZ577" s="1158"/>
      <c r="BA577" s="1158"/>
      <c r="BB577" s="1158"/>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087"/>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56"/>
      <c r="AV578" s="1157"/>
      <c r="AW578" s="1158"/>
      <c r="AX578" s="1158"/>
      <c r="AY578" s="1158"/>
      <c r="AZ578" s="1158"/>
      <c r="BA578" s="1158"/>
      <c r="BB578" s="1158"/>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087"/>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56"/>
      <c r="AV579" s="1157"/>
      <c r="AW579" s="1158"/>
      <c r="AX579" s="1158"/>
      <c r="AY579" s="1158"/>
      <c r="AZ579" s="1158"/>
      <c r="BA579" s="1158"/>
      <c r="BB579" s="1158"/>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087"/>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56"/>
      <c r="AV580" s="1157"/>
      <c r="AW580" s="1158"/>
      <c r="AX580" s="1158"/>
      <c r="AY580" s="1158"/>
      <c r="AZ580" s="1158"/>
      <c r="BA580" s="1158"/>
      <c r="BB580" s="1158"/>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087"/>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56"/>
      <c r="AV581" s="1157"/>
      <c r="AW581" s="1158"/>
      <c r="AX581" s="1158"/>
      <c r="AY581" s="1158"/>
      <c r="AZ581" s="1158"/>
      <c r="BA581" s="1158"/>
      <c r="BB581" s="1158"/>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087"/>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56"/>
      <c r="AV582" s="1157"/>
      <c r="AW582" s="1158"/>
      <c r="AX582" s="1158"/>
      <c r="AY582" s="1158"/>
      <c r="AZ582" s="1158"/>
      <c r="BA582" s="1158"/>
      <c r="BB582" s="1158"/>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087"/>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56"/>
      <c r="AV583" s="1157"/>
      <c r="AW583" s="1158"/>
      <c r="AX583" s="1158"/>
      <c r="AY583" s="1158"/>
      <c r="AZ583" s="1158"/>
      <c r="BA583" s="1158"/>
      <c r="BB583" s="1158"/>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087"/>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56"/>
      <c r="AV584" s="1157"/>
      <c r="AW584" s="1158"/>
      <c r="AX584" s="1158"/>
      <c r="AY584" s="1158"/>
      <c r="AZ584" s="1158"/>
      <c r="BA584" s="1158"/>
      <c r="BB584" s="1158"/>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087"/>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56"/>
      <c r="AV585" s="1157"/>
      <c r="AW585" s="1158"/>
      <c r="AX585" s="1158"/>
      <c r="AY585" s="1158"/>
      <c r="AZ585" s="1158"/>
      <c r="BA585" s="1158"/>
      <c r="BB585" s="1158"/>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087"/>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56"/>
      <c r="AV586" s="1157"/>
      <c r="AW586" s="1158"/>
      <c r="AX586" s="1158"/>
      <c r="AY586" s="1158"/>
      <c r="AZ586" s="1158"/>
      <c r="BA586" s="1158"/>
      <c r="BB586" s="1158"/>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087"/>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56"/>
      <c r="AV587" s="1157"/>
      <c r="AW587" s="1158"/>
      <c r="AX587" s="1158"/>
      <c r="AY587" s="1158"/>
      <c r="AZ587" s="1158"/>
      <c r="BA587" s="1158"/>
      <c r="BB587" s="1158"/>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087"/>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56"/>
      <c r="AV588" s="1157"/>
      <c r="AW588" s="1158"/>
      <c r="AX588" s="1158"/>
      <c r="AY588" s="1158"/>
      <c r="AZ588" s="1158"/>
      <c r="BA588" s="1158"/>
      <c r="BB588" s="1158"/>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087"/>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56"/>
      <c r="AV589" s="1157"/>
      <c r="AW589" s="1158"/>
      <c r="AX589" s="1158"/>
      <c r="AY589" s="1158"/>
      <c r="AZ589" s="1158"/>
      <c r="BA589" s="1158"/>
      <c r="BB589" s="1158"/>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087"/>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56"/>
      <c r="AV590" s="1157"/>
      <c r="AW590" s="1158"/>
      <c r="AX590" s="1158"/>
      <c r="AY590" s="1158"/>
      <c r="AZ590" s="1158"/>
      <c r="BA590" s="1158"/>
      <c r="BB590" s="1158"/>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087"/>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56"/>
      <c r="AV591" s="1157"/>
      <c r="AW591" s="1158"/>
      <c r="AX591" s="1158"/>
      <c r="AY591" s="1158"/>
      <c r="AZ591" s="1158"/>
      <c r="BA591" s="1158"/>
      <c r="BB591" s="1158"/>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087"/>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56"/>
      <c r="AV592" s="1157"/>
      <c r="AW592" s="1158"/>
      <c r="AX592" s="1158"/>
      <c r="AY592" s="1158"/>
      <c r="AZ592" s="1158"/>
      <c r="BA592" s="1158"/>
      <c r="BB592" s="1158"/>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087"/>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56"/>
      <c r="AV593" s="1157"/>
      <c r="AW593" s="1158"/>
      <c r="AX593" s="1158"/>
      <c r="AY593" s="1158"/>
      <c r="AZ593" s="1158"/>
      <c r="BA593" s="1158"/>
      <c r="BB593" s="1158"/>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087"/>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56"/>
      <c r="AV594" s="1157"/>
      <c r="AW594" s="1158"/>
      <c r="AX594" s="1158"/>
      <c r="AY594" s="1158"/>
      <c r="AZ594" s="1158"/>
      <c r="BA594" s="1158"/>
      <c r="BB594" s="1158"/>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087"/>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56"/>
      <c r="AV595" s="1157"/>
      <c r="AW595" s="1158"/>
      <c r="AX595" s="1158"/>
      <c r="AY595" s="1158"/>
      <c r="AZ595" s="1158"/>
      <c r="BA595" s="1158"/>
      <c r="BB595" s="1158"/>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087"/>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56"/>
      <c r="AV596" s="1157"/>
      <c r="AW596" s="1158"/>
      <c r="AX596" s="1158"/>
      <c r="AY596" s="1158"/>
      <c r="AZ596" s="1158"/>
      <c r="BA596" s="1158"/>
      <c r="BB596" s="1158"/>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087"/>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56"/>
      <c r="AV597" s="1157"/>
      <c r="AW597" s="1158"/>
      <c r="AX597" s="1158"/>
      <c r="AY597" s="1158"/>
      <c r="AZ597" s="1158"/>
      <c r="BA597" s="1158"/>
      <c r="BB597" s="1158"/>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087"/>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56"/>
      <c r="AV598" s="1157"/>
      <c r="AW598" s="1158"/>
      <c r="AX598" s="1158"/>
      <c r="AY598" s="1158"/>
      <c r="AZ598" s="1158"/>
      <c r="BA598" s="1158"/>
      <c r="BB598" s="1158"/>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087"/>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56"/>
      <c r="AV599" s="1157"/>
      <c r="AW599" s="1158"/>
      <c r="AX599" s="1158"/>
      <c r="AY599" s="1158"/>
      <c r="AZ599" s="1158"/>
      <c r="BA599" s="1158"/>
      <c r="BB599" s="1158"/>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087"/>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56"/>
      <c r="AV600" s="1157"/>
      <c r="AW600" s="1158"/>
      <c r="AX600" s="1158"/>
      <c r="AY600" s="1158"/>
      <c r="AZ600" s="1158"/>
      <c r="BA600" s="1158"/>
      <c r="BB600" s="1158"/>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087"/>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56"/>
      <c r="AV601" s="1157"/>
      <c r="AW601" s="1158"/>
      <c r="AX601" s="1158"/>
      <c r="AY601" s="1158"/>
      <c r="AZ601" s="1158"/>
      <c r="BA601" s="1158"/>
      <c r="BB601" s="1158"/>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087"/>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56"/>
      <c r="AV602" s="1157"/>
      <c r="AW602" s="1158"/>
      <c r="AX602" s="1158"/>
      <c r="AY602" s="1158"/>
      <c r="AZ602" s="1158"/>
      <c r="BA602" s="1158"/>
      <c r="BB602" s="1158"/>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087"/>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56"/>
      <c r="AV603" s="1157"/>
      <c r="AW603" s="1158"/>
      <c r="AX603" s="1158"/>
      <c r="AY603" s="1158"/>
      <c r="AZ603" s="1158"/>
      <c r="BA603" s="1158"/>
      <c r="BB603" s="1158"/>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087"/>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56"/>
      <c r="AV604" s="1157"/>
      <c r="AW604" s="1158"/>
      <c r="AX604" s="1158"/>
      <c r="AY604" s="1158"/>
      <c r="AZ604" s="1158"/>
      <c r="BA604" s="1158"/>
      <c r="BB604" s="1158"/>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087"/>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56"/>
      <c r="AV605" s="1157"/>
      <c r="AW605" s="1158"/>
      <c r="AX605" s="1158"/>
      <c r="AY605" s="1158"/>
      <c r="AZ605" s="1158"/>
      <c r="BA605" s="1158"/>
      <c r="BB605" s="1158"/>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087"/>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56"/>
      <c r="AV606" s="1157"/>
      <c r="AW606" s="1158"/>
      <c r="AX606" s="1158"/>
      <c r="AY606" s="1158"/>
      <c r="AZ606" s="1158"/>
      <c r="BA606" s="1158"/>
      <c r="BB606" s="1158"/>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087"/>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56"/>
      <c r="AV607" s="1157"/>
      <c r="AW607" s="1158"/>
      <c r="AX607" s="1158"/>
      <c r="AY607" s="1158"/>
      <c r="AZ607" s="1158"/>
      <c r="BA607" s="1158"/>
      <c r="BB607" s="1158"/>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087"/>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56"/>
      <c r="AV608" s="1157"/>
      <c r="AW608" s="1158"/>
      <c r="AX608" s="1158"/>
      <c r="AY608" s="1158"/>
      <c r="AZ608" s="1158"/>
      <c r="BA608" s="1158"/>
      <c r="BB608" s="1158"/>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087"/>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56"/>
      <c r="AV609" s="1157"/>
      <c r="AW609" s="1158"/>
      <c r="AX609" s="1158"/>
      <c r="AY609" s="1158"/>
      <c r="AZ609" s="1158"/>
      <c r="BA609" s="1158"/>
      <c r="BB609" s="1158"/>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087"/>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56"/>
      <c r="AV610" s="1157"/>
      <c r="AW610" s="1158"/>
      <c r="AX610" s="1158"/>
      <c r="AY610" s="1158"/>
      <c r="AZ610" s="1158"/>
      <c r="BA610" s="1158"/>
      <c r="BB610" s="1158"/>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087"/>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56"/>
      <c r="AV611" s="1157"/>
      <c r="AW611" s="1158"/>
      <c r="AX611" s="1158"/>
      <c r="AY611" s="1158"/>
      <c r="AZ611" s="1158"/>
      <c r="BA611" s="1158"/>
      <c r="BB611" s="1158"/>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087"/>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56"/>
      <c r="AV612" s="1157"/>
      <c r="AW612" s="1158"/>
      <c r="AX612" s="1158"/>
      <c r="AY612" s="1158"/>
      <c r="AZ612" s="1158"/>
      <c r="BA612" s="1158"/>
      <c r="BB612" s="1158"/>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087"/>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56"/>
      <c r="AV613" s="1157"/>
      <c r="AW613" s="1158"/>
      <c r="AX613" s="1158"/>
      <c r="AY613" s="1158"/>
      <c r="AZ613" s="1158"/>
      <c r="BA613" s="1158"/>
      <c r="BB613" s="1158"/>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087"/>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56"/>
      <c r="AV614" s="1157"/>
      <c r="AW614" s="1158"/>
      <c r="AX614" s="1158"/>
      <c r="AY614" s="1158"/>
      <c r="AZ614" s="1158"/>
      <c r="BA614" s="1158"/>
      <c r="BB614" s="1158"/>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087"/>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56"/>
      <c r="AV615" s="1157"/>
      <c r="AW615" s="1158"/>
      <c r="AX615" s="1158"/>
      <c r="AY615" s="1158"/>
      <c r="AZ615" s="1158"/>
      <c r="BA615" s="1158"/>
      <c r="BB615" s="1158"/>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087"/>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56"/>
      <c r="AV616" s="1157"/>
      <c r="AW616" s="1158"/>
      <c r="AX616" s="1158"/>
      <c r="AY616" s="1158"/>
      <c r="AZ616" s="1158"/>
      <c r="BA616" s="1158"/>
      <c r="BB616" s="1158"/>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087"/>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56"/>
      <c r="AV617" s="1157"/>
      <c r="AW617" s="1158"/>
      <c r="AX617" s="1158"/>
      <c r="AY617" s="1158"/>
      <c r="AZ617" s="1158"/>
      <c r="BA617" s="1158"/>
      <c r="BB617" s="1158"/>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087"/>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56"/>
      <c r="AV618" s="1157"/>
      <c r="AW618" s="1158"/>
      <c r="AX618" s="1158"/>
      <c r="AY618" s="1158"/>
      <c r="AZ618" s="1158"/>
      <c r="BA618" s="1158"/>
      <c r="BB618" s="1158"/>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087"/>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56"/>
      <c r="AV619" s="1157"/>
      <c r="AW619" s="1158"/>
      <c r="AX619" s="1158"/>
      <c r="AY619" s="1158"/>
      <c r="AZ619" s="1158"/>
      <c r="BA619" s="1158"/>
      <c r="BB619" s="1158"/>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087"/>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56"/>
      <c r="AV620" s="1157"/>
      <c r="AW620" s="1158"/>
      <c r="AX620" s="1158"/>
      <c r="AY620" s="1158"/>
      <c r="AZ620" s="1158"/>
      <c r="BA620" s="1158"/>
      <c r="BB620" s="1158"/>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087"/>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56"/>
      <c r="AV621" s="1157"/>
      <c r="AW621" s="1158"/>
      <c r="AX621" s="1158"/>
      <c r="AY621" s="1158"/>
      <c r="AZ621" s="1158"/>
      <c r="BA621" s="1158"/>
      <c r="BB621" s="1158"/>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087"/>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56"/>
      <c r="AV622" s="1157"/>
      <c r="AW622" s="1158"/>
      <c r="AX622" s="1158"/>
      <c r="AY622" s="1158"/>
      <c r="AZ622" s="1158"/>
      <c r="BA622" s="1158"/>
      <c r="BB622" s="1158"/>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087"/>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56"/>
      <c r="AV623" s="1157"/>
      <c r="AW623" s="1158"/>
      <c r="AX623" s="1158"/>
      <c r="AY623" s="1158"/>
      <c r="AZ623" s="1158"/>
      <c r="BA623" s="1158"/>
      <c r="BB623" s="1158"/>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087"/>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56"/>
      <c r="AV624" s="1157"/>
      <c r="AW624" s="1158"/>
      <c r="AX624" s="1158"/>
      <c r="AY624" s="1158"/>
      <c r="AZ624" s="1158"/>
      <c r="BA624" s="1158"/>
      <c r="BB624" s="1158"/>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087"/>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56"/>
      <c r="AV625" s="1157"/>
      <c r="AW625" s="1158"/>
      <c r="AX625" s="1158"/>
      <c r="AY625" s="1158"/>
      <c r="AZ625" s="1158"/>
      <c r="BA625" s="1158"/>
      <c r="BB625" s="1158"/>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087"/>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56"/>
      <c r="AV626" s="1157"/>
      <c r="AW626" s="1158"/>
      <c r="AX626" s="1158"/>
      <c r="AY626" s="1158"/>
      <c r="AZ626" s="1158"/>
      <c r="BA626" s="1158"/>
      <c r="BB626" s="1158"/>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087"/>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56"/>
      <c r="AV627" s="1157"/>
      <c r="AW627" s="1158"/>
      <c r="AX627" s="1158"/>
      <c r="AY627" s="1158"/>
      <c r="AZ627" s="1158"/>
      <c r="BA627" s="1158"/>
      <c r="BB627" s="1158"/>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087"/>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56"/>
      <c r="AV628" s="1157"/>
      <c r="AW628" s="1158"/>
      <c r="AX628" s="1158"/>
      <c r="AY628" s="1158"/>
      <c r="AZ628" s="1158"/>
      <c r="BA628" s="1158"/>
      <c r="BB628" s="1158"/>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087"/>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56"/>
      <c r="AV629" s="1157"/>
      <c r="AW629" s="1158"/>
      <c r="AX629" s="1158"/>
      <c r="AY629" s="1158"/>
      <c r="AZ629" s="1158"/>
      <c r="BA629" s="1158"/>
      <c r="BB629" s="1158"/>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087"/>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56"/>
      <c r="AV630" s="1157"/>
      <c r="AW630" s="1158"/>
      <c r="AX630" s="1158"/>
      <c r="AY630" s="1158"/>
      <c r="AZ630" s="1158"/>
      <c r="BA630" s="1158"/>
      <c r="BB630" s="1158"/>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087"/>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56"/>
      <c r="AV631" s="1157"/>
      <c r="AW631" s="1158"/>
      <c r="AX631" s="1158"/>
      <c r="AY631" s="1158"/>
      <c r="AZ631" s="1158"/>
      <c r="BA631" s="1158"/>
      <c r="BB631" s="1158"/>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087"/>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56"/>
      <c r="AV632" s="1157"/>
      <c r="AW632" s="1158"/>
      <c r="AX632" s="1158"/>
      <c r="AY632" s="1158"/>
      <c r="AZ632" s="1158"/>
      <c r="BA632" s="1158"/>
      <c r="BB632" s="1158"/>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087"/>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56"/>
      <c r="AV633" s="1157"/>
      <c r="AW633" s="1158"/>
      <c r="AX633" s="1158"/>
      <c r="AY633" s="1158"/>
      <c r="AZ633" s="1158"/>
      <c r="BA633" s="1158"/>
      <c r="BB633" s="1158"/>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087"/>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56"/>
      <c r="AV634" s="1157"/>
      <c r="AW634" s="1158"/>
      <c r="AX634" s="1158"/>
      <c r="AY634" s="1158"/>
      <c r="AZ634" s="1158"/>
      <c r="BA634" s="1158"/>
      <c r="BB634" s="1158"/>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087"/>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56"/>
      <c r="AV635" s="1157"/>
      <c r="AW635" s="1158"/>
      <c r="AX635" s="1158"/>
      <c r="AY635" s="1158"/>
      <c r="AZ635" s="1158"/>
      <c r="BA635" s="1158"/>
      <c r="BB635" s="1158"/>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087"/>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56"/>
      <c r="AV636" s="1157"/>
      <c r="AW636" s="1158"/>
      <c r="AX636" s="1158"/>
      <c r="AY636" s="1158"/>
      <c r="AZ636" s="1158"/>
      <c r="BA636" s="1158"/>
      <c r="BB636" s="1158"/>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087"/>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56"/>
      <c r="AV637" s="1157"/>
      <c r="AW637" s="1158"/>
      <c r="AX637" s="1158"/>
      <c r="AY637" s="1158"/>
      <c r="AZ637" s="1158"/>
      <c r="BA637" s="1158"/>
      <c r="BB637" s="1158"/>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087"/>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56"/>
      <c r="AV638" s="1157"/>
      <c r="AW638" s="1158"/>
      <c r="AX638" s="1158"/>
      <c r="AY638" s="1158"/>
      <c r="AZ638" s="1158"/>
      <c r="BA638" s="1158"/>
      <c r="BB638" s="1158"/>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087"/>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56"/>
      <c r="AV639" s="1157"/>
      <c r="AW639" s="1158"/>
      <c r="AX639" s="1158"/>
      <c r="AY639" s="1158"/>
      <c r="AZ639" s="1158"/>
      <c r="BA639" s="1158"/>
      <c r="BB639" s="1158"/>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087"/>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56"/>
      <c r="AV640" s="1157"/>
      <c r="AW640" s="1158"/>
      <c r="AX640" s="1158"/>
      <c r="AY640" s="1158"/>
      <c r="AZ640" s="1158"/>
      <c r="BA640" s="1158"/>
      <c r="BB640" s="1158"/>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087"/>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56"/>
      <c r="AV641" s="1157"/>
      <c r="AW641" s="1158"/>
      <c r="AX641" s="1158"/>
      <c r="AY641" s="1158"/>
      <c r="AZ641" s="1158"/>
      <c r="BA641" s="1158"/>
      <c r="BB641" s="1158"/>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087"/>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56"/>
      <c r="AV642" s="1157"/>
      <c r="AW642" s="1158"/>
      <c r="AX642" s="1158"/>
      <c r="AY642" s="1158"/>
      <c r="AZ642" s="1158"/>
      <c r="BA642" s="1158"/>
      <c r="BB642" s="1158"/>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087"/>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56"/>
      <c r="AV643" s="1157"/>
      <c r="AW643" s="1158"/>
      <c r="AX643" s="1158"/>
      <c r="AY643" s="1158"/>
      <c r="AZ643" s="1158"/>
      <c r="BA643" s="1158"/>
      <c r="BB643" s="1158"/>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087"/>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56"/>
      <c r="AV644" s="1157"/>
      <c r="AW644" s="1158"/>
      <c r="AX644" s="1158"/>
      <c r="AY644" s="1158"/>
      <c r="AZ644" s="1158"/>
      <c r="BA644" s="1158"/>
      <c r="BB644" s="1158"/>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087"/>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56"/>
      <c r="AV645" s="1157"/>
      <c r="AW645" s="1158"/>
      <c r="AX645" s="1158"/>
      <c r="AY645" s="1158"/>
      <c r="AZ645" s="1158"/>
      <c r="BA645" s="1158"/>
      <c r="BB645" s="1158"/>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087"/>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56"/>
      <c r="AV646" s="1157"/>
      <c r="AW646" s="1158"/>
      <c r="AX646" s="1158"/>
      <c r="AY646" s="1158"/>
      <c r="AZ646" s="1158"/>
      <c r="BA646" s="1158"/>
      <c r="BB646" s="1158"/>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087"/>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56"/>
      <c r="AV647" s="1157"/>
      <c r="AW647" s="1158"/>
      <c r="AX647" s="1158"/>
      <c r="AY647" s="1158"/>
      <c r="AZ647" s="1158"/>
      <c r="BA647" s="1158"/>
      <c r="BB647" s="1158"/>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087"/>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56"/>
      <c r="AV648" s="1157"/>
      <c r="AW648" s="1158"/>
      <c r="AX648" s="1158"/>
      <c r="AY648" s="1158"/>
      <c r="AZ648" s="1158"/>
      <c r="BA648" s="1158"/>
      <c r="BB648" s="1158"/>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087"/>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56"/>
      <c r="AV649" s="1157"/>
      <c r="AW649" s="1158"/>
      <c r="AX649" s="1158"/>
      <c r="AY649" s="1158"/>
      <c r="AZ649" s="1158"/>
      <c r="BA649" s="1158"/>
      <c r="BB649" s="1158"/>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087"/>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56"/>
      <c r="AV650" s="1157"/>
      <c r="AW650" s="1158"/>
      <c r="AX650" s="1158"/>
      <c r="AY650" s="1158"/>
      <c r="AZ650" s="1158"/>
      <c r="BA650" s="1158"/>
      <c r="BB650" s="1158"/>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087"/>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56"/>
      <c r="AV651" s="1157"/>
      <c r="AW651" s="1158"/>
      <c r="AX651" s="1158"/>
      <c r="AY651" s="1158"/>
      <c r="AZ651" s="1158"/>
      <c r="BA651" s="1158"/>
      <c r="BB651" s="1158"/>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087"/>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56"/>
      <c r="AV652" s="1157"/>
      <c r="AW652" s="1158"/>
      <c r="AX652" s="1158"/>
      <c r="AY652" s="1158"/>
      <c r="AZ652" s="1158"/>
      <c r="BA652" s="1158"/>
      <c r="BB652" s="1158"/>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087"/>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56"/>
      <c r="AV653" s="1157"/>
      <c r="AW653" s="1158"/>
      <c r="AX653" s="1158"/>
      <c r="AY653" s="1158"/>
      <c r="AZ653" s="1158"/>
      <c r="BA653" s="1158"/>
      <c r="BB653" s="1158"/>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087"/>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56"/>
      <c r="AV654" s="1157"/>
      <c r="AW654" s="1158"/>
      <c r="AX654" s="1158"/>
      <c r="AY654" s="1158"/>
      <c r="AZ654" s="1158"/>
      <c r="BA654" s="1158"/>
      <c r="BB654" s="1158"/>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087"/>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56"/>
      <c r="AV655" s="1157"/>
      <c r="AW655" s="1158"/>
      <c r="AX655" s="1158"/>
      <c r="AY655" s="1158"/>
      <c r="AZ655" s="1158"/>
      <c r="BA655" s="1158"/>
      <c r="BB655" s="1158"/>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087"/>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56"/>
      <c r="AV656" s="1157"/>
      <c r="AW656" s="1158"/>
      <c r="AX656" s="1158"/>
      <c r="AY656" s="1158"/>
      <c r="AZ656" s="1158"/>
      <c r="BA656" s="1158"/>
      <c r="BB656" s="1158"/>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087"/>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56"/>
      <c r="AV657" s="1157"/>
      <c r="AW657" s="1158"/>
      <c r="AX657" s="1158"/>
      <c r="AY657" s="1158"/>
      <c r="AZ657" s="1158"/>
      <c r="BA657" s="1158"/>
      <c r="BB657" s="1158"/>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087"/>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56"/>
      <c r="AV658" s="1157"/>
      <c r="AW658" s="1158"/>
      <c r="AX658" s="1158"/>
      <c r="AY658" s="1158"/>
      <c r="AZ658" s="1158"/>
      <c r="BA658" s="1158"/>
      <c r="BB658" s="1158"/>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087"/>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56"/>
      <c r="AV659" s="1157"/>
      <c r="AW659" s="1158"/>
      <c r="AX659" s="1158"/>
      <c r="AY659" s="1158"/>
      <c r="AZ659" s="1158"/>
      <c r="BA659" s="1158"/>
      <c r="BB659" s="1158"/>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087"/>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56"/>
      <c r="AV660" s="1157"/>
      <c r="AW660" s="1158"/>
      <c r="AX660" s="1158"/>
      <c r="AY660" s="1158"/>
      <c r="AZ660" s="1158"/>
      <c r="BA660" s="1158"/>
      <c r="BB660" s="1158"/>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087"/>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56"/>
      <c r="AV661" s="1157"/>
      <c r="AW661" s="1158"/>
      <c r="AX661" s="1158"/>
      <c r="AY661" s="1158"/>
      <c r="AZ661" s="1158"/>
      <c r="BA661" s="1158"/>
      <c r="BB661" s="1158"/>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087"/>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56"/>
      <c r="AV662" s="1157"/>
      <c r="AW662" s="1158"/>
      <c r="AX662" s="1158"/>
      <c r="AY662" s="1158"/>
      <c r="AZ662" s="1158"/>
      <c r="BA662" s="1158"/>
      <c r="BB662" s="1158"/>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087"/>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56"/>
      <c r="AV663" s="1157"/>
      <c r="AW663" s="1158"/>
      <c r="AX663" s="1158"/>
      <c r="AY663" s="1158"/>
      <c r="AZ663" s="1158"/>
      <c r="BA663" s="1158"/>
      <c r="BB663" s="1158"/>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087"/>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56"/>
      <c r="AV664" s="1157"/>
      <c r="AW664" s="1158"/>
      <c r="AX664" s="1158"/>
      <c r="AY664" s="1158"/>
      <c r="AZ664" s="1158"/>
      <c r="BA664" s="1158"/>
      <c r="BB664" s="1158"/>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087"/>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56"/>
      <c r="AV665" s="1157"/>
      <c r="AW665" s="1158"/>
      <c r="AX665" s="1158"/>
      <c r="AY665" s="1158"/>
      <c r="AZ665" s="1158"/>
      <c r="BA665" s="1158"/>
      <c r="BB665" s="1158"/>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087"/>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56"/>
      <c r="AV666" s="1157"/>
      <c r="AW666" s="1158"/>
      <c r="AX666" s="1158"/>
      <c r="AY666" s="1158"/>
      <c r="AZ666" s="1158"/>
      <c r="BA666" s="1158"/>
      <c r="BB666" s="1158"/>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087"/>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56"/>
      <c r="AV667" s="1157"/>
      <c r="AW667" s="1158"/>
      <c r="AX667" s="1158"/>
      <c r="AY667" s="1158"/>
      <c r="AZ667" s="1158"/>
      <c r="BA667" s="1158"/>
      <c r="BB667" s="1158"/>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087"/>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56"/>
      <c r="AV668" s="1157"/>
      <c r="AW668" s="1158"/>
      <c r="AX668" s="1158"/>
      <c r="AY668" s="1158"/>
      <c r="AZ668" s="1158"/>
      <c r="BA668" s="1158"/>
      <c r="BB668" s="1158"/>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087"/>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56"/>
      <c r="AV669" s="1157"/>
      <c r="AW669" s="1158"/>
      <c r="AX669" s="1158"/>
      <c r="AY669" s="1158"/>
      <c r="AZ669" s="1158"/>
      <c r="BA669" s="1158"/>
      <c r="BB669" s="1158"/>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087"/>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56"/>
      <c r="AV670" s="1157"/>
      <c r="AW670" s="1158"/>
      <c r="AX670" s="1158"/>
      <c r="AY670" s="1158"/>
      <c r="AZ670" s="1158"/>
      <c r="BA670" s="1158"/>
      <c r="BB670" s="1158"/>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087"/>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56"/>
      <c r="AV671" s="1157"/>
      <c r="AW671" s="1158"/>
      <c r="AX671" s="1158"/>
      <c r="AY671" s="1158"/>
      <c r="AZ671" s="1158"/>
      <c r="BA671" s="1158"/>
      <c r="BB671" s="1158"/>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087"/>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56"/>
      <c r="AV672" s="1157"/>
      <c r="AW672" s="1158"/>
      <c r="AX672" s="1158"/>
      <c r="AY672" s="1158"/>
      <c r="AZ672" s="1158"/>
      <c r="BA672" s="1158"/>
      <c r="BB672" s="1158"/>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087"/>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56"/>
      <c r="AV673" s="1157"/>
      <c r="AW673" s="1158"/>
      <c r="AX673" s="1158"/>
      <c r="AY673" s="1158"/>
      <c r="AZ673" s="1158"/>
      <c r="BA673" s="1158"/>
      <c r="BB673" s="1158"/>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087"/>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56"/>
      <c r="AV674" s="1157"/>
      <c r="AW674" s="1158"/>
      <c r="AX674" s="1158"/>
      <c r="AY674" s="1158"/>
      <c r="AZ674" s="1158"/>
      <c r="BA674" s="1158"/>
      <c r="BB674" s="1158"/>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087"/>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56"/>
      <c r="AV675" s="1157"/>
      <c r="AW675" s="1158"/>
      <c r="AX675" s="1158"/>
      <c r="AY675" s="1158"/>
      <c r="AZ675" s="1158"/>
      <c r="BA675" s="1158"/>
      <c r="BB675" s="1158"/>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087"/>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56"/>
      <c r="AV676" s="1157"/>
      <c r="AW676" s="1158"/>
      <c r="AX676" s="1158"/>
      <c r="AY676" s="1158"/>
      <c r="AZ676" s="1158"/>
      <c r="BA676" s="1158"/>
      <c r="BB676" s="1158"/>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087"/>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56"/>
      <c r="AV677" s="1157"/>
      <c r="AW677" s="1158"/>
      <c r="AX677" s="1158"/>
      <c r="AY677" s="1158"/>
      <c r="AZ677" s="1158"/>
      <c r="BA677" s="1158"/>
      <c r="BB677" s="1158"/>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087"/>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56"/>
      <c r="AV678" s="1157"/>
      <c r="AW678" s="1158"/>
      <c r="AX678" s="1158"/>
      <c r="AY678" s="1158"/>
      <c r="AZ678" s="1158"/>
      <c r="BA678" s="1158"/>
      <c r="BB678" s="1158"/>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087"/>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56"/>
      <c r="AV679" s="1157"/>
      <c r="AW679" s="1158"/>
      <c r="AX679" s="1158"/>
      <c r="AY679" s="1158"/>
      <c r="AZ679" s="1158"/>
      <c r="BA679" s="1158"/>
      <c r="BB679" s="1158"/>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087"/>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56"/>
      <c r="AV680" s="1157"/>
      <c r="AW680" s="1158"/>
      <c r="AX680" s="1158"/>
      <c r="AY680" s="1158"/>
      <c r="AZ680" s="1158"/>
      <c r="BA680" s="1158"/>
      <c r="BB680" s="1158"/>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087"/>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56"/>
      <c r="AV681" s="1157"/>
      <c r="AW681" s="1158"/>
      <c r="AX681" s="1158"/>
      <c r="AY681" s="1158"/>
      <c r="AZ681" s="1158"/>
      <c r="BA681" s="1158"/>
      <c r="BB681" s="1158"/>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087"/>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56"/>
      <c r="AV682" s="1157"/>
      <c r="AW682" s="1158"/>
      <c r="AX682" s="1158"/>
      <c r="AY682" s="1158"/>
      <c r="AZ682" s="1158"/>
      <c r="BA682" s="1158"/>
      <c r="BB682" s="1158"/>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087"/>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56"/>
      <c r="AV683" s="1157"/>
      <c r="AW683" s="1158"/>
      <c r="AX683" s="1158"/>
      <c r="AY683" s="1158"/>
      <c r="AZ683" s="1158"/>
      <c r="BA683" s="1158"/>
      <c r="BB683" s="1158"/>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087"/>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56"/>
      <c r="AV684" s="1157"/>
      <c r="AW684" s="1158"/>
      <c r="AX684" s="1158"/>
      <c r="AY684" s="1158"/>
      <c r="AZ684" s="1158"/>
      <c r="BA684" s="1158"/>
      <c r="BB684" s="1158"/>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087"/>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56"/>
      <c r="AV685" s="1157"/>
      <c r="AW685" s="1158"/>
      <c r="AX685" s="1158"/>
      <c r="AY685" s="1158"/>
      <c r="AZ685" s="1158"/>
      <c r="BA685" s="1158"/>
      <c r="BB685" s="1158"/>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087"/>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56"/>
      <c r="AV686" s="1157"/>
      <c r="AW686" s="1158"/>
      <c r="AX686" s="1158"/>
      <c r="AY686" s="1158"/>
      <c r="AZ686" s="1158"/>
      <c r="BA686" s="1158"/>
      <c r="BB686" s="1158"/>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087"/>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56"/>
      <c r="AV687" s="1157"/>
      <c r="AW687" s="1158"/>
      <c r="AX687" s="1158"/>
      <c r="AY687" s="1158"/>
      <c r="AZ687" s="1158"/>
      <c r="BA687" s="1158"/>
      <c r="BB687" s="1158"/>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087"/>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56"/>
      <c r="AV688" s="1157"/>
      <c r="AW688" s="1158"/>
      <c r="AX688" s="1158"/>
      <c r="AY688" s="1158"/>
      <c r="AZ688" s="1158"/>
      <c r="BA688" s="1158"/>
      <c r="BB688" s="1158"/>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087"/>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56"/>
      <c r="AV689" s="1157"/>
      <c r="AW689" s="1158"/>
      <c r="AX689" s="1158"/>
      <c r="AY689" s="1158"/>
      <c r="AZ689" s="1158"/>
      <c r="BA689" s="1158"/>
      <c r="BB689" s="1158"/>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087"/>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56"/>
      <c r="AV690" s="1157"/>
      <c r="AW690" s="1158"/>
      <c r="AX690" s="1158"/>
      <c r="AY690" s="1158"/>
      <c r="AZ690" s="1158"/>
      <c r="BA690" s="1158"/>
      <c r="BB690" s="1158"/>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087"/>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56"/>
      <c r="AV691" s="1157"/>
      <c r="AW691" s="1158"/>
      <c r="AX691" s="1158"/>
      <c r="AY691" s="1158"/>
      <c r="AZ691" s="1158"/>
      <c r="BA691" s="1158"/>
      <c r="BB691" s="1158"/>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087"/>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56"/>
      <c r="AV692" s="1157"/>
      <c r="AW692" s="1158"/>
      <c r="AX692" s="1158"/>
      <c r="AY692" s="1158"/>
      <c r="AZ692" s="1158"/>
      <c r="BA692" s="1158"/>
      <c r="BB692" s="1158"/>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087"/>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56"/>
      <c r="AV693" s="1157"/>
      <c r="AW693" s="1158"/>
      <c r="AX693" s="1158"/>
      <c r="AY693" s="1158"/>
      <c r="AZ693" s="1158"/>
      <c r="BA693" s="1158"/>
      <c r="BB693" s="1158"/>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087"/>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56"/>
      <c r="AV694" s="1157"/>
      <c r="AW694" s="1158"/>
      <c r="AX694" s="1158"/>
      <c r="AY694" s="1158"/>
      <c r="AZ694" s="1158"/>
      <c r="BA694" s="1158"/>
      <c r="BB694" s="1158"/>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087"/>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56"/>
      <c r="AV695" s="1157"/>
      <c r="AW695" s="1158"/>
      <c r="AX695" s="1158"/>
      <c r="AY695" s="1158"/>
      <c r="AZ695" s="1158"/>
      <c r="BA695" s="1158"/>
      <c r="BB695" s="1158"/>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087"/>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56"/>
      <c r="AV696" s="1157"/>
      <c r="AW696" s="1158"/>
      <c r="AX696" s="1158"/>
      <c r="AY696" s="1158"/>
      <c r="AZ696" s="1158"/>
      <c r="BA696" s="1158"/>
      <c r="BB696" s="1158"/>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087"/>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56"/>
      <c r="AV697" s="1157"/>
      <c r="AW697" s="1158"/>
      <c r="AX697" s="1158"/>
      <c r="AY697" s="1158"/>
      <c r="AZ697" s="1158"/>
      <c r="BA697" s="1158"/>
      <c r="BB697" s="1158"/>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087"/>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56"/>
      <c r="AV698" s="1157"/>
      <c r="AW698" s="1158"/>
      <c r="AX698" s="1158"/>
      <c r="AY698" s="1158"/>
      <c r="AZ698" s="1158"/>
      <c r="BA698" s="1158"/>
      <c r="BB698" s="1158"/>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087"/>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56"/>
      <c r="AV699" s="1157"/>
      <c r="AW699" s="1158"/>
      <c r="AX699" s="1158"/>
      <c r="AY699" s="1158"/>
      <c r="AZ699" s="1158"/>
      <c r="BA699" s="1158"/>
      <c r="BB699" s="1158"/>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087"/>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56"/>
      <c r="AV700" s="1157"/>
      <c r="AW700" s="1158"/>
      <c r="AX700" s="1158"/>
      <c r="AY700" s="1158"/>
      <c r="AZ700" s="1158"/>
      <c r="BA700" s="1158"/>
      <c r="BB700" s="1158"/>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087"/>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56"/>
      <c r="AV701" s="1157"/>
      <c r="AW701" s="1158"/>
      <c r="AX701" s="1158"/>
      <c r="AY701" s="1158"/>
      <c r="AZ701" s="1158"/>
      <c r="BA701" s="1158"/>
      <c r="BB701" s="1158"/>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087"/>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56"/>
      <c r="AV702" s="1157"/>
      <c r="AW702" s="1158"/>
      <c r="AX702" s="1158"/>
      <c r="AY702" s="1158"/>
      <c r="AZ702" s="1158"/>
      <c r="BA702" s="1158"/>
      <c r="BB702" s="1158"/>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087"/>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56"/>
      <c r="AV703" s="1157"/>
      <c r="AW703" s="1158"/>
      <c r="AX703" s="1158"/>
      <c r="AY703" s="1158"/>
      <c r="AZ703" s="1158"/>
      <c r="BA703" s="1158"/>
      <c r="BB703" s="1158"/>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087"/>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56"/>
      <c r="AV704" s="1157"/>
      <c r="AW704" s="1158"/>
      <c r="AX704" s="1158"/>
      <c r="AY704" s="1158"/>
      <c r="AZ704" s="1158"/>
      <c r="BA704" s="1158"/>
      <c r="BB704" s="1158"/>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087"/>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56"/>
      <c r="AV705" s="1157"/>
      <c r="AW705" s="1158"/>
      <c r="AX705" s="1158"/>
      <c r="AY705" s="1158"/>
      <c r="AZ705" s="1158"/>
      <c r="BA705" s="1158"/>
      <c r="BB705" s="1158"/>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087"/>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56"/>
      <c r="AV706" s="1157"/>
      <c r="AW706" s="1158"/>
      <c r="AX706" s="1158"/>
      <c r="AY706" s="1158"/>
      <c r="AZ706" s="1158"/>
      <c r="BA706" s="1158"/>
      <c r="BB706" s="1158"/>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087"/>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56"/>
      <c r="AV707" s="1157"/>
      <c r="AW707" s="1158"/>
      <c r="AX707" s="1158"/>
      <c r="AY707" s="1158"/>
      <c r="AZ707" s="1158"/>
      <c r="BA707" s="1158"/>
      <c r="BB707" s="1158"/>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087"/>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56"/>
      <c r="AV708" s="1157"/>
      <c r="AW708" s="1158"/>
      <c r="AX708" s="1158"/>
      <c r="AY708" s="1158"/>
      <c r="AZ708" s="1158"/>
      <c r="BA708" s="1158"/>
      <c r="BB708" s="1158"/>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087"/>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56"/>
      <c r="AV709" s="1157"/>
      <c r="AW709" s="1158"/>
      <c r="AX709" s="1158"/>
      <c r="AY709" s="1158"/>
      <c r="AZ709" s="1158"/>
      <c r="BA709" s="1158"/>
      <c r="BB709" s="1158"/>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087"/>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56"/>
      <c r="AV710" s="1157"/>
      <c r="AW710" s="1158"/>
      <c r="AX710" s="1158"/>
      <c r="AY710" s="1158"/>
      <c r="AZ710" s="1158"/>
      <c r="BA710" s="1158"/>
      <c r="BB710" s="1158"/>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087"/>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56"/>
      <c r="AV711" s="1157"/>
      <c r="AW711" s="1158"/>
      <c r="AX711" s="1158"/>
      <c r="AY711" s="1158"/>
      <c r="AZ711" s="1158"/>
      <c r="BA711" s="1158"/>
      <c r="BB711" s="1158"/>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087"/>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56"/>
      <c r="AV712" s="1157"/>
      <c r="AW712" s="1158"/>
      <c r="AX712" s="1158"/>
      <c r="AY712" s="1158"/>
      <c r="AZ712" s="1158"/>
      <c r="BA712" s="1158"/>
      <c r="BB712" s="1158"/>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087"/>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56"/>
      <c r="AV713" s="1157"/>
      <c r="AW713" s="1158"/>
      <c r="AX713" s="1158"/>
      <c r="AY713" s="1158"/>
      <c r="AZ713" s="1158"/>
      <c r="BA713" s="1158"/>
      <c r="BB713" s="1158"/>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087"/>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56"/>
      <c r="AV714" s="1157"/>
      <c r="AW714" s="1158"/>
      <c r="AX714" s="1158"/>
      <c r="AY714" s="1158"/>
      <c r="AZ714" s="1158"/>
      <c r="BA714" s="1158"/>
      <c r="BB714" s="1158"/>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087"/>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56"/>
      <c r="AV715" s="1157"/>
      <c r="AW715" s="1158"/>
      <c r="AX715" s="1158"/>
      <c r="AY715" s="1158"/>
      <c r="AZ715" s="1158"/>
      <c r="BA715" s="1158"/>
      <c r="BB715" s="1158"/>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087"/>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56"/>
      <c r="AV716" s="1157"/>
      <c r="AW716" s="1158"/>
      <c r="AX716" s="1158"/>
      <c r="AY716" s="1158"/>
      <c r="AZ716" s="1158"/>
      <c r="BA716" s="1158"/>
      <c r="BB716" s="1158"/>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087"/>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56"/>
      <c r="AV717" s="1157"/>
      <c r="AW717" s="1158"/>
      <c r="AX717" s="1158"/>
      <c r="AY717" s="1158"/>
      <c r="AZ717" s="1158"/>
      <c r="BA717" s="1158"/>
      <c r="BB717" s="1158"/>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087"/>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56"/>
      <c r="AV718" s="1157"/>
      <c r="AW718" s="1158"/>
      <c r="AX718" s="1158"/>
      <c r="AY718" s="1158"/>
      <c r="AZ718" s="1158"/>
      <c r="BA718" s="1158"/>
      <c r="BB718" s="1158"/>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087"/>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56"/>
      <c r="AV719" s="1157"/>
      <c r="AW719" s="1158"/>
      <c r="AX719" s="1158"/>
      <c r="AY719" s="1158"/>
      <c r="AZ719" s="1158"/>
      <c r="BA719" s="1158"/>
      <c r="BB719" s="1158"/>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087"/>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56"/>
      <c r="AV720" s="1157"/>
      <c r="AW720" s="1158"/>
      <c r="AX720" s="1158"/>
      <c r="AY720" s="1158"/>
      <c r="AZ720" s="1158"/>
      <c r="BA720" s="1158"/>
      <c r="BB720" s="1158"/>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087"/>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56"/>
      <c r="AV721" s="1157"/>
      <c r="AW721" s="1158"/>
      <c r="AX721" s="1158"/>
      <c r="AY721" s="1158"/>
      <c r="AZ721" s="1158"/>
      <c r="BA721" s="1158"/>
      <c r="BB721" s="1158"/>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087"/>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56"/>
      <c r="AV722" s="1157"/>
      <c r="AW722" s="1158"/>
      <c r="AX722" s="1158"/>
      <c r="AY722" s="1158"/>
      <c r="AZ722" s="1158"/>
      <c r="BA722" s="1158"/>
      <c r="BB722" s="1158"/>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087"/>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56"/>
      <c r="AV723" s="1157"/>
      <c r="AW723" s="1158"/>
      <c r="AX723" s="1158"/>
      <c r="AY723" s="1158"/>
      <c r="AZ723" s="1158"/>
      <c r="BA723" s="1158"/>
      <c r="BB723" s="1158"/>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087"/>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56"/>
      <c r="AV724" s="1157"/>
      <c r="AW724" s="1158"/>
      <c r="AX724" s="1158"/>
      <c r="AY724" s="1158"/>
      <c r="AZ724" s="1158"/>
      <c r="BA724" s="1158"/>
      <c r="BB724" s="1158"/>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087"/>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56"/>
      <c r="AV725" s="1157"/>
      <c r="AW725" s="1158"/>
      <c r="AX725" s="1158"/>
      <c r="AY725" s="1158"/>
      <c r="AZ725" s="1158"/>
      <c r="BA725" s="1158"/>
      <c r="BB725" s="1158"/>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087"/>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56"/>
      <c r="AV726" s="1157"/>
      <c r="AW726" s="1158"/>
      <c r="AX726" s="1158"/>
      <c r="AY726" s="1158"/>
      <c r="AZ726" s="1158"/>
      <c r="BA726" s="1158"/>
      <c r="BB726" s="1158"/>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087"/>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56"/>
      <c r="AV727" s="1157"/>
      <c r="AW727" s="1158"/>
      <c r="AX727" s="1158"/>
      <c r="AY727" s="1158"/>
      <c r="AZ727" s="1158"/>
      <c r="BA727" s="1158"/>
      <c r="BB727" s="1158"/>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087"/>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56"/>
      <c r="AV728" s="1157"/>
      <c r="AW728" s="1158"/>
      <c r="AX728" s="1158"/>
      <c r="AY728" s="1158"/>
      <c r="AZ728" s="1158"/>
      <c r="BA728" s="1158"/>
      <c r="BB728" s="1158"/>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087"/>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56"/>
      <c r="AV729" s="1157"/>
      <c r="AW729" s="1158"/>
      <c r="AX729" s="1158"/>
      <c r="AY729" s="1158"/>
      <c r="AZ729" s="1158"/>
      <c r="BA729" s="1158"/>
      <c r="BB729" s="1158"/>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087"/>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56"/>
      <c r="AV730" s="1157"/>
      <c r="AW730" s="1158"/>
      <c r="AX730" s="1158"/>
      <c r="AY730" s="1158"/>
      <c r="AZ730" s="1158"/>
      <c r="BA730" s="1158"/>
      <c r="BB730" s="1158"/>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087"/>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56"/>
      <c r="AV731" s="1157"/>
      <c r="AW731" s="1158"/>
      <c r="AX731" s="1158"/>
      <c r="AY731" s="1158"/>
      <c r="AZ731" s="1158"/>
      <c r="BA731" s="1158"/>
      <c r="BB731" s="1158"/>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087"/>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56"/>
      <c r="AV732" s="1157"/>
      <c r="AW732" s="1158"/>
      <c r="AX732" s="1158"/>
      <c r="AY732" s="1158"/>
      <c r="AZ732" s="1158"/>
      <c r="BA732" s="1158"/>
      <c r="BB732" s="1158"/>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087"/>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56"/>
      <c r="AV733" s="1157"/>
      <c r="AW733" s="1158"/>
      <c r="AX733" s="1158"/>
      <c r="AY733" s="1158"/>
      <c r="AZ733" s="1158"/>
      <c r="BA733" s="1158"/>
      <c r="BB733" s="1158"/>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087"/>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56"/>
      <c r="AV734" s="1157"/>
      <c r="AW734" s="1158"/>
      <c r="AX734" s="1158"/>
      <c r="AY734" s="1158"/>
      <c r="AZ734" s="1158"/>
      <c r="BA734" s="1158"/>
      <c r="BB734" s="1158"/>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087"/>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56"/>
      <c r="AV735" s="1157"/>
      <c r="AW735" s="1158"/>
      <c r="AX735" s="1158"/>
      <c r="AY735" s="1158"/>
      <c r="AZ735" s="1158"/>
      <c r="BA735" s="1158"/>
      <c r="BB735" s="1158"/>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087"/>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56"/>
      <c r="AV736" s="1157"/>
      <c r="AW736" s="1158"/>
      <c r="AX736" s="1158"/>
      <c r="AY736" s="1158"/>
      <c r="AZ736" s="1158"/>
      <c r="BA736" s="1158"/>
      <c r="BB736" s="1158"/>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087"/>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56"/>
      <c r="AV737" s="1157"/>
      <c r="AW737" s="1158"/>
      <c r="AX737" s="1158"/>
      <c r="AY737" s="1158"/>
      <c r="AZ737" s="1158"/>
      <c r="BA737" s="1158"/>
      <c r="BB737" s="1158"/>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087"/>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56"/>
      <c r="AV738" s="1157"/>
      <c r="AW738" s="1158"/>
      <c r="AX738" s="1158"/>
      <c r="AY738" s="1158"/>
      <c r="AZ738" s="1158"/>
      <c r="BA738" s="1158"/>
      <c r="BB738" s="1158"/>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087"/>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56"/>
      <c r="AV739" s="1157"/>
      <c r="AW739" s="1158"/>
      <c r="AX739" s="1158"/>
      <c r="AY739" s="1158"/>
      <c r="AZ739" s="1158"/>
      <c r="BA739" s="1158"/>
      <c r="BB739" s="1158"/>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087"/>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56"/>
      <c r="AV740" s="1157"/>
      <c r="AW740" s="1158"/>
      <c r="AX740" s="1158"/>
      <c r="AY740" s="1158"/>
      <c r="AZ740" s="1158"/>
      <c r="BA740" s="1158"/>
      <c r="BB740" s="1158"/>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087"/>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56"/>
      <c r="AV741" s="1157"/>
      <c r="AW741" s="1158"/>
      <c r="AX741" s="1158"/>
      <c r="AY741" s="1158"/>
      <c r="AZ741" s="1158"/>
      <c r="BA741" s="1158"/>
      <c r="BB741" s="1158"/>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087"/>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56"/>
      <c r="AV742" s="1157"/>
      <c r="AW742" s="1158"/>
      <c r="AX742" s="1158"/>
      <c r="AY742" s="1158"/>
      <c r="AZ742" s="1158"/>
      <c r="BA742" s="1158"/>
      <c r="BB742" s="1158"/>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087"/>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56"/>
      <c r="AV743" s="1157"/>
      <c r="AW743" s="1158"/>
      <c r="AX743" s="1158"/>
      <c r="AY743" s="1158"/>
      <c r="AZ743" s="1158"/>
      <c r="BA743" s="1158"/>
      <c r="BB743" s="1158"/>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087"/>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56"/>
      <c r="AV744" s="1157"/>
      <c r="AW744" s="1158"/>
      <c r="AX744" s="1158"/>
      <c r="AY744" s="1158"/>
      <c r="AZ744" s="1158"/>
      <c r="BA744" s="1158"/>
      <c r="BB744" s="1158"/>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087"/>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56"/>
      <c r="AV745" s="1157"/>
      <c r="AW745" s="1158"/>
      <c r="AX745" s="1158"/>
      <c r="AY745" s="1158"/>
      <c r="AZ745" s="1158"/>
      <c r="BA745" s="1158"/>
      <c r="BB745" s="1158"/>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087"/>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56"/>
      <c r="AV746" s="1157"/>
      <c r="AW746" s="1158"/>
      <c r="AX746" s="1158"/>
      <c r="AY746" s="1158"/>
      <c r="AZ746" s="1158"/>
      <c r="BA746" s="1158"/>
      <c r="BB746" s="1158"/>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087"/>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56"/>
      <c r="AV747" s="1157"/>
      <c r="AW747" s="1158"/>
      <c r="AX747" s="1158"/>
      <c r="AY747" s="1158"/>
      <c r="AZ747" s="1158"/>
      <c r="BA747" s="1158"/>
      <c r="BB747" s="1158"/>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087"/>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56"/>
      <c r="AV748" s="1157"/>
      <c r="AW748" s="1158"/>
      <c r="AX748" s="1158"/>
      <c r="AY748" s="1158"/>
      <c r="AZ748" s="1158"/>
      <c r="BA748" s="1158"/>
      <c r="BB748" s="1158"/>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087"/>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56"/>
      <c r="AV749" s="1157"/>
      <c r="AW749" s="1158"/>
      <c r="AX749" s="1158"/>
      <c r="AY749" s="1158"/>
      <c r="AZ749" s="1158"/>
      <c r="BA749" s="1158"/>
      <c r="BB749" s="1158"/>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087"/>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56"/>
      <c r="AV750" s="1157"/>
      <c r="AW750" s="1158"/>
      <c r="AX750" s="1158"/>
      <c r="AY750" s="1158"/>
      <c r="AZ750" s="1158"/>
      <c r="BA750" s="1158"/>
      <c r="BB750" s="1158"/>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087"/>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56"/>
      <c r="AV751" s="1157"/>
      <c r="AW751" s="1158"/>
      <c r="AX751" s="1158"/>
      <c r="AY751" s="1158"/>
      <c r="AZ751" s="1158"/>
      <c r="BA751" s="1158"/>
      <c r="BB751" s="1158"/>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087"/>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56"/>
      <c r="AV752" s="1157"/>
      <c r="AW752" s="1158"/>
      <c r="AX752" s="1158"/>
      <c r="AY752" s="1158"/>
      <c r="AZ752" s="1158"/>
      <c r="BA752" s="1158"/>
      <c r="BB752" s="1158"/>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087"/>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56"/>
      <c r="AV753" s="1157"/>
      <c r="AW753" s="1158"/>
      <c r="AX753" s="1158"/>
      <c r="AY753" s="1158"/>
      <c r="AZ753" s="1158"/>
      <c r="BA753" s="1158"/>
      <c r="BB753" s="1158"/>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087"/>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56"/>
      <c r="AV754" s="1157"/>
      <c r="AW754" s="1158"/>
      <c r="AX754" s="1158"/>
      <c r="AY754" s="1158"/>
      <c r="AZ754" s="1158"/>
      <c r="BA754" s="1158"/>
      <c r="BB754" s="1158"/>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087"/>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56"/>
      <c r="AV755" s="1157"/>
      <c r="AW755" s="1158"/>
      <c r="AX755" s="1158"/>
      <c r="AY755" s="1158"/>
      <c r="AZ755" s="1158"/>
      <c r="BA755" s="1158"/>
      <c r="BB755" s="1158"/>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087"/>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56"/>
      <c r="AV756" s="1157"/>
      <c r="AW756" s="1158"/>
      <c r="AX756" s="1158"/>
      <c r="AY756" s="1158"/>
      <c r="AZ756" s="1158"/>
      <c r="BA756" s="1158"/>
      <c r="BB756" s="1158"/>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087"/>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56"/>
      <c r="AV757" s="1157"/>
      <c r="AW757" s="1158"/>
      <c r="AX757" s="1158"/>
      <c r="AY757" s="1158"/>
      <c r="AZ757" s="1158"/>
      <c r="BA757" s="1158"/>
      <c r="BB757" s="1158"/>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087"/>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56"/>
      <c r="AV758" s="1157"/>
      <c r="AW758" s="1158"/>
      <c r="AX758" s="1158"/>
      <c r="AY758" s="1158"/>
      <c r="AZ758" s="1158"/>
      <c r="BA758" s="1158"/>
      <c r="BB758" s="1158"/>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087"/>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56"/>
      <c r="AV759" s="1157"/>
      <c r="AW759" s="1158"/>
      <c r="AX759" s="1158"/>
      <c r="AY759" s="1158"/>
      <c r="AZ759" s="1158"/>
      <c r="BA759" s="1158"/>
      <c r="BB759" s="1158"/>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087"/>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56"/>
      <c r="AV760" s="1157"/>
      <c r="AW760" s="1158"/>
      <c r="AX760" s="1158"/>
      <c r="AY760" s="1158"/>
      <c r="AZ760" s="1158"/>
      <c r="BA760" s="1158"/>
      <c r="BB760" s="1158"/>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087"/>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56"/>
      <c r="AV761" s="1157"/>
      <c r="AW761" s="1158"/>
      <c r="AX761" s="1158"/>
      <c r="AY761" s="1158"/>
      <c r="AZ761" s="1158"/>
      <c r="BA761" s="1158"/>
      <c r="BB761" s="1158"/>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087"/>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56"/>
      <c r="AV762" s="1157"/>
      <c r="AW762" s="1158"/>
      <c r="AX762" s="1158"/>
      <c r="AY762" s="1158"/>
      <c r="AZ762" s="1158"/>
      <c r="BA762" s="1158"/>
      <c r="BB762" s="1158"/>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087"/>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56"/>
      <c r="AV763" s="1157"/>
      <c r="AW763" s="1158"/>
      <c r="AX763" s="1158"/>
      <c r="AY763" s="1158"/>
      <c r="AZ763" s="1158"/>
      <c r="BA763" s="1158"/>
      <c r="BB763" s="1158"/>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087"/>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56"/>
      <c r="AV764" s="1157"/>
      <c r="AW764" s="1158"/>
      <c r="AX764" s="1158"/>
      <c r="AY764" s="1158"/>
      <c r="AZ764" s="1158"/>
      <c r="BA764" s="1158"/>
      <c r="BB764" s="1158"/>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087"/>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56"/>
      <c r="AV765" s="1157"/>
      <c r="AW765" s="1158"/>
      <c r="AX765" s="1158"/>
      <c r="AY765" s="1158"/>
      <c r="AZ765" s="1158"/>
      <c r="BA765" s="1158"/>
      <c r="BB765" s="1158"/>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087"/>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56"/>
      <c r="AV766" s="1157"/>
      <c r="AW766" s="1158"/>
      <c r="AX766" s="1158"/>
      <c r="AY766" s="1158"/>
      <c r="AZ766" s="1158"/>
      <c r="BA766" s="1158"/>
      <c r="BB766" s="1158"/>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087"/>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56"/>
      <c r="AV767" s="1157"/>
      <c r="AW767" s="1158"/>
      <c r="AX767" s="1158"/>
      <c r="AY767" s="1158"/>
      <c r="AZ767" s="1158"/>
      <c r="BA767" s="1158"/>
      <c r="BB767" s="1158"/>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087"/>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56"/>
      <c r="AV768" s="1157"/>
      <c r="AW768" s="1158"/>
      <c r="AX768" s="1158"/>
      <c r="AY768" s="1158"/>
      <c r="AZ768" s="1158"/>
      <c r="BA768" s="1158"/>
      <c r="BB768" s="1158"/>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087"/>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56"/>
      <c r="AV769" s="1157"/>
      <c r="AW769" s="1158"/>
      <c r="AX769" s="1158"/>
      <c r="AY769" s="1158"/>
      <c r="AZ769" s="1158"/>
      <c r="BA769" s="1158"/>
      <c r="BB769" s="1158"/>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087"/>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56"/>
      <c r="AV770" s="1157"/>
      <c r="AW770" s="1158"/>
      <c r="AX770" s="1158"/>
      <c r="AY770" s="1158"/>
      <c r="AZ770" s="1158"/>
      <c r="BA770" s="1158"/>
      <c r="BB770" s="1158"/>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087"/>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56"/>
      <c r="AV771" s="1157"/>
      <c r="AW771" s="1158"/>
      <c r="AX771" s="1158"/>
      <c r="AY771" s="1158"/>
      <c r="AZ771" s="1158"/>
      <c r="BA771" s="1158"/>
      <c r="BB771" s="1158"/>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087"/>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56"/>
      <c r="AV772" s="1157"/>
      <c r="AW772" s="1158"/>
      <c r="AX772" s="1158"/>
      <c r="AY772" s="1158"/>
      <c r="AZ772" s="1158"/>
      <c r="BA772" s="1158"/>
      <c r="BB772" s="1158"/>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087"/>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56"/>
      <c r="AV773" s="1157"/>
      <c r="AW773" s="1158"/>
      <c r="AX773" s="1158"/>
      <c r="AY773" s="1158"/>
      <c r="AZ773" s="1158"/>
      <c r="BA773" s="1158"/>
      <c r="BB773" s="1158"/>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087"/>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56"/>
      <c r="AV774" s="1157"/>
      <c r="AW774" s="1158"/>
      <c r="AX774" s="1158"/>
      <c r="AY774" s="1158"/>
      <c r="AZ774" s="1158"/>
      <c r="BA774" s="1158"/>
      <c r="BB774" s="1158"/>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087"/>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56"/>
      <c r="AV775" s="1157"/>
      <c r="AW775" s="1158"/>
      <c r="AX775" s="1158"/>
      <c r="AY775" s="1158"/>
      <c r="AZ775" s="1158"/>
      <c r="BA775" s="1158"/>
      <c r="BB775" s="1158"/>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087"/>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56"/>
      <c r="AV776" s="1157"/>
      <c r="AW776" s="1158"/>
      <c r="AX776" s="1158"/>
      <c r="AY776" s="1158"/>
      <c r="AZ776" s="1158"/>
      <c r="BA776" s="1158"/>
      <c r="BB776" s="1158"/>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087"/>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56"/>
      <c r="AV777" s="1157"/>
      <c r="AW777" s="1158"/>
      <c r="AX777" s="1158"/>
      <c r="AY777" s="1158"/>
      <c r="AZ777" s="1158"/>
      <c r="BA777" s="1158"/>
      <c r="BB777" s="1158"/>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087"/>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56"/>
      <c r="AV778" s="1157"/>
      <c r="AW778" s="1158"/>
      <c r="AX778" s="1158"/>
      <c r="AY778" s="1158"/>
      <c r="AZ778" s="1158"/>
      <c r="BA778" s="1158"/>
      <c r="BB778" s="1158"/>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087"/>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56"/>
      <c r="AV779" s="1157"/>
      <c r="AW779" s="1158"/>
      <c r="AX779" s="1158"/>
      <c r="AY779" s="1158"/>
      <c r="AZ779" s="1158"/>
      <c r="BA779" s="1158"/>
      <c r="BB779" s="1158"/>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087"/>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56"/>
      <c r="AV780" s="1157"/>
      <c r="AW780" s="1158"/>
      <c r="AX780" s="1158"/>
      <c r="AY780" s="1158"/>
      <c r="AZ780" s="1158"/>
      <c r="BA780" s="1158"/>
      <c r="BB780" s="1158"/>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087"/>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56"/>
      <c r="AV781" s="1157"/>
      <c r="AW781" s="1158"/>
      <c r="AX781" s="1158"/>
      <c r="AY781" s="1158"/>
      <c r="AZ781" s="1158"/>
      <c r="BA781" s="1158"/>
      <c r="BB781" s="1158"/>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087"/>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56"/>
      <c r="AV782" s="1157"/>
      <c r="AW782" s="1158"/>
      <c r="AX782" s="1158"/>
      <c r="AY782" s="1158"/>
      <c r="AZ782" s="1158"/>
      <c r="BA782" s="1158"/>
      <c r="BB782" s="1158"/>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087"/>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56"/>
      <c r="AV783" s="1157"/>
      <c r="AW783" s="1158"/>
      <c r="AX783" s="1158"/>
      <c r="AY783" s="1158"/>
      <c r="AZ783" s="1158"/>
      <c r="BA783" s="1158"/>
      <c r="BB783" s="1158"/>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087"/>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56"/>
      <c r="AV784" s="1157"/>
      <c r="AW784" s="1158"/>
      <c r="AX784" s="1158"/>
      <c r="AY784" s="1158"/>
      <c r="AZ784" s="1158"/>
      <c r="BA784" s="1158"/>
      <c r="BB784" s="1158"/>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087"/>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56"/>
      <c r="AV785" s="1157"/>
      <c r="AW785" s="1158"/>
      <c r="AX785" s="1158"/>
      <c r="AY785" s="1158"/>
      <c r="AZ785" s="1158"/>
      <c r="BA785" s="1158"/>
      <c r="BB785" s="1158"/>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087"/>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56"/>
      <c r="AV786" s="1157"/>
      <c r="AW786" s="1158"/>
      <c r="AX786" s="1158"/>
      <c r="AY786" s="1158"/>
      <c r="AZ786" s="1158"/>
      <c r="BA786" s="1158"/>
      <c r="BB786" s="1158"/>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087"/>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56"/>
      <c r="AV787" s="1157"/>
      <c r="AW787" s="1158"/>
      <c r="AX787" s="1158"/>
      <c r="AY787" s="1158"/>
      <c r="AZ787" s="1158"/>
      <c r="BA787" s="1158"/>
      <c r="BB787" s="1158"/>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087"/>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56"/>
      <c r="AV788" s="1157"/>
      <c r="AW788" s="1158"/>
      <c r="AX788" s="1158"/>
      <c r="AY788" s="1158"/>
      <c r="AZ788" s="1158"/>
      <c r="BA788" s="1158"/>
      <c r="BB788" s="1158"/>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087"/>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56"/>
      <c r="AV789" s="1157"/>
      <c r="AW789" s="1158"/>
      <c r="AX789" s="1158"/>
      <c r="AY789" s="1158"/>
      <c r="AZ789" s="1158"/>
      <c r="BA789" s="1158"/>
      <c r="BB789" s="1158"/>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087"/>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56"/>
      <c r="AV790" s="1157"/>
      <c r="AW790" s="1158"/>
      <c r="AX790" s="1158"/>
      <c r="AY790" s="1158"/>
      <c r="AZ790" s="1158"/>
      <c r="BA790" s="1158"/>
      <c r="BB790" s="1158"/>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087"/>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56"/>
      <c r="AV791" s="1157"/>
      <c r="AW791" s="1158"/>
      <c r="AX791" s="1158"/>
      <c r="AY791" s="1158"/>
      <c r="AZ791" s="1158"/>
      <c r="BA791" s="1158"/>
      <c r="BB791" s="1158"/>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087"/>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56"/>
      <c r="AV792" s="1157"/>
      <c r="AW792" s="1158"/>
      <c r="AX792" s="1158"/>
      <c r="AY792" s="1158"/>
      <c r="AZ792" s="1158"/>
      <c r="BA792" s="1158"/>
      <c r="BB792" s="1158"/>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087"/>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56"/>
      <c r="AV793" s="1157"/>
      <c r="AW793" s="1158"/>
      <c r="AX793" s="1158"/>
      <c r="AY793" s="1158"/>
      <c r="AZ793" s="1158"/>
      <c r="BA793" s="1158"/>
      <c r="BB793" s="1158"/>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087"/>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56"/>
      <c r="AV794" s="1157"/>
      <c r="AW794" s="1158"/>
      <c r="AX794" s="1158"/>
      <c r="AY794" s="1158"/>
      <c r="AZ794" s="1158"/>
      <c r="BA794" s="1158"/>
      <c r="BB794" s="1158"/>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087"/>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56"/>
      <c r="AV795" s="1157"/>
      <c r="AW795" s="1158"/>
      <c r="AX795" s="1158"/>
      <c r="AY795" s="1158"/>
      <c r="AZ795" s="1158"/>
      <c r="BA795" s="1158"/>
      <c r="BB795" s="1158"/>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087"/>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56"/>
      <c r="AV796" s="1157"/>
      <c r="AW796" s="1158"/>
      <c r="AX796" s="1158"/>
      <c r="AY796" s="1158"/>
      <c r="AZ796" s="1158"/>
      <c r="BA796" s="1158"/>
      <c r="BB796" s="1158"/>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087"/>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56"/>
      <c r="AV797" s="1157"/>
      <c r="AW797" s="1158"/>
      <c r="AX797" s="1158"/>
      <c r="AY797" s="1158"/>
      <c r="AZ797" s="1158"/>
      <c r="BA797" s="1158"/>
      <c r="BB797" s="1158"/>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087"/>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56"/>
      <c r="AV798" s="1157"/>
      <c r="AW798" s="1158"/>
      <c r="AX798" s="1158"/>
      <c r="AY798" s="1158"/>
      <c r="AZ798" s="1158"/>
      <c r="BA798" s="1158"/>
      <c r="BB798" s="1158"/>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087"/>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56"/>
      <c r="AV799" s="1157"/>
      <c r="AW799" s="1158"/>
      <c r="AX799" s="1158"/>
      <c r="AY799" s="1158"/>
      <c r="AZ799" s="1158"/>
      <c r="BA799" s="1158"/>
      <c r="BB799" s="1158"/>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087"/>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56"/>
      <c r="AV800" s="1157"/>
      <c r="AW800" s="1158"/>
      <c r="AX800" s="1158"/>
      <c r="AY800" s="1158"/>
      <c r="AZ800" s="1158"/>
      <c r="BA800" s="1158"/>
      <c r="BB800" s="1158"/>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087"/>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56"/>
      <c r="AV801" s="1157"/>
      <c r="AW801" s="1158"/>
      <c r="AX801" s="1158"/>
      <c r="AY801" s="1158"/>
      <c r="AZ801" s="1158"/>
      <c r="BA801" s="1158"/>
      <c r="BB801" s="1158"/>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087"/>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56"/>
      <c r="AV802" s="1157"/>
      <c r="AW802" s="1158"/>
      <c r="AX802" s="1158"/>
      <c r="AY802" s="1158"/>
      <c r="AZ802" s="1158"/>
      <c r="BA802" s="1158"/>
      <c r="BB802" s="1158"/>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087"/>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56"/>
      <c r="AV803" s="1157"/>
      <c r="AW803" s="1158"/>
      <c r="AX803" s="1158"/>
      <c r="AY803" s="1158"/>
      <c r="AZ803" s="1158"/>
      <c r="BA803" s="1158"/>
      <c r="BB803" s="1158"/>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087"/>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56"/>
      <c r="AV804" s="1157"/>
      <c r="AW804" s="1158"/>
      <c r="AX804" s="1158"/>
      <c r="AY804" s="1158"/>
      <c r="AZ804" s="1158"/>
      <c r="BA804" s="1158"/>
      <c r="BB804" s="1158"/>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087"/>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56"/>
      <c r="AV805" s="1157"/>
      <c r="AW805" s="1158"/>
      <c r="AX805" s="1158"/>
      <c r="AY805" s="1158"/>
      <c r="AZ805" s="1158"/>
      <c r="BA805" s="1158"/>
      <c r="BB805" s="1158"/>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087"/>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56"/>
      <c r="AV806" s="1157"/>
      <c r="AW806" s="1158"/>
      <c r="AX806" s="1158"/>
      <c r="AY806" s="1158"/>
      <c r="AZ806" s="1158"/>
      <c r="BA806" s="1158"/>
      <c r="BB806" s="1158"/>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087"/>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56"/>
      <c r="AV807" s="1157"/>
      <c r="AW807" s="1158"/>
      <c r="AX807" s="1158"/>
      <c r="AY807" s="1158"/>
      <c r="AZ807" s="1158"/>
      <c r="BA807" s="1158"/>
      <c r="BB807" s="1158"/>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087"/>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56"/>
      <c r="AV808" s="1157"/>
      <c r="AW808" s="1158"/>
      <c r="AX808" s="1158"/>
      <c r="AY808" s="1158"/>
      <c r="AZ808" s="1158"/>
      <c r="BA808" s="1158"/>
      <c r="BB808" s="1158"/>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087"/>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56"/>
      <c r="AV809" s="1157"/>
      <c r="AW809" s="1158"/>
      <c r="AX809" s="1158"/>
      <c r="AY809" s="1158"/>
      <c r="AZ809" s="1158"/>
      <c r="BA809" s="1158"/>
      <c r="BB809" s="1158"/>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087"/>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56"/>
      <c r="AV810" s="1157"/>
      <c r="AW810" s="1158"/>
      <c r="AX810" s="1158"/>
      <c r="AY810" s="1158"/>
      <c r="AZ810" s="1158"/>
      <c r="BA810" s="1158"/>
      <c r="BB810" s="1158"/>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087"/>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56"/>
      <c r="AV811" s="1157"/>
      <c r="AW811" s="1158"/>
      <c r="AX811" s="1158"/>
      <c r="AY811" s="1158"/>
      <c r="AZ811" s="1158"/>
      <c r="BA811" s="1158"/>
      <c r="BB811" s="1158"/>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087"/>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56"/>
      <c r="AV812" s="1157"/>
      <c r="AW812" s="1158"/>
      <c r="AX812" s="1158"/>
      <c r="AY812" s="1158"/>
      <c r="AZ812" s="1158"/>
      <c r="BA812" s="1158"/>
      <c r="BB812" s="1158"/>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087"/>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56"/>
      <c r="AV813" s="1157"/>
      <c r="AW813" s="1158"/>
      <c r="AX813" s="1158"/>
      <c r="AY813" s="1158"/>
      <c r="AZ813" s="1158"/>
      <c r="BA813" s="1158"/>
      <c r="BB813" s="1158"/>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087"/>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56"/>
      <c r="AV814" s="1157"/>
      <c r="AW814" s="1158"/>
      <c r="AX814" s="1158"/>
      <c r="AY814" s="1158"/>
      <c r="AZ814" s="1158"/>
      <c r="BA814" s="1158"/>
      <c r="BB814" s="1158"/>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087"/>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56"/>
      <c r="AV815" s="1157"/>
      <c r="AW815" s="1158"/>
      <c r="AX815" s="1158"/>
      <c r="AY815" s="1158"/>
      <c r="AZ815" s="1158"/>
      <c r="BA815" s="1158"/>
      <c r="BB815" s="1158"/>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087"/>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56"/>
      <c r="AV816" s="1157"/>
      <c r="AW816" s="1158"/>
      <c r="AX816" s="1158"/>
      <c r="AY816" s="1158"/>
      <c r="AZ816" s="1158"/>
      <c r="BA816" s="1158"/>
      <c r="BB816" s="1158"/>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087"/>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56"/>
      <c r="AV817" s="1157"/>
      <c r="AW817" s="1158"/>
      <c r="AX817" s="1158"/>
      <c r="AY817" s="1158"/>
      <c r="AZ817" s="1158"/>
      <c r="BA817" s="1158"/>
      <c r="BB817" s="1158"/>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087"/>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56"/>
      <c r="AV818" s="1157"/>
      <c r="AW818" s="1158"/>
      <c r="AX818" s="1158"/>
      <c r="AY818" s="1158"/>
      <c r="AZ818" s="1158"/>
      <c r="BA818" s="1158"/>
      <c r="BB818" s="1158"/>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087"/>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56"/>
      <c r="AV819" s="1157"/>
      <c r="AW819" s="1158"/>
      <c r="AX819" s="1158"/>
      <c r="AY819" s="1158"/>
      <c r="AZ819" s="1158"/>
      <c r="BA819" s="1158"/>
      <c r="BB819" s="1158"/>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087"/>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56"/>
      <c r="AV820" s="1157"/>
      <c r="AW820" s="1158"/>
      <c r="AX820" s="1158"/>
      <c r="AY820" s="1158"/>
      <c r="AZ820" s="1158"/>
      <c r="BA820" s="1158"/>
      <c r="BB820" s="1158"/>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087"/>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56"/>
      <c r="AV821" s="1157"/>
      <c r="AW821" s="1158"/>
      <c r="AX821" s="1158"/>
      <c r="AY821" s="1158"/>
      <c r="AZ821" s="1158"/>
      <c r="BA821" s="1158"/>
      <c r="BB821" s="1158"/>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087"/>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56"/>
      <c r="AV822" s="1157"/>
      <c r="AW822" s="1158"/>
      <c r="AX822" s="1158"/>
      <c r="AY822" s="1158"/>
      <c r="AZ822" s="1158"/>
      <c r="BA822" s="1158"/>
      <c r="BB822" s="1158"/>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087"/>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56"/>
      <c r="AV823" s="1157"/>
      <c r="AW823" s="1158"/>
      <c r="AX823" s="1158"/>
      <c r="AY823" s="1158"/>
      <c r="AZ823" s="1158"/>
      <c r="BA823" s="1158"/>
      <c r="BB823" s="1158"/>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087"/>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56"/>
      <c r="AV824" s="1157"/>
      <c r="AW824" s="1158"/>
      <c r="AX824" s="1158"/>
      <c r="AY824" s="1158"/>
      <c r="AZ824" s="1158"/>
      <c r="BA824" s="1158"/>
      <c r="BB824" s="1158"/>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087"/>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56"/>
      <c r="AV825" s="1157"/>
      <c r="AW825" s="1158"/>
      <c r="AX825" s="1158"/>
      <c r="AY825" s="1158"/>
      <c r="AZ825" s="1158"/>
      <c r="BA825" s="1158"/>
      <c r="BB825" s="1158"/>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087"/>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56"/>
      <c r="AV826" s="1157"/>
      <c r="AW826" s="1158"/>
      <c r="AX826" s="1158"/>
      <c r="AY826" s="1158"/>
      <c r="AZ826" s="1158"/>
      <c r="BA826" s="1158"/>
      <c r="BB826" s="1158"/>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087"/>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56"/>
      <c r="AV827" s="1157"/>
      <c r="AW827" s="1158"/>
      <c r="AX827" s="1158"/>
      <c r="AY827" s="1158"/>
      <c r="AZ827" s="1158"/>
      <c r="BA827" s="1158"/>
      <c r="BB827" s="1158"/>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087"/>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56"/>
      <c r="AV828" s="1157"/>
      <c r="AW828" s="1158"/>
      <c r="AX828" s="1158"/>
      <c r="AY828" s="1158"/>
      <c r="AZ828" s="1158"/>
      <c r="BA828" s="1158"/>
      <c r="BB828" s="1158"/>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087"/>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56"/>
      <c r="AV829" s="1157"/>
      <c r="AW829" s="1158"/>
      <c r="AX829" s="1158"/>
      <c r="AY829" s="1158"/>
      <c r="AZ829" s="1158"/>
      <c r="BA829" s="1158"/>
      <c r="BB829" s="1158"/>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087"/>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56"/>
      <c r="AV830" s="1157"/>
      <c r="AW830" s="1158"/>
      <c r="AX830" s="1158"/>
      <c r="AY830" s="1158"/>
      <c r="AZ830" s="1158"/>
      <c r="BA830" s="1158"/>
      <c r="BB830" s="1158"/>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087"/>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56"/>
      <c r="AV831" s="1157"/>
      <c r="AW831" s="1158"/>
      <c r="AX831" s="1158"/>
      <c r="AY831" s="1158"/>
      <c r="AZ831" s="1158"/>
      <c r="BA831" s="1158"/>
      <c r="BB831" s="1158"/>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087"/>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56"/>
      <c r="AV832" s="1157"/>
      <c r="AW832" s="1158"/>
      <c r="AX832" s="1158"/>
      <c r="AY832" s="1158"/>
      <c r="AZ832" s="1158"/>
      <c r="BA832" s="1158"/>
      <c r="BB832" s="1158"/>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087"/>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56"/>
      <c r="AV833" s="1157"/>
      <c r="AW833" s="1158"/>
      <c r="AX833" s="1158"/>
      <c r="AY833" s="1158"/>
      <c r="AZ833" s="1158"/>
      <c r="BA833" s="1158"/>
      <c r="BB833" s="1158"/>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087"/>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56"/>
      <c r="AV834" s="1157"/>
      <c r="AW834" s="1158"/>
      <c r="AX834" s="1158"/>
      <c r="AY834" s="1158"/>
      <c r="AZ834" s="1158"/>
      <c r="BA834" s="1158"/>
      <c r="BB834" s="1158"/>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087"/>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56"/>
      <c r="AV835" s="1157"/>
      <c r="AW835" s="1158"/>
      <c r="AX835" s="1158"/>
      <c r="AY835" s="1158"/>
      <c r="AZ835" s="1158"/>
      <c r="BA835" s="1158"/>
      <c r="BB835" s="1158"/>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087"/>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56"/>
      <c r="AV836" s="1157"/>
      <c r="AW836" s="1158"/>
      <c r="AX836" s="1158"/>
      <c r="AY836" s="1158"/>
      <c r="AZ836" s="1158"/>
      <c r="BA836" s="1158"/>
      <c r="BB836" s="1158"/>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087"/>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56"/>
      <c r="AV837" s="1157"/>
      <c r="AW837" s="1158"/>
      <c r="AX837" s="1158"/>
      <c r="AY837" s="1158"/>
      <c r="AZ837" s="1158"/>
      <c r="BA837" s="1158"/>
      <c r="BB837" s="1158"/>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087"/>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56"/>
      <c r="AV838" s="1157"/>
      <c r="AW838" s="1158"/>
      <c r="AX838" s="1158"/>
      <c r="AY838" s="1158"/>
      <c r="AZ838" s="1158"/>
      <c r="BA838" s="1158"/>
      <c r="BB838" s="1158"/>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087"/>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56"/>
      <c r="AV839" s="1157"/>
      <c r="AW839" s="1158"/>
      <c r="AX839" s="1158"/>
      <c r="AY839" s="1158"/>
      <c r="AZ839" s="1158"/>
      <c r="BA839" s="1158"/>
      <c r="BB839" s="1158"/>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087"/>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56"/>
      <c r="AV840" s="1157"/>
      <c r="AW840" s="1158"/>
      <c r="AX840" s="1158"/>
      <c r="AY840" s="1158"/>
      <c r="AZ840" s="1158"/>
      <c r="BA840" s="1158"/>
      <c r="BB840" s="1158"/>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087"/>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56"/>
      <c r="AV841" s="1157"/>
      <c r="AW841" s="1158"/>
      <c r="AX841" s="1158"/>
      <c r="AY841" s="1158"/>
      <c r="AZ841" s="1158"/>
      <c r="BA841" s="1158"/>
      <c r="BB841" s="1158"/>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087"/>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56"/>
      <c r="AV842" s="1157"/>
      <c r="AW842" s="1158"/>
      <c r="AX842" s="1158"/>
      <c r="AY842" s="1158"/>
      <c r="AZ842" s="1158"/>
      <c r="BA842" s="1158"/>
      <c r="BB842" s="1158"/>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087"/>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56"/>
      <c r="AV843" s="1157"/>
      <c r="AW843" s="1158"/>
      <c r="AX843" s="1158"/>
      <c r="AY843" s="1158"/>
      <c r="AZ843" s="1158"/>
      <c r="BA843" s="1158"/>
      <c r="BB843" s="1158"/>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087"/>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56"/>
      <c r="AV844" s="1157"/>
      <c r="AW844" s="1158"/>
      <c r="AX844" s="1158"/>
      <c r="AY844" s="1158"/>
      <c r="AZ844" s="1158"/>
      <c r="BA844" s="1158"/>
      <c r="BB844" s="1158"/>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087"/>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56"/>
      <c r="AV845" s="1157"/>
      <c r="AW845" s="1158"/>
      <c r="AX845" s="1158"/>
      <c r="AY845" s="1158"/>
      <c r="AZ845" s="1158"/>
      <c r="BA845" s="1158"/>
      <c r="BB845" s="1158"/>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087"/>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56"/>
      <c r="AV846" s="1157"/>
      <c r="AW846" s="1158"/>
      <c r="AX846" s="1158"/>
      <c r="AY846" s="1158"/>
      <c r="AZ846" s="1158"/>
      <c r="BA846" s="1158"/>
      <c r="BB846" s="1158"/>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087"/>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56"/>
      <c r="AV847" s="1157"/>
      <c r="AW847" s="1158"/>
      <c r="AX847" s="1158"/>
      <c r="AY847" s="1158"/>
      <c r="AZ847" s="1158"/>
      <c r="BA847" s="1158"/>
      <c r="BB847" s="1158"/>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087"/>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56"/>
      <c r="AV848" s="1157"/>
      <c r="AW848" s="1158"/>
      <c r="AX848" s="1158"/>
      <c r="AY848" s="1158"/>
      <c r="AZ848" s="1158"/>
      <c r="BA848" s="1158"/>
      <c r="BB848" s="1158"/>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087"/>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56"/>
      <c r="AV849" s="1157"/>
      <c r="AW849" s="1158"/>
      <c r="AX849" s="1158"/>
      <c r="AY849" s="1158"/>
      <c r="AZ849" s="1158"/>
      <c r="BA849" s="1158"/>
      <c r="BB849" s="1158"/>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087"/>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56"/>
      <c r="AV850" s="1157"/>
      <c r="AW850" s="1158"/>
      <c r="AX850" s="1158"/>
      <c r="AY850" s="1158"/>
      <c r="AZ850" s="1158"/>
      <c r="BA850" s="1158"/>
      <c r="BB850" s="1158"/>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087"/>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56"/>
      <c r="AV851" s="1157"/>
      <c r="AW851" s="1158"/>
      <c r="AX851" s="1158"/>
      <c r="AY851" s="1158"/>
      <c r="AZ851" s="1158"/>
      <c r="BA851" s="1158"/>
      <c r="BB851" s="1158"/>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087"/>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56"/>
      <c r="AV852" s="1157"/>
      <c r="AW852" s="1158"/>
      <c r="AX852" s="1158"/>
      <c r="AY852" s="1158"/>
      <c r="AZ852" s="1158"/>
      <c r="BA852" s="1158"/>
      <c r="BB852" s="1158"/>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087"/>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56"/>
      <c r="AV853" s="1157"/>
      <c r="AW853" s="1158"/>
      <c r="AX853" s="1158"/>
      <c r="AY853" s="1158"/>
      <c r="AZ853" s="1158"/>
      <c r="BA853" s="1158"/>
      <c r="BB853" s="1158"/>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087"/>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56"/>
      <c r="AV854" s="1157"/>
      <c r="AW854" s="1158"/>
      <c r="AX854" s="1158"/>
      <c r="AY854" s="1158"/>
      <c r="AZ854" s="1158"/>
      <c r="BA854" s="1158"/>
      <c r="BB854" s="1158"/>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087"/>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56"/>
      <c r="AV855" s="1157"/>
      <c r="AW855" s="1158"/>
      <c r="AX855" s="1158"/>
      <c r="AY855" s="1158"/>
      <c r="AZ855" s="1158"/>
      <c r="BA855" s="1158"/>
      <c r="BB855" s="1158"/>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087"/>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56"/>
      <c r="AV856" s="1157"/>
      <c r="AW856" s="1158"/>
      <c r="AX856" s="1158"/>
      <c r="AY856" s="1158"/>
      <c r="AZ856" s="1158"/>
      <c r="BA856" s="1158"/>
      <c r="BB856" s="1158"/>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087"/>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56"/>
      <c r="AV857" s="1157"/>
      <c r="AW857" s="1158"/>
      <c r="AX857" s="1158"/>
      <c r="AY857" s="1158"/>
      <c r="AZ857" s="1158"/>
      <c r="BA857" s="1158"/>
      <c r="BB857" s="1158"/>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087"/>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56"/>
      <c r="AV858" s="1157"/>
      <c r="AW858" s="1158"/>
      <c r="AX858" s="1158"/>
      <c r="AY858" s="1158"/>
      <c r="AZ858" s="1158"/>
      <c r="BA858" s="1158"/>
      <c r="BB858" s="1158"/>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087"/>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56"/>
      <c r="AV859" s="1157"/>
      <c r="AW859" s="1158"/>
      <c r="AX859" s="1158"/>
      <c r="AY859" s="1158"/>
      <c r="AZ859" s="1158"/>
      <c r="BA859" s="1158"/>
      <c r="BB859" s="1158"/>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087"/>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56"/>
      <c r="AV860" s="1157"/>
      <c r="AW860" s="1158"/>
      <c r="AX860" s="1158"/>
      <c r="AY860" s="1158"/>
      <c r="AZ860" s="1158"/>
      <c r="BA860" s="1158"/>
      <c r="BB860" s="1158"/>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087"/>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56"/>
      <c r="AV861" s="1157"/>
      <c r="AW861" s="1158"/>
      <c r="AX861" s="1158"/>
      <c r="AY861" s="1158"/>
      <c r="AZ861" s="1158"/>
      <c r="BA861" s="1158"/>
      <c r="BB861" s="1158"/>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087"/>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56"/>
      <c r="AV862" s="1157"/>
      <c r="AW862" s="1158"/>
      <c r="AX862" s="1158"/>
      <c r="AY862" s="1158"/>
      <c r="AZ862" s="1158"/>
      <c r="BA862" s="1158"/>
      <c r="BB862" s="1158"/>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087"/>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56"/>
      <c r="AV863" s="1157"/>
      <c r="AW863" s="1158"/>
      <c r="AX863" s="1158"/>
      <c r="AY863" s="1158"/>
      <c r="AZ863" s="1158"/>
      <c r="BA863" s="1158"/>
      <c r="BB863" s="1158"/>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087"/>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56"/>
      <c r="AV864" s="1157"/>
      <c r="AW864" s="1158"/>
      <c r="AX864" s="1158"/>
      <c r="AY864" s="1158"/>
      <c r="AZ864" s="1158"/>
      <c r="BA864" s="1158"/>
      <c r="BB864" s="1158"/>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087"/>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56"/>
      <c r="AV865" s="1157"/>
      <c r="AW865" s="1158"/>
      <c r="AX865" s="1158"/>
      <c r="AY865" s="1158"/>
      <c r="AZ865" s="1158"/>
      <c r="BA865" s="1158"/>
      <c r="BB865" s="1158"/>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087"/>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56"/>
      <c r="AV866" s="1157"/>
      <c r="AW866" s="1158"/>
      <c r="AX866" s="1158"/>
      <c r="AY866" s="1158"/>
      <c r="AZ866" s="1158"/>
      <c r="BA866" s="1158"/>
      <c r="BB866" s="1158"/>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087"/>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56"/>
      <c r="AV867" s="1157"/>
      <c r="AW867" s="1158"/>
      <c r="AX867" s="1158"/>
      <c r="AY867" s="1158"/>
      <c r="AZ867" s="1158"/>
      <c r="BA867" s="1158"/>
      <c r="BB867" s="1158"/>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087"/>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56"/>
      <c r="AV868" s="1157"/>
      <c r="AW868" s="1158"/>
      <c r="AX868" s="1158"/>
      <c r="AY868" s="1158"/>
      <c r="AZ868" s="1158"/>
      <c r="BA868" s="1158"/>
      <c r="BB868" s="1158"/>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087"/>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56"/>
      <c r="AV869" s="1157"/>
      <c r="AW869" s="1158"/>
      <c r="AX869" s="1158"/>
      <c r="AY869" s="1158"/>
      <c r="AZ869" s="1158"/>
      <c r="BA869" s="1158"/>
      <c r="BB869" s="1158"/>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087"/>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56"/>
      <c r="AV870" s="1157"/>
      <c r="AW870" s="1158"/>
      <c r="AX870" s="1158"/>
      <c r="AY870" s="1158"/>
      <c r="AZ870" s="1158"/>
      <c r="BA870" s="1158"/>
      <c r="BB870" s="1158"/>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087"/>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56"/>
      <c r="AV871" s="1157"/>
      <c r="AW871" s="1158"/>
      <c r="AX871" s="1158"/>
      <c r="AY871" s="1158"/>
      <c r="AZ871" s="1158"/>
      <c r="BA871" s="1158"/>
      <c r="BB871" s="1158"/>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087"/>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56"/>
      <c r="AV872" s="1157"/>
      <c r="AW872" s="1158"/>
      <c r="AX872" s="1158"/>
      <c r="AY872" s="1158"/>
      <c r="AZ872" s="1158"/>
      <c r="BA872" s="1158"/>
      <c r="BB872" s="1158"/>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087"/>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56"/>
      <c r="AV873" s="1157"/>
      <c r="AW873" s="1158"/>
      <c r="AX873" s="1158"/>
      <c r="AY873" s="1158"/>
      <c r="AZ873" s="1158"/>
      <c r="BA873" s="1158"/>
      <c r="BB873" s="1158"/>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087"/>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56"/>
      <c r="AV874" s="1157"/>
      <c r="AW874" s="1158"/>
      <c r="AX874" s="1158"/>
      <c r="AY874" s="1158"/>
      <c r="AZ874" s="1158"/>
      <c r="BA874" s="1158"/>
      <c r="BB874" s="1158"/>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087"/>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56"/>
      <c r="AV875" s="1157"/>
      <c r="AW875" s="1158"/>
      <c r="AX875" s="1158"/>
      <c r="AY875" s="1158"/>
      <c r="AZ875" s="1158"/>
      <c r="BA875" s="1158"/>
      <c r="BB875" s="1158"/>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087"/>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56"/>
      <c r="AV876" s="1157"/>
      <c r="AW876" s="1158"/>
      <c r="AX876" s="1158"/>
      <c r="AY876" s="1158"/>
      <c r="AZ876" s="1158"/>
      <c r="BA876" s="1158"/>
      <c r="BB876" s="1158"/>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087"/>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56"/>
      <c r="AV877" s="1157"/>
      <c r="AW877" s="1158"/>
      <c r="AX877" s="1158"/>
      <c r="AY877" s="1158"/>
      <c r="AZ877" s="1158"/>
      <c r="BA877" s="1158"/>
      <c r="BB877" s="1158"/>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087"/>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56"/>
      <c r="AV878" s="1157"/>
      <c r="AW878" s="1158"/>
      <c r="AX878" s="1158"/>
      <c r="AY878" s="1158"/>
      <c r="AZ878" s="1158"/>
      <c r="BA878" s="1158"/>
      <c r="BB878" s="1158"/>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087"/>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56"/>
      <c r="AV879" s="1157"/>
      <c r="AW879" s="1158"/>
      <c r="AX879" s="1158"/>
      <c r="AY879" s="1158"/>
      <c r="AZ879" s="1158"/>
      <c r="BA879" s="1158"/>
      <c r="BB879" s="1158"/>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087"/>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56"/>
      <c r="AV880" s="1157"/>
      <c r="AW880" s="1158"/>
      <c r="AX880" s="1158"/>
      <c r="AY880" s="1158"/>
      <c r="AZ880" s="1158"/>
      <c r="BA880" s="1158"/>
      <c r="BB880" s="1158"/>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087"/>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56"/>
      <c r="AV881" s="1157"/>
      <c r="AW881" s="1158"/>
      <c r="AX881" s="1158"/>
      <c r="AY881" s="1158"/>
      <c r="AZ881" s="1158"/>
      <c r="BA881" s="1158"/>
      <c r="BB881" s="1158"/>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087"/>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56"/>
      <c r="AV882" s="1157"/>
      <c r="AW882" s="1158"/>
      <c r="AX882" s="1158"/>
      <c r="AY882" s="1158"/>
      <c r="AZ882" s="1158"/>
      <c r="BA882" s="1158"/>
      <c r="BB882" s="1158"/>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087"/>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56"/>
      <c r="AV883" s="1157"/>
      <c r="AW883" s="1158"/>
      <c r="AX883" s="1158"/>
      <c r="AY883" s="1158"/>
      <c r="AZ883" s="1158"/>
      <c r="BA883" s="1158"/>
      <c r="BB883" s="1158"/>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087"/>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56"/>
      <c r="AV884" s="1157"/>
      <c r="AW884" s="1158"/>
      <c r="AX884" s="1158"/>
      <c r="AY884" s="1158"/>
      <c r="AZ884" s="1158"/>
      <c r="BA884" s="1158"/>
      <c r="BB884" s="1158"/>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087"/>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56"/>
      <c r="AV885" s="1157"/>
      <c r="AW885" s="1158"/>
      <c r="AX885" s="1158"/>
      <c r="AY885" s="1158"/>
      <c r="AZ885" s="1158"/>
      <c r="BA885" s="1158"/>
      <c r="BB885" s="1158"/>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087"/>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56"/>
      <c r="AV886" s="1157"/>
      <c r="AW886" s="1158"/>
      <c r="AX886" s="1158"/>
      <c r="AY886" s="1158"/>
      <c r="AZ886" s="1158"/>
      <c r="BA886" s="1158"/>
      <c r="BB886" s="1158"/>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087"/>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56"/>
      <c r="AV887" s="1157"/>
      <c r="AW887" s="1158"/>
      <c r="AX887" s="1158"/>
      <c r="AY887" s="1158"/>
      <c r="AZ887" s="1158"/>
      <c r="BA887" s="1158"/>
      <c r="BB887" s="1158"/>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087"/>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56"/>
      <c r="AV888" s="1157"/>
      <c r="AW888" s="1158"/>
      <c r="AX888" s="1158"/>
      <c r="AY888" s="1158"/>
      <c r="AZ888" s="1158"/>
      <c r="BA888" s="1158"/>
      <c r="BB888" s="1158"/>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087"/>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56"/>
      <c r="AV889" s="1157"/>
      <c r="AW889" s="1158"/>
      <c r="AX889" s="1158"/>
      <c r="AY889" s="1158"/>
      <c r="AZ889" s="1158"/>
      <c r="BA889" s="1158"/>
      <c r="BB889" s="1158"/>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087"/>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56"/>
      <c r="AV890" s="1157"/>
      <c r="AW890" s="1158"/>
      <c r="AX890" s="1158"/>
      <c r="AY890" s="1158"/>
      <c r="AZ890" s="1158"/>
      <c r="BA890" s="1158"/>
      <c r="BB890" s="1158"/>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087"/>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56"/>
      <c r="AV891" s="1157"/>
      <c r="AW891" s="1158"/>
      <c r="AX891" s="1158"/>
      <c r="AY891" s="1158"/>
      <c r="AZ891" s="1158"/>
      <c r="BA891" s="1158"/>
      <c r="BB891" s="1158"/>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087"/>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56"/>
      <c r="AV892" s="1157"/>
      <c r="AW892" s="1158"/>
      <c r="AX892" s="1158"/>
      <c r="AY892" s="1158"/>
      <c r="AZ892" s="1158"/>
      <c r="BA892" s="1158"/>
      <c r="BB892" s="1158"/>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087"/>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56"/>
      <c r="AV893" s="1157"/>
      <c r="AW893" s="1158"/>
      <c r="AX893" s="1158"/>
      <c r="AY893" s="1158"/>
      <c r="AZ893" s="1158"/>
      <c r="BA893" s="1158"/>
      <c r="BB893" s="1158"/>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087"/>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56"/>
      <c r="AV894" s="1157"/>
      <c r="AW894" s="1158"/>
      <c r="AX894" s="1158"/>
      <c r="AY894" s="1158"/>
      <c r="AZ894" s="1158"/>
      <c r="BA894" s="1158"/>
      <c r="BB894" s="1158"/>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087"/>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56"/>
      <c r="AV895" s="1157"/>
      <c r="AW895" s="1158"/>
      <c r="AX895" s="1158"/>
      <c r="AY895" s="1158"/>
      <c r="AZ895" s="1158"/>
      <c r="BA895" s="1158"/>
      <c r="BB895" s="1158"/>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087"/>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56"/>
      <c r="AV896" s="1157"/>
      <c r="AW896" s="1158"/>
      <c r="AX896" s="1158"/>
      <c r="AY896" s="1158"/>
      <c r="AZ896" s="1158"/>
      <c r="BA896" s="1158"/>
      <c r="BB896" s="1158"/>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087"/>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56"/>
      <c r="AV897" s="1157"/>
      <c r="AW897" s="1158"/>
      <c r="AX897" s="1158"/>
      <c r="AY897" s="1158"/>
      <c r="AZ897" s="1158"/>
      <c r="BA897" s="1158"/>
      <c r="BB897" s="1158"/>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087"/>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56"/>
      <c r="AV898" s="1157"/>
      <c r="AW898" s="1158"/>
      <c r="AX898" s="1158"/>
      <c r="AY898" s="1158"/>
      <c r="AZ898" s="1158"/>
      <c r="BA898" s="1158"/>
      <c r="BB898" s="1158"/>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087"/>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56"/>
      <c r="AV899" s="1157"/>
      <c r="AW899" s="1158"/>
      <c r="AX899" s="1158"/>
      <c r="AY899" s="1158"/>
      <c r="AZ899" s="1158"/>
      <c r="BA899" s="1158"/>
      <c r="BB899" s="1158"/>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087"/>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56"/>
      <c r="AV900" s="1157"/>
      <c r="AW900" s="1158"/>
      <c r="AX900" s="1158"/>
      <c r="AY900" s="1158"/>
      <c r="AZ900" s="1158"/>
      <c r="BA900" s="1158"/>
      <c r="BB900" s="1158"/>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087"/>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56"/>
      <c r="AV901" s="1157"/>
      <c r="AW901" s="1158"/>
      <c r="AX901" s="1158"/>
      <c r="AY901" s="1158"/>
      <c r="AZ901" s="1158"/>
      <c r="BA901" s="1158"/>
      <c r="BB901" s="1158"/>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087"/>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56"/>
      <c r="AV902" s="1157"/>
      <c r="AW902" s="1158"/>
      <c r="AX902" s="1158"/>
      <c r="AY902" s="1158"/>
      <c r="AZ902" s="1158"/>
      <c r="BA902" s="1158"/>
      <c r="BB902" s="1158"/>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087"/>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56"/>
      <c r="AV903" s="1157"/>
      <c r="AW903" s="1158"/>
      <c r="AX903" s="1158"/>
      <c r="AY903" s="1158"/>
      <c r="AZ903" s="1158"/>
      <c r="BA903" s="1158"/>
      <c r="BB903" s="1158"/>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087"/>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56"/>
      <c r="AV904" s="1157"/>
      <c r="AW904" s="1158"/>
      <c r="AX904" s="1158"/>
      <c r="AY904" s="1158"/>
      <c r="AZ904" s="1158"/>
      <c r="BA904" s="1158"/>
      <c r="BB904" s="1158"/>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087"/>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56"/>
      <c r="AV905" s="1157"/>
      <c r="AW905" s="1158"/>
      <c r="AX905" s="1158"/>
      <c r="AY905" s="1158"/>
      <c r="AZ905" s="1158"/>
      <c r="BA905" s="1158"/>
      <c r="BB905" s="1158"/>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087"/>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56"/>
      <c r="AV906" s="1157"/>
      <c r="AW906" s="1158"/>
      <c r="AX906" s="1158"/>
      <c r="AY906" s="1158"/>
      <c r="AZ906" s="1158"/>
      <c r="BA906" s="1158"/>
      <c r="BB906" s="1158"/>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087"/>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56"/>
      <c r="AV907" s="1157"/>
      <c r="AW907" s="1158"/>
      <c r="AX907" s="1158"/>
      <c r="AY907" s="1158"/>
      <c r="AZ907" s="1158"/>
      <c r="BA907" s="1158"/>
      <c r="BB907" s="1158"/>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087"/>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56"/>
      <c r="AV908" s="1157"/>
      <c r="AW908" s="1158"/>
      <c r="AX908" s="1158"/>
      <c r="AY908" s="1158"/>
      <c r="AZ908" s="1158"/>
      <c r="BA908" s="1158"/>
      <c r="BB908" s="1158"/>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087"/>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56"/>
      <c r="AV909" s="1157"/>
      <c r="AW909" s="1158"/>
      <c r="AX909" s="1158"/>
      <c r="AY909" s="1158"/>
      <c r="AZ909" s="1158"/>
      <c r="BA909" s="1158"/>
      <c r="BB909" s="1158"/>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087"/>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56"/>
      <c r="AV910" s="1157"/>
      <c r="AW910" s="1158"/>
      <c r="AX910" s="1158"/>
      <c r="AY910" s="1158"/>
      <c r="AZ910" s="1158"/>
      <c r="BA910" s="1158"/>
      <c r="BB910" s="1158"/>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087"/>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56"/>
      <c r="AV911" s="1157"/>
      <c r="AW911" s="1158"/>
      <c r="AX911" s="1158"/>
      <c r="AY911" s="1158"/>
      <c r="AZ911" s="1158"/>
      <c r="BA911" s="1158"/>
      <c r="BB911" s="1158"/>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087"/>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56"/>
      <c r="AV912" s="1157"/>
      <c r="AW912" s="1158"/>
      <c r="AX912" s="1158"/>
      <c r="AY912" s="1158"/>
      <c r="AZ912" s="1158"/>
      <c r="BA912" s="1158"/>
      <c r="BB912" s="1158"/>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087"/>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56"/>
      <c r="AV913" s="1157"/>
      <c r="AW913" s="1158"/>
      <c r="AX913" s="1158"/>
      <c r="AY913" s="1158"/>
      <c r="AZ913" s="1158"/>
      <c r="BA913" s="1158"/>
      <c r="BB913" s="1158"/>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087"/>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56"/>
      <c r="AV914" s="1157"/>
      <c r="AW914" s="1158"/>
      <c r="AX914" s="1158"/>
      <c r="AY914" s="1158"/>
      <c r="AZ914" s="1158"/>
      <c r="BA914" s="1158"/>
      <c r="BB914" s="1158"/>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087"/>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56"/>
      <c r="AV915" s="1157"/>
      <c r="AW915" s="1158"/>
      <c r="AX915" s="1158"/>
      <c r="AY915" s="1158"/>
      <c r="AZ915" s="1158"/>
      <c r="BA915" s="1158"/>
      <c r="BB915" s="1158"/>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087"/>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56"/>
      <c r="AV916" s="1157"/>
      <c r="AW916" s="1158"/>
      <c r="AX916" s="1158"/>
      <c r="AY916" s="1158"/>
      <c r="AZ916" s="1158"/>
      <c r="BA916" s="1158"/>
      <c r="BB916" s="1158"/>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087"/>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56"/>
      <c r="AV917" s="1157"/>
      <c r="AW917" s="1158"/>
      <c r="AX917" s="1158"/>
      <c r="AY917" s="1158"/>
      <c r="AZ917" s="1158"/>
      <c r="BA917" s="1158"/>
      <c r="BB917" s="1158"/>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087"/>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56"/>
      <c r="AV918" s="1157"/>
      <c r="AW918" s="1158"/>
      <c r="AX918" s="1158"/>
      <c r="AY918" s="1158"/>
      <c r="AZ918" s="1158"/>
      <c r="BA918" s="1158"/>
      <c r="BB918" s="1158"/>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087"/>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56"/>
      <c r="AV919" s="1157"/>
      <c r="AW919" s="1158"/>
      <c r="AX919" s="1158"/>
      <c r="AY919" s="1158"/>
      <c r="AZ919" s="1158"/>
      <c r="BA919" s="1158"/>
      <c r="BB919" s="1158"/>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087"/>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56"/>
      <c r="AV920" s="1157"/>
      <c r="AW920" s="1158"/>
      <c r="AX920" s="1158"/>
      <c r="AY920" s="1158"/>
      <c r="AZ920" s="1158"/>
      <c r="BA920" s="1158"/>
      <c r="BB920" s="1158"/>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087"/>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56"/>
      <c r="AV921" s="1157"/>
      <c r="AW921" s="1158"/>
      <c r="AX921" s="1158"/>
      <c r="AY921" s="1158"/>
      <c r="AZ921" s="1158"/>
      <c r="BA921" s="1158"/>
      <c r="BB921" s="1158"/>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087"/>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56"/>
      <c r="AV922" s="1157"/>
      <c r="AW922" s="1158"/>
      <c r="AX922" s="1158"/>
      <c r="AY922" s="1158"/>
      <c r="AZ922" s="1158"/>
      <c r="BA922" s="1158"/>
      <c r="BB922" s="1158"/>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087"/>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56"/>
      <c r="AV923" s="1157"/>
      <c r="AW923" s="1158"/>
      <c r="AX923" s="1158"/>
      <c r="AY923" s="1158"/>
      <c r="AZ923" s="1158"/>
      <c r="BA923" s="1158"/>
      <c r="BB923" s="1158"/>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087"/>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56"/>
      <c r="AV924" s="1157"/>
      <c r="AW924" s="1158"/>
      <c r="AX924" s="1158"/>
      <c r="AY924" s="1158"/>
      <c r="AZ924" s="1158"/>
      <c r="BA924" s="1158"/>
      <c r="BB924" s="1158"/>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087"/>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56"/>
      <c r="AV925" s="1157"/>
      <c r="AW925" s="1158"/>
      <c r="AX925" s="1158"/>
      <c r="AY925" s="1158"/>
      <c r="AZ925" s="1158"/>
      <c r="BA925" s="1158"/>
      <c r="BB925" s="1158"/>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087"/>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56"/>
      <c r="AV926" s="1157"/>
      <c r="AW926" s="1158"/>
      <c r="AX926" s="1158"/>
      <c r="AY926" s="1158"/>
      <c r="AZ926" s="1158"/>
      <c r="BA926" s="1158"/>
      <c r="BB926" s="1158"/>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087"/>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56"/>
      <c r="AV927" s="1157"/>
      <c r="AW927" s="1158"/>
      <c r="AX927" s="1158"/>
      <c r="AY927" s="1158"/>
      <c r="AZ927" s="1158"/>
      <c r="BA927" s="1158"/>
      <c r="BB927" s="1158"/>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087"/>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56"/>
      <c r="AV928" s="1157"/>
      <c r="AW928" s="1158"/>
      <c r="AX928" s="1158"/>
      <c r="AY928" s="1158"/>
      <c r="AZ928" s="1158"/>
      <c r="BA928" s="1158"/>
      <c r="BB928" s="1158"/>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087"/>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56"/>
      <c r="AV929" s="1157"/>
      <c r="AW929" s="1158"/>
      <c r="AX929" s="1158"/>
      <c r="AY929" s="1158"/>
      <c r="AZ929" s="1158"/>
      <c r="BA929" s="1158"/>
      <c r="BB929" s="1158"/>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087"/>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56"/>
      <c r="AV930" s="1157"/>
      <c r="AW930" s="1158"/>
      <c r="AX930" s="1158"/>
      <c r="AY930" s="1158"/>
      <c r="AZ930" s="1158"/>
      <c r="BA930" s="1158"/>
      <c r="BB930" s="1158"/>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087"/>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56"/>
      <c r="AV931" s="1157"/>
      <c r="AW931" s="1158"/>
      <c r="AX931" s="1158"/>
      <c r="AY931" s="1158"/>
      <c r="AZ931" s="1158"/>
      <c r="BA931" s="1158"/>
      <c r="BB931" s="1158"/>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087"/>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56"/>
      <c r="AV932" s="1157"/>
      <c r="AW932" s="1158"/>
      <c r="AX932" s="1158"/>
      <c r="AY932" s="1158"/>
      <c r="AZ932" s="1158"/>
      <c r="BA932" s="1158"/>
      <c r="BB932" s="1158"/>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087"/>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56"/>
      <c r="AV933" s="1157"/>
      <c r="AW933" s="1158"/>
      <c r="AX933" s="1158"/>
      <c r="AY933" s="1158"/>
      <c r="AZ933" s="1158"/>
      <c r="BA933" s="1158"/>
      <c r="BB933" s="1158"/>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087"/>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56"/>
      <c r="AV934" s="1157"/>
      <c r="AW934" s="1158"/>
      <c r="AX934" s="1158"/>
      <c r="AY934" s="1158"/>
      <c r="AZ934" s="1158"/>
      <c r="BA934" s="1158"/>
      <c r="BB934" s="1158"/>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087"/>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56"/>
      <c r="AV935" s="1157"/>
      <c r="AW935" s="1158"/>
      <c r="AX935" s="1158"/>
      <c r="AY935" s="1158"/>
      <c r="AZ935" s="1158"/>
      <c r="BA935" s="1158"/>
      <c r="BB935" s="1158"/>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087"/>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56"/>
      <c r="AV936" s="1157"/>
      <c r="AW936" s="1158"/>
      <c r="AX936" s="1158"/>
      <c r="AY936" s="1158"/>
      <c r="AZ936" s="1158"/>
      <c r="BA936" s="1158"/>
      <c r="BB936" s="1158"/>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087"/>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56"/>
      <c r="AV937" s="1157"/>
      <c r="AW937" s="1158"/>
      <c r="AX937" s="1158"/>
      <c r="AY937" s="1158"/>
      <c r="AZ937" s="1158"/>
      <c r="BA937" s="1158"/>
      <c r="BB937" s="1158"/>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087"/>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56"/>
      <c r="AV938" s="1157"/>
      <c r="AW938" s="1158"/>
      <c r="AX938" s="1158"/>
      <c r="AY938" s="1158"/>
      <c r="AZ938" s="1158"/>
      <c r="BA938" s="1158"/>
      <c r="BB938" s="1158"/>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087"/>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56"/>
      <c r="AV939" s="1157"/>
      <c r="AW939" s="1158"/>
      <c r="AX939" s="1158"/>
      <c r="AY939" s="1158"/>
      <c r="AZ939" s="1158"/>
      <c r="BA939" s="1158"/>
      <c r="BB939" s="1158"/>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087"/>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56"/>
      <c r="AV940" s="1157"/>
      <c r="AW940" s="1158"/>
      <c r="AX940" s="1158"/>
      <c r="AY940" s="1158"/>
      <c r="AZ940" s="1158"/>
      <c r="BA940" s="1158"/>
      <c r="BB940" s="1158"/>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087"/>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56"/>
      <c r="AV941" s="1157"/>
      <c r="AW941" s="1158"/>
      <c r="AX941" s="1158"/>
      <c r="AY941" s="1158"/>
      <c r="AZ941" s="1158"/>
      <c r="BA941" s="1158"/>
      <c r="BB941" s="1158"/>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087"/>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56"/>
      <c r="AV942" s="1157"/>
      <c r="AW942" s="1158"/>
      <c r="AX942" s="1158"/>
      <c r="AY942" s="1158"/>
      <c r="AZ942" s="1158"/>
      <c r="BA942" s="1158"/>
      <c r="BB942" s="1158"/>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087"/>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56"/>
      <c r="AV943" s="1157"/>
      <c r="AW943" s="1158"/>
      <c r="AX943" s="1158"/>
      <c r="AY943" s="1158"/>
      <c r="AZ943" s="1158"/>
      <c r="BA943" s="1158"/>
      <c r="BB943" s="1158"/>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087"/>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56"/>
      <c r="AV944" s="1157"/>
      <c r="AW944" s="1158"/>
      <c r="AX944" s="1158"/>
      <c r="AY944" s="1158"/>
      <c r="AZ944" s="1158"/>
      <c r="BA944" s="1158"/>
      <c r="BB944" s="1158"/>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087"/>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56"/>
      <c r="AV945" s="1157"/>
      <c r="AW945" s="1158"/>
      <c r="AX945" s="1158"/>
      <c r="AY945" s="1158"/>
      <c r="AZ945" s="1158"/>
      <c r="BA945" s="1158"/>
      <c r="BB945" s="1158"/>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087"/>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56"/>
      <c r="AV946" s="1157"/>
      <c r="AW946" s="1158"/>
      <c r="AX946" s="1158"/>
      <c r="AY946" s="1158"/>
      <c r="AZ946" s="1158"/>
      <c r="BA946" s="1158"/>
      <c r="BB946" s="1158"/>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087"/>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56"/>
      <c r="AV947" s="1157"/>
      <c r="AW947" s="1158"/>
      <c r="AX947" s="1158"/>
      <c r="AY947" s="1158"/>
      <c r="AZ947" s="1158"/>
      <c r="BA947" s="1158"/>
      <c r="BB947" s="1158"/>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087"/>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56"/>
      <c r="AV948" s="1157"/>
      <c r="AW948" s="1158"/>
      <c r="AX948" s="1158"/>
      <c r="AY948" s="1158"/>
      <c r="AZ948" s="1158"/>
      <c r="BA948" s="1158"/>
      <c r="BB948" s="1158"/>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087"/>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56"/>
      <c r="AV949" s="1157"/>
      <c r="AW949" s="1158"/>
      <c r="AX949" s="1158"/>
      <c r="AY949" s="1158"/>
      <c r="AZ949" s="1158"/>
      <c r="BA949" s="1158"/>
      <c r="BB949" s="1158"/>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087"/>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56"/>
      <c r="AV950" s="1157"/>
      <c r="AW950" s="1158"/>
      <c r="AX950" s="1158"/>
      <c r="AY950" s="1158"/>
      <c r="AZ950" s="1158"/>
      <c r="BA950" s="1158"/>
      <c r="BB950" s="1158"/>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087"/>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56"/>
      <c r="AV951" s="1157"/>
      <c r="AW951" s="1158"/>
      <c r="AX951" s="1158"/>
      <c r="AY951" s="1158"/>
      <c r="AZ951" s="1158"/>
      <c r="BA951" s="1158"/>
      <c r="BB951" s="1158"/>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087"/>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56"/>
      <c r="AV952" s="1157"/>
      <c r="AW952" s="1158"/>
      <c r="AX952" s="1158"/>
      <c r="AY952" s="1158"/>
      <c r="AZ952" s="1158"/>
      <c r="BA952" s="1158"/>
      <c r="BB952" s="1158"/>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087"/>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56"/>
      <c r="AV953" s="1157"/>
      <c r="AW953" s="1158"/>
      <c r="AX953" s="1158"/>
      <c r="AY953" s="1158"/>
      <c r="AZ953" s="1158"/>
      <c r="BA953" s="1158"/>
      <c r="BB953" s="1158"/>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087"/>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56"/>
      <c r="AV954" s="1157"/>
      <c r="AW954" s="1158"/>
      <c r="AX954" s="1158"/>
      <c r="AY954" s="1158"/>
      <c r="AZ954" s="1158"/>
      <c r="BA954" s="1158"/>
      <c r="BB954" s="1158"/>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087"/>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56"/>
      <c r="AV955" s="1157"/>
      <c r="AW955" s="1158"/>
      <c r="AX955" s="1158"/>
      <c r="AY955" s="1158"/>
      <c r="AZ955" s="1158"/>
      <c r="BA955" s="1158"/>
      <c r="BB955" s="1158"/>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087"/>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56"/>
      <c r="AV956" s="1157"/>
      <c r="AW956" s="1158"/>
      <c r="AX956" s="1158"/>
      <c r="AY956" s="1158"/>
      <c r="AZ956" s="1158"/>
      <c r="BA956" s="1158"/>
      <c r="BB956" s="1158"/>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087"/>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56"/>
      <c r="AV957" s="1157"/>
      <c r="AW957" s="1158"/>
      <c r="AX957" s="1158"/>
      <c r="AY957" s="1158"/>
      <c r="AZ957" s="1158"/>
      <c r="BA957" s="1158"/>
      <c r="BB957" s="1158"/>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087"/>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56"/>
      <c r="AV958" s="1157"/>
      <c r="AW958" s="1158"/>
      <c r="AX958" s="1158"/>
      <c r="AY958" s="1158"/>
      <c r="AZ958" s="1158"/>
      <c r="BA958" s="1158"/>
      <c r="BB958" s="1158"/>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087"/>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56"/>
      <c r="AV959" s="1157"/>
      <c r="AW959" s="1158"/>
      <c r="AX959" s="1158"/>
      <c r="AY959" s="1158"/>
      <c r="AZ959" s="1158"/>
      <c r="BA959" s="1158"/>
      <c r="BB959" s="1158"/>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087"/>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56"/>
      <c r="AV960" s="1157"/>
      <c r="AW960" s="1158"/>
      <c r="AX960" s="1158"/>
      <c r="AY960" s="1158"/>
      <c r="AZ960" s="1158"/>
      <c r="BA960" s="1158"/>
      <c r="BB960" s="1158"/>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087"/>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56"/>
      <c r="AV961" s="1157"/>
      <c r="AW961" s="1158"/>
      <c r="AX961" s="1158"/>
      <c r="AY961" s="1158"/>
      <c r="AZ961" s="1158"/>
      <c r="BA961" s="1158"/>
      <c r="BB961" s="1158"/>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087"/>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56"/>
      <c r="AV962" s="1157"/>
      <c r="AW962" s="1158"/>
      <c r="AX962" s="1158"/>
      <c r="AY962" s="1158"/>
      <c r="AZ962" s="1158"/>
      <c r="BA962" s="1158"/>
      <c r="BB962" s="1158"/>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087"/>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56"/>
      <c r="AV963" s="1157"/>
      <c r="AW963" s="1158"/>
      <c r="AX963" s="1158"/>
      <c r="AY963" s="1158"/>
      <c r="AZ963" s="1158"/>
      <c r="BA963" s="1158"/>
      <c r="BB963" s="1158"/>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087"/>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56"/>
      <c r="AV964" s="1157"/>
      <c r="AW964" s="1158"/>
      <c r="AX964" s="1158"/>
      <c r="AY964" s="1158"/>
      <c r="AZ964" s="1158"/>
      <c r="BA964" s="1158"/>
      <c r="BB964" s="1158"/>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087"/>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56"/>
      <c r="AV965" s="1157"/>
      <c r="AW965" s="1158"/>
      <c r="AX965" s="1158"/>
      <c r="AY965" s="1158"/>
      <c r="AZ965" s="1158"/>
      <c r="BA965" s="1158"/>
      <c r="BB965" s="1158"/>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087"/>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56"/>
      <c r="AV966" s="1157"/>
      <c r="AW966" s="1158"/>
      <c r="AX966" s="1158"/>
      <c r="AY966" s="1158"/>
      <c r="AZ966" s="1158"/>
      <c r="BA966" s="1158"/>
      <c r="BB966" s="1158"/>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087"/>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56"/>
      <c r="AV967" s="1157"/>
      <c r="AW967" s="1158"/>
      <c r="AX967" s="1158"/>
      <c r="AY967" s="1158"/>
      <c r="AZ967" s="1158"/>
      <c r="BA967" s="1158"/>
      <c r="BB967" s="1158"/>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087"/>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56"/>
      <c r="AV968" s="1157"/>
      <c r="AW968" s="1158"/>
      <c r="AX968" s="1158"/>
      <c r="AY968" s="1158"/>
      <c r="AZ968" s="1158"/>
      <c r="BA968" s="1158"/>
      <c r="BB968" s="1158"/>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087"/>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56"/>
      <c r="AV969" s="1157"/>
      <c r="AW969" s="1158"/>
      <c r="AX969" s="1158"/>
      <c r="AY969" s="1158"/>
      <c r="AZ969" s="1158"/>
      <c r="BA969" s="1158"/>
      <c r="BB969" s="1158"/>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087"/>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56"/>
      <c r="AV970" s="1157"/>
      <c r="AW970" s="1158"/>
      <c r="AX970" s="1158"/>
      <c r="AY970" s="1158"/>
      <c r="AZ970" s="1158"/>
      <c r="BA970" s="1158"/>
      <c r="BB970" s="1158"/>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087"/>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56"/>
      <c r="AV971" s="1157"/>
      <c r="AW971" s="1158"/>
      <c r="AX971" s="1158"/>
      <c r="AY971" s="1158"/>
      <c r="AZ971" s="1158"/>
      <c r="BA971" s="1158"/>
      <c r="BB971" s="1158"/>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087"/>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56"/>
      <c r="AV972" s="1157"/>
      <c r="AW972" s="1158"/>
      <c r="AX972" s="1158"/>
      <c r="AY972" s="1158"/>
      <c r="AZ972" s="1158"/>
      <c r="BA972" s="1158"/>
      <c r="BB972" s="1158"/>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087"/>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56"/>
      <c r="AV973" s="1157"/>
      <c r="AW973" s="1158"/>
      <c r="AX973" s="1158"/>
      <c r="AY973" s="1158"/>
      <c r="AZ973" s="1158"/>
      <c r="BA973" s="1158"/>
      <c r="BB973" s="1158"/>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087"/>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56"/>
      <c r="AV974" s="1157"/>
      <c r="AW974" s="1158"/>
      <c r="AX974" s="1158"/>
      <c r="AY974" s="1158"/>
      <c r="AZ974" s="1158"/>
      <c r="BA974" s="1158"/>
      <c r="BB974" s="1158"/>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087"/>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56"/>
      <c r="AV975" s="1157"/>
      <c r="AW975" s="1158"/>
      <c r="AX975" s="1158"/>
      <c r="AY975" s="1158"/>
      <c r="AZ975" s="1158"/>
      <c r="BA975" s="1158"/>
      <c r="BB975" s="1158"/>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087"/>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56"/>
      <c r="AV976" s="1157"/>
      <c r="AW976" s="1158"/>
      <c r="AX976" s="1158"/>
      <c r="AY976" s="1158"/>
      <c r="AZ976" s="1158"/>
      <c r="BA976" s="1158"/>
      <c r="BB976" s="1158"/>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087"/>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56"/>
      <c r="AV977" s="1157"/>
      <c r="AW977" s="1158"/>
      <c r="AX977" s="1158"/>
      <c r="AY977" s="1158"/>
      <c r="AZ977" s="1158"/>
      <c r="BA977" s="1158"/>
      <c r="BB977" s="1158"/>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087"/>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56"/>
      <c r="AV978" s="1157"/>
      <c r="AW978" s="1158"/>
      <c r="AX978" s="1158"/>
      <c r="AY978" s="1158"/>
      <c r="AZ978" s="1158"/>
      <c r="BA978" s="1158"/>
      <c r="BB978" s="1158"/>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087"/>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56"/>
      <c r="AV979" s="1157"/>
      <c r="AW979" s="1158"/>
      <c r="AX979" s="1158"/>
      <c r="AY979" s="1158"/>
      <c r="AZ979" s="1158"/>
      <c r="BA979" s="1158"/>
      <c r="BB979" s="1158"/>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087"/>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56"/>
      <c r="AV980" s="1157"/>
      <c r="AW980" s="1158"/>
      <c r="AX980" s="1158"/>
      <c r="AY980" s="1158"/>
      <c r="AZ980" s="1158"/>
      <c r="BA980" s="1158"/>
      <c r="BB980" s="1158"/>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087"/>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56"/>
      <c r="AV981" s="1157"/>
      <c r="AW981" s="1158"/>
      <c r="AX981" s="1158"/>
      <c r="AY981" s="1158"/>
      <c r="AZ981" s="1158"/>
      <c r="BA981" s="1158"/>
      <c r="BB981" s="1158"/>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087"/>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56"/>
      <c r="AV982" s="1157"/>
      <c r="AW982" s="1158"/>
      <c r="AX982" s="1158"/>
      <c r="AY982" s="1158"/>
      <c r="AZ982" s="1158"/>
      <c r="BA982" s="1158"/>
      <c r="BB982" s="1158"/>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087"/>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56"/>
      <c r="AV983" s="1157"/>
      <c r="AW983" s="1158"/>
      <c r="AX983" s="1158"/>
      <c r="AY983" s="1158"/>
      <c r="AZ983" s="1158"/>
      <c r="BA983" s="1158"/>
      <c r="BB983" s="1158"/>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087"/>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56"/>
      <c r="AV984" s="1157"/>
      <c r="AW984" s="1158"/>
      <c r="AX984" s="1158"/>
      <c r="AY984" s="1158"/>
      <c r="AZ984" s="1158"/>
      <c r="BA984" s="1158"/>
      <c r="BB984" s="1158"/>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087"/>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56"/>
      <c r="AV985" s="1157"/>
      <c r="AW985" s="1158"/>
      <c r="AX985" s="1158"/>
      <c r="AY985" s="1158"/>
      <c r="AZ985" s="1158"/>
      <c r="BA985" s="1158"/>
      <c r="BB985" s="1158"/>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087"/>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56"/>
      <c r="AV986" s="1157"/>
      <c r="AW986" s="1158"/>
      <c r="AX986" s="1158"/>
      <c r="AY986" s="1158"/>
      <c r="AZ986" s="1158"/>
      <c r="BA986" s="1158"/>
      <c r="BB986" s="1158"/>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087"/>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56"/>
      <c r="AV987" s="1157"/>
      <c r="AW987" s="1158"/>
      <c r="AX987" s="1158"/>
      <c r="AY987" s="1158"/>
      <c r="AZ987" s="1158"/>
      <c r="BA987" s="1158"/>
      <c r="BB987" s="1158"/>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087"/>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56"/>
      <c r="AV988" s="1157"/>
      <c r="AW988" s="1158"/>
      <c r="AX988" s="1158"/>
      <c r="AY988" s="1158"/>
      <c r="AZ988" s="1158"/>
      <c r="BA988" s="1158"/>
      <c r="BB988" s="1158"/>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087"/>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56"/>
      <c r="AV989" s="1157"/>
      <c r="AW989" s="1158"/>
      <c r="AX989" s="1158"/>
      <c r="AY989" s="1158"/>
      <c r="AZ989" s="1158"/>
      <c r="BA989" s="1158"/>
      <c r="BB989" s="1158"/>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087"/>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56"/>
      <c r="AV990" s="1157"/>
      <c r="AW990" s="1158"/>
      <c r="AX990" s="1158"/>
      <c r="AY990" s="1158"/>
      <c r="AZ990" s="1158"/>
      <c r="BA990" s="1158"/>
      <c r="BB990" s="1158"/>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087"/>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56"/>
      <c r="AV991" s="1157"/>
      <c r="AW991" s="1158"/>
      <c r="AX991" s="1158"/>
      <c r="AY991" s="1158"/>
      <c r="AZ991" s="1158"/>
      <c r="BA991" s="1158"/>
      <c r="BB991" s="1158"/>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087"/>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56"/>
      <c r="AV992" s="1157"/>
      <c r="AW992" s="1158"/>
      <c r="AX992" s="1158"/>
      <c r="AY992" s="1158"/>
      <c r="AZ992" s="1158"/>
      <c r="BA992" s="1158"/>
      <c r="BB992" s="1158"/>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087"/>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56"/>
      <c r="AV993" s="1157"/>
      <c r="AW993" s="1158"/>
      <c r="AX993" s="1158"/>
      <c r="AY993" s="1158"/>
      <c r="AZ993" s="1158"/>
      <c r="BA993" s="1158"/>
      <c r="BB993" s="1158"/>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087"/>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56"/>
      <c r="AV994" s="1157"/>
      <c r="AW994" s="1158"/>
      <c r="AX994" s="1158"/>
      <c r="AY994" s="1158"/>
      <c r="AZ994" s="1158"/>
      <c r="BA994" s="1158"/>
      <c r="BB994" s="1158"/>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087"/>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56"/>
      <c r="AV995" s="1157"/>
      <c r="AW995" s="1158"/>
      <c r="AX995" s="1158"/>
      <c r="AY995" s="1158"/>
      <c r="AZ995" s="1158"/>
      <c r="BA995" s="1158"/>
      <c r="BB995" s="1158"/>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087"/>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56"/>
      <c r="AV996" s="1157"/>
      <c r="AW996" s="1158"/>
      <c r="AX996" s="1158"/>
      <c r="AY996" s="1158"/>
      <c r="AZ996" s="1158"/>
      <c r="BA996" s="1158"/>
      <c r="BB996" s="1158"/>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087"/>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56"/>
      <c r="AV997" s="1157"/>
      <c r="AW997" s="1158"/>
      <c r="AX997" s="1158"/>
      <c r="AY997" s="1158"/>
      <c r="AZ997" s="1158"/>
      <c r="BA997" s="1158"/>
      <c r="BB997" s="1158"/>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087"/>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56"/>
      <c r="AV998" s="1157"/>
      <c r="AW998" s="1158"/>
      <c r="AX998" s="1158"/>
      <c r="AY998" s="1158"/>
      <c r="AZ998" s="1158"/>
      <c r="BA998" s="1158"/>
      <c r="BB998" s="1158"/>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087"/>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56"/>
      <c r="AV999" s="1157"/>
      <c r="AW999" s="1158"/>
      <c r="AX999" s="1158"/>
      <c r="AY999" s="1158"/>
      <c r="AZ999" s="1158"/>
      <c r="BA999" s="1158"/>
      <c r="BB999" s="1158"/>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473281377" ref="C6"/>
    <hyperlink r:id="rId8" location="gid=984695742" ref="P6"/>
    <hyperlink r:id="rId9" location="gid=583100267" ref="R6"/>
    <hyperlink r:id="rId10" location="gid=1676681056" ref="AB6"/>
    <hyperlink r:id="rId11" location="gid=473281377" ref="AL6"/>
    <hyperlink r:id="rId12" location="gid=180170324" ref="C7"/>
    <hyperlink r:id="rId13" location="gid=984695742" ref="P7"/>
    <hyperlink r:id="rId14" location="gid=1676681056" ref="R7"/>
    <hyperlink r:id="rId15" location="gid=781403444" ref="AB7"/>
    <hyperlink r:id="rId16" location="gid=180170324" ref="AL7"/>
    <hyperlink r:id="rId17" location="gid=192616372" ref="C8"/>
    <hyperlink r:id="rId18" location="gid=781403444" ref="R8"/>
    <hyperlink r:id="rId19" location="gid=1497604373" ref="AB8"/>
    <hyperlink r:id="rId20" location="gid=192616372" ref="AL8"/>
    <hyperlink r:id="rId21" location="gid=1627251950" ref="C9"/>
    <hyperlink r:id="rId22" location="gid=1497604373" ref="R9"/>
    <hyperlink r:id="rId23" location="gid=1375697896" ref="AB9"/>
    <hyperlink r:id="rId24" location="gid=1627251950" ref="AL9"/>
    <hyperlink r:id="rId25" location="gid=1552010404" ref="C10"/>
    <hyperlink r:id="rId26" location="gid=1375697896" ref="R10"/>
    <hyperlink r:id="rId27" location="gid=1276505280" ref="AB10"/>
    <hyperlink r:id="rId28" location="gid=1552010404" ref="AL10"/>
    <hyperlink r:id="rId29" location="gid=1276505280" ref="R11"/>
    <hyperlink r:id="rId30" location="gid=179039727" ref="AB11"/>
    <hyperlink r:id="rId31" location="gid=76188338" ref="C12"/>
    <hyperlink r:id="rId32" location="gid=179039727" ref="R12"/>
    <hyperlink r:id="rId33" location="gid=1950915064" ref="AB12"/>
    <hyperlink r:id="rId34" location="gid=76188338" ref="AL12"/>
    <hyperlink r:id="rId35" location="gid=583100267" ref="C13"/>
    <hyperlink r:id="rId36" location="gid=1884912964" ref="R13"/>
    <hyperlink r:id="rId37" location="gid=1839467365" ref="AB13"/>
    <hyperlink r:id="rId38" location="gid=583100267" ref="AL13"/>
    <hyperlink r:id="rId39" location="gid=1497604373" ref="C14"/>
    <hyperlink r:id="rId40" location="gid=1950915064" ref="R14"/>
    <hyperlink r:id="rId41" location="gid=1319322495" ref="AB14"/>
    <hyperlink r:id="rId42" location="gid=1497604373" ref="AL14"/>
    <hyperlink r:id="rId43" location="gid=1276505280" ref="C15"/>
    <hyperlink r:id="rId44" location="gid=1524707301" ref="R15"/>
    <hyperlink r:id="rId45" location="gid=489041577" ref="AB15"/>
    <hyperlink r:id="rId46" location="gid=1276505280" ref="AL15"/>
    <hyperlink r:id="rId47" location="gid=179039727" ref="C16"/>
    <hyperlink r:id="rId48" location="gid=1839467365" ref="R16"/>
    <hyperlink r:id="rId49" location="gid=1669592751" ref="AB16"/>
    <hyperlink r:id="rId50" location="gid=179039727" ref="AL16"/>
    <hyperlink r:id="rId51" location="gid=1950915064" ref="C17"/>
    <hyperlink r:id="rId52" location="gid=837818959" ref="R17"/>
    <hyperlink r:id="rId53" location="gid=1395001000" ref="AB17"/>
    <hyperlink r:id="rId54" location="gid=1950915064" ref="AL17"/>
    <hyperlink r:id="rId55" location="gid=1839467365" ref="C18"/>
    <hyperlink r:id="rId56" location="gid=1708809618" ref="R18"/>
    <hyperlink r:id="rId57" location="gid=2123849034" ref="AB18"/>
    <hyperlink r:id="rId58" location="gid=1839467365" ref="AL18"/>
    <hyperlink r:id="rId59" location="gid=489041577" ref="C19"/>
    <hyperlink r:id="rId60" location="gid=1319322495" ref="R19"/>
    <hyperlink r:id="rId61" location="gid=624304474" ref="AB19"/>
    <hyperlink r:id="rId62" location="gid=489041577" ref="AL19"/>
    <hyperlink r:id="rId63" location="gid=1669592751" ref="C20"/>
    <hyperlink r:id="rId64" location="gid=489041577" ref="R20"/>
    <hyperlink r:id="rId65" location="gid=2031766187" ref="AB20"/>
    <hyperlink r:id="rId66" location="gid=1669592751" ref="AL20"/>
    <hyperlink r:id="rId67" location="gid=1395001000" ref="C21"/>
    <hyperlink r:id="rId68" location="gid=1669592751" ref="R21"/>
    <hyperlink r:id="rId69" location="gid=1887999973" ref="AB21"/>
    <hyperlink r:id="rId70" location="gid=1395001000" ref="AL21"/>
    <hyperlink r:id="rId71" location="gid=2123849034" ref="C22"/>
    <hyperlink r:id="rId72" location="gid=1395001000" ref="R22"/>
    <hyperlink r:id="rId73" location="gid=481745110" ref="AB22"/>
    <hyperlink r:id="rId74" location="gid=2123849034" ref="AL22"/>
    <hyperlink r:id="rId75" location="gid=624304474" ref="C23"/>
    <hyperlink r:id="rId76" location="gid=2123849034" ref="R23"/>
    <hyperlink r:id="rId77" location="gid=2025632782" ref="AB23"/>
    <hyperlink r:id="rId78" location="gid=624304474" ref="AL23"/>
    <hyperlink r:id="rId79" location="gid=1887999973" ref="C24"/>
    <hyperlink r:id="rId80" location="gid=624304474" ref="R24"/>
    <hyperlink r:id="rId81" location="gid=1933544849" ref="AB24"/>
    <hyperlink r:id="rId82" location="gid=1887999973" ref="AL24"/>
    <hyperlink r:id="rId83" location="gid=2025632782" ref="C25"/>
    <hyperlink r:id="rId84" location="gid=2062153773" ref="R25"/>
    <hyperlink r:id="rId85" location="gid=619668139" ref="AB25"/>
    <hyperlink r:id="rId86" location="gid=2025632782" ref="AL25"/>
    <hyperlink r:id="rId87" location="gid=619668139" ref="C26"/>
    <hyperlink r:id="rId88" location="gid=2031766187" ref="R26"/>
    <hyperlink r:id="rId89" location="gid=557131714" ref="AB26"/>
    <hyperlink r:id="rId90" location="gid=619668139" ref="AL26"/>
    <hyperlink r:id="rId91" location="gid=557131714" ref="C27"/>
    <hyperlink r:id="rId92" location="gid=1388406562" ref="R27"/>
    <hyperlink r:id="rId93" location="gid=2127154275" ref="AB27"/>
    <hyperlink r:id="rId94" location="gid=557131714" ref="AL27"/>
    <hyperlink r:id="rId95" location="gid=1232799243" ref="C28"/>
    <hyperlink r:id="rId96" location="gid=1468274946" ref="R28"/>
    <hyperlink r:id="rId97" location="gid=1232799243" ref="AB28"/>
    <hyperlink r:id="rId98" location="gid=1232799243" ref="AL28"/>
    <hyperlink r:id="rId99" location="gid=982745776" ref="C29"/>
    <hyperlink r:id="rId100" location="gid=707495503" ref="R29"/>
    <hyperlink r:id="rId101" location="gid=1176947157" ref="AB29"/>
    <hyperlink r:id="rId102" location="gid=982745776" ref="AL29"/>
    <hyperlink r:id="rId103" location="gid=1731678943" ref="C30"/>
    <hyperlink r:id="rId104" location="gid=563740883" ref="R30"/>
    <hyperlink r:id="rId105" location="gid=473281377" ref="AB30"/>
    <hyperlink r:id="rId106" location="gid=1731678943" ref="AL30"/>
    <hyperlink r:id="rId107" location="gid=715893619" ref="C31"/>
    <hyperlink r:id="rId108" location="gid=114724226" ref="R31"/>
    <hyperlink r:id="rId109" location="gid=180170324" ref="AB31"/>
    <hyperlink r:id="rId110" location="gid=715893619" ref="AL31"/>
    <hyperlink r:id="rId111" location="gid=842203095" ref="C32"/>
    <hyperlink r:id="rId112" location="gid=1887999973" ref="R32"/>
    <hyperlink r:id="rId113" location="gid=982745776" ref="AB32"/>
    <hyperlink r:id="rId114" location="gid=842203095" ref="AL32"/>
    <hyperlink r:id="rId115" location="gid=969434193" ref="C33"/>
    <hyperlink r:id="rId116" location="gid=2053209740" ref="R33"/>
    <hyperlink r:id="rId117" location="gid=192616372" ref="AB33"/>
    <hyperlink r:id="rId118" location="gid=969434193" ref="AL33"/>
    <hyperlink r:id="rId119" location="gid=872806071" ref="C34"/>
    <hyperlink r:id="rId120" location="gid=481745110" ref="R34"/>
    <hyperlink r:id="rId121" location="gid=132388119" ref="AB34"/>
    <hyperlink r:id="rId122" location="gid=872806071" ref="AL34"/>
    <hyperlink r:id="rId123" location="gid=2051475053" ref="C35"/>
    <hyperlink r:id="rId124" location="gid=2025632782" ref="R35"/>
    <hyperlink r:id="rId125" location="gid=1731678943" ref="AB35"/>
    <hyperlink r:id="rId126" location="gid=2051475053" ref="AL35"/>
    <hyperlink r:id="rId127" location="gid=100291503" ref="C36"/>
    <hyperlink r:id="rId128" location="gid=1358894673" ref="R36"/>
    <hyperlink r:id="rId129" location="gid=715893619" ref="AB36"/>
    <hyperlink r:id="rId130" location="gid=100291503" ref="AL36"/>
    <hyperlink r:id="rId131" location="gid=1363354309" ref="C37"/>
    <hyperlink r:id="rId132" location="gid=1933544849" ref="R37"/>
    <hyperlink r:id="rId133" location="gid=1969609149" ref="AB37"/>
    <hyperlink r:id="rId134" location="gid=1363354309" ref="AL37"/>
    <hyperlink r:id="rId135" location="gid=1843968751" ref="C38"/>
    <hyperlink r:id="rId136" location="gid=1737156957" ref="R38"/>
    <hyperlink r:id="rId137" location="gid=842203095" ref="AB38"/>
    <hyperlink r:id="rId138" location="gid=1843968751" ref="AL38"/>
    <hyperlink r:id="rId139" location="gid=2131579067" ref="C39"/>
    <hyperlink r:id="rId140" location="gid=436470884" ref="R39"/>
    <hyperlink r:id="rId141" location="gid=969434193" ref="AB39"/>
    <hyperlink r:id="rId142" location="gid=2131579067" ref="AL39"/>
    <hyperlink r:id="rId143" location="gid=338011416" ref="C40"/>
    <hyperlink r:id="rId144" location="gid=1958025823" ref="R40"/>
    <hyperlink r:id="rId145" location="gid=872806071" ref="AB40"/>
    <hyperlink r:id="rId146" location="gid=338011416" ref="AL40"/>
    <hyperlink r:id="rId147" location="gid=538166534" ref="C41"/>
    <hyperlink r:id="rId148" location="gid=241969897" ref="R41"/>
    <hyperlink r:id="rId149" location="gid=2051475053" ref="AB41"/>
    <hyperlink r:id="rId150" location="gid=538166534" ref="AL41"/>
    <hyperlink r:id="rId151" location="gid=1046888817" ref="C42"/>
    <hyperlink r:id="rId152" location="gid=619668139" ref="R42"/>
    <hyperlink r:id="rId153" location="gid=705107658" ref="AB42"/>
    <hyperlink r:id="rId154" location="gid=1046888817" ref="AL42"/>
    <hyperlink r:id="rId155" location="gid=557131714" ref="R43"/>
    <hyperlink r:id="rId156" location="gid=100291503" ref="AB43"/>
    <hyperlink r:id="rId157" location="gid=2127154275" ref="R44"/>
    <hyperlink r:id="rId158" location="gid=1363354309" ref="AB44"/>
    <hyperlink r:id="rId159" location="gid=1232799243" ref="R45"/>
    <hyperlink r:id="rId160" location="gid=1843968751" ref="AB45"/>
    <hyperlink r:id="rId161" location="gid=1176947157" ref="R46"/>
    <hyperlink r:id="rId162" location="gid=1627251950" ref="AB46"/>
    <hyperlink r:id="rId163" location="gid=473281377" ref="R47"/>
    <hyperlink r:id="rId164" location="gid=1552010404" ref="AB47"/>
    <hyperlink r:id="rId165" location="gid=180170324" ref="R48"/>
    <hyperlink r:id="rId166" location="gid=2131579067" ref="AB48"/>
    <hyperlink r:id="rId167" location="gid=674229452" ref="R49"/>
    <hyperlink r:id="rId168" location="gid=338011416" ref="AB49"/>
    <hyperlink r:id="rId169" location="gid=982745776" ref="R50"/>
    <hyperlink r:id="rId170" location="gid=538166534" ref="AB50"/>
    <hyperlink r:id="rId171" location="gid=192616372" ref="R51"/>
    <hyperlink r:id="rId172" location="gid=1046888817" ref="AB51"/>
    <hyperlink r:id="rId173" location="gid=1062947151" ref="R52"/>
    <hyperlink r:id="rId174" location="gid=1184188369" ref="AB52"/>
    <hyperlink r:id="rId175" location="gid=132388119" ref="R53"/>
    <hyperlink r:id="rId176" location="gid=708835907" ref="AB53"/>
    <hyperlink r:id="rId177" location="gid=1731678943" ref="R54"/>
    <hyperlink r:id="rId178" location="gid=715893619" ref="R55"/>
    <hyperlink r:id="rId179" location="gid=1969609149" ref="R56"/>
    <hyperlink r:id="rId180" location="gid=842203095" ref="R57"/>
    <hyperlink display="アカシュ" location="null!A1" ref="R58"/>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6" t="s">
        <v>80</v>
      </c>
      <c r="B2" s="1159" t="s">
        <v>1066</v>
      </c>
    </row>
    <row r="3">
      <c r="A3" s="1160">
        <v>2.0</v>
      </c>
      <c r="B3" s="1161">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62"/>
      <c r="AH3" s="1162"/>
    </row>
    <row r="4">
      <c r="A4" s="1160">
        <v>3.0</v>
      </c>
      <c r="B4" s="1163">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60">
        <v>4.0</v>
      </c>
      <c r="B5" s="1163">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IFERROR(__xludf.DUMMYFUNCTION("""COMPUTED_VALUE"""),89884.16666666666)</f>
        <v>89884.16667</v>
      </c>
      <c r="AA5" s="23">
        <f>IFERROR(__xludf.DUMMYFUNCTION("""COMPUTED_VALUE"""),98189.99999999999)</f>
        <v>98190</v>
      </c>
      <c r="AB5" s="23">
        <f>IFERROR(__xludf.DUMMYFUNCTION("""COMPUTED_VALUE"""),5500.0)</f>
        <v>5500</v>
      </c>
      <c r="AC5" s="23">
        <f>IFERROR(__xludf.DUMMYFUNCTION("""COMPUTED_VALUE"""),0.0)</f>
        <v>0</v>
      </c>
      <c r="AD5" s="23">
        <f>IFERROR(__xludf.DUMMYFUNCTION("""COMPUTED_VALUE"""),0.0)</f>
        <v>0</v>
      </c>
      <c r="AE5" s="23">
        <f>IFERROR(__xludf.DUMMYFUNCTION("""COMPUTED_VALUE"""),0.0)</f>
        <v>0</v>
      </c>
      <c r="AF5" s="23">
        <f>IFERROR(__xludf.DUMMYFUNCTION("""COMPUTED_VALUE"""),0.0)</f>
        <v>0</v>
      </c>
    </row>
    <row r="6">
      <c r="A6" s="1160">
        <v>5.0</v>
      </c>
      <c r="B6" s="1163" t="str">
        <f>IFERROR(__xludf.DUMMYFUNCTION("iferror(IMPORTRANGE('①R8_5集計'!$AT$9, ""日別集計!D5:AH5""),""ファイルなし"")"),"ファイルなし")</f>
        <v>ファイルなし</v>
      </c>
    </row>
    <row r="7">
      <c r="A7" s="1160">
        <v>6.0</v>
      </c>
      <c r="B7" s="1163" t="str">
        <f>IFERROR(__xludf.DUMMYFUNCTION("iferror(IMPORTRANGE('①R8_6集計'!$AT$9, ""日別集計!D5:AH5""),""ファイルなし"")"),"ファイルなし")</f>
        <v>ファイルなし</v>
      </c>
    </row>
    <row r="8">
      <c r="A8" s="1160">
        <v>7.0</v>
      </c>
      <c r="B8" s="1163" t="str">
        <f>IFERROR(__xludf.DUMMYFUNCTION("iferror(IMPORTRANGE('①R8_7集計'!$AT$9, ""日別集計!D5:AH5""),""ファイルなし"")"),"ファイルなし")</f>
        <v>ファイルなし</v>
      </c>
    </row>
    <row r="9">
      <c r="A9" s="1160">
        <v>8.0</v>
      </c>
      <c r="B9" s="1163" t="str">
        <f>IFERROR(__xludf.DUMMYFUNCTION("iferror(IMPORTRANGE('①R8_8集計'!$AT$9, ""日別集計!D5:AH5""),""ファイルなし"")"),"ファイルなし")</f>
        <v>ファイルなし</v>
      </c>
    </row>
    <row r="10">
      <c r="A10" s="1160">
        <v>9.0</v>
      </c>
      <c r="B10" s="1163" t="str">
        <f>IFERROR(__xludf.DUMMYFUNCTION("iferror(IMPORTRANGE('①R8_9集計'!$AT$9, ""日別集計!D5:AH5""),""ファイルなし"")"),"ファイルなし")</f>
        <v>ファイルなし</v>
      </c>
      <c r="E10" s="1162"/>
      <c r="F10" s="1162"/>
      <c r="G10" s="1162"/>
      <c r="H10" s="1162"/>
      <c r="I10" s="1162"/>
      <c r="J10" s="1162"/>
      <c r="K10" s="1162"/>
      <c r="L10" s="1162"/>
      <c r="M10" s="1162"/>
      <c r="N10" s="1162"/>
      <c r="O10" s="1162"/>
      <c r="P10" s="1162"/>
      <c r="Q10" s="1162"/>
      <c r="R10" s="1162"/>
      <c r="S10" s="1162"/>
      <c r="T10" s="1162"/>
      <c r="U10" s="1162"/>
      <c r="V10" s="1162"/>
      <c r="W10" s="1162"/>
      <c r="X10" s="1162"/>
      <c r="Y10" s="1162"/>
      <c r="Z10" s="1162"/>
      <c r="AA10" s="1162"/>
      <c r="AB10" s="1162"/>
      <c r="AC10" s="1162"/>
      <c r="AD10" s="1162"/>
      <c r="AE10" s="1162"/>
      <c r="AF10" s="1162"/>
    </row>
    <row r="11">
      <c r="A11" s="1160">
        <v>10.0</v>
      </c>
      <c r="B11" s="1163" t="str">
        <f>IFERROR(__xludf.DUMMYFUNCTION("iferror(IMPORTRANGE('①R8_10集計'!$AT$9, ""日別集計!D5:AH5""),""ファイルなし"")"),"ファイルなし")</f>
        <v>ファイルなし</v>
      </c>
    </row>
    <row r="12">
      <c r="A12" s="1160">
        <v>11.0</v>
      </c>
      <c r="B12" s="1163" t="str">
        <f>IFERROR(__xludf.DUMMYFUNCTION("iferror(IMPORTRANGE('①R8_11集計'!$AT$9, ""日別集計!D5:AH5""),""ファイルなし"")"),"ファイルなし")</f>
        <v>ファイルなし</v>
      </c>
    </row>
    <row r="13">
      <c r="A13" s="1160">
        <v>12.0</v>
      </c>
      <c r="B13" s="1163" t="str">
        <f>IFERROR(__xludf.DUMMYFUNCTION("iferror(IMPORTRANGE('①R8_12集計'!$AT$9, ""日別集計!D5:AH5""),""ファイルなし"")"),"ファイルなし")</f>
        <v>ファイルなし</v>
      </c>
    </row>
    <row r="14">
      <c r="A14" s="1160">
        <v>1.0</v>
      </c>
      <c r="B14" s="1163" t="str">
        <f>IFERROR(__xludf.DUMMYFUNCTION("iferror(IMPORTRANGE('①R9_1集計'!$AT$9, ""日別集計!D5:AH5""),""ファイルなし"")"),"ファイルなし")</f>
        <v>ファイルなし</v>
      </c>
    </row>
    <row r="20">
      <c r="B20" s="1164"/>
    </row>
    <row r="21">
      <c r="B21" s="1164"/>
    </row>
    <row r="22">
      <c r="B22" s="1164"/>
    </row>
    <row r="23">
      <c r="B23" s="1164"/>
    </row>
    <row r="30">
      <c r="B30" s="1165" t="s">
        <v>1067</v>
      </c>
      <c r="C30" s="261"/>
      <c r="D30" s="261"/>
      <c r="E30" s="261"/>
      <c r="F30" s="263"/>
    </row>
    <row r="31">
      <c r="B31" s="1166" t="s">
        <v>1068</v>
      </c>
      <c r="C31" s="1167" t="s">
        <v>334</v>
      </c>
      <c r="D31" s="1168" t="s">
        <v>335</v>
      </c>
      <c r="E31" s="1168" t="s">
        <v>1000</v>
      </c>
      <c r="F31" s="1169" t="s">
        <v>332</v>
      </c>
    </row>
    <row r="32">
      <c r="B32" s="1170">
        <v>31.0</v>
      </c>
      <c r="C32" s="1171">
        <v>0.65</v>
      </c>
      <c r="D32" s="1172">
        <v>4884476.0</v>
      </c>
      <c r="E32" s="1172">
        <v>1038959.0</v>
      </c>
      <c r="F32" s="1173">
        <f t="shared" ref="F32:F43" si="1">E32/D32</f>
        <v>0.2127063374</v>
      </c>
    </row>
    <row r="33">
      <c r="B33" s="1170">
        <v>31.0</v>
      </c>
      <c r="C33" s="1171">
        <v>0.7</v>
      </c>
      <c r="D33" s="1172">
        <v>5222066.0</v>
      </c>
      <c r="E33" s="1172">
        <v>1155240.0</v>
      </c>
      <c r="F33" s="1173">
        <f t="shared" si="1"/>
        <v>0.2212227881</v>
      </c>
    </row>
    <row r="34">
      <c r="B34" s="1170">
        <v>31.0</v>
      </c>
      <c r="C34" s="1171">
        <v>0.75</v>
      </c>
      <c r="D34" s="1172">
        <v>5559656.0</v>
      </c>
      <c r="E34" s="1172">
        <v>1271521.0</v>
      </c>
      <c r="F34" s="1173">
        <f t="shared" si="1"/>
        <v>0.2287049774</v>
      </c>
    </row>
    <row r="35">
      <c r="B35" s="1170">
        <v>31.0</v>
      </c>
      <c r="C35" s="1171">
        <v>0.8</v>
      </c>
      <c r="D35" s="1172">
        <v>5897246.0</v>
      </c>
      <c r="E35" s="1172">
        <v>1387802.0</v>
      </c>
      <c r="F35" s="1173">
        <f t="shared" si="1"/>
        <v>0.2353305255</v>
      </c>
    </row>
    <row r="36">
      <c r="B36" s="1170">
        <v>30.0</v>
      </c>
      <c r="C36" s="1171">
        <v>0.65</v>
      </c>
      <c r="D36" s="1172">
        <v>4739760.0</v>
      </c>
      <c r="E36" s="1172">
        <v>997050.0</v>
      </c>
      <c r="F36" s="1173">
        <f t="shared" si="1"/>
        <v>0.2103587523</v>
      </c>
    </row>
    <row r="37">
      <c r="B37" s="1170">
        <v>30.0</v>
      </c>
      <c r="C37" s="1171">
        <v>0.7</v>
      </c>
      <c r="D37" s="1172">
        <v>5066460.0</v>
      </c>
      <c r="E37" s="1172">
        <v>1109580.0</v>
      </c>
      <c r="F37" s="1173">
        <f t="shared" si="1"/>
        <v>0.2190049857</v>
      </c>
    </row>
    <row r="38">
      <c r="B38" s="1170">
        <v>30.0</v>
      </c>
      <c r="C38" s="1171">
        <v>0.75</v>
      </c>
      <c r="D38" s="1172">
        <v>5393160.0</v>
      </c>
      <c r="E38" s="1172">
        <v>1222110.0</v>
      </c>
      <c r="F38" s="1173">
        <f t="shared" si="1"/>
        <v>0.226603698</v>
      </c>
    </row>
    <row r="39">
      <c r="B39" s="1170">
        <v>30.0</v>
      </c>
      <c r="C39" s="1171">
        <v>0.8</v>
      </c>
      <c r="D39" s="1172">
        <v>5719860.0</v>
      </c>
      <c r="E39" s="1172">
        <v>1334640.0</v>
      </c>
      <c r="F39" s="1173">
        <f t="shared" si="1"/>
        <v>0.2333343823</v>
      </c>
    </row>
    <row r="40">
      <c r="B40" s="1170">
        <v>28.0</v>
      </c>
      <c r="C40" s="1171">
        <v>0.65</v>
      </c>
      <c r="D40" s="1172">
        <v>4450328.0</v>
      </c>
      <c r="E40" s="1172">
        <v>913232.0</v>
      </c>
      <c r="F40" s="1173">
        <f t="shared" si="1"/>
        <v>0.2052055489</v>
      </c>
    </row>
    <row r="41">
      <c r="B41" s="1170">
        <v>28.0</v>
      </c>
      <c r="C41" s="1171">
        <v>0.7</v>
      </c>
      <c r="D41" s="1172">
        <v>4755248.0</v>
      </c>
      <c r="E41" s="1172">
        <v>1018260.0</v>
      </c>
      <c r="F41" s="1173">
        <f t="shared" si="1"/>
        <v>0.2141339421</v>
      </c>
    </row>
    <row r="42">
      <c r="B42" s="1170">
        <v>28.0</v>
      </c>
      <c r="C42" s="1171">
        <v>0.75</v>
      </c>
      <c r="D42" s="1172">
        <v>5060168.0</v>
      </c>
      <c r="E42" s="1172">
        <v>1123288.0</v>
      </c>
      <c r="F42" s="1173">
        <f t="shared" si="1"/>
        <v>0.2219863056</v>
      </c>
    </row>
    <row r="43">
      <c r="B43" s="1170">
        <v>28.0</v>
      </c>
      <c r="C43" s="1171">
        <v>0.8</v>
      </c>
      <c r="D43" s="1172">
        <v>5365088.0</v>
      </c>
      <c r="E43" s="1172">
        <v>1228316.0</v>
      </c>
      <c r="F43" s="1173">
        <f t="shared" si="1"/>
        <v>0.2289461049</v>
      </c>
    </row>
    <row r="44">
      <c r="B44" s="1164"/>
      <c r="D44" s="183" t="s">
        <v>1069</v>
      </c>
      <c r="E44" s="183" t="s">
        <v>1069</v>
      </c>
      <c r="F44" s="183" t="s">
        <v>1069</v>
      </c>
    </row>
    <row r="52">
      <c r="B52" s="1174" t="s">
        <v>1070</v>
      </c>
      <c r="C52" s="263"/>
      <c r="D52" s="1175" t="s">
        <v>1068</v>
      </c>
      <c r="E52" s="246"/>
      <c r="F52" s="3"/>
    </row>
    <row r="53">
      <c r="B53" s="599"/>
      <c r="C53" s="111"/>
      <c r="D53" s="1176">
        <v>28.0</v>
      </c>
      <c r="E53" s="1176">
        <v>30.0</v>
      </c>
      <c r="F53" s="1176">
        <v>31.0</v>
      </c>
    </row>
    <row r="54">
      <c r="B54" s="1177" t="s">
        <v>334</v>
      </c>
      <c r="C54" s="1178">
        <v>0.65</v>
      </c>
      <c r="D54" s="1179">
        <v>0.2052</v>
      </c>
      <c r="E54" s="1179">
        <v>0.2104</v>
      </c>
      <c r="F54" s="1179">
        <v>0.2127</v>
      </c>
    </row>
    <row r="55">
      <c r="B55" s="1180"/>
      <c r="C55" s="1178">
        <v>0.7</v>
      </c>
      <c r="D55" s="1179">
        <v>0.2141</v>
      </c>
      <c r="E55" s="1179">
        <v>0.219</v>
      </c>
      <c r="F55" s="1179">
        <v>0.2212</v>
      </c>
    </row>
    <row r="56">
      <c r="B56" s="1180"/>
      <c r="C56" s="1178">
        <v>0.75</v>
      </c>
      <c r="D56" s="1179">
        <v>0.222</v>
      </c>
      <c r="E56" s="1179">
        <v>0.2266</v>
      </c>
      <c r="F56" s="1179">
        <v>0.2287</v>
      </c>
    </row>
    <row r="57">
      <c r="B57" s="40"/>
      <c r="C57" s="1178">
        <v>0.8</v>
      </c>
      <c r="D57" s="1179">
        <v>0.2289</v>
      </c>
      <c r="E57" s="1179">
        <v>0.2333</v>
      </c>
      <c r="F57" s="1179">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6.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79"/>
      <c r="O13" s="979"/>
      <c r="P13" s="980"/>
      <c r="Q13" s="980"/>
      <c r="R13" s="980"/>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83"/>
      <c r="H15" s="425"/>
      <c r="I15" s="425"/>
      <c r="J15" s="425"/>
      <c r="K15" s="425"/>
      <c r="L15" s="425"/>
      <c r="M15" s="425"/>
      <c r="N15" s="400"/>
      <c r="O15" s="400"/>
      <c r="P15" s="406"/>
      <c r="Q15" s="406"/>
      <c r="R15" s="406"/>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83"/>
      <c r="H16" s="418"/>
      <c r="I16" s="418"/>
      <c r="J16" s="418"/>
      <c r="K16" s="418"/>
      <c r="L16" s="418"/>
      <c r="M16" s="418"/>
      <c r="N16" s="464"/>
      <c r="O16" s="464"/>
      <c r="P16" s="420"/>
      <c r="Q16" s="420"/>
      <c r="R16" s="420"/>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83"/>
      <c r="H17" s="425"/>
      <c r="I17" s="425"/>
      <c r="J17" s="425"/>
      <c r="K17" s="425"/>
      <c r="L17" s="425"/>
      <c r="M17" s="425"/>
      <c r="N17" s="400"/>
      <c r="O17" s="400"/>
      <c r="P17" s="406"/>
      <c r="Q17" s="406"/>
      <c r="R17" s="406"/>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83"/>
      <c r="H18" s="418"/>
      <c r="I18" s="418"/>
      <c r="J18" s="418"/>
      <c r="K18" s="418"/>
      <c r="L18" s="418"/>
      <c r="M18" s="418"/>
      <c r="N18" s="464"/>
      <c r="O18" s="464"/>
      <c r="P18" s="420"/>
      <c r="Q18" s="420"/>
      <c r="R18" s="420"/>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83"/>
      <c r="H19" s="425"/>
      <c r="I19" s="425"/>
      <c r="J19" s="425"/>
      <c r="K19" s="425"/>
      <c r="L19" s="425"/>
      <c r="M19" s="425"/>
      <c r="N19" s="400"/>
      <c r="O19" s="400"/>
      <c r="P19" s="406"/>
      <c r="Q19" s="406"/>
      <c r="R19" s="406"/>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83"/>
      <c r="H20" s="418"/>
      <c r="I20" s="418"/>
      <c r="J20" s="418"/>
      <c r="K20" s="418"/>
      <c r="L20" s="418"/>
      <c r="M20" s="418"/>
      <c r="N20" s="464"/>
      <c r="O20" s="464"/>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83"/>
      <c r="H21" s="425"/>
      <c r="I21" s="425"/>
      <c r="J21" s="425"/>
      <c r="K21" s="425"/>
      <c r="L21" s="425"/>
      <c r="M21" s="425"/>
      <c r="N21" s="400"/>
      <c r="O21" s="400"/>
      <c r="P21" s="406"/>
      <c r="Q21" s="406"/>
      <c r="R21" s="406"/>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83"/>
      <c r="H22" s="418"/>
      <c r="I22" s="418"/>
      <c r="J22" s="418"/>
      <c r="K22" s="418"/>
      <c r="L22" s="418"/>
      <c r="M22" s="418"/>
      <c r="N22" s="464"/>
      <c r="O22" s="464"/>
      <c r="P22" s="420"/>
      <c r="Q22" s="420"/>
      <c r="R22" s="420"/>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83"/>
      <c r="H23" s="425"/>
      <c r="I23" s="425"/>
      <c r="J23" s="425"/>
      <c r="K23" s="425"/>
      <c r="L23" s="425"/>
      <c r="M23" s="425"/>
      <c r="N23" s="400"/>
      <c r="O23" s="400"/>
      <c r="P23" s="406"/>
      <c r="Q23" s="406"/>
      <c r="R23" s="406"/>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83"/>
      <c r="H24" s="418"/>
      <c r="I24" s="418"/>
      <c r="J24" s="418"/>
      <c r="K24" s="418"/>
      <c r="L24" s="418"/>
      <c r="M24" s="418"/>
      <c r="N24" s="464"/>
      <c r="O24" s="464"/>
      <c r="P24" s="420"/>
      <c r="Q24" s="420"/>
      <c r="R24" s="420"/>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83"/>
      <c r="H25" s="425"/>
      <c r="I25" s="425"/>
      <c r="J25" s="425"/>
      <c r="K25" s="425"/>
      <c r="L25" s="425"/>
      <c r="M25" s="425"/>
      <c r="N25" s="400"/>
      <c r="O25" s="400"/>
      <c r="P25" s="406"/>
      <c r="Q25" s="406"/>
      <c r="R25" s="406"/>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83"/>
      <c r="H26" s="418"/>
      <c r="I26" s="418"/>
      <c r="J26" s="418"/>
      <c r="K26" s="418"/>
      <c r="L26" s="418"/>
      <c r="M26" s="418"/>
      <c r="N26" s="464"/>
      <c r="O26" s="464"/>
      <c r="P26" s="420"/>
      <c r="Q26" s="420"/>
      <c r="R26" s="420"/>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83"/>
      <c r="H27" s="425"/>
      <c r="I27" s="425"/>
      <c r="J27" s="425"/>
      <c r="K27" s="425"/>
      <c r="L27" s="425"/>
      <c r="M27" s="425"/>
      <c r="N27" s="400"/>
      <c r="O27" s="400"/>
      <c r="P27" s="406"/>
      <c r="Q27" s="406"/>
      <c r="R27" s="406"/>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83"/>
      <c r="H28" s="418"/>
      <c r="I28" s="418"/>
      <c r="J28" s="418"/>
      <c r="K28" s="418"/>
      <c r="L28" s="418"/>
      <c r="M28" s="418"/>
      <c r="N28" s="464"/>
      <c r="O28" s="464"/>
      <c r="P28" s="420"/>
      <c r="Q28" s="420"/>
      <c r="R28" s="420"/>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83"/>
      <c r="H29" s="425"/>
      <c r="I29" s="425"/>
      <c r="J29" s="425"/>
      <c r="K29" s="425"/>
      <c r="L29" s="425"/>
      <c r="M29" s="425"/>
      <c r="N29" s="400"/>
      <c r="O29" s="400"/>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83"/>
      <c r="H30" s="418"/>
      <c r="I30" s="418"/>
      <c r="J30" s="418"/>
      <c r="K30" s="418"/>
      <c r="L30" s="418"/>
      <c r="M30" s="418"/>
      <c r="N30" s="420"/>
      <c r="O30" s="420"/>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83"/>
      <c r="H31" s="418"/>
      <c r="I31" s="425"/>
      <c r="J31" s="425"/>
      <c r="K31" s="425"/>
      <c r="L31" s="425"/>
      <c r="M31" s="425"/>
      <c r="N31" s="406"/>
      <c r="O31" s="406"/>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83"/>
      <c r="H32" s="418"/>
      <c r="I32" s="418"/>
      <c r="J32" s="418"/>
      <c r="K32" s="419"/>
      <c r="L32" s="419"/>
      <c r="M32" s="419"/>
      <c r="N32" s="464"/>
      <c r="O32" s="420"/>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83"/>
      <c r="H33" s="418"/>
      <c r="I33" s="425"/>
      <c r="J33" s="425"/>
      <c r="K33" s="407"/>
      <c r="L33" s="407"/>
      <c r="M33" s="407"/>
      <c r="N33" s="400"/>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20"/>
      <c r="H34" s="418"/>
      <c r="I34" s="418"/>
      <c r="J34" s="418"/>
      <c r="K34" s="419"/>
      <c r="L34" s="419"/>
      <c r="M34" s="419"/>
      <c r="N34" s="464"/>
      <c r="O34" s="420"/>
      <c r="P34" s="420"/>
      <c r="Q34" s="420"/>
      <c r="R34" s="420"/>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83"/>
      <c r="H35" s="400"/>
      <c r="I35" s="418"/>
      <c r="J35" s="418"/>
      <c r="K35" s="419"/>
      <c r="L35" s="419"/>
      <c r="M35" s="419"/>
      <c r="N35" s="406"/>
      <c r="O35" s="406"/>
      <c r="P35" s="406"/>
      <c r="Q35" s="406"/>
      <c r="R35" s="406"/>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20"/>
      <c r="H36" s="464"/>
      <c r="I36" s="418"/>
      <c r="J36" s="418"/>
      <c r="K36" s="419"/>
      <c r="L36" s="419"/>
      <c r="M36" s="419"/>
      <c r="N36" s="420"/>
      <c r="O36" s="420"/>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83"/>
      <c r="H37" s="400"/>
      <c r="I37" s="418"/>
      <c r="J37" s="418"/>
      <c r="K37" s="419"/>
      <c r="L37" s="419"/>
      <c r="M37" s="419"/>
      <c r="N37" s="406"/>
      <c r="O37" s="406"/>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20"/>
      <c r="H38" s="464"/>
      <c r="I38" s="418"/>
      <c r="J38" s="418"/>
      <c r="K38" s="419"/>
      <c r="L38" s="419"/>
      <c r="M38" s="419"/>
      <c r="N38" s="464"/>
      <c r="O38" s="420"/>
      <c r="P38" s="420"/>
      <c r="Q38" s="420"/>
      <c r="R38" s="420"/>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83"/>
      <c r="H39" s="400"/>
      <c r="I39" s="418"/>
      <c r="J39" s="418"/>
      <c r="K39" s="419"/>
      <c r="L39" s="419"/>
      <c r="M39" s="419"/>
      <c r="N39" s="400"/>
      <c r="O39" s="406"/>
      <c r="P39" s="406"/>
      <c r="Q39" s="406"/>
      <c r="R39" s="406"/>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20"/>
      <c r="H40" s="464"/>
      <c r="I40" s="418"/>
      <c r="J40" s="418"/>
      <c r="K40" s="419"/>
      <c r="L40" s="419"/>
      <c r="M40" s="419"/>
      <c r="N40" s="420"/>
      <c r="O40" s="420"/>
      <c r="P40" s="420"/>
      <c r="Q40" s="420"/>
      <c r="R40" s="420"/>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81"/>
      <c r="AZ40" s="443"/>
      <c r="BA40" s="982"/>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83"/>
      <c r="H41" s="400"/>
      <c r="I41" s="418"/>
      <c r="J41" s="418"/>
      <c r="K41" s="419"/>
      <c r="L41" s="419"/>
      <c r="M41" s="419"/>
      <c r="N41" s="406"/>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20"/>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83"/>
      <c r="H43" s="406"/>
      <c r="I43" s="419"/>
      <c r="J43" s="419"/>
      <c r="K43" s="419"/>
      <c r="L43" s="419"/>
      <c r="M43" s="419"/>
      <c r="N43" s="406"/>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1071</v>
      </c>
      <c r="O2" s="533"/>
      <c r="P2" s="534"/>
      <c r="Q2" s="535"/>
      <c r="R2" s="535"/>
      <c r="S2" s="536"/>
      <c r="T2" s="535"/>
      <c r="U2" s="535"/>
      <c r="V2" s="535"/>
      <c r="W2" s="535"/>
      <c r="X2" s="535"/>
      <c r="Y2" s="537"/>
      <c r="Z2" s="296"/>
      <c r="AA2" s="296"/>
      <c r="AB2" s="296"/>
      <c r="AC2" s="296"/>
      <c r="AD2" s="296"/>
      <c r="AE2" s="296"/>
      <c r="AF2" s="538"/>
      <c r="AG2" s="539"/>
      <c r="AH2" s="540"/>
      <c r="AI2" s="541" t="s">
        <v>1072</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46139</v>
      </c>
      <c r="C7" s="613"/>
      <c r="D7" s="528"/>
      <c r="E7" s="614">
        <f>today()+1</f>
        <v>46140</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81" t="s">
        <v>348</v>
      </c>
      <c r="C8" s="1182" t="str">
        <f>TEXT(B7,"ddd")</f>
        <v>月</v>
      </c>
      <c r="D8" s="117"/>
      <c r="E8" s="1183" t="s">
        <v>348</v>
      </c>
      <c r="F8" s="1184" t="str">
        <f>TEXT(E7,"ddd")</f>
        <v>火</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5"/>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2"/>
      <c r="L66" s="683"/>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2"/>
      <c r="L67" s="683"/>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2"/>
      <c r="L68" s="683"/>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2"/>
      <c r="L72" s="683"/>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2"/>
      <c r="L73" s="683"/>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2"/>
      <c r="L74" s="683"/>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2"/>
      <c r="L75" s="683"/>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2"/>
      <c r="L76" s="683"/>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2"/>
      <c r="L77" s="683"/>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2"/>
      <c r="L78" s="683"/>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2"/>
      <c r="L82" s="683"/>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2"/>
      <c r="L83" s="683"/>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2"/>
      <c r="L84" s="683"/>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2"/>
      <c r="L85" s="683"/>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2"/>
      <c r="L86" s="683"/>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2"/>
      <c r="L87" s="683"/>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2"/>
      <c r="L88" s="68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c r="H2" s="246"/>
      <c r="I2" s="246"/>
      <c r="J2" s="246"/>
      <c r="K2" s="246"/>
      <c r="L2" s="246"/>
      <c r="M2" s="246"/>
      <c r="N2" s="246"/>
      <c r="O2" s="246"/>
      <c r="P2" s="246"/>
      <c r="Q2" s="3"/>
      <c r="R2" s="691" t="s">
        <v>537</v>
      </c>
      <c r="S2" s="684"/>
      <c r="T2" s="686"/>
      <c r="U2" s="692"/>
      <c r="V2" s="688"/>
      <c r="W2" s="684"/>
      <c r="X2" s="684"/>
      <c r="Y2" s="684"/>
      <c r="Z2" s="684"/>
    </row>
    <row r="3" ht="33.0" customHeight="1">
      <c r="A3" s="684"/>
      <c r="B3" s="693" t="s">
        <v>538</v>
      </c>
      <c r="C3" s="530"/>
      <c r="D3" s="530"/>
      <c r="E3" s="530"/>
      <c r="F3" s="694" t="s">
        <v>539</v>
      </c>
      <c r="G3" s="695"/>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46054.0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2</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ノーマン</v>
      </c>
      <c r="W8" s="739"/>
      <c r="X8" s="740">
        <v>46054.0</v>
      </c>
      <c r="Y8" s="684"/>
      <c r="Z8" s="684"/>
    </row>
    <row r="9" hidden="1" outlineLevel="1">
      <c r="A9" s="684"/>
      <c r="B9" s="741"/>
      <c r="C9" s="742">
        <f>D5</f>
        <v>46054</v>
      </c>
      <c r="D9" s="743" t="str">
        <f>TEXT(C9,"ddd")</f>
        <v>日</v>
      </c>
      <c r="E9" s="744"/>
      <c r="F9" s="745" t="s">
        <v>557</v>
      </c>
      <c r="G9" s="746"/>
      <c r="H9" s="747"/>
      <c r="I9" s="748">
        <v>0.0</v>
      </c>
      <c r="J9" s="743"/>
      <c r="K9" s="743"/>
      <c r="L9" s="749"/>
      <c r="M9" s="749"/>
      <c r="N9" s="747"/>
      <c r="O9" s="750"/>
      <c r="Q9" s="751"/>
      <c r="R9" s="686"/>
      <c r="S9" s="242" t="str">
        <f t="array" ref="S9">IFERROR(INDEX('💻シート作成'!$D$6:$D1001, MATCH(T9, '💻シート作成'!$E$6:$E1001, 0)), "")</f>
        <v/>
      </c>
      <c r="T9" s="169" t="str">
        <f>IFERROR(__xludf.DUMMYFUNCTION("""COMPUTED_VALUE"""),"🔵クレーム")</f>
        <v>🔵クレーム</v>
      </c>
      <c r="U9" s="692"/>
      <c r="V9" s="738" t="s">
        <v>506</v>
      </c>
      <c r="W9" s="739"/>
      <c r="X9" s="740">
        <v>46082.0</v>
      </c>
      <c r="Y9" s="684"/>
      <c r="Z9" s="684"/>
    </row>
    <row r="10" hidden="1" outlineLevel="1">
      <c r="B10" s="752"/>
      <c r="C10" s="753"/>
      <c r="D10" s="753"/>
      <c r="E10" s="753"/>
      <c r="F10" s="753"/>
      <c r="G10" s="754"/>
      <c r="H10" s="753"/>
      <c r="I10" s="753"/>
      <c r="J10" s="753"/>
      <c r="K10" s="753"/>
      <c r="L10" s="755"/>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505</v>
      </c>
      <c r="W10" s="739"/>
      <c r="X10" s="740">
        <v>46113.0</v>
      </c>
      <c r="Y10" s="684"/>
      <c r="Z10" s="684"/>
    </row>
    <row r="11" hidden="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508</v>
      </c>
      <c r="W11" s="739"/>
      <c r="X11" s="740">
        <v>46143.0</v>
      </c>
      <c r="Y11" s="684"/>
      <c r="Z11" s="684"/>
    </row>
    <row r="12" hidden="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558</v>
      </c>
      <c r="W12" s="739"/>
      <c r="X12" s="740">
        <v>46174.0</v>
      </c>
      <c r="Y12" s="684"/>
      <c r="Z12" s="684"/>
    </row>
    <row r="13" hidden="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507</v>
      </c>
      <c r="W13" s="739"/>
      <c r="X13" s="740">
        <v>46204.0</v>
      </c>
      <c r="Y13" s="684"/>
      <c r="Z13" s="684"/>
    </row>
    <row r="14" hidden="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127</v>
      </c>
      <c r="W14" s="739"/>
      <c r="X14" s="740">
        <v>46235.0</v>
      </c>
      <c r="Y14" s="684"/>
      <c r="Z14" s="684"/>
    </row>
    <row r="15" hidden="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205</v>
      </c>
      <c r="W15" s="739"/>
      <c r="X15" s="740">
        <v>46266.0</v>
      </c>
      <c r="Y15" s="684"/>
      <c r="Z15" s="684"/>
    </row>
    <row r="16" hidden="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182</v>
      </c>
      <c r="W16" s="739"/>
      <c r="X16" s="740">
        <v>46296.0</v>
      </c>
      <c r="Y16" s="684"/>
      <c r="Z16" s="684"/>
    </row>
    <row r="17" hidden="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559</v>
      </c>
      <c r="W17" s="739"/>
      <c r="X17" s="740">
        <v>46327.0</v>
      </c>
      <c r="Y17" s="684"/>
      <c r="Z17" s="684"/>
    </row>
    <row r="18" hidden="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191</v>
      </c>
      <c r="W18" s="739"/>
      <c r="X18" s="740">
        <v>46357.0</v>
      </c>
      <c r="Y18" s="684"/>
      <c r="Z18" s="684"/>
    </row>
    <row r="19" hidden="1" outlineLevel="1">
      <c r="B19" s="761"/>
      <c r="C19" s="720"/>
      <c r="D19" s="720"/>
      <c r="E19" s="720"/>
      <c r="F19" s="762" t="s">
        <v>560</v>
      </c>
      <c r="G19" s="763"/>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561</v>
      </c>
      <c r="W19" s="739"/>
      <c r="X19" s="740">
        <v>46388.0</v>
      </c>
      <c r="Y19" s="684"/>
      <c r="Z19" s="684"/>
    </row>
    <row r="20" hidden="1" outlineLevel="1">
      <c r="A20" s="684"/>
      <c r="B20" s="766"/>
      <c r="C20" s="767">
        <f>IF(C9="","",IF(DAY(C9+1)=1,"",C9+1))</f>
        <v>46055</v>
      </c>
      <c r="D20" s="768" t="str">
        <f>TEXT(C20,"ddd")</f>
        <v>月</v>
      </c>
      <c r="E20" s="769"/>
      <c r="F20" s="770" t="s">
        <v>557</v>
      </c>
      <c r="G20" s="771"/>
      <c r="H20" s="772"/>
      <c r="I20" s="773">
        <v>0.0</v>
      </c>
      <c r="J20" s="774"/>
      <c r="K20" s="774"/>
      <c r="L20" s="775"/>
      <c r="M20" s="775"/>
      <c r="N20" s="770"/>
      <c r="O20" s="776"/>
      <c r="Q20" s="751"/>
      <c r="R20" s="684"/>
      <c r="S20" s="242" t="str">
        <f t="array" ref="S20">IFERROR(INDEX('💻シート作成'!$D$6:$D1001, MATCH(T20, '💻シート作成'!$E$6:$E1001, 0)), "")</f>
        <v>12月</v>
      </c>
      <c r="T20" s="169" t="str">
        <f>IFERROR(__xludf.DUMMYFUNCTION("""COMPUTED_VALUE"""),"④R8_12月報")</f>
        <v>④R8_12月報</v>
      </c>
      <c r="U20" s="777"/>
      <c r="V20" s="738" t="s">
        <v>171</v>
      </c>
      <c r="W20" s="739"/>
      <c r="X20" s="740"/>
      <c r="Y20" s="684"/>
      <c r="Z20" s="684"/>
    </row>
    <row r="21" hidden="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562</v>
      </c>
      <c r="W21" s="739"/>
      <c r="X21" s="740"/>
      <c r="Y21" s="684"/>
      <c r="Z21" s="684"/>
    </row>
    <row r="22" hidden="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563</v>
      </c>
      <c r="W22" s="739"/>
      <c r="X22" s="740"/>
      <c r="Y22" s="684"/>
      <c r="Z22" s="684"/>
    </row>
    <row r="23" hidden="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204</v>
      </c>
      <c r="W23" s="684"/>
      <c r="X23" s="780"/>
      <c r="Y23" s="684"/>
      <c r="Z23" s="684"/>
    </row>
    <row r="24" hidden="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200</v>
      </c>
      <c r="W24" s="684"/>
      <c r="X24" s="780"/>
      <c r="Y24" s="684"/>
      <c r="Z24" s="684"/>
    </row>
    <row r="25" hidden="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128</v>
      </c>
      <c r="W25" s="684"/>
      <c r="X25" s="780"/>
      <c r="Y25" s="684"/>
      <c r="Z25" s="684"/>
    </row>
    <row r="26" hidden="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509</v>
      </c>
      <c r="W26" s="684"/>
      <c r="X26" s="780"/>
      <c r="Y26" s="684"/>
      <c r="Z26" s="684"/>
    </row>
    <row r="27" hidden="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510</v>
      </c>
      <c r="W27" s="684"/>
      <c r="X27" s="780"/>
      <c r="Y27" s="684"/>
      <c r="Z27" s="684"/>
    </row>
    <row r="28" hidden="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511</v>
      </c>
      <c r="W28" s="684"/>
      <c r="X28" s="780"/>
      <c r="Y28" s="684"/>
      <c r="Z28" s="684"/>
    </row>
    <row r="29" hidden="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564</v>
      </c>
      <c r="W29" s="684"/>
      <c r="X29" s="780"/>
      <c r="Y29" s="684"/>
      <c r="Z29" s="684"/>
    </row>
    <row r="30" hidden="1" outlineLevel="1">
      <c r="A30" s="684"/>
      <c r="B30" s="761"/>
      <c r="C30" s="720"/>
      <c r="D30" s="720"/>
      <c r="E30" s="720"/>
      <c r="F30" s="781" t="s">
        <v>560</v>
      </c>
      <c r="G30" s="782"/>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565</v>
      </c>
      <c r="W30" s="684"/>
      <c r="X30" s="780"/>
      <c r="Y30" s="684"/>
      <c r="Z30" s="684"/>
    </row>
    <row r="31" hidden="1" outlineLevel="1">
      <c r="A31" s="684"/>
      <c r="B31" s="784"/>
      <c r="C31" s="785">
        <f>IF(C20="","",IF(DAY(C20+1)=1,"",C20+1))</f>
        <v>46056</v>
      </c>
      <c r="D31" s="786" t="str">
        <f>TEXT(C31,"ddd")</f>
        <v>火</v>
      </c>
      <c r="E31" s="787"/>
      <c r="F31" s="788" t="s">
        <v>557</v>
      </c>
      <c r="G31" s="789"/>
      <c r="H31" s="790"/>
      <c r="I31" s="791">
        <v>0.0</v>
      </c>
      <c r="J31" s="786"/>
      <c r="K31" s="786"/>
      <c r="L31" s="792"/>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566</v>
      </c>
      <c r="W31" s="684"/>
      <c r="X31" s="780"/>
      <c r="Y31" s="684"/>
      <c r="Z31" s="684"/>
    </row>
    <row r="32" hidden="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567</v>
      </c>
      <c r="W32" s="684"/>
      <c r="X32" s="780"/>
      <c r="Y32" s="684"/>
      <c r="Z32" s="684"/>
    </row>
    <row r="33" hidden="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101</v>
      </c>
      <c r="W33" s="684"/>
      <c r="X33" s="780"/>
      <c r="Y33" s="684"/>
      <c r="Z33" s="684"/>
    </row>
    <row r="34" hidden="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568</v>
      </c>
      <c r="W34" s="684"/>
      <c r="X34" s="780"/>
      <c r="Y34" s="684"/>
      <c r="Z34" s="684"/>
    </row>
    <row r="35" hidden="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569</v>
      </c>
      <c r="W35" s="684"/>
      <c r="X35" s="780"/>
      <c r="Y35" s="684"/>
      <c r="Z35" s="684"/>
    </row>
    <row r="36" hidden="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513</v>
      </c>
      <c r="W36" s="684"/>
      <c r="X36" s="780"/>
      <c r="Y36" s="684"/>
      <c r="Z36" s="684"/>
    </row>
    <row r="37" hidden="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570</v>
      </c>
      <c r="W37" s="684"/>
      <c r="X37" s="780"/>
      <c r="Y37" s="684"/>
      <c r="Z37" s="684"/>
    </row>
    <row r="38" hidden="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571</v>
      </c>
      <c r="W38" s="684"/>
      <c r="X38" s="780"/>
      <c r="Y38" s="684"/>
      <c r="Z38" s="684"/>
    </row>
    <row r="39" hidden="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512</v>
      </c>
      <c r="W39" s="684"/>
      <c r="X39" s="780"/>
      <c r="Y39" s="684"/>
      <c r="Z39" s="684"/>
    </row>
    <row r="40" hidden="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572</v>
      </c>
      <c r="W40" s="684"/>
      <c r="X40" s="780"/>
      <c r="Y40" s="684"/>
      <c r="Z40" s="684"/>
    </row>
    <row r="41" hidden="1" outlineLevel="1">
      <c r="A41" s="684"/>
      <c r="B41" s="761"/>
      <c r="C41" s="720"/>
      <c r="D41" s="720"/>
      <c r="E41" s="720"/>
      <c r="F41" s="762" t="s">
        <v>560</v>
      </c>
      <c r="G41" s="763"/>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573</v>
      </c>
      <c r="W41" s="684"/>
      <c r="X41" s="780"/>
      <c r="Y41" s="684"/>
      <c r="Z41" s="684"/>
    </row>
    <row r="42" hidden="1" outlineLevel="1">
      <c r="A42" s="684"/>
      <c r="B42" s="766"/>
      <c r="C42" s="767">
        <f>IF(C31="","",IF(DAY(C31+1)=1,"",C31+1))</f>
        <v>46057</v>
      </c>
      <c r="D42" s="768" t="str">
        <f>TEXT(C42,"ddd")</f>
        <v>水</v>
      </c>
      <c r="E42" s="769"/>
      <c r="F42" s="797" t="s">
        <v>557</v>
      </c>
      <c r="G42" s="798"/>
      <c r="H42" s="799"/>
      <c r="I42" s="800">
        <v>0.0</v>
      </c>
      <c r="J42" s="768"/>
      <c r="K42" s="768"/>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574</v>
      </c>
      <c r="W42" s="684"/>
      <c r="X42" s="780"/>
      <c r="Y42" s="684"/>
      <c r="Z42" s="684"/>
    </row>
    <row r="43" hidden="1" outlineLevel="1">
      <c r="A43" s="684"/>
      <c r="B43" s="752"/>
      <c r="C43" s="753"/>
      <c r="D43" s="753"/>
      <c r="E43" s="753"/>
      <c r="F43" s="753"/>
      <c r="G43" s="754"/>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575</v>
      </c>
      <c r="W43" s="684"/>
      <c r="X43" s="780"/>
      <c r="Y43" s="684"/>
      <c r="Z43" s="684"/>
    </row>
    <row r="44" hidden="1" outlineLevel="1">
      <c r="A44" s="684"/>
      <c r="B44" s="752"/>
      <c r="C44" s="753"/>
      <c r="D44" s="753"/>
      <c r="E44" s="753"/>
      <c r="F44" s="753"/>
      <c r="G44" s="754"/>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576</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577</v>
      </c>
      <c r="W45" s="684"/>
      <c r="X45" s="780"/>
      <c r="Y45" s="684"/>
      <c r="Z45" s="684"/>
    </row>
    <row r="46" hidden="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110</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196</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514</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515</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578</v>
      </c>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155</v>
      </c>
      <c r="W51" s="684"/>
      <c r="X51" s="780"/>
      <c r="Y51" s="684"/>
      <c r="Z51" s="684"/>
    </row>
    <row r="52" hidden="1" outlineLevel="1">
      <c r="A52" s="684"/>
      <c r="B52" s="761"/>
      <c r="C52" s="720"/>
      <c r="D52" s="720"/>
      <c r="E52" s="720"/>
      <c r="F52" s="781" t="s">
        <v>560</v>
      </c>
      <c r="G52" s="782"/>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190</v>
      </c>
      <c r="W52" s="684"/>
      <c r="X52" s="780"/>
      <c r="Y52" s="684"/>
      <c r="Z52" s="684"/>
    </row>
    <row r="53" hidden="1" outlineLevel="1">
      <c r="A53" s="684"/>
      <c r="B53" s="784"/>
      <c r="C53" s="785">
        <f>IF(C42="","",IF(DAY(C42+1)=1,"",C42+1))</f>
        <v>46058</v>
      </c>
      <c r="D53" s="786" t="str">
        <f>TEXT(C53,"ddd")</f>
        <v>木</v>
      </c>
      <c r="E53" s="787"/>
      <c r="F53" s="788" t="s">
        <v>557</v>
      </c>
      <c r="G53" s="789"/>
      <c r="H53" s="790"/>
      <c r="I53" s="791">
        <v>0.0</v>
      </c>
      <c r="J53" s="786"/>
      <c r="K53" s="786"/>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579</v>
      </c>
      <c r="W53" s="684"/>
      <c r="X53" s="780"/>
      <c r="Y53" s="684"/>
      <c r="Z53" s="684"/>
    </row>
    <row r="54" hidden="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516</v>
      </c>
      <c r="W54" s="684"/>
      <c r="X54" s="780"/>
      <c r="Y54" s="684"/>
      <c r="Z54" s="684"/>
    </row>
    <row r="55" hidden="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144</v>
      </c>
      <c r="W55" s="684"/>
      <c r="X55" s="780"/>
      <c r="Y55" s="684"/>
      <c r="Z55" s="684"/>
    </row>
    <row r="56" hidden="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580</v>
      </c>
      <c r="W56" s="684"/>
      <c r="X56" s="780"/>
      <c r="Y56" s="684"/>
      <c r="Z56" s="684"/>
    </row>
    <row r="57" hidden="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581</v>
      </c>
      <c r="W57" s="684"/>
      <c r="X57" s="780"/>
      <c r="Y57" s="684"/>
      <c r="Z57" s="684"/>
    </row>
    <row r="58" hidden="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738" t="s">
        <v>517</v>
      </c>
      <c r="W58" s="684"/>
      <c r="X58" s="780"/>
      <c r="Y58" s="684"/>
      <c r="Z58" s="684"/>
    </row>
    <row r="59" hidden="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738" t="s">
        <v>518</v>
      </c>
      <c r="W59" s="684"/>
      <c r="X59" s="780"/>
      <c r="Y59" s="684"/>
      <c r="Z59" s="684"/>
    </row>
    <row r="60" hidden="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738" t="s">
        <v>582</v>
      </c>
      <c r="W60" s="684"/>
      <c r="X60" s="780"/>
      <c r="Y60" s="684"/>
      <c r="Z60" s="684"/>
    </row>
    <row r="61" hidden="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738" t="s">
        <v>176</v>
      </c>
      <c r="W61" s="684"/>
      <c r="X61" s="780"/>
      <c r="Y61" s="684"/>
      <c r="Z61" s="684"/>
    </row>
    <row r="62" hidden="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738" t="s">
        <v>519</v>
      </c>
      <c r="W62" s="684"/>
      <c r="X62" s="780"/>
      <c r="Y62" s="684"/>
      <c r="Z62" s="684"/>
    </row>
    <row r="63" hidden="1" outlineLevel="1">
      <c r="A63" s="684"/>
      <c r="B63" s="761"/>
      <c r="C63" s="720"/>
      <c r="D63" s="720"/>
      <c r="E63" s="720"/>
      <c r="F63" s="762" t="s">
        <v>560</v>
      </c>
      <c r="G63" s="763"/>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t="s">
        <v>520</v>
      </c>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t="s">
        <v>584</v>
      </c>
      <c r="W64" s="684"/>
      <c r="X64" s="780"/>
      <c r="Y64" s="684"/>
      <c r="Z64" s="684"/>
    </row>
    <row r="65" hidden="1" outlineLevel="1">
      <c r="A65" s="684"/>
      <c r="B65" s="766"/>
      <c r="C65" s="767">
        <f>IF(C53="","",IF(DAY(C53+1)=1,"",C53+1))</f>
        <v>46059</v>
      </c>
      <c r="D65" s="768" t="str">
        <f>TEXT(C65,"ddd")</f>
        <v>金</v>
      </c>
      <c r="E65" s="769"/>
      <c r="F65" s="797" t="s">
        <v>557</v>
      </c>
      <c r="G65" s="798"/>
      <c r="H65" s="799"/>
      <c r="I65" s="800">
        <v>0.0</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t="s">
        <v>186</v>
      </c>
      <c r="W65" s="684"/>
      <c r="X65" s="780"/>
      <c r="Y65" s="684"/>
      <c r="Z65" s="684"/>
    </row>
    <row r="66" hidden="1" outlineLevel="1">
      <c r="A66" s="684"/>
      <c r="B66" s="752"/>
      <c r="C66" s="753"/>
      <c r="D66" s="753"/>
      <c r="E66" s="753"/>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idden="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idden="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idden="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idden="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idden="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idden="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idden="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idden="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idden="1" outlineLevel="1">
      <c r="A76" s="684"/>
      <c r="B76" s="784"/>
      <c r="C76" s="785">
        <f>IF(C65="","",IF(DAY(C65+1)=1,"",C65+1))</f>
        <v>46060</v>
      </c>
      <c r="D76" s="786" t="str">
        <f>TEXT(C76,"ddd")</f>
        <v>土</v>
      </c>
      <c r="E76" s="787"/>
      <c r="F76" s="788" t="s">
        <v>557</v>
      </c>
      <c r="G76" s="789"/>
      <c r="H76" s="790"/>
      <c r="I76" s="791">
        <v>0.0</v>
      </c>
      <c r="J76" s="786"/>
      <c r="K76" s="786"/>
      <c r="L76" s="792"/>
      <c r="M76" s="792"/>
      <c r="N76" s="788"/>
      <c r="O76" s="793"/>
      <c r="P76" s="794"/>
      <c r="Q76" s="795"/>
      <c r="R76" s="684"/>
      <c r="S76" s="242" t="str">
        <f t="array" ref="S76">IFERROR(INDEX('💻シート作成'!$D$6:$D1001, MATCH(T76, '💻シート作成'!$E$6:$E1001, 0)), "")</f>
        <v/>
      </c>
      <c r="T76" s="169"/>
      <c r="U76" s="687"/>
      <c r="V76" s="802"/>
      <c r="W76" s="684"/>
      <c r="X76" s="780"/>
      <c r="Y76" s="684"/>
      <c r="Z76" s="684"/>
    </row>
    <row r="77" hidden="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idden="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idden="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idden="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idden="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idden="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idden="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idden="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idden="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idden="1" outlineLevel="1">
      <c r="A87" s="684"/>
      <c r="B87" s="766"/>
      <c r="C87" s="767">
        <f>IF(C76="","",IF(DAY(C76+1)=1,"",C76+1))</f>
        <v>46061</v>
      </c>
      <c r="D87" s="768" t="str">
        <f>TEXT(C87,"ddd")</f>
        <v>日</v>
      </c>
      <c r="E87" s="769"/>
      <c r="F87" s="797" t="s">
        <v>557</v>
      </c>
      <c r="G87" s="798"/>
      <c r="H87" s="799"/>
      <c r="I87" s="800">
        <v>0.0</v>
      </c>
      <c r="J87" s="768"/>
      <c r="K87" s="768"/>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idden="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idden="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idden="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idden="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idden="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idden="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idden="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idden="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idden="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idden="1" outlineLevel="1">
      <c r="A98" s="684"/>
      <c r="B98" s="784"/>
      <c r="C98" s="785">
        <f>IF(C87="","",IF(DAY(C87+1)=1,"",C87+1))</f>
        <v>46062</v>
      </c>
      <c r="D98" s="786" t="str">
        <f>TEXT(C98,"ddd")</f>
        <v>月</v>
      </c>
      <c r="E98" s="787"/>
      <c r="F98" s="788" t="s">
        <v>557</v>
      </c>
      <c r="G98" s="789"/>
      <c r="H98" s="790"/>
      <c r="I98" s="791">
        <v>0.0</v>
      </c>
      <c r="J98" s="786"/>
      <c r="K98" s="786"/>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idden="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idden="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idden="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idden="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idden="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idden="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idden="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idden="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idden="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idden="1" outlineLevel="1">
      <c r="A109" s="684"/>
      <c r="B109" s="766"/>
      <c r="C109" s="767">
        <f>IF(C98="","",IF(DAY(C98+1)=1,"",C98+1))</f>
        <v>46063</v>
      </c>
      <c r="D109" s="768" t="str">
        <f>TEXT(C109,"ddd")</f>
        <v>火</v>
      </c>
      <c r="E109" s="769"/>
      <c r="F109" s="797" t="s">
        <v>557</v>
      </c>
      <c r="G109" s="798"/>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idden="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idden="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idden="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idden="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idden="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idden="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idden="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idden="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idden="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idden="1" outlineLevel="1">
      <c r="A121" s="684"/>
      <c r="B121" s="784"/>
      <c r="C121" s="785">
        <f>IF(C109="","",IF(DAY(C109+1)=1,"",C109+1))</f>
        <v>46064</v>
      </c>
      <c r="D121" s="786" t="str">
        <f>TEXT(C121,"ddd")</f>
        <v>水</v>
      </c>
      <c r="E121" s="787"/>
      <c r="F121" s="788" t="s">
        <v>557</v>
      </c>
      <c r="G121" s="789"/>
      <c r="H121" s="790"/>
      <c r="I121" s="791">
        <v>0.0</v>
      </c>
      <c r="J121" s="786"/>
      <c r="K121" s="786"/>
      <c r="L121" s="792"/>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idden="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idden="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idden="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idden="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idden="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idden="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idden="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idden="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idden="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idden="1" outlineLevel="1">
      <c r="A131" s="684"/>
      <c r="B131" s="761"/>
      <c r="C131" s="720"/>
      <c r="D131" s="720"/>
      <c r="E131" s="720"/>
      <c r="F131" s="762" t="s">
        <v>560</v>
      </c>
      <c r="G131" s="763"/>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idden="1" outlineLevel="1">
      <c r="A132" s="684"/>
      <c r="B132" s="766"/>
      <c r="C132" s="767">
        <f>IF(C121="","",IF(DAY(C121+1)=1,"",C121+1))</f>
        <v>46065</v>
      </c>
      <c r="D132" s="768" t="str">
        <f>TEXT(C132,"ddd")</f>
        <v>木</v>
      </c>
      <c r="E132" s="769"/>
      <c r="F132" s="797" t="s">
        <v>557</v>
      </c>
      <c r="G132" s="798"/>
      <c r="H132" s="799"/>
      <c r="I132" s="800">
        <v>0.0</v>
      </c>
      <c r="J132" s="768"/>
      <c r="K132" s="768"/>
      <c r="L132" s="778"/>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idden="1" outlineLevel="1">
      <c r="A133" s="684"/>
      <c r="B133" s="752"/>
      <c r="C133" s="753"/>
      <c r="D133" s="753"/>
      <c r="E133" s="753"/>
      <c r="F133" s="753"/>
      <c r="G133" s="754"/>
      <c r="H133" s="753"/>
      <c r="I133" s="753"/>
      <c r="J133" s="753"/>
      <c r="K133" s="753"/>
      <c r="L133" s="778"/>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idden="1" outlineLevel="1">
      <c r="A134" s="684"/>
      <c r="B134" s="752"/>
      <c r="C134" s="753"/>
      <c r="D134" s="753"/>
      <c r="E134" s="753"/>
      <c r="F134" s="753"/>
      <c r="G134" s="754"/>
      <c r="H134" s="753"/>
      <c r="I134" s="753"/>
      <c r="J134" s="753"/>
      <c r="K134" s="753"/>
      <c r="L134" s="778"/>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idden="1" outlineLevel="1">
      <c r="A135" s="684"/>
      <c r="B135" s="752"/>
      <c r="C135" s="753"/>
      <c r="D135" s="753"/>
      <c r="E135" s="753"/>
      <c r="F135" s="753"/>
      <c r="G135" s="754"/>
      <c r="H135" s="753"/>
      <c r="I135" s="753"/>
      <c r="J135" s="753"/>
      <c r="K135" s="753"/>
      <c r="L135" s="779"/>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idden="1" outlineLevel="1">
      <c r="A136" s="684"/>
      <c r="B136" s="752"/>
      <c r="C136" s="753"/>
      <c r="D136" s="753"/>
      <c r="E136" s="753"/>
      <c r="F136" s="753"/>
      <c r="G136" s="754"/>
      <c r="H136" s="753"/>
      <c r="I136" s="753"/>
      <c r="J136" s="753"/>
      <c r="K136" s="753"/>
      <c r="L136" s="779"/>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idden="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idden="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idden="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idden="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idden="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idden="1" outlineLevel="1">
      <c r="A142" s="684"/>
      <c r="B142" s="761"/>
      <c r="C142" s="720"/>
      <c r="D142" s="720"/>
      <c r="E142" s="720"/>
      <c r="F142" s="781" t="s">
        <v>560</v>
      </c>
      <c r="G142" s="782"/>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idden="1" outlineLevel="1">
      <c r="A143" s="684"/>
      <c r="B143" s="784"/>
      <c r="C143" s="785">
        <f>IF(C132="","",IF(DAY(C132+1)=1,"",C132+1))</f>
        <v>46066</v>
      </c>
      <c r="D143" s="786" t="str">
        <f>TEXT(C143,"ddd")</f>
        <v>金</v>
      </c>
      <c r="E143" s="787"/>
      <c r="F143" s="788" t="s">
        <v>557</v>
      </c>
      <c r="G143" s="789"/>
      <c r="H143" s="790"/>
      <c r="I143" s="791">
        <v>0.0</v>
      </c>
      <c r="J143" s="786"/>
      <c r="K143" s="786"/>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idden="1" outlineLevel="1">
      <c r="A144" s="684"/>
      <c r="B144" s="752"/>
      <c r="C144" s="753"/>
      <c r="D144" s="753"/>
      <c r="E144" s="753"/>
      <c r="F144" s="753"/>
      <c r="G144" s="754"/>
      <c r="H144" s="753"/>
      <c r="I144" s="753"/>
      <c r="J144" s="753"/>
      <c r="K144" s="753"/>
      <c r="L144" s="792"/>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idden="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idden="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idden="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idden="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idden="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idden="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idden="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idden="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idden="1" outlineLevel="1">
      <c r="A153" s="684"/>
      <c r="B153" s="761"/>
      <c r="C153" s="720"/>
      <c r="D153" s="720"/>
      <c r="E153" s="720"/>
      <c r="F153" s="762" t="s">
        <v>560</v>
      </c>
      <c r="G153" s="763"/>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idden="1" outlineLevel="1">
      <c r="A154" s="684"/>
      <c r="B154" s="766"/>
      <c r="C154" s="767">
        <f>IF(C143="","",IF(DAY(C143+1)=1,"",C143+1))</f>
        <v>46067</v>
      </c>
      <c r="D154" s="768" t="str">
        <f>TEXT(C154,"ddd")</f>
        <v>土</v>
      </c>
      <c r="E154" s="769"/>
      <c r="F154" s="797" t="s">
        <v>557</v>
      </c>
      <c r="G154" s="798"/>
      <c r="H154" s="799"/>
      <c r="I154" s="800">
        <v>0.0</v>
      </c>
      <c r="J154" s="768"/>
      <c r="K154" s="768"/>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idden="1" outlineLevel="1">
      <c r="A155" s="684"/>
      <c r="B155" s="752"/>
      <c r="C155" s="753"/>
      <c r="D155" s="753"/>
      <c r="E155" s="753"/>
      <c r="F155" s="753"/>
      <c r="G155" s="754"/>
      <c r="H155" s="753"/>
      <c r="I155" s="753"/>
      <c r="J155" s="753"/>
      <c r="K155" s="753"/>
      <c r="L155" s="778"/>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idden="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idden="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idden="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idden="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idden="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idden="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idden="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idden="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idden="1" outlineLevel="1">
      <c r="A164" s="684"/>
      <c r="B164" s="761"/>
      <c r="C164" s="720"/>
      <c r="D164" s="720"/>
      <c r="E164" s="720"/>
      <c r="F164" s="781" t="s">
        <v>560</v>
      </c>
      <c r="G164" s="782"/>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idden="1" outlineLevel="1">
      <c r="A165" s="684"/>
      <c r="B165" s="784"/>
      <c r="C165" s="785">
        <f>IF(C154="","",IF(DAY(C154+1)=1,"",C154+1))</f>
        <v>46068</v>
      </c>
      <c r="D165" s="786" t="str">
        <f>TEXT(C165,"ddd")</f>
        <v>日</v>
      </c>
      <c r="E165" s="787"/>
      <c r="F165" s="788" t="s">
        <v>557</v>
      </c>
      <c r="G165" s="789"/>
      <c r="H165" s="790"/>
      <c r="I165" s="791">
        <v>0.0</v>
      </c>
      <c r="J165" s="786"/>
      <c r="K165" s="786"/>
      <c r="L165" s="792"/>
      <c r="M165" s="792"/>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idden="1" outlineLevel="1">
      <c r="A166" s="684"/>
      <c r="B166" s="752"/>
      <c r="C166" s="753"/>
      <c r="D166" s="753"/>
      <c r="E166" s="753"/>
      <c r="F166" s="753"/>
      <c r="G166" s="754"/>
      <c r="H166" s="753"/>
      <c r="I166" s="753"/>
      <c r="J166" s="753"/>
      <c r="K166" s="753"/>
      <c r="L166" s="792"/>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idden="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idden="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idden="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idden="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idden="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idden="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idden="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idden="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idden="1" outlineLevel="1">
      <c r="A175" s="684"/>
      <c r="B175" s="761"/>
      <c r="C175" s="720"/>
      <c r="D175" s="720"/>
      <c r="E175" s="720"/>
      <c r="F175" s="762" t="s">
        <v>560</v>
      </c>
      <c r="G175" s="763"/>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idden="1" outlineLevel="1">
      <c r="A177" s="684"/>
      <c r="B177" s="766"/>
      <c r="C177" s="767">
        <f>IF(C165="","",IF(DAY(C165+1)=1,"",C165+1))</f>
        <v>46069</v>
      </c>
      <c r="D177" s="768" t="str">
        <f>TEXT(C177,"ddd")</f>
        <v>月</v>
      </c>
      <c r="E177" s="769"/>
      <c r="F177" s="797" t="s">
        <v>557</v>
      </c>
      <c r="G177" s="798"/>
      <c r="H177" s="799"/>
      <c r="I177" s="800">
        <v>0.0</v>
      </c>
      <c r="J177" s="768"/>
      <c r="K177" s="768"/>
      <c r="L177" s="778"/>
      <c r="M177" s="778"/>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idden="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idden="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idden="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idden="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idden="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idden="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idden="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idden="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idden="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idden="1" outlineLevel="1">
      <c r="A187" s="684"/>
      <c r="B187" s="761"/>
      <c r="C187" s="720"/>
      <c r="D187" s="720"/>
      <c r="E187" s="720"/>
      <c r="F187" s="781" t="s">
        <v>560</v>
      </c>
      <c r="G187" s="782"/>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idden="1" outlineLevel="1">
      <c r="A188" s="684"/>
      <c r="B188" s="784"/>
      <c r="C188" s="785">
        <f>IF(C177="","",IF(DAY(C177+1)=1,"",C177+1))</f>
        <v>46070</v>
      </c>
      <c r="D188" s="786" t="str">
        <f>TEXT(C188,"ddd")</f>
        <v>火</v>
      </c>
      <c r="E188" s="787"/>
      <c r="F188" s="788" t="s">
        <v>557</v>
      </c>
      <c r="G188" s="789"/>
      <c r="H188" s="790"/>
      <c r="I188" s="791">
        <v>0.0</v>
      </c>
      <c r="J188" s="786"/>
      <c r="K188" s="786"/>
      <c r="L188" s="792"/>
      <c r="M188" s="792"/>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idden="1" outlineLevel="1">
      <c r="A189" s="684"/>
      <c r="B189" s="752"/>
      <c r="C189" s="753"/>
      <c r="D189" s="753"/>
      <c r="E189" s="753"/>
      <c r="F189" s="753"/>
      <c r="G189" s="754"/>
      <c r="H189" s="753"/>
      <c r="I189" s="753"/>
      <c r="J189" s="753"/>
      <c r="K189" s="753"/>
      <c r="L189" s="792"/>
      <c r="M189" s="792"/>
      <c r="N189" s="753"/>
      <c r="O189" s="756"/>
      <c r="Q189" s="751"/>
      <c r="R189" s="684"/>
      <c r="S189" s="242" t="str">
        <f t="array" ref="S189">IFERROR(INDEX('💻シート作成'!$D$6:$D1001, MATCH(T189, '💻シート作成'!$E$6:$E1001, 0)), "")</f>
        <v/>
      </c>
      <c r="T189" s="190"/>
      <c r="U189" s="687"/>
      <c r="V189" s="802"/>
      <c r="W189" s="684"/>
      <c r="X189" s="780"/>
      <c r="Y189" s="684"/>
      <c r="Z189" s="684"/>
    </row>
    <row r="190" hidden="1" outlineLevel="1">
      <c r="A190" s="684"/>
      <c r="B190" s="752"/>
      <c r="C190" s="753"/>
      <c r="D190" s="753"/>
      <c r="E190" s="753"/>
      <c r="F190" s="753"/>
      <c r="G190" s="754"/>
      <c r="H190" s="753"/>
      <c r="I190" s="753"/>
      <c r="J190" s="753"/>
      <c r="K190" s="753"/>
      <c r="L190" s="792"/>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idden="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idden="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idden="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idden="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idden="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idden="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idden="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idden="1" outlineLevel="1">
      <c r="A198" s="684"/>
      <c r="B198" s="761"/>
      <c r="C198" s="720"/>
      <c r="D198" s="720"/>
      <c r="E198" s="720"/>
      <c r="F198" s="762" t="s">
        <v>560</v>
      </c>
      <c r="G198" s="763"/>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46071</v>
      </c>
      <c r="D199" s="768" t="str">
        <f>TEXT(C199,"ddd")</f>
        <v>水</v>
      </c>
      <c r="E199" s="769"/>
      <c r="F199" s="797" t="s">
        <v>557</v>
      </c>
      <c r="G199" s="798"/>
      <c r="H199" s="799"/>
      <c r="I199" s="800">
        <v>0.0</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idden="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idden="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idden="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idden="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idden="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idden="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idden="1" outlineLevel="1">
      <c r="A209" s="684"/>
      <c r="B209" s="761"/>
      <c r="C209" s="720"/>
      <c r="D209" s="720"/>
      <c r="E209" s="720"/>
      <c r="F209" s="781" t="s">
        <v>560</v>
      </c>
      <c r="G209" s="782"/>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idden="1" outlineLevel="1">
      <c r="A210" s="684"/>
      <c r="B210" s="784"/>
      <c r="C210" s="785">
        <f>IF(C199="","",IF(DAY(C199+1)=1,"",C199+1))</f>
        <v>46072</v>
      </c>
      <c r="D210" s="786" t="str">
        <f>TEXT(C210,"ddd")</f>
        <v>木</v>
      </c>
      <c r="E210" s="787"/>
      <c r="F210" s="788" t="s">
        <v>557</v>
      </c>
      <c r="G210" s="789"/>
      <c r="H210" s="790"/>
      <c r="I210" s="791">
        <v>0.0</v>
      </c>
      <c r="J210" s="786"/>
      <c r="K210" s="786"/>
      <c r="L210" s="792"/>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idden="1" outlineLevel="1">
      <c r="A211" s="684"/>
      <c r="B211" s="752"/>
      <c r="C211" s="753"/>
      <c r="D211" s="753"/>
      <c r="E211" s="753"/>
      <c r="F211" s="753"/>
      <c r="G211" s="754"/>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idden="1" outlineLevel="1">
      <c r="A212" s="684"/>
      <c r="B212" s="752"/>
      <c r="C212" s="753"/>
      <c r="D212" s="753"/>
      <c r="E212" s="753"/>
      <c r="F212" s="753"/>
      <c r="G212" s="754"/>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idden="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idden="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idden="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idden="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idden="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idden="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idden="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idden="1" outlineLevel="1">
      <c r="A220" s="684"/>
      <c r="B220" s="761"/>
      <c r="C220" s="720"/>
      <c r="D220" s="720"/>
      <c r="E220" s="720"/>
      <c r="F220" s="762" t="s">
        <v>560</v>
      </c>
      <c r="G220" s="763"/>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idden="1" outlineLevel="1">
      <c r="A221" s="684"/>
      <c r="B221" s="766"/>
      <c r="C221" s="767">
        <f>IF(C210="","",IF(DAY(C210+1)=1,"",C210+1))</f>
        <v>46073</v>
      </c>
      <c r="D221" s="768" t="str">
        <f>TEXT(C221,"ddd")</f>
        <v>金</v>
      </c>
      <c r="E221" s="769"/>
      <c r="F221" s="797" t="s">
        <v>557</v>
      </c>
      <c r="G221" s="798"/>
      <c r="H221" s="799"/>
      <c r="I221" s="800">
        <v>0.0</v>
      </c>
      <c r="J221" s="768"/>
      <c r="K221" s="768"/>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idden="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idden="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idden="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idden="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idden="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idden="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idden="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idden="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idden="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idden="1" outlineLevel="1">
      <c r="A231" s="684"/>
      <c r="B231" s="761"/>
      <c r="C231" s="720"/>
      <c r="D231" s="720"/>
      <c r="E231" s="720"/>
      <c r="F231" s="781" t="s">
        <v>560</v>
      </c>
      <c r="G231" s="782"/>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idden="1" outlineLevel="1">
      <c r="A233" s="684"/>
      <c r="B233" s="784"/>
      <c r="C233" s="785">
        <f>IF(C221="","",IF(DAY(C221+1)=1,"",C221+1))</f>
        <v>46074</v>
      </c>
      <c r="D233" s="786" t="str">
        <f>TEXT(C233,"ddd")</f>
        <v>土</v>
      </c>
      <c r="E233" s="787"/>
      <c r="F233" s="788" t="s">
        <v>557</v>
      </c>
      <c r="G233" s="789"/>
      <c r="H233" s="790"/>
      <c r="I233" s="791">
        <v>0.0</v>
      </c>
      <c r="J233" s="786"/>
      <c r="K233" s="786"/>
      <c r="L233" s="792"/>
      <c r="M233" s="792"/>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idden="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idden="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idden="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idden="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idden="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idden="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idden="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idden="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idden="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idden="1" outlineLevel="1">
      <c r="A243" s="684"/>
      <c r="B243" s="761"/>
      <c r="C243" s="720"/>
      <c r="D243" s="720"/>
      <c r="E243" s="720"/>
      <c r="F243" s="762" t="s">
        <v>560</v>
      </c>
      <c r="G243" s="763"/>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idden="1" outlineLevel="1">
      <c r="A244" s="684"/>
      <c r="B244" s="766"/>
      <c r="C244" s="767">
        <f>IF(C233="","",IF(DAY(C233+1)=1,"",C233+1))</f>
        <v>46075</v>
      </c>
      <c r="D244" s="768" t="str">
        <f>TEXT(C244,"ddd")</f>
        <v>日</v>
      </c>
      <c r="E244" s="769"/>
      <c r="F244" s="797" t="s">
        <v>557</v>
      </c>
      <c r="G244" s="798"/>
      <c r="H244" s="799"/>
      <c r="I244" s="800">
        <v>0.0</v>
      </c>
      <c r="J244" s="768"/>
      <c r="K244" s="768"/>
      <c r="L244" s="778"/>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idden="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idden="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idden="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idden="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idden="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idden="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idden="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idden="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idden="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idden="1" outlineLevel="1">
      <c r="A254" s="684"/>
      <c r="B254" s="761"/>
      <c r="C254" s="720"/>
      <c r="D254" s="720"/>
      <c r="E254" s="720"/>
      <c r="F254" s="781" t="s">
        <v>560</v>
      </c>
      <c r="G254" s="782"/>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idden="1" outlineLevel="1">
      <c r="A255" s="684"/>
      <c r="B255" s="784"/>
      <c r="C255" s="785">
        <f>IF(C244="","",IF(DAY(C244+1)=1,"",C244+1))</f>
        <v>46076</v>
      </c>
      <c r="D255" s="786" t="str">
        <f>TEXT(C255,"ddd")</f>
        <v>月</v>
      </c>
      <c r="E255" s="787"/>
      <c r="F255" s="788" t="s">
        <v>557</v>
      </c>
      <c r="G255" s="789"/>
      <c r="H255" s="790"/>
      <c r="I255" s="791">
        <v>0.0</v>
      </c>
      <c r="J255" s="786"/>
      <c r="K255" s="786"/>
      <c r="L255" s="792"/>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idden="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idden="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idden="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idden="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idden="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idden="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idden="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idden="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idden="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idden="1" outlineLevel="1">
      <c r="A266" s="684"/>
      <c r="B266" s="766"/>
      <c r="C266" s="767">
        <f>IF(C255="","",IF(DAY(C255+1)=1,"",C255+1))</f>
        <v>46077</v>
      </c>
      <c r="D266" s="768" t="str">
        <f>TEXT(C266,"ddd")</f>
        <v>火</v>
      </c>
      <c r="E266" s="769"/>
      <c r="F266" s="797" t="s">
        <v>557</v>
      </c>
      <c r="G266" s="798"/>
      <c r="H266" s="799"/>
      <c r="I266" s="800">
        <v>0.0</v>
      </c>
      <c r="J266" s="768"/>
      <c r="K266" s="768"/>
      <c r="L266" s="778"/>
      <c r="M266" s="778"/>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idden="1" outlineLevel="1">
      <c r="A267" s="684"/>
      <c r="B267" s="752"/>
      <c r="C267" s="753"/>
      <c r="D267" s="753"/>
      <c r="E267" s="753"/>
      <c r="F267" s="753"/>
      <c r="G267" s="754"/>
      <c r="H267" s="753"/>
      <c r="I267" s="753"/>
      <c r="J267" s="753"/>
      <c r="K267" s="753"/>
      <c r="L267" s="778"/>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idden="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idden="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idden="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idden="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idden="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idden="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idden="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idden="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idden="1"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idden="1" outlineLevel="1">
      <c r="A277" s="684"/>
      <c r="B277" s="784"/>
      <c r="C277" s="785">
        <f>IF(C266="","",IF(DAY(C266+1)=1,"",C266+1))</f>
        <v>46078</v>
      </c>
      <c r="D277" s="786" t="str">
        <f>TEXT(C277,"ddd")</f>
        <v>水</v>
      </c>
      <c r="E277" s="787"/>
      <c r="F277" s="788" t="s">
        <v>557</v>
      </c>
      <c r="G277" s="789"/>
      <c r="H277" s="790"/>
      <c r="I277" s="791">
        <v>0.0</v>
      </c>
      <c r="J277" s="786"/>
      <c r="K277" s="786"/>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idden="1" outlineLevel="1">
      <c r="A278" s="684"/>
      <c r="B278" s="752"/>
      <c r="C278" s="753"/>
      <c r="D278" s="753"/>
      <c r="E278" s="753"/>
      <c r="F278" s="753"/>
      <c r="G278" s="754"/>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idden="1" outlineLevel="1">
      <c r="A279" s="684"/>
      <c r="B279" s="752"/>
      <c r="C279" s="753"/>
      <c r="D279" s="753"/>
      <c r="E279" s="753"/>
      <c r="F279" s="753"/>
      <c r="G279" s="754"/>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idden="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idden="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idden="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idden="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idden="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idden="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idden="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idden="1"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ollapsed="1">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idden="1" outlineLevel="1">
      <c r="A289" s="684"/>
      <c r="B289" s="766"/>
      <c r="C289" s="767">
        <f>IF(C277="","",IF(DAY(C277+1)=1,"",C277+1))</f>
        <v>46079</v>
      </c>
      <c r="D289" s="768" t="str">
        <f>TEXT(C289,"ddd")</f>
        <v>木</v>
      </c>
      <c r="E289" s="769"/>
      <c r="F289" s="797" t="s">
        <v>557</v>
      </c>
      <c r="G289" s="798"/>
      <c r="H289" s="799"/>
      <c r="I289" s="800">
        <v>0.0</v>
      </c>
      <c r="J289" s="768"/>
      <c r="K289" s="768"/>
      <c r="L289" s="778"/>
      <c r="M289" s="778"/>
      <c r="N289" s="797"/>
      <c r="O289" s="801"/>
      <c r="P289" s="794"/>
      <c r="Q289" s="795"/>
      <c r="R289" s="684"/>
      <c r="S289" s="684"/>
      <c r="T289" s="684"/>
      <c r="U289" s="687"/>
      <c r="V289" s="688"/>
      <c r="W289" s="684"/>
      <c r="X289" s="684"/>
      <c r="Y289" s="684"/>
      <c r="Z289" s="684"/>
    </row>
    <row r="290" hidden="1" outlineLevel="1">
      <c r="A290" s="684"/>
      <c r="B290" s="752"/>
      <c r="C290" s="753"/>
      <c r="D290" s="753"/>
      <c r="E290" s="753"/>
      <c r="F290" s="753"/>
      <c r="G290" s="754"/>
      <c r="H290" s="753"/>
      <c r="I290" s="753"/>
      <c r="J290" s="753"/>
      <c r="K290" s="753"/>
      <c r="L290" s="778"/>
      <c r="M290" s="778"/>
      <c r="N290" s="753"/>
      <c r="O290" s="756"/>
      <c r="Q290" s="751"/>
      <c r="R290" s="684"/>
      <c r="S290" s="684"/>
      <c r="T290" s="684"/>
      <c r="U290" s="687"/>
      <c r="V290" s="688"/>
      <c r="W290" s="684"/>
      <c r="X290" s="684"/>
      <c r="Y290" s="684"/>
      <c r="Z290" s="684"/>
    </row>
    <row r="291" hidden="1" outlineLevel="1">
      <c r="A291" s="684"/>
      <c r="B291" s="752"/>
      <c r="C291" s="753"/>
      <c r="D291" s="753"/>
      <c r="E291" s="753"/>
      <c r="F291" s="753"/>
      <c r="G291" s="754"/>
      <c r="H291" s="753"/>
      <c r="I291" s="753"/>
      <c r="J291" s="753"/>
      <c r="K291" s="753"/>
      <c r="L291" s="778"/>
      <c r="M291" s="778"/>
      <c r="N291" s="753"/>
      <c r="O291" s="756"/>
      <c r="Q291" s="751"/>
      <c r="R291" s="684"/>
      <c r="S291" s="684"/>
      <c r="T291" s="684"/>
      <c r="U291" s="687"/>
      <c r="V291" s="688"/>
      <c r="W291" s="684"/>
      <c r="X291" s="684"/>
      <c r="Y291" s="684"/>
      <c r="Z291" s="684"/>
    </row>
    <row r="292" hidden="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idden="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idden="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idden="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idden="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idden="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idden="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idden="1"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hidden="1" outlineLevel="1">
      <c r="A300" s="684"/>
      <c r="B300" s="784"/>
      <c r="C300" s="785">
        <f>IF(C289="","",IF(DAY(C289+1)=1,"",C289+1))</f>
        <v>46080</v>
      </c>
      <c r="D300" s="786" t="str">
        <f>TEXT(C300,"ddd")</f>
        <v>金</v>
      </c>
      <c r="E300" s="787"/>
      <c r="F300" s="788" t="s">
        <v>557</v>
      </c>
      <c r="G300" s="789"/>
      <c r="H300" s="790"/>
      <c r="I300" s="791">
        <v>0.0</v>
      </c>
      <c r="J300" s="786"/>
      <c r="K300" s="786"/>
      <c r="L300" s="792"/>
      <c r="M300" s="792"/>
      <c r="N300" s="788"/>
      <c r="O300" s="793"/>
      <c r="P300" s="794"/>
      <c r="Q300" s="795"/>
      <c r="R300" s="684"/>
      <c r="S300" s="684"/>
      <c r="T300" s="684"/>
      <c r="U300" s="687"/>
      <c r="V300" s="688"/>
      <c r="W300" s="684"/>
      <c r="X300" s="684"/>
      <c r="Y300" s="684"/>
      <c r="Z300" s="684"/>
    </row>
    <row r="301" hidden="1" outlineLevel="1">
      <c r="A301" s="684"/>
      <c r="B301" s="752"/>
      <c r="C301" s="753"/>
      <c r="D301" s="753"/>
      <c r="E301" s="753"/>
      <c r="F301" s="753"/>
      <c r="G301" s="754"/>
      <c r="H301" s="753"/>
      <c r="I301" s="753"/>
      <c r="J301" s="753"/>
      <c r="K301" s="753"/>
      <c r="L301" s="792"/>
      <c r="M301" s="792"/>
      <c r="N301" s="753"/>
      <c r="O301" s="756"/>
      <c r="Q301" s="751"/>
      <c r="R301" s="684"/>
      <c r="S301" s="684"/>
      <c r="T301" s="684"/>
      <c r="U301" s="687"/>
      <c r="V301" s="688"/>
      <c r="W301" s="684"/>
      <c r="X301" s="684"/>
      <c r="Y301" s="684"/>
      <c r="Z301" s="684"/>
    </row>
    <row r="302" hidden="1" outlineLevel="1">
      <c r="A302" s="684"/>
      <c r="B302" s="752"/>
      <c r="C302" s="753"/>
      <c r="D302" s="753"/>
      <c r="E302" s="753"/>
      <c r="F302" s="753"/>
      <c r="G302" s="754"/>
      <c r="H302" s="753"/>
      <c r="I302" s="753"/>
      <c r="J302" s="753"/>
      <c r="K302" s="753"/>
      <c r="L302" s="792"/>
      <c r="M302" s="792"/>
      <c r="N302" s="753"/>
      <c r="O302" s="756"/>
      <c r="Q302" s="751"/>
      <c r="R302" s="684"/>
      <c r="S302" s="684"/>
      <c r="T302" s="684"/>
      <c r="U302" s="687"/>
      <c r="V302" s="688"/>
      <c r="W302" s="684"/>
      <c r="X302" s="684"/>
      <c r="Y302" s="684"/>
      <c r="Z302" s="684"/>
    </row>
    <row r="303" hidden="1" outlineLevel="1">
      <c r="A303" s="684"/>
      <c r="B303" s="752"/>
      <c r="C303" s="753"/>
      <c r="D303" s="753"/>
      <c r="E303" s="753"/>
      <c r="F303" s="753"/>
      <c r="G303" s="754"/>
      <c r="H303" s="753"/>
      <c r="I303" s="753"/>
      <c r="J303" s="753"/>
      <c r="K303" s="753"/>
      <c r="L303" s="796"/>
      <c r="M303" s="792"/>
      <c r="N303" s="753"/>
      <c r="O303" s="756"/>
      <c r="Q303" s="751"/>
      <c r="R303" s="684"/>
      <c r="S303" s="684"/>
      <c r="T303" s="684"/>
      <c r="U303" s="687"/>
      <c r="V303" s="688"/>
      <c r="W303" s="684"/>
      <c r="X303" s="684"/>
      <c r="Y303" s="684"/>
      <c r="Z303" s="684"/>
    </row>
    <row r="304" hidden="1" outlineLevel="1">
      <c r="A304" s="684"/>
      <c r="B304" s="752"/>
      <c r="C304" s="753"/>
      <c r="D304" s="753"/>
      <c r="E304" s="753"/>
      <c r="F304" s="753"/>
      <c r="G304" s="754"/>
      <c r="H304" s="753"/>
      <c r="I304" s="753"/>
      <c r="J304" s="753"/>
      <c r="K304" s="753"/>
      <c r="L304" s="796"/>
      <c r="M304" s="792"/>
      <c r="N304" s="753"/>
      <c r="O304" s="756"/>
      <c r="Q304" s="751"/>
      <c r="R304" s="684"/>
      <c r="S304" s="684"/>
      <c r="T304" s="684"/>
      <c r="U304" s="687"/>
      <c r="V304" s="688"/>
      <c r="W304" s="684"/>
      <c r="X304" s="684"/>
      <c r="Y304" s="684"/>
      <c r="Z304" s="684"/>
    </row>
    <row r="305" hidden="1" outlineLevel="1">
      <c r="A305" s="684"/>
      <c r="B305" s="752"/>
      <c r="C305" s="753"/>
      <c r="D305" s="753"/>
      <c r="E305" s="753"/>
      <c r="F305" s="753"/>
      <c r="G305" s="754"/>
      <c r="H305" s="753"/>
      <c r="I305" s="753"/>
      <c r="J305" s="753"/>
      <c r="K305" s="753"/>
      <c r="L305" s="796"/>
      <c r="M305" s="792"/>
      <c r="N305" s="753"/>
      <c r="O305" s="756"/>
      <c r="Q305" s="751"/>
      <c r="R305" s="684"/>
      <c r="S305" s="684"/>
      <c r="T305" s="684"/>
      <c r="U305" s="687"/>
      <c r="V305" s="688"/>
      <c r="W305" s="684"/>
      <c r="X305" s="684"/>
      <c r="Y305" s="684"/>
      <c r="Z305" s="684"/>
    </row>
    <row r="306" hidden="1" outlineLevel="1">
      <c r="A306" s="684"/>
      <c r="B306" s="752"/>
      <c r="C306" s="753"/>
      <c r="D306" s="753"/>
      <c r="E306" s="753"/>
      <c r="F306" s="753"/>
      <c r="G306" s="754"/>
      <c r="H306" s="753"/>
      <c r="I306" s="753"/>
      <c r="J306" s="753"/>
      <c r="K306" s="753"/>
      <c r="L306" s="796"/>
      <c r="M306" s="792"/>
      <c r="N306" s="753"/>
      <c r="O306" s="756"/>
      <c r="Q306" s="751"/>
      <c r="R306" s="684"/>
      <c r="S306" s="684"/>
      <c r="T306" s="684"/>
      <c r="U306" s="687"/>
      <c r="V306" s="688"/>
      <c r="W306" s="684"/>
      <c r="X306" s="684"/>
      <c r="Y306" s="684"/>
      <c r="Z306" s="684"/>
    </row>
    <row r="307" hidden="1" outlineLevel="1">
      <c r="A307" s="684"/>
      <c r="B307" s="752"/>
      <c r="C307" s="753"/>
      <c r="D307" s="753"/>
      <c r="E307" s="753"/>
      <c r="F307" s="753"/>
      <c r="G307" s="754"/>
      <c r="H307" s="753"/>
      <c r="I307" s="753"/>
      <c r="J307" s="753"/>
      <c r="K307" s="753"/>
      <c r="L307" s="796"/>
      <c r="M307" s="792"/>
      <c r="N307" s="753"/>
      <c r="O307" s="756"/>
      <c r="Q307" s="751"/>
      <c r="R307" s="684"/>
      <c r="S307" s="684"/>
      <c r="T307" s="684"/>
      <c r="U307" s="687"/>
      <c r="V307" s="688"/>
      <c r="W307" s="684"/>
      <c r="X307" s="684"/>
      <c r="Y307" s="684"/>
      <c r="Z307" s="684"/>
    </row>
    <row r="308" hidden="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idden="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hidden="1"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idden="1" outlineLevel="1">
      <c r="A311" s="684"/>
      <c r="B311" s="766"/>
      <c r="C311" s="767">
        <f>IF(C300="","",IF(DAY(C300+1)=1,"",C300+1))</f>
        <v>46081</v>
      </c>
      <c r="D311" s="768" t="str">
        <f>TEXT(C311,"ddd")</f>
        <v>土</v>
      </c>
      <c r="E311" s="769"/>
      <c r="F311" s="797" t="s">
        <v>557</v>
      </c>
      <c r="G311" s="798"/>
      <c r="H311" s="799"/>
      <c r="I311" s="800">
        <v>0.0</v>
      </c>
      <c r="J311" s="768"/>
      <c r="K311" s="768"/>
      <c r="L311" s="778"/>
      <c r="M311" s="778"/>
      <c r="N311" s="797"/>
      <c r="O311" s="801"/>
      <c r="P311" s="794"/>
      <c r="Q311" s="795"/>
      <c r="R311" s="684"/>
      <c r="S311" s="684"/>
      <c r="T311" s="684"/>
      <c r="U311" s="687"/>
      <c r="V311" s="688"/>
      <c r="W311" s="684"/>
      <c r="X311" s="684"/>
      <c r="Y311" s="684"/>
      <c r="Z311" s="684"/>
    </row>
    <row r="312" hidden="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idden="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idden="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idden="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idden="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idden="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idden="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idden="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idden="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hidden="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idden="1" outlineLevel="1">
      <c r="A322" s="684"/>
      <c r="B322" s="784"/>
      <c r="C322" s="785" t="str">
        <f>IF(C311="","",IF(DAY(C311+1)=1,"",C311+1))</f>
        <v/>
      </c>
      <c r="D322" s="786" t="str">
        <f>TEXT(C322,"ddd")</f>
        <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hidden="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idden="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idden="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idden="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idden="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idden="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idden="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idden="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idden="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hidden="1"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idden="1" outlineLevel="1">
      <c r="A333" s="684"/>
      <c r="B333" s="766"/>
      <c r="C333" s="767" t="str">
        <f>IF(C322="","",IF(DAY(C322+1)=1,"",C322+1))</f>
        <v/>
      </c>
      <c r="D333" s="768" t="str">
        <f>TEXT(C333,"ddd")</f>
        <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hidden="1"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hidden="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idden="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idden="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idden="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idden="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idden="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idden="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idden="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hidden="1"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idden="1"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hidden="1"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hidden="1"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hidden="1"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hidden="1"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hidden="1"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hidden="1"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hidden="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hidden="1"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hidden="1"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hidden="1"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51</v>
      </c>
      <c r="C5" s="832" t="s">
        <v>83</v>
      </c>
      <c r="D5" s="833"/>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"),"①R8_2集計")</f>
        <v>①R8_2集計</v>
      </c>
      <c r="F8" s="525"/>
      <c r="G8" s="237"/>
      <c r="H8" s="237"/>
      <c r="I8" s="214"/>
      <c r="J8" s="837"/>
      <c r="K8" s="821"/>
      <c r="L8" s="850"/>
      <c r="M8" s="261"/>
      <c r="N8" s="261"/>
      <c r="O8" s="261"/>
      <c r="P8" s="261"/>
      <c r="Q8" s="261"/>
      <c r="R8" s="261"/>
      <c r="S8" s="263"/>
      <c r="U8" s="850"/>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0.2517354395</v>
      </c>
      <c r="D10" s="856">
        <f t="array" ref="D10">INDIRECT($E$8 &amp; "!E8")</f>
        <v>0.6474844584</v>
      </c>
      <c r="E10" s="856">
        <f t="array" ref="E10">INDIRECT($E$8 &amp; "!G8")</f>
        <v>0.7809917355</v>
      </c>
      <c r="F10" s="857">
        <f t="array" ref="F10">INDIRECT($E$8 &amp; "!H8")</f>
        <v>5764630</v>
      </c>
      <c r="G10" s="857">
        <f t="array" ref="G10">INDIRECT($E$8 &amp; "!K8")</f>
        <v>4803</v>
      </c>
      <c r="H10" s="857">
        <f t="array" ref="H10">INDIRECT($E$8 &amp; "!M8")</f>
        <v>1451161.667</v>
      </c>
      <c r="I10" s="856">
        <f t="array" ref="I10">INDIRECT($E$8 &amp; "!AT7")</f>
        <v>0.001328217237</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0.2475473377</v>
      </c>
      <c r="D11" s="860"/>
      <c r="E11" s="861"/>
      <c r="F11" s="862">
        <f t="array" ref="F11">INDIRECT($E$8 &amp; "!H7")</f>
        <v>5590768.125</v>
      </c>
      <c r="G11" s="860"/>
      <c r="H11" s="863">
        <f t="array" ref="H11">INDIRECT($E$8 &amp; "!M7")</f>
        <v>1383979.765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0.001433577572</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9</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c r="C21" s="884"/>
      <c r="D21" s="884"/>
      <c r="E21" s="884"/>
      <c r="F21" s="885"/>
      <c r="G21" s="885"/>
      <c r="H21" s="885"/>
      <c r="I21" s="886">
        <f>sum(B21:G21)</f>
        <v>0</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c r="M22" s="261"/>
      <c r="N22" s="261"/>
      <c r="O22" s="261"/>
      <c r="P22" s="261"/>
      <c r="Q22" s="261"/>
      <c r="R22" s="261"/>
      <c r="S22" s="263"/>
      <c r="U22" s="850"/>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c r="F26" s="246"/>
      <c r="G26" s="246"/>
      <c r="H26" s="895"/>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c r="F27" s="246"/>
      <c r="G27" s="246"/>
      <c r="H27" s="895"/>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0</v>
      </c>
      <c r="E64" s="882"/>
      <c r="F64" s="882"/>
      <c r="G64" s="882"/>
      <c r="H64" s="882"/>
      <c r="I64" s="882"/>
      <c r="J64" s="822"/>
      <c r="K64" s="821"/>
      <c r="L64" s="850"/>
      <c r="M64" s="261"/>
      <c r="N64" s="261"/>
      <c r="O64" s="261"/>
      <c r="P64" s="261"/>
      <c r="Q64" s="261"/>
      <c r="R64" s="261"/>
      <c r="S64" s="263"/>
      <c r="U64" s="850"/>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c r="D66" s="905"/>
      <c r="E66" s="926"/>
      <c r="F66" s="910"/>
      <c r="G66" s="905"/>
      <c r="H66" s="927"/>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13"/>
      <c r="D67" s="905"/>
      <c r="E67" s="926"/>
      <c r="F67" s="910"/>
      <c r="G67" s="905"/>
      <c r="H67" s="927"/>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13"/>
      <c r="D68" s="905"/>
      <c r="E68" s="926"/>
      <c r="F68" s="910"/>
      <c r="G68" s="905"/>
      <c r="H68" s="927"/>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13"/>
      <c r="D69" s="905"/>
      <c r="E69" s="926"/>
      <c r="F69" s="910"/>
      <c r="G69" s="905"/>
      <c r="H69" s="927"/>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52</v>
      </c>
      <c r="D3" s="1196" t="s">
        <v>54</v>
      </c>
      <c r="E3" s="1196" t="s">
        <v>55</v>
      </c>
      <c r="F3" s="1196" t="s">
        <v>57</v>
      </c>
      <c r="G3" s="1196" t="s">
        <v>59</v>
      </c>
      <c r="H3" s="1196" t="s">
        <v>61</v>
      </c>
      <c r="I3" s="1196" t="s">
        <v>63</v>
      </c>
      <c r="J3" s="1196" t="s">
        <v>65</v>
      </c>
      <c r="K3" s="1196" t="s">
        <v>67</v>
      </c>
      <c r="L3" s="1196" t="s">
        <v>69</v>
      </c>
      <c r="M3" s="1196" t="s">
        <v>71</v>
      </c>
      <c r="N3" s="1196" t="s">
        <v>73</v>
      </c>
      <c r="O3" s="1197" t="s">
        <v>400</v>
      </c>
      <c r="P3" s="1189"/>
      <c r="Q3" s="1189"/>
      <c r="R3" s="1189"/>
      <c r="S3" s="1189"/>
      <c r="T3" s="1189"/>
      <c r="U3" s="1189"/>
      <c r="V3" s="1198" t="s">
        <v>1073</v>
      </c>
      <c r="W3" s="1191"/>
    </row>
    <row r="4">
      <c r="A4" s="1199"/>
      <c r="B4" s="1200" t="s">
        <v>488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1074</v>
      </c>
      <c r="C5" s="1204"/>
      <c r="D5" s="1204"/>
      <c r="E5" s="1204"/>
      <c r="F5" s="1204"/>
      <c r="G5" s="1204">
        <v>0.3756</v>
      </c>
      <c r="H5" s="1204">
        <v>0.7073</v>
      </c>
      <c r="I5" s="1204">
        <v>0.7417</v>
      </c>
      <c r="J5" s="1204">
        <v>0.7325</v>
      </c>
      <c r="K5" s="1204">
        <v>0.7681</v>
      </c>
      <c r="L5" s="1204">
        <v>0.7618</v>
      </c>
      <c r="M5" s="1204">
        <v>0.7549</v>
      </c>
      <c r="N5" s="1204">
        <v>0.7187</v>
      </c>
      <c r="O5" s="1204">
        <v>0.6951</v>
      </c>
      <c r="P5" s="1189"/>
      <c r="Q5" s="1189"/>
      <c r="R5" s="1189"/>
      <c r="S5" s="1189"/>
      <c r="T5" s="1189"/>
      <c r="U5" s="1189"/>
      <c r="V5" s="1198"/>
      <c r="W5" s="1191"/>
    </row>
    <row r="6">
      <c r="A6" s="1199"/>
      <c r="B6" s="1205" t="s">
        <v>334</v>
      </c>
      <c r="C6" s="1206">
        <f t="shared" ref="C6:N6" si="1">iferror(indirect(C3&amp;"!G8"),"")</f>
        <v>0.7809917355</v>
      </c>
      <c r="D6" s="1206">
        <f t="shared" si="1"/>
        <v>0.7661956812</v>
      </c>
      <c r="E6" s="1206">
        <f t="shared" si="1"/>
        <v>0.756993007</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0.7680601412</v>
      </c>
      <c r="P6" s="1189"/>
      <c r="Q6" s="1189"/>
      <c r="R6" s="1189"/>
      <c r="S6" s="1189"/>
      <c r="T6" s="1189"/>
      <c r="U6" s="1189"/>
      <c r="V6" s="1198">
        <v>13.0</v>
      </c>
      <c r="W6" s="1191"/>
    </row>
    <row r="7">
      <c r="A7" s="1199"/>
      <c r="B7" s="1205" t="s">
        <v>335</v>
      </c>
      <c r="C7" s="1207">
        <f t="shared" ref="C7:N7" si="2">iferror(indirect(C3&amp;"!H8"),"")</f>
        <v>5764630</v>
      </c>
      <c r="D7" s="1207">
        <f t="shared" si="2"/>
        <v>6795930</v>
      </c>
      <c r="E7" s="1207">
        <f t="shared" si="2"/>
        <v>5190976</v>
      </c>
      <c r="F7" s="1207">
        <f t="shared" si="2"/>
        <v>0</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17751536</v>
      </c>
      <c r="P7" s="1190"/>
      <c r="Q7" s="1189"/>
      <c r="R7" s="1189"/>
      <c r="S7" s="1189"/>
      <c r="T7" s="1189"/>
      <c r="U7" s="1189"/>
      <c r="V7" s="1198">
        <v>4.0</v>
      </c>
      <c r="W7" s="1191"/>
    </row>
    <row r="8">
      <c r="A8" s="1199"/>
      <c r="B8" s="1205" t="s">
        <v>1075</v>
      </c>
      <c r="C8" s="1208">
        <f t="shared" ref="C8:N8" si="3">iferror(indirect(C3&amp;"!AZ20"),"")</f>
        <v>505000</v>
      </c>
      <c r="D8" s="1208">
        <f t="shared" si="3"/>
        <v>810000</v>
      </c>
      <c r="E8" s="1208">
        <f t="shared" si="3"/>
        <v>702000</v>
      </c>
      <c r="F8" s="1208">
        <f t="shared" si="3"/>
        <v>0</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2017000</v>
      </c>
      <c r="P8" s="1190"/>
      <c r="Q8" s="1189"/>
      <c r="R8" s="1189"/>
      <c r="S8" s="1189"/>
      <c r="T8" s="1189"/>
      <c r="U8" s="1189"/>
      <c r="V8" s="1198">
        <v>5.0</v>
      </c>
      <c r="W8" s="1191"/>
    </row>
    <row r="9">
      <c r="A9" s="1199"/>
      <c r="B9" s="1205" t="s">
        <v>997</v>
      </c>
      <c r="C9" s="1208">
        <f t="shared" ref="C9:N9" si="5">iferror(indirect(C3&amp;"!BG23")-indirect(C3&amp;"!BE24"),"")</f>
        <v>3732508.333</v>
      </c>
      <c r="D9" s="1208">
        <f t="shared" si="5"/>
        <v>4276085</v>
      </c>
      <c r="E9" s="1208">
        <f t="shared" si="5"/>
        <v>3453765.833</v>
      </c>
      <c r="F9" s="1208">
        <f t="shared" si="5"/>
        <v>3453765.833</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14916125</v>
      </c>
      <c r="P9" s="1189"/>
      <c r="Q9" s="1190"/>
      <c r="R9" s="1189"/>
      <c r="S9" s="1189"/>
      <c r="T9" s="1189"/>
      <c r="U9" s="1189"/>
      <c r="V9" s="1198">
        <v>6.0</v>
      </c>
      <c r="W9" s="1191"/>
    </row>
    <row r="10">
      <c r="A10" s="1199"/>
      <c r="B10" s="1205" t="s">
        <v>1076</v>
      </c>
      <c r="C10" s="1207">
        <f t="shared" ref="C10:N10" si="6">iferror(indirect(C3&amp;"!BB23")+indirect(C3&amp;"!BG40"),"")</f>
        <v>0</v>
      </c>
      <c r="D10" s="1207">
        <f t="shared" si="6"/>
        <v>125000</v>
      </c>
      <c r="E10" s="1207">
        <f t="shared" si="6"/>
        <v>0</v>
      </c>
      <c r="F10" s="1207">
        <f t="shared" si="6"/>
        <v>0</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125000</v>
      </c>
      <c r="P10" s="1189"/>
      <c r="Q10" s="1189"/>
      <c r="R10" s="1189"/>
      <c r="S10" s="1189"/>
      <c r="T10" s="1189"/>
      <c r="U10" s="1189"/>
      <c r="V10" s="1198">
        <v>7.0</v>
      </c>
      <c r="W10" s="1191"/>
    </row>
    <row r="11">
      <c r="A11" s="1199"/>
      <c r="B11" s="1205" t="s">
        <v>336</v>
      </c>
      <c r="C11" s="1207">
        <f t="shared" ref="C11:N11" si="7">iferror(indirect(C3&amp;"!I8"),"")</f>
        <v>75960</v>
      </c>
      <c r="D11" s="1207">
        <f t="shared" si="7"/>
        <v>121852.5</v>
      </c>
      <c r="E11" s="1207">
        <f t="shared" si="7"/>
        <v>105605.5</v>
      </c>
      <c r="F11" s="1207">
        <f t="shared" si="7"/>
        <v>0</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303418</v>
      </c>
      <c r="P11" s="1189"/>
      <c r="Q11" s="1189"/>
      <c r="R11" s="1189"/>
      <c r="S11" s="1189"/>
      <c r="T11" s="1189"/>
      <c r="U11" s="1189"/>
      <c r="V11" s="1198">
        <v>8.0</v>
      </c>
      <c r="W11" s="1191"/>
    </row>
    <row r="12">
      <c r="A12" s="1199"/>
      <c r="B12" s="1205" t="s">
        <v>337</v>
      </c>
      <c r="C12" s="1207">
        <f t="shared" ref="C12:N12" si="8">iferror(indirect(C3&amp;"!J8"),"")</f>
        <v>29603</v>
      </c>
      <c r="D12" s="1207">
        <f t="shared" si="8"/>
        <v>29409</v>
      </c>
      <c r="E12" s="1207">
        <f t="shared" si="8"/>
        <v>29409</v>
      </c>
      <c r="F12" s="1207">
        <f t="shared" si="8"/>
        <v>29409</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117830</v>
      </c>
      <c r="P12" s="1189"/>
      <c r="Q12" s="1189"/>
      <c r="R12" s="1189"/>
      <c r="S12" s="1189"/>
      <c r="T12" s="1189"/>
      <c r="U12" s="1189"/>
      <c r="V12" s="1198">
        <v>9.0</v>
      </c>
      <c r="W12" s="1191"/>
    </row>
    <row r="13">
      <c r="A13" s="1199"/>
      <c r="B13" s="1205" t="s">
        <v>340</v>
      </c>
      <c r="C13" s="1207">
        <f t="shared" ref="C13:N13" si="9">iferror(indirect(C3&amp;"!M8"),"")</f>
        <v>1451161.667</v>
      </c>
      <c r="D13" s="1207">
        <f t="shared" si="9"/>
        <v>1587992.5</v>
      </c>
      <c r="E13" s="1207">
        <f t="shared" si="9"/>
        <v>929604.6667</v>
      </c>
      <c r="F13" s="1207">
        <f t="shared" si="9"/>
        <v>-3453765.833</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514993</v>
      </c>
      <c r="P13" s="1189"/>
      <c r="Q13" s="1189"/>
      <c r="R13" s="1189"/>
      <c r="S13" s="1189"/>
      <c r="T13" s="1189"/>
      <c r="U13" s="1189"/>
      <c r="V13" s="1198">
        <v>10.0</v>
      </c>
      <c r="W13" s="1191"/>
    </row>
    <row r="14">
      <c r="A14" s="1199"/>
      <c r="B14" s="1205" t="s">
        <v>982</v>
      </c>
      <c r="C14" s="1206">
        <f t="shared" ref="C14:N14" si="10">iferror(indirect(C3&amp;"!E8"),"")</f>
        <v>0.6474844584</v>
      </c>
      <c r="D14" s="1206">
        <f t="shared" si="10"/>
        <v>0.6292126317</v>
      </c>
      <c r="E14" s="1206">
        <f t="shared" si="10"/>
        <v>0.6653403586</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0.8473140014</v>
      </c>
      <c r="P14" s="1189"/>
      <c r="Q14" s="1189"/>
      <c r="R14" s="1189"/>
      <c r="S14" s="1189"/>
      <c r="T14" s="1189"/>
      <c r="U14" s="1189"/>
      <c r="V14" s="1198">
        <v>11.0</v>
      </c>
      <c r="W14" s="1191"/>
    </row>
    <row r="15">
      <c r="A15" s="1199"/>
      <c r="B15" s="1205" t="s">
        <v>332</v>
      </c>
      <c r="C15" s="1206">
        <f t="shared" ref="C15:N15" si="11">iferror(indirect(C3&amp;"!C8"),"")</f>
        <v>0.2517354395</v>
      </c>
      <c r="D15" s="1206">
        <f t="shared" si="11"/>
        <v>0.2336681661</v>
      </c>
      <c r="E15" s="1206">
        <f t="shared" si="11"/>
        <v>0.1790809024</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0.02901117965</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1077</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52</v>
      </c>
      <c r="D18" s="1210" t="s">
        <v>52</v>
      </c>
      <c r="E18" s="1196" t="s">
        <v>1077</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335</v>
      </c>
      <c r="C19" s="1208">
        <f t="shared" ref="C19:C27" si="12">sumif($3:$3,$18:$18,7:7)</f>
        <v>5764630</v>
      </c>
      <c r="D19" s="1208">
        <f>sumif(3:3,18:18,7:7)</f>
        <v>5764630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1075</v>
      </c>
      <c r="C20" s="1208">
        <f t="shared" si="12"/>
        <v>505000</v>
      </c>
      <c r="D20" s="1208">
        <f t="shared" ref="D20:D27" si="14">sumif($3:$3,$18:$18,8:8)</f>
        <v>505000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997</v>
      </c>
      <c r="C21" s="1208">
        <f t="shared" si="12"/>
        <v>3732508.333</v>
      </c>
      <c r="D21" s="1208">
        <f t="shared" si="14"/>
        <v>3732508.333</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1076</v>
      </c>
      <c r="C22" s="1208">
        <f t="shared" si="12"/>
        <v>0</v>
      </c>
      <c r="D22" s="1208">
        <f t="shared" si="14"/>
        <v>0</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1078</v>
      </c>
      <c r="C23" s="1208">
        <f t="shared" si="12"/>
        <v>75960</v>
      </c>
      <c r="D23" s="1208">
        <f t="shared" si="14"/>
        <v>75960</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337</v>
      </c>
      <c r="C24" s="1208">
        <f t="shared" si="12"/>
        <v>29603</v>
      </c>
      <c r="D24" s="1208">
        <f t="shared" si="14"/>
        <v>29603</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340</v>
      </c>
      <c r="C25" s="1208">
        <f t="shared" si="12"/>
        <v>1451161.667</v>
      </c>
      <c r="D25" s="1208">
        <f t="shared" si="14"/>
        <v>1451161.667</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982</v>
      </c>
      <c r="C26" s="1213">
        <f t="shared" si="12"/>
        <v>0.6474844584</v>
      </c>
      <c r="D26" s="1213">
        <f t="shared" si="14"/>
        <v>0.6474844584</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332</v>
      </c>
      <c r="C27" s="1213">
        <f t="shared" si="12"/>
        <v>0.2517354395</v>
      </c>
      <c r="D27" s="1213">
        <f t="shared" si="14"/>
        <v>0.2517354395</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6" t="s">
        <v>1079</v>
      </c>
      <c r="C2" s="1217"/>
      <c r="D2" s="1217"/>
      <c r="E2" s="1217"/>
      <c r="F2" s="1217"/>
      <c r="G2" s="1217"/>
      <c r="H2" s="1217"/>
      <c r="I2" s="1217"/>
      <c r="J2" s="1217"/>
      <c r="K2" s="1217"/>
      <c r="L2" s="1217"/>
      <c r="M2" s="1218"/>
      <c r="N2" s="1219"/>
      <c r="O2" s="1219"/>
      <c r="P2" s="1220"/>
      <c r="Q2" s="1220"/>
      <c r="R2" s="1220"/>
      <c r="S2" s="1220"/>
      <c r="T2" s="1220"/>
      <c r="U2" s="1220"/>
      <c r="V2" s="1220"/>
      <c r="W2" s="1220"/>
      <c r="X2" s="1220"/>
      <c r="Y2" s="1220"/>
      <c r="Z2" s="1220"/>
      <c r="AA2" s="1220"/>
      <c r="AB2" s="1220"/>
      <c r="AC2" s="1220"/>
      <c r="AD2" s="1220"/>
      <c r="AE2" s="1220"/>
      <c r="AF2" s="1220"/>
      <c r="AG2" s="1220"/>
      <c r="AH2" s="1220"/>
      <c r="AI2" s="1220"/>
      <c r="AJ2" s="1220"/>
      <c r="AK2" s="1220"/>
      <c r="AL2" s="1220"/>
      <c r="AM2" s="1220"/>
      <c r="AN2" s="1221"/>
      <c r="AO2" s="1221"/>
      <c r="AP2" s="1221"/>
      <c r="AQ2" s="1221"/>
      <c r="AR2" s="1221"/>
      <c r="AS2" s="1221"/>
      <c r="AT2" s="1221"/>
      <c r="AU2" s="1221"/>
    </row>
    <row r="3">
      <c r="B3" s="1222" t="s">
        <v>1080</v>
      </c>
      <c r="C3" s="1223"/>
      <c r="D3" s="1223"/>
      <c r="E3" s="1223"/>
      <c r="F3" s="1223"/>
      <c r="G3" s="615"/>
      <c r="H3" s="1224" t="s">
        <v>1081</v>
      </c>
      <c r="I3" s="1223"/>
      <c r="J3" s="1223"/>
      <c r="K3" s="1223"/>
      <c r="L3" s="1223"/>
      <c r="M3" s="1225"/>
      <c r="N3" s="1219"/>
      <c r="O3" s="1219"/>
      <c r="P3" s="1220"/>
      <c r="Q3" s="1220"/>
      <c r="R3" s="1220"/>
      <c r="S3" s="1220"/>
      <c r="T3" s="1220"/>
      <c r="U3" s="1220"/>
      <c r="V3" s="1220"/>
      <c r="W3" s="1220"/>
      <c r="X3" s="1220"/>
      <c r="Y3" s="1220"/>
      <c r="Z3" s="1220"/>
      <c r="AA3" s="1220"/>
      <c r="AB3" s="1220"/>
      <c r="AC3" s="1220"/>
      <c r="AD3" s="1220"/>
      <c r="AE3" s="1220"/>
      <c r="AF3" s="1220"/>
      <c r="AG3" s="1220"/>
      <c r="AH3" s="1220"/>
      <c r="AI3" s="1220"/>
      <c r="AJ3" s="1220"/>
      <c r="AK3" s="1220"/>
      <c r="AL3" s="1220"/>
      <c r="AM3" s="1220"/>
      <c r="AN3" s="1221"/>
      <c r="AO3" s="1221"/>
      <c r="AP3" s="1221"/>
      <c r="AQ3" s="1221"/>
      <c r="AR3" s="1221"/>
      <c r="AS3" s="1221"/>
      <c r="AT3" s="1221"/>
      <c r="AU3" s="1221"/>
    </row>
    <row r="4">
      <c r="B4" s="1226"/>
      <c r="C4" s="1227" t="s">
        <v>484</v>
      </c>
      <c r="D4" s="1227" t="s">
        <v>600</v>
      </c>
      <c r="E4" s="1228" t="s">
        <v>34</v>
      </c>
      <c r="F4" s="1227" t="s">
        <v>1082</v>
      </c>
      <c r="G4" s="1227" t="s">
        <v>1083</v>
      </c>
      <c r="H4" s="1229"/>
      <c r="I4" s="1230" t="s">
        <v>484</v>
      </c>
      <c r="J4" s="1230" t="s">
        <v>600</v>
      </c>
      <c r="K4" s="1231" t="s">
        <v>34</v>
      </c>
      <c r="L4" s="1230" t="s">
        <v>1082</v>
      </c>
      <c r="M4" s="1232" t="s">
        <v>1083</v>
      </c>
      <c r="N4" s="1219"/>
      <c r="O4" s="1219"/>
      <c r="P4" s="1220"/>
      <c r="Q4" s="1220"/>
      <c r="R4" s="1220"/>
      <c r="S4" s="1220"/>
      <c r="T4" s="1220"/>
      <c r="U4" s="1220"/>
      <c r="V4" s="1220"/>
      <c r="W4" s="1220"/>
      <c r="X4" s="1220"/>
      <c r="Y4" s="1220"/>
      <c r="Z4" s="1220"/>
      <c r="AA4" s="1220"/>
      <c r="AB4" s="1220"/>
      <c r="AC4" s="1220"/>
      <c r="AD4" s="1220"/>
      <c r="AE4" s="1220"/>
      <c r="AF4" s="1220"/>
      <c r="AG4" s="1220"/>
      <c r="AH4" s="1220"/>
      <c r="AI4" s="1220"/>
      <c r="AJ4" s="1220"/>
      <c r="AK4" s="1220"/>
      <c r="AL4" s="1220"/>
      <c r="AM4" s="1220"/>
      <c r="AN4" s="1221"/>
      <c r="AO4" s="1221"/>
      <c r="AP4" s="1221"/>
      <c r="AQ4" s="1221"/>
      <c r="AR4" s="1221"/>
      <c r="AS4" s="1221"/>
      <c r="AT4" s="1221"/>
      <c r="AU4" s="1221"/>
    </row>
    <row r="5">
      <c r="B5" s="1233" t="s">
        <v>51</v>
      </c>
      <c r="C5" s="1234"/>
      <c r="D5" s="1234">
        <v>0.0</v>
      </c>
      <c r="E5" s="1235"/>
      <c r="F5" s="1236"/>
      <c r="G5" s="1237"/>
      <c r="H5" s="1238" t="s">
        <v>51</v>
      </c>
      <c r="I5" s="1239">
        <f>'🔵クレーム'!V10</f>
        <v>6278</v>
      </c>
      <c r="J5" s="1239">
        <f>'🔵クレーム'!T10</f>
        <v>9</v>
      </c>
      <c r="K5" s="1240">
        <f>'🔵クレーム'!X10</f>
        <v>0.001433577572</v>
      </c>
      <c r="L5" s="1241">
        <f>O28</f>
        <v>11</v>
      </c>
      <c r="M5" s="1242">
        <f t="shared" ref="M5:M6" si="1">L5/I5</f>
        <v>0.001752150366</v>
      </c>
      <c r="N5" s="1219"/>
      <c r="O5" s="1219"/>
      <c r="P5" s="1220"/>
      <c r="Q5" s="1220"/>
      <c r="R5" s="1220"/>
      <c r="S5" s="1220"/>
      <c r="T5" s="1220"/>
      <c r="U5" s="1220"/>
      <c r="V5" s="1220"/>
      <c r="W5" s="1220"/>
      <c r="X5" s="1220"/>
      <c r="Y5" s="1220"/>
      <c r="Z5" s="1220"/>
      <c r="AA5" s="1220"/>
      <c r="AB5" s="1220"/>
      <c r="AC5" s="1220"/>
      <c r="AD5" s="1220"/>
      <c r="AE5" s="1220"/>
      <c r="AF5" s="1220"/>
      <c r="AG5" s="1220"/>
      <c r="AH5" s="1220"/>
      <c r="AI5" s="1220"/>
      <c r="AJ5" s="1220"/>
      <c r="AK5" s="1220"/>
      <c r="AL5" s="1220"/>
      <c r="AM5" s="1220"/>
      <c r="AN5" s="1221"/>
      <c r="AO5" s="1221"/>
      <c r="AP5" s="1221"/>
      <c r="AQ5" s="1221"/>
      <c r="AR5" s="1221"/>
      <c r="AS5" s="1221"/>
      <c r="AT5" s="1221"/>
      <c r="AU5" s="1221"/>
    </row>
    <row r="6">
      <c r="B6" s="1243" t="s">
        <v>53</v>
      </c>
      <c r="C6" s="1234"/>
      <c r="D6" s="1234">
        <v>0.0</v>
      </c>
      <c r="E6" s="1235"/>
      <c r="F6" s="1236"/>
      <c r="G6" s="1237"/>
      <c r="H6" s="1244" t="s">
        <v>53</v>
      </c>
      <c r="I6" s="1239">
        <f>'🔵クレーム'!V11</f>
        <v>7046</v>
      </c>
      <c r="J6" s="1239">
        <f>'🔵クレーム'!T11</f>
        <v>5</v>
      </c>
      <c r="K6" s="1240">
        <f>'🔵クレーム'!X11</f>
        <v>0.0007096224808</v>
      </c>
      <c r="L6" s="1241">
        <f>P28</f>
        <v>8</v>
      </c>
      <c r="M6" s="1242">
        <f t="shared" si="1"/>
        <v>0.001135395969</v>
      </c>
      <c r="N6" s="1219"/>
      <c r="O6" s="1219"/>
      <c r="P6" s="1220"/>
      <c r="Q6" s="1220"/>
      <c r="R6" s="1220"/>
      <c r="S6" s="1220"/>
      <c r="T6" s="1220"/>
      <c r="U6" s="1220"/>
      <c r="V6" s="1220"/>
      <c r="W6" s="1220"/>
      <c r="X6" s="1220"/>
      <c r="Y6" s="1220"/>
      <c r="Z6" s="1220"/>
      <c r="AA6" s="1220"/>
      <c r="AB6" s="1220"/>
      <c r="AC6" s="1220"/>
      <c r="AD6" s="1220"/>
      <c r="AE6" s="1220"/>
      <c r="AF6" s="1220"/>
      <c r="AG6" s="1220"/>
      <c r="AH6" s="1220"/>
      <c r="AI6" s="1220"/>
      <c r="AJ6" s="1220"/>
      <c r="AK6" s="1220"/>
      <c r="AL6" s="1220"/>
      <c r="AM6" s="1220"/>
      <c r="AN6" s="1221"/>
      <c r="AO6" s="1221"/>
      <c r="AP6" s="1221"/>
      <c r="AQ6" s="1221"/>
      <c r="AR6" s="1221"/>
      <c r="AS6" s="1221"/>
      <c r="AT6" s="1221"/>
      <c r="AU6" s="1221"/>
    </row>
    <row r="7">
      <c r="B7" s="1243" t="s">
        <v>33</v>
      </c>
      <c r="C7" s="1234"/>
      <c r="D7" s="1234">
        <v>0.0</v>
      </c>
      <c r="E7" s="1235"/>
      <c r="F7" s="1236"/>
      <c r="G7" s="1237"/>
      <c r="H7" s="1244" t="s">
        <v>33</v>
      </c>
      <c r="I7" s="1239">
        <f>'🔵クレーム'!V12</f>
        <v>5916</v>
      </c>
      <c r="J7" s="1239">
        <f>'🔵クレーム'!T12</f>
        <v>3</v>
      </c>
      <c r="K7" s="1240">
        <f>'🔵クレーム'!X12</f>
        <v>0.0005070993915</v>
      </c>
      <c r="L7" s="1245">
        <f>Q28</f>
        <v>4</v>
      </c>
      <c r="M7" s="1242">
        <f>iferror(L7/I7,"")</f>
        <v>0.000676132522</v>
      </c>
      <c r="N7" s="1219"/>
      <c r="O7" s="1219"/>
      <c r="P7" s="1220"/>
      <c r="Q7" s="1220"/>
      <c r="R7" s="1220"/>
      <c r="S7" s="1220"/>
      <c r="T7" s="1220"/>
      <c r="U7" s="1220"/>
      <c r="V7" s="1220"/>
      <c r="W7" s="1220"/>
      <c r="X7" s="1220"/>
      <c r="Y7" s="1220"/>
      <c r="Z7" s="1220"/>
      <c r="AA7" s="1220"/>
      <c r="AB7" s="1220"/>
      <c r="AC7" s="1220"/>
      <c r="AD7" s="1220"/>
      <c r="AE7" s="1220"/>
      <c r="AF7" s="1220"/>
      <c r="AG7" s="1220"/>
      <c r="AH7" s="1220"/>
      <c r="AI7" s="1220"/>
      <c r="AJ7" s="1220"/>
      <c r="AK7" s="1220"/>
      <c r="AL7" s="1220"/>
      <c r="AM7" s="1220"/>
      <c r="AN7" s="1221"/>
      <c r="AO7" s="1221"/>
      <c r="AP7" s="1221"/>
      <c r="AQ7" s="1221"/>
      <c r="AR7" s="1221"/>
      <c r="AS7" s="1221"/>
      <c r="AT7" s="1221"/>
      <c r="AU7" s="1221"/>
    </row>
    <row r="8">
      <c r="B8" s="1243" t="s">
        <v>56</v>
      </c>
      <c r="C8" s="1234"/>
      <c r="D8" s="1234">
        <v>0.0</v>
      </c>
      <c r="E8" s="1235"/>
      <c r="F8" s="1236"/>
      <c r="G8" s="1237"/>
      <c r="H8" s="1244" t="s">
        <v>56</v>
      </c>
      <c r="I8" s="1239">
        <f>'🔵クレーム'!V13</f>
        <v>0</v>
      </c>
      <c r="J8" s="1239">
        <f>'🔵クレーム'!T13</f>
        <v>0</v>
      </c>
      <c r="K8" s="1240" t="str">
        <f>'🔵クレーム'!X13</f>
        <v/>
      </c>
      <c r="L8" s="1241">
        <f>R28</f>
        <v>0</v>
      </c>
      <c r="M8" s="1242" t="str">
        <f t="shared" ref="M8:M16" si="2">iferror("",L8/I8)</f>
        <v/>
      </c>
      <c r="N8" s="1219"/>
      <c r="O8" s="1219"/>
      <c r="P8" s="1220"/>
      <c r="Q8" s="1220"/>
      <c r="R8" s="1220"/>
      <c r="S8" s="1220"/>
      <c r="T8" s="1220"/>
      <c r="U8" s="1220"/>
      <c r="V8" s="1220"/>
      <c r="W8" s="1220"/>
      <c r="X8" s="1220"/>
      <c r="Y8" s="1220"/>
      <c r="Z8" s="1220"/>
      <c r="AA8" s="1220"/>
      <c r="AB8" s="1220"/>
      <c r="AC8" s="1220"/>
      <c r="AD8" s="1220"/>
      <c r="AE8" s="1220"/>
      <c r="AF8" s="1220"/>
      <c r="AG8" s="1220"/>
      <c r="AH8" s="1220"/>
      <c r="AI8" s="1220"/>
      <c r="AJ8" s="1220"/>
      <c r="AK8" s="1220"/>
      <c r="AL8" s="1220"/>
      <c r="AM8" s="1220"/>
      <c r="AN8" s="1221"/>
      <c r="AO8" s="1221"/>
      <c r="AP8" s="1221"/>
      <c r="AQ8" s="1221"/>
      <c r="AR8" s="1221"/>
      <c r="AS8" s="1221"/>
      <c r="AT8" s="1221"/>
      <c r="AU8" s="1221"/>
    </row>
    <row r="9">
      <c r="B9" s="1243" t="s">
        <v>58</v>
      </c>
      <c r="C9" s="1234">
        <v>1895.0</v>
      </c>
      <c r="D9" s="1234">
        <v>5.0</v>
      </c>
      <c r="E9" s="1235">
        <v>0.0026</v>
      </c>
      <c r="F9" s="1236"/>
      <c r="G9" s="1237"/>
      <c r="H9" s="1244" t="s">
        <v>58</v>
      </c>
      <c r="I9" s="1239" t="str">
        <f>'🔵クレーム'!V14</f>
        <v/>
      </c>
      <c r="J9" s="1239">
        <f>'🔵クレーム'!T14</f>
        <v>0</v>
      </c>
      <c r="K9" s="1240" t="str">
        <f>'🔵クレーム'!X14</f>
        <v/>
      </c>
      <c r="L9" s="1241">
        <f>S28</f>
        <v>0</v>
      </c>
      <c r="M9" s="1242" t="str">
        <f t="shared" si="2"/>
        <v/>
      </c>
      <c r="N9" s="1219"/>
      <c r="O9" s="1219"/>
      <c r="P9" s="1220"/>
      <c r="Q9" s="1220"/>
      <c r="R9" s="1220"/>
      <c r="S9" s="1220"/>
      <c r="T9" s="1220"/>
      <c r="U9" s="1220"/>
      <c r="V9" s="1220"/>
      <c r="W9" s="1220"/>
      <c r="X9" s="1220"/>
      <c r="Y9" s="1220"/>
      <c r="Z9" s="1220"/>
      <c r="AA9" s="1220"/>
      <c r="AB9" s="1220"/>
      <c r="AC9" s="1220"/>
      <c r="AD9" s="1220"/>
      <c r="AE9" s="1220"/>
      <c r="AF9" s="1220"/>
      <c r="AG9" s="1220"/>
      <c r="AH9" s="1220"/>
      <c r="AI9" s="1220"/>
      <c r="AJ9" s="1220"/>
      <c r="AK9" s="1220"/>
      <c r="AL9" s="1220"/>
      <c r="AM9" s="1220"/>
      <c r="AN9" s="1221"/>
      <c r="AO9" s="1221"/>
      <c r="AP9" s="1221"/>
      <c r="AQ9" s="1221"/>
      <c r="AR9" s="1221"/>
      <c r="AS9" s="1221"/>
      <c r="AT9" s="1221"/>
      <c r="AU9" s="1221"/>
    </row>
    <row r="10">
      <c r="B10" s="1243" t="s">
        <v>60</v>
      </c>
      <c r="C10" s="1234">
        <v>6322.0</v>
      </c>
      <c r="D10" s="1234">
        <v>10.0</v>
      </c>
      <c r="E10" s="1235">
        <v>0.0016</v>
      </c>
      <c r="F10" s="1236"/>
      <c r="G10" s="1237"/>
      <c r="H10" s="1244" t="s">
        <v>60</v>
      </c>
      <c r="I10" s="1239" t="str">
        <f>'🔵クレーム'!V15</f>
        <v/>
      </c>
      <c r="J10" s="1239">
        <f>'🔵クレーム'!T15</f>
        <v>0</v>
      </c>
      <c r="K10" s="1240" t="str">
        <f>'🔵クレーム'!X15</f>
        <v/>
      </c>
      <c r="L10" s="1241">
        <f>T28</f>
        <v>0</v>
      </c>
      <c r="M10" s="1242" t="str">
        <f t="shared" si="2"/>
        <v/>
      </c>
      <c r="N10" s="1219"/>
      <c r="O10" s="1219"/>
      <c r="P10" s="1220"/>
      <c r="Q10" s="1220"/>
      <c r="R10" s="1220"/>
      <c r="S10" s="1220"/>
      <c r="T10" s="1220"/>
      <c r="U10" s="1220"/>
      <c r="V10" s="1220"/>
      <c r="W10" s="1220"/>
      <c r="X10" s="1220"/>
      <c r="Y10" s="1220"/>
      <c r="Z10" s="1220"/>
      <c r="AA10" s="1220"/>
      <c r="AB10" s="1220"/>
      <c r="AC10" s="1220"/>
      <c r="AD10" s="1220"/>
      <c r="AE10" s="1220"/>
      <c r="AF10" s="1220"/>
      <c r="AG10" s="1220"/>
      <c r="AH10" s="1220"/>
      <c r="AI10" s="1220"/>
      <c r="AJ10" s="1220"/>
      <c r="AK10" s="1220"/>
      <c r="AL10" s="1220"/>
      <c r="AM10" s="1220"/>
      <c r="AN10" s="1221"/>
      <c r="AO10" s="1221"/>
      <c r="AP10" s="1221"/>
      <c r="AQ10" s="1221"/>
      <c r="AR10" s="1221"/>
      <c r="AS10" s="1221"/>
      <c r="AT10" s="1221"/>
      <c r="AU10" s="1221"/>
    </row>
    <row r="11">
      <c r="B11" s="1243" t="s">
        <v>62</v>
      </c>
      <c r="C11" s="1234">
        <v>6651.0</v>
      </c>
      <c r="D11" s="1234">
        <v>8.0</v>
      </c>
      <c r="E11" s="1235">
        <v>0.0012</v>
      </c>
      <c r="F11" s="1246">
        <v>9.0</v>
      </c>
      <c r="G11" s="1247">
        <v>0.0014</v>
      </c>
      <c r="H11" s="1244" t="s">
        <v>62</v>
      </c>
      <c r="I11" s="1239" t="str">
        <f>'🔵クレーム'!V16</f>
        <v/>
      </c>
      <c r="J11" s="1239">
        <f>'🔵クレーム'!T16</f>
        <v>0</v>
      </c>
      <c r="K11" s="1240" t="str">
        <f>'🔵クレーム'!X16</f>
        <v/>
      </c>
      <c r="L11" s="1241">
        <f>U28</f>
        <v>0</v>
      </c>
      <c r="M11" s="1242" t="str">
        <f t="shared" si="2"/>
        <v/>
      </c>
      <c r="N11" s="1219"/>
      <c r="O11" s="1219"/>
      <c r="P11" s="1220"/>
      <c r="Q11" s="1220"/>
      <c r="R11" s="1220"/>
      <c r="S11" s="1220"/>
      <c r="T11" s="1220"/>
      <c r="U11" s="1220"/>
      <c r="V11" s="1220"/>
      <c r="W11" s="1220"/>
      <c r="X11" s="1220"/>
      <c r="Y11" s="1220"/>
      <c r="Z11" s="1220"/>
      <c r="AA11" s="1220"/>
      <c r="AB11" s="1220"/>
      <c r="AC11" s="1220"/>
      <c r="AD11" s="1220"/>
      <c r="AE11" s="1220"/>
      <c r="AF11" s="1220"/>
      <c r="AG11" s="1220"/>
      <c r="AH11" s="1220"/>
      <c r="AI11" s="1220"/>
      <c r="AJ11" s="1220"/>
      <c r="AK11" s="1220"/>
      <c r="AL11" s="1220"/>
      <c r="AM11" s="1220"/>
      <c r="AN11" s="1221"/>
      <c r="AO11" s="1221"/>
      <c r="AP11" s="1221"/>
      <c r="AQ11" s="1221"/>
      <c r="AR11" s="1221"/>
      <c r="AS11" s="1221"/>
      <c r="AT11" s="1221"/>
      <c r="AU11" s="1221"/>
    </row>
    <row r="12">
      <c r="B12" s="1243" t="s">
        <v>64</v>
      </c>
      <c r="C12" s="1234">
        <v>6389.0</v>
      </c>
      <c r="D12" s="1234">
        <v>9.0</v>
      </c>
      <c r="E12" s="1235">
        <v>0.0014</v>
      </c>
      <c r="F12" s="1246">
        <v>5.0</v>
      </c>
      <c r="G12" s="1247">
        <v>8.0E-4</v>
      </c>
      <c r="H12" s="1244" t="s">
        <v>64</v>
      </c>
      <c r="I12" s="1239" t="str">
        <f>'🔵クレーム'!V17</f>
        <v/>
      </c>
      <c r="J12" s="1239">
        <f>'🔵クレーム'!T17</f>
        <v>0</v>
      </c>
      <c r="K12" s="1240" t="str">
        <f>'🔵クレーム'!X17</f>
        <v/>
      </c>
      <c r="L12" s="1241">
        <f>V28</f>
        <v>0</v>
      </c>
      <c r="M12" s="1242" t="str">
        <f t="shared" si="2"/>
        <v/>
      </c>
      <c r="N12" s="1219"/>
      <c r="O12" s="1219"/>
      <c r="P12" s="1220"/>
      <c r="Q12" s="1220"/>
      <c r="R12" s="1220"/>
      <c r="S12" s="1220"/>
      <c r="T12" s="1220"/>
      <c r="U12" s="1220"/>
      <c r="V12" s="1220"/>
      <c r="W12" s="1220"/>
      <c r="X12" s="1220"/>
      <c r="Y12" s="1220"/>
      <c r="Z12" s="1220"/>
      <c r="AA12" s="1220"/>
      <c r="AB12" s="1220"/>
      <c r="AC12" s="1220"/>
      <c r="AD12" s="1220"/>
      <c r="AE12" s="1220"/>
      <c r="AF12" s="1220"/>
      <c r="AG12" s="1220"/>
      <c r="AH12" s="1220"/>
      <c r="AI12" s="1220"/>
      <c r="AJ12" s="1220"/>
      <c r="AK12" s="1220"/>
      <c r="AL12" s="1220"/>
      <c r="AM12" s="1220"/>
      <c r="AN12" s="1221"/>
      <c r="AO12" s="1221"/>
      <c r="AP12" s="1221"/>
      <c r="AQ12" s="1221"/>
      <c r="AR12" s="1221"/>
      <c r="AS12" s="1221"/>
      <c r="AT12" s="1221"/>
      <c r="AU12" s="1221"/>
    </row>
    <row r="13">
      <c r="B13" s="1243" t="s">
        <v>66</v>
      </c>
      <c r="C13" s="1234">
        <v>7059.0</v>
      </c>
      <c r="D13" s="1234">
        <v>3.0</v>
      </c>
      <c r="E13" s="1235">
        <v>4.0E-4</v>
      </c>
      <c r="F13" s="1246">
        <v>13.0</v>
      </c>
      <c r="G13" s="1247">
        <v>0.0018</v>
      </c>
      <c r="H13" s="1244" t="s">
        <v>66</v>
      </c>
      <c r="I13" s="1239" t="str">
        <f>'🔵クレーム'!V18</f>
        <v/>
      </c>
      <c r="J13" s="1239">
        <f>'🔵クレーム'!T18</f>
        <v>0</v>
      </c>
      <c r="K13" s="1240" t="str">
        <f>'🔵クレーム'!X18</f>
        <v/>
      </c>
      <c r="L13" s="1241">
        <f>W28</f>
        <v>0</v>
      </c>
      <c r="M13" s="1242" t="str">
        <f t="shared" si="2"/>
        <v/>
      </c>
      <c r="N13" s="1219"/>
      <c r="O13" s="1219"/>
      <c r="P13" s="1220"/>
      <c r="Q13" s="1220"/>
      <c r="R13" s="1220"/>
      <c r="S13" s="1220"/>
      <c r="T13" s="1220"/>
      <c r="U13" s="1220"/>
      <c r="V13" s="1220"/>
      <c r="W13" s="1220"/>
      <c r="X13" s="1220"/>
      <c r="Y13" s="1220"/>
      <c r="Z13" s="1220"/>
      <c r="AA13" s="1220"/>
      <c r="AB13" s="1220"/>
      <c r="AC13" s="1220"/>
      <c r="AD13" s="1220"/>
      <c r="AE13" s="1220"/>
      <c r="AF13" s="1220"/>
      <c r="AG13" s="1220"/>
      <c r="AH13" s="1220"/>
      <c r="AI13" s="1220"/>
      <c r="AJ13" s="1220"/>
      <c r="AK13" s="1220"/>
      <c r="AL13" s="1220"/>
      <c r="AM13" s="1220"/>
      <c r="AN13" s="1221"/>
      <c r="AO13" s="1221"/>
      <c r="AP13" s="1221"/>
      <c r="AQ13" s="1221"/>
      <c r="AR13" s="1221"/>
      <c r="AS13" s="1221"/>
      <c r="AT13" s="1221"/>
      <c r="AU13" s="1221"/>
    </row>
    <row r="14">
      <c r="B14" s="1243" t="s">
        <v>68</v>
      </c>
      <c r="C14" s="1234">
        <v>6919.0</v>
      </c>
      <c r="D14" s="1234">
        <v>7.0</v>
      </c>
      <c r="E14" s="1235">
        <v>0.001</v>
      </c>
      <c r="F14" s="1246">
        <v>10.0</v>
      </c>
      <c r="G14" s="1247">
        <v>0.0014</v>
      </c>
      <c r="H14" s="1244" t="s">
        <v>68</v>
      </c>
      <c r="I14" s="1239" t="str">
        <f>'🔵クレーム'!V19</f>
        <v/>
      </c>
      <c r="J14" s="1239">
        <f>'🔵クレーム'!T19</f>
        <v>0</v>
      </c>
      <c r="K14" s="1240" t="str">
        <f>'🔵クレーム'!X19</f>
        <v/>
      </c>
      <c r="L14" s="1241">
        <f>X28</f>
        <v>0</v>
      </c>
      <c r="M14" s="1242" t="str">
        <f t="shared" si="2"/>
        <v/>
      </c>
      <c r="N14" s="1219"/>
      <c r="O14" s="1219"/>
      <c r="P14" s="1220"/>
      <c r="Q14" s="1220"/>
      <c r="R14" s="1220"/>
      <c r="S14" s="1220"/>
      <c r="T14" s="1220"/>
      <c r="U14" s="1220"/>
      <c r="V14" s="1220"/>
      <c r="W14" s="1220"/>
      <c r="X14" s="1220"/>
      <c r="Y14" s="1220"/>
      <c r="Z14" s="1220"/>
      <c r="AA14" s="1220"/>
      <c r="AB14" s="1220"/>
      <c r="AC14" s="1220"/>
      <c r="AD14" s="1220"/>
      <c r="AE14" s="1220"/>
      <c r="AF14" s="1220"/>
      <c r="AG14" s="1220"/>
      <c r="AH14" s="1220"/>
      <c r="AI14" s="1220"/>
      <c r="AJ14" s="1220"/>
      <c r="AK14" s="1220"/>
      <c r="AL14" s="1220"/>
      <c r="AM14" s="1220"/>
      <c r="AN14" s="1221"/>
      <c r="AO14" s="1221"/>
      <c r="AP14" s="1221"/>
      <c r="AQ14" s="1221"/>
      <c r="AR14" s="1221"/>
      <c r="AS14" s="1221"/>
      <c r="AT14" s="1221"/>
      <c r="AU14" s="1221"/>
    </row>
    <row r="15">
      <c r="B15" s="1243" t="s">
        <v>70</v>
      </c>
      <c r="C15" s="1234">
        <v>6910.0</v>
      </c>
      <c r="D15" s="1234">
        <v>7.0</v>
      </c>
      <c r="E15" s="1235">
        <v>0.001</v>
      </c>
      <c r="F15" s="1246">
        <v>8.0</v>
      </c>
      <c r="G15" s="1247">
        <v>0.0012</v>
      </c>
      <c r="H15" s="1244" t="s">
        <v>70</v>
      </c>
      <c r="I15" s="1239" t="str">
        <f>'🔵クレーム'!V20</f>
        <v/>
      </c>
      <c r="J15" s="1239">
        <f>'🔵クレーム'!T20</f>
        <v>0</v>
      </c>
      <c r="K15" s="1240" t="str">
        <f>'🔵クレーム'!X20</f>
        <v/>
      </c>
      <c r="L15" s="1241">
        <f>Y28</f>
        <v>0</v>
      </c>
      <c r="M15" s="1242" t="str">
        <f t="shared" si="2"/>
        <v/>
      </c>
      <c r="N15" s="1248" t="str">
        <f>IFERROR(__xludf.DUMMYFUNCTION("IMPORTRANGE(""https://docs.google.com/spreadsheets/d/1IwmJzWSnyLND6OifLqCCPKpZ1Ef6H2apOiA6Z_NYTZM/edit?gid=424013977#gid=424013977"",""口コミまとめ!B243:AA256"")"),"")</f>
        <v/>
      </c>
      <c r="O15" s="1249" t="str">
        <f>IFERROR(__xludf.DUMMYFUNCTION("""COMPUTED_VALUE"""),"2月")</f>
        <v>2月</v>
      </c>
      <c r="P15" s="1250" t="str">
        <f>IFERROR(__xludf.DUMMYFUNCTION("""COMPUTED_VALUE"""),"3月")</f>
        <v>3月</v>
      </c>
      <c r="Q15" s="1251" t="str">
        <f>IFERROR(__xludf.DUMMYFUNCTION("""COMPUTED_VALUE"""),"4月")</f>
        <v>4月</v>
      </c>
      <c r="R15" s="1250" t="str">
        <f>IFERROR(__xludf.DUMMYFUNCTION("""COMPUTED_VALUE"""),"5月")</f>
        <v>5月</v>
      </c>
      <c r="S15" s="1251" t="str">
        <f>IFERROR(__xludf.DUMMYFUNCTION("""COMPUTED_VALUE"""),"6月")</f>
        <v>6月</v>
      </c>
      <c r="T15" s="1250" t="str">
        <f>IFERROR(__xludf.DUMMYFUNCTION("""COMPUTED_VALUE"""),"7月")</f>
        <v>7月</v>
      </c>
      <c r="U15" s="1251" t="str">
        <f>IFERROR(__xludf.DUMMYFUNCTION("""COMPUTED_VALUE"""),"8月")</f>
        <v>8月</v>
      </c>
      <c r="V15" s="1250" t="str">
        <f>IFERROR(__xludf.DUMMYFUNCTION("""COMPUTED_VALUE"""),"9月")</f>
        <v>9月</v>
      </c>
      <c r="W15" s="1251" t="str">
        <f>IFERROR(__xludf.DUMMYFUNCTION("""COMPUTED_VALUE"""),"10月")</f>
        <v>10月</v>
      </c>
      <c r="X15" s="1250" t="str">
        <f>IFERROR(__xludf.DUMMYFUNCTION("""COMPUTED_VALUE"""),"11月")</f>
        <v>11月</v>
      </c>
      <c r="Y15" s="1251" t="str">
        <f>IFERROR(__xludf.DUMMYFUNCTION("""COMPUTED_VALUE"""),"12月")</f>
        <v>12月</v>
      </c>
      <c r="Z15" s="1250" t="str">
        <f>IFERROR(__xludf.DUMMYFUNCTION("""COMPUTED_VALUE"""),"1月")</f>
        <v>1月</v>
      </c>
      <c r="AA15" s="1252" t="str">
        <f>IFERROR(__xludf.DUMMYFUNCTION("""COMPUTED_VALUE"""),"合計")</f>
        <v>合計</v>
      </c>
      <c r="AB15" s="1218"/>
      <c r="AC15" s="1251"/>
      <c r="AD15" s="1250"/>
      <c r="AE15" s="1218"/>
      <c r="AF15" s="1250"/>
      <c r="AG15" s="1218"/>
      <c r="AH15" s="1250"/>
      <c r="AI15" s="1218"/>
      <c r="AJ15" s="1250"/>
      <c r="AK15" s="1218"/>
      <c r="AL15" s="1250"/>
      <c r="AM15" s="1218"/>
      <c r="AN15" s="1221"/>
      <c r="AO15" s="1221"/>
      <c r="AP15" s="1221"/>
      <c r="AQ15" s="1221"/>
      <c r="AR15" s="1221"/>
      <c r="AS15" s="1221"/>
      <c r="AT15" s="1221"/>
      <c r="AU15" s="1221"/>
    </row>
    <row r="16">
      <c r="B16" s="1253" t="s">
        <v>72</v>
      </c>
      <c r="C16" s="1234">
        <v>6413.0</v>
      </c>
      <c r="D16" s="1234">
        <v>3.0</v>
      </c>
      <c r="E16" s="1235">
        <v>5.0E-4</v>
      </c>
      <c r="F16" s="1246">
        <v>5.0</v>
      </c>
      <c r="G16" s="1247">
        <v>8.0E-4</v>
      </c>
      <c r="H16" s="1254" t="s">
        <v>72</v>
      </c>
      <c r="I16" s="1239" t="str">
        <f>'🔵クレーム'!V21</f>
        <v/>
      </c>
      <c r="J16" s="1239">
        <f>'🔵クレーム'!T21</f>
        <v>0</v>
      </c>
      <c r="K16" s="1240" t="str">
        <f>'🔵クレーム'!X21</f>
        <v/>
      </c>
      <c r="L16" s="1241">
        <f>Z28</f>
        <v>0</v>
      </c>
      <c r="M16" s="1242" t="str">
        <f t="shared" si="2"/>
        <v/>
      </c>
      <c r="N16" s="1255" t="str">
        <f>IFERROR(__xludf.DUMMYFUNCTION("""COMPUTED_VALUE"""),"内容")</f>
        <v>内容</v>
      </c>
      <c r="O16" s="1256" t="str">
        <f>IFERROR(__xludf.DUMMYFUNCTION("""COMPUTED_VALUE"""),"件数")</f>
        <v>件数</v>
      </c>
      <c r="P16" s="1257" t="str">
        <f>IFERROR(__xludf.DUMMYFUNCTION("""COMPUTED_VALUE"""),"件数")</f>
        <v>件数</v>
      </c>
      <c r="Q16" s="1256" t="str">
        <f>IFERROR(__xludf.DUMMYFUNCTION("""COMPUTED_VALUE"""),"件数")</f>
        <v>件数</v>
      </c>
      <c r="R16" s="1257" t="str">
        <f>IFERROR(__xludf.DUMMYFUNCTION("""COMPUTED_VALUE"""),"件数")</f>
        <v>件数</v>
      </c>
      <c r="S16" s="1256" t="str">
        <f>IFERROR(__xludf.DUMMYFUNCTION("""COMPUTED_VALUE"""),"件数")</f>
        <v>件数</v>
      </c>
      <c r="T16" s="1257" t="str">
        <f>IFERROR(__xludf.DUMMYFUNCTION("""COMPUTED_VALUE"""),"件数")</f>
        <v>件数</v>
      </c>
      <c r="U16" s="1256" t="str">
        <f>IFERROR(__xludf.DUMMYFUNCTION("""COMPUTED_VALUE"""),"件数")</f>
        <v>件数</v>
      </c>
      <c r="V16" s="1257" t="str">
        <f>IFERROR(__xludf.DUMMYFUNCTION("""COMPUTED_VALUE"""),"件数")</f>
        <v>件数</v>
      </c>
      <c r="W16" s="1256" t="str">
        <f>IFERROR(__xludf.DUMMYFUNCTION("""COMPUTED_VALUE"""),"件数")</f>
        <v>件数</v>
      </c>
      <c r="X16" s="1257" t="str">
        <f>IFERROR(__xludf.DUMMYFUNCTION("""COMPUTED_VALUE"""),"件数")</f>
        <v>件数</v>
      </c>
      <c r="Y16" s="1256" t="str">
        <f>IFERROR(__xludf.DUMMYFUNCTION("""COMPUTED_VALUE"""),"件数")</f>
        <v>件数</v>
      </c>
      <c r="Z16" s="1257" t="str">
        <f>IFERROR(__xludf.DUMMYFUNCTION("""COMPUTED_VALUE"""),"件数")</f>
        <v>件数</v>
      </c>
      <c r="AA16" s="1256" t="str">
        <f>IFERROR(__xludf.DUMMYFUNCTION("""COMPUTED_VALUE"""),"内容")</f>
        <v>内容</v>
      </c>
      <c r="AB16" s="1257" t="str">
        <f>IFERROR(__xludf.DUMMYFUNCTION("""COMPUTED_VALUE"""),"件数")</f>
        <v>件数</v>
      </c>
      <c r="AC16" s="1256"/>
      <c r="AD16" s="1257"/>
      <c r="AE16" s="1256"/>
      <c r="AF16" s="1257"/>
      <c r="AG16" s="1256"/>
      <c r="AH16" s="1257"/>
      <c r="AI16" s="1256"/>
      <c r="AJ16" s="1257"/>
      <c r="AK16" s="1256"/>
      <c r="AL16" s="1257"/>
      <c r="AM16" s="1256"/>
      <c r="AN16" s="1221"/>
      <c r="AO16" s="1221"/>
      <c r="AP16" s="1221"/>
      <c r="AQ16" s="1221"/>
      <c r="AR16" s="1221"/>
      <c r="AS16" s="1221"/>
      <c r="AT16" s="1221"/>
      <c r="AU16" s="1221"/>
    </row>
    <row r="17">
      <c r="B17" s="1258" t="s">
        <v>1084</v>
      </c>
      <c r="C17" s="1259">
        <f t="shared" ref="C17:D17" si="3">SUM(C4:C16)</f>
        <v>48558</v>
      </c>
      <c r="D17" s="1259">
        <f t="shared" si="3"/>
        <v>52</v>
      </c>
      <c r="E17" s="1260">
        <f>D17/C17</f>
        <v>0.001070884303</v>
      </c>
      <c r="F17" s="1259">
        <f>SUM(F5:F16)</f>
        <v>50</v>
      </c>
      <c r="G17" s="1261">
        <f>F17/C17</f>
        <v>0.001029696445</v>
      </c>
      <c r="H17" s="1262" t="s">
        <v>1084</v>
      </c>
      <c r="I17" s="1263">
        <f t="shared" ref="I17:J17" si="4">SUM(I5:I16)</f>
        <v>19240</v>
      </c>
      <c r="J17" s="1263">
        <f t="shared" si="4"/>
        <v>17</v>
      </c>
      <c r="K17" s="1264">
        <f>J17/I17</f>
        <v>0.0008835758836</v>
      </c>
      <c r="L17" s="1263">
        <f>SUM(L5:L16)</f>
        <v>23</v>
      </c>
      <c r="M17" s="1265">
        <f>L17/I17</f>
        <v>0.001195426195</v>
      </c>
      <c r="N17" s="1266" t="str">
        <f>IFERROR(__xludf.DUMMYFUNCTION("""COMPUTED_VALUE"""),"セット漏れ")</f>
        <v>セット漏れ</v>
      </c>
      <c r="O17" s="1267">
        <f>IFERROR(__xludf.DUMMYFUNCTION("""COMPUTED_VALUE"""),0.0)</f>
        <v>0</v>
      </c>
      <c r="P17" s="1268">
        <f>IFERROR(__xludf.DUMMYFUNCTION("""COMPUTED_VALUE"""),0.0)</f>
        <v>0</v>
      </c>
      <c r="Q17" s="1267">
        <f>IFERROR(__xludf.DUMMYFUNCTION("""COMPUTED_VALUE"""),0.0)</f>
        <v>0</v>
      </c>
      <c r="R17" s="1268">
        <f>IFERROR(__xludf.DUMMYFUNCTION("""COMPUTED_VALUE"""),0.0)</f>
        <v>0</v>
      </c>
      <c r="S17" s="1267">
        <f>IFERROR(__xludf.DUMMYFUNCTION("""COMPUTED_VALUE"""),0.0)</f>
        <v>0</v>
      </c>
      <c r="T17" s="1268">
        <f>IFERROR(__xludf.DUMMYFUNCTION("""COMPUTED_VALUE"""),0.0)</f>
        <v>0</v>
      </c>
      <c r="U17" s="1267">
        <f>IFERROR(__xludf.DUMMYFUNCTION("""COMPUTED_VALUE"""),0.0)</f>
        <v>0</v>
      </c>
      <c r="V17" s="1268">
        <f>IFERROR(__xludf.DUMMYFUNCTION("""COMPUTED_VALUE"""),0.0)</f>
        <v>0</v>
      </c>
      <c r="W17" s="1267">
        <f>IFERROR(__xludf.DUMMYFUNCTION("""COMPUTED_VALUE"""),0.0)</f>
        <v>0</v>
      </c>
      <c r="X17" s="1268">
        <f>IFERROR(__xludf.DUMMYFUNCTION("""COMPUTED_VALUE"""),0.0)</f>
        <v>0</v>
      </c>
      <c r="Y17" s="1267">
        <f>IFERROR(__xludf.DUMMYFUNCTION("""COMPUTED_VALUE"""),0.0)</f>
        <v>0</v>
      </c>
      <c r="Z17" s="1269">
        <f>IFERROR(__xludf.DUMMYFUNCTION("""COMPUTED_VALUE"""),0.0)</f>
        <v>0</v>
      </c>
      <c r="AA17" s="1267" t="str">
        <f>IFERROR(__xludf.DUMMYFUNCTION("""COMPUTED_VALUE"""),"セット漏れ")</f>
        <v>セット漏れ</v>
      </c>
      <c r="AB17" s="1268">
        <f>IFERROR(__xludf.DUMMYFUNCTION("""COMPUTED_VALUE"""),0.0)</f>
        <v>0</v>
      </c>
      <c r="AC17" s="1267"/>
      <c r="AD17" s="1268"/>
      <c r="AE17" s="1267"/>
      <c r="AF17" s="1268"/>
      <c r="AG17" s="1267"/>
      <c r="AH17" s="1268"/>
      <c r="AI17" s="1267"/>
      <c r="AJ17" s="1268"/>
      <c r="AK17" s="1267"/>
      <c r="AL17" s="1268"/>
      <c r="AM17" s="1270"/>
      <c r="AN17" s="1221"/>
      <c r="AO17" s="1221"/>
      <c r="AP17" s="1221"/>
      <c r="AQ17" s="1221"/>
      <c r="AR17" s="1221"/>
      <c r="AS17" s="1221"/>
      <c r="AT17" s="1221"/>
      <c r="AU17" s="1221"/>
    </row>
    <row r="18">
      <c r="B18" s="1271"/>
      <c r="H18" s="1272"/>
      <c r="I18" s="1272"/>
      <c r="J18" s="1272"/>
      <c r="K18" s="1272"/>
      <c r="L18" s="1272"/>
      <c r="M18" s="1273"/>
      <c r="N18" s="1266" t="str">
        <f>IFERROR(__xludf.DUMMYFUNCTION("""COMPUTED_VALUE"""),"残置")</f>
        <v>残置</v>
      </c>
      <c r="O18" s="1267">
        <f>IFERROR(__xludf.DUMMYFUNCTION("""COMPUTED_VALUE"""),0.0)</f>
        <v>0</v>
      </c>
      <c r="P18" s="1268">
        <f>IFERROR(__xludf.DUMMYFUNCTION("""COMPUTED_VALUE"""),0.0)</f>
        <v>0</v>
      </c>
      <c r="Q18" s="1267">
        <f>IFERROR(__xludf.DUMMYFUNCTION("""COMPUTED_VALUE"""),0.0)</f>
        <v>0</v>
      </c>
      <c r="R18" s="1268">
        <f>IFERROR(__xludf.DUMMYFUNCTION("""COMPUTED_VALUE"""),0.0)</f>
        <v>0</v>
      </c>
      <c r="S18" s="1267">
        <f>IFERROR(__xludf.DUMMYFUNCTION("""COMPUTED_VALUE"""),0.0)</f>
        <v>0</v>
      </c>
      <c r="T18" s="1268">
        <f>IFERROR(__xludf.DUMMYFUNCTION("""COMPUTED_VALUE"""),0.0)</f>
        <v>0</v>
      </c>
      <c r="U18" s="1267">
        <f>IFERROR(__xludf.DUMMYFUNCTION("""COMPUTED_VALUE"""),0.0)</f>
        <v>0</v>
      </c>
      <c r="V18" s="1268">
        <f>IFERROR(__xludf.DUMMYFUNCTION("""COMPUTED_VALUE"""),0.0)</f>
        <v>0</v>
      </c>
      <c r="W18" s="1267">
        <f>IFERROR(__xludf.DUMMYFUNCTION("""COMPUTED_VALUE"""),0.0)</f>
        <v>0</v>
      </c>
      <c r="X18" s="1268">
        <f>IFERROR(__xludf.DUMMYFUNCTION("""COMPUTED_VALUE"""),0.0)</f>
        <v>0</v>
      </c>
      <c r="Y18" s="1267">
        <f>IFERROR(__xludf.DUMMYFUNCTION("""COMPUTED_VALUE"""),0.0)</f>
        <v>0</v>
      </c>
      <c r="Z18" s="1269">
        <f>IFERROR(__xludf.DUMMYFUNCTION("""COMPUTED_VALUE"""),0.0)</f>
        <v>0</v>
      </c>
      <c r="AA18" s="1270" t="str">
        <f>IFERROR(__xludf.DUMMYFUNCTION("""COMPUTED_VALUE"""),"残置")</f>
        <v>残置</v>
      </c>
      <c r="AB18" s="1268">
        <f>IFERROR(__xludf.DUMMYFUNCTION("""COMPUTED_VALUE"""),0.0)</f>
        <v>0</v>
      </c>
      <c r="AC18" s="1270"/>
      <c r="AD18" s="1268"/>
      <c r="AE18" s="1270"/>
      <c r="AF18" s="1268"/>
      <c r="AG18" s="1270"/>
      <c r="AH18" s="1268"/>
      <c r="AI18" s="1270"/>
      <c r="AJ18" s="1268"/>
      <c r="AK18" s="1270"/>
      <c r="AL18" s="1268"/>
      <c r="AM18" s="1270"/>
      <c r="AN18" s="1221"/>
      <c r="AO18" s="1221"/>
      <c r="AP18" s="1221"/>
      <c r="AQ18" s="1221"/>
      <c r="AR18" s="1221"/>
      <c r="AS18" s="1221"/>
      <c r="AT18" s="1221"/>
      <c r="AU18" s="1221"/>
    </row>
    <row r="19">
      <c r="B19" s="1271"/>
      <c r="H19" s="1272"/>
      <c r="I19" s="1272"/>
      <c r="J19" s="1272"/>
      <c r="K19" s="1272"/>
      <c r="L19" s="1272"/>
      <c r="M19" s="1273"/>
      <c r="N19" s="1266" t="str">
        <f>IFERROR(__xludf.DUMMYFUNCTION("""COMPUTED_VALUE"""),"髪の毛")</f>
        <v>髪の毛</v>
      </c>
      <c r="O19" s="1267">
        <f>IFERROR(__xludf.DUMMYFUNCTION("""COMPUTED_VALUE"""),0.0)</f>
        <v>0</v>
      </c>
      <c r="P19" s="1268">
        <f>IFERROR(__xludf.DUMMYFUNCTION("""COMPUTED_VALUE"""),1.0)</f>
        <v>1</v>
      </c>
      <c r="Q19" s="1267">
        <f>IFERROR(__xludf.DUMMYFUNCTION("""COMPUTED_VALUE"""),0.0)</f>
        <v>0</v>
      </c>
      <c r="R19" s="1268">
        <f>IFERROR(__xludf.DUMMYFUNCTION("""COMPUTED_VALUE"""),0.0)</f>
        <v>0</v>
      </c>
      <c r="S19" s="1267">
        <f>IFERROR(__xludf.DUMMYFUNCTION("""COMPUTED_VALUE"""),0.0)</f>
        <v>0</v>
      </c>
      <c r="T19" s="1268">
        <f>IFERROR(__xludf.DUMMYFUNCTION("""COMPUTED_VALUE"""),0.0)</f>
        <v>0</v>
      </c>
      <c r="U19" s="1267">
        <f>IFERROR(__xludf.DUMMYFUNCTION("""COMPUTED_VALUE"""),0.0)</f>
        <v>0</v>
      </c>
      <c r="V19" s="1268">
        <f>IFERROR(__xludf.DUMMYFUNCTION("""COMPUTED_VALUE"""),0.0)</f>
        <v>0</v>
      </c>
      <c r="W19" s="1267">
        <f>IFERROR(__xludf.DUMMYFUNCTION("""COMPUTED_VALUE"""),0.0)</f>
        <v>0</v>
      </c>
      <c r="X19" s="1268">
        <f>IFERROR(__xludf.DUMMYFUNCTION("""COMPUTED_VALUE"""),0.0)</f>
        <v>0</v>
      </c>
      <c r="Y19" s="1267">
        <f>IFERROR(__xludf.DUMMYFUNCTION("""COMPUTED_VALUE"""),0.0)</f>
        <v>0</v>
      </c>
      <c r="Z19" s="1269">
        <f>IFERROR(__xludf.DUMMYFUNCTION("""COMPUTED_VALUE"""),0.0)</f>
        <v>0</v>
      </c>
      <c r="AA19" s="1270" t="str">
        <f>IFERROR(__xludf.DUMMYFUNCTION("""COMPUTED_VALUE"""),"髪の毛")</f>
        <v>髪の毛</v>
      </c>
      <c r="AB19" s="1268">
        <f>IFERROR(__xludf.DUMMYFUNCTION("""COMPUTED_VALUE"""),1.0)</f>
        <v>1</v>
      </c>
      <c r="AC19" s="1270"/>
      <c r="AD19" s="1268"/>
      <c r="AE19" s="1270"/>
      <c r="AF19" s="1268"/>
      <c r="AG19" s="1270"/>
      <c r="AH19" s="1268"/>
      <c r="AI19" s="1270"/>
      <c r="AJ19" s="1268"/>
      <c r="AK19" s="1270"/>
      <c r="AL19" s="1268"/>
      <c r="AM19" s="1270"/>
      <c r="AN19" s="1221"/>
      <c r="AO19" s="1221"/>
      <c r="AP19" s="1221"/>
      <c r="AQ19" s="1221"/>
      <c r="AR19" s="1221"/>
      <c r="AS19" s="1221"/>
      <c r="AT19" s="1221"/>
      <c r="AU19" s="1221"/>
    </row>
    <row r="20">
      <c r="B20" s="1271"/>
      <c r="H20" s="1272"/>
      <c r="I20" s="1272"/>
      <c r="J20" s="1272"/>
      <c r="K20" s="1272"/>
      <c r="L20" s="1272"/>
      <c r="M20" s="1273"/>
      <c r="N20" s="1266" t="str">
        <f>IFERROR(__xludf.DUMMYFUNCTION("""COMPUTED_VALUE"""),"汚れ")</f>
        <v>汚れ</v>
      </c>
      <c r="O20" s="1267">
        <f>IFERROR(__xludf.DUMMYFUNCTION("""COMPUTED_VALUE"""),2.0)</f>
        <v>2</v>
      </c>
      <c r="P20" s="1268">
        <f>IFERROR(__xludf.DUMMYFUNCTION("""COMPUTED_VALUE"""),6.0)</f>
        <v>6</v>
      </c>
      <c r="Q20" s="1267">
        <f>IFERROR(__xludf.DUMMYFUNCTION("""COMPUTED_VALUE"""),0.0)</f>
        <v>0</v>
      </c>
      <c r="R20" s="1268">
        <f>IFERROR(__xludf.DUMMYFUNCTION("""COMPUTED_VALUE"""),0.0)</f>
        <v>0</v>
      </c>
      <c r="S20" s="1267">
        <f>IFERROR(__xludf.DUMMYFUNCTION("""COMPUTED_VALUE"""),0.0)</f>
        <v>0</v>
      </c>
      <c r="T20" s="1268">
        <f>IFERROR(__xludf.DUMMYFUNCTION("""COMPUTED_VALUE"""),0.0)</f>
        <v>0</v>
      </c>
      <c r="U20" s="1267">
        <f>IFERROR(__xludf.DUMMYFUNCTION("""COMPUTED_VALUE"""),0.0)</f>
        <v>0</v>
      </c>
      <c r="V20" s="1268">
        <f>IFERROR(__xludf.DUMMYFUNCTION("""COMPUTED_VALUE"""),0.0)</f>
        <v>0</v>
      </c>
      <c r="W20" s="1267">
        <f>IFERROR(__xludf.DUMMYFUNCTION("""COMPUTED_VALUE"""),0.0)</f>
        <v>0</v>
      </c>
      <c r="X20" s="1268">
        <f>IFERROR(__xludf.DUMMYFUNCTION("""COMPUTED_VALUE"""),0.0)</f>
        <v>0</v>
      </c>
      <c r="Y20" s="1267">
        <f>IFERROR(__xludf.DUMMYFUNCTION("""COMPUTED_VALUE"""),0.0)</f>
        <v>0</v>
      </c>
      <c r="Z20" s="1269">
        <f>IFERROR(__xludf.DUMMYFUNCTION("""COMPUTED_VALUE"""),0.0)</f>
        <v>0</v>
      </c>
      <c r="AA20" s="1270" t="str">
        <f>IFERROR(__xludf.DUMMYFUNCTION("""COMPUTED_VALUE"""),"汚れ")</f>
        <v>汚れ</v>
      </c>
      <c r="AB20" s="1268">
        <f>IFERROR(__xludf.DUMMYFUNCTION("""COMPUTED_VALUE"""),8.0)</f>
        <v>8</v>
      </c>
      <c r="AC20" s="1270"/>
      <c r="AD20" s="1268"/>
      <c r="AE20" s="1270"/>
      <c r="AF20" s="1268"/>
      <c r="AG20" s="1270"/>
      <c r="AH20" s="1268"/>
      <c r="AI20" s="1270"/>
      <c r="AJ20" s="1268"/>
      <c r="AK20" s="1270"/>
      <c r="AL20" s="1268"/>
      <c r="AM20" s="1270"/>
      <c r="AN20" s="1221"/>
      <c r="AO20" s="1221"/>
      <c r="AP20" s="1221"/>
      <c r="AQ20" s="1221"/>
      <c r="AR20" s="1221"/>
      <c r="AS20" s="1221"/>
      <c r="AT20" s="1221"/>
      <c r="AU20" s="1221"/>
    </row>
    <row r="21">
      <c r="B21" s="1271"/>
      <c r="H21" s="1272"/>
      <c r="I21" s="1272"/>
      <c r="J21" s="1272"/>
      <c r="K21" s="1272"/>
      <c r="L21" s="1272"/>
      <c r="M21" s="1273"/>
      <c r="N21" s="1266" t="str">
        <f>IFERROR(__xludf.DUMMYFUNCTION("""COMPUTED_VALUE"""),"清掃不備")</f>
        <v>清掃不備</v>
      </c>
      <c r="O21" s="1267">
        <f>IFERROR(__xludf.DUMMYFUNCTION("""COMPUTED_VALUE"""),3.0)</f>
        <v>3</v>
      </c>
      <c r="P21" s="1268">
        <f>IFERROR(__xludf.DUMMYFUNCTION("""COMPUTED_VALUE"""),0.0)</f>
        <v>0</v>
      </c>
      <c r="Q21" s="1267">
        <f>IFERROR(__xludf.DUMMYFUNCTION("""COMPUTED_VALUE"""),0.0)</f>
        <v>0</v>
      </c>
      <c r="R21" s="1268">
        <f>IFERROR(__xludf.DUMMYFUNCTION("""COMPUTED_VALUE"""),0.0)</f>
        <v>0</v>
      </c>
      <c r="S21" s="1267">
        <f>IFERROR(__xludf.DUMMYFUNCTION("""COMPUTED_VALUE"""),0.0)</f>
        <v>0</v>
      </c>
      <c r="T21" s="1268">
        <f>IFERROR(__xludf.DUMMYFUNCTION("""COMPUTED_VALUE"""),0.0)</f>
        <v>0</v>
      </c>
      <c r="U21" s="1267">
        <f>IFERROR(__xludf.DUMMYFUNCTION("""COMPUTED_VALUE"""),0.0)</f>
        <v>0</v>
      </c>
      <c r="V21" s="1268">
        <f>IFERROR(__xludf.DUMMYFUNCTION("""COMPUTED_VALUE"""),0.0)</f>
        <v>0</v>
      </c>
      <c r="W21" s="1267">
        <f>IFERROR(__xludf.DUMMYFUNCTION("""COMPUTED_VALUE"""),0.0)</f>
        <v>0</v>
      </c>
      <c r="X21" s="1268">
        <f>IFERROR(__xludf.DUMMYFUNCTION("""COMPUTED_VALUE"""),0.0)</f>
        <v>0</v>
      </c>
      <c r="Y21" s="1267">
        <f>IFERROR(__xludf.DUMMYFUNCTION("""COMPUTED_VALUE"""),0.0)</f>
        <v>0</v>
      </c>
      <c r="Z21" s="1269">
        <f>IFERROR(__xludf.DUMMYFUNCTION("""COMPUTED_VALUE"""),0.0)</f>
        <v>0</v>
      </c>
      <c r="AA21" s="1270" t="str">
        <f>IFERROR(__xludf.DUMMYFUNCTION("""COMPUTED_VALUE"""),"清掃不備")</f>
        <v>清掃不備</v>
      </c>
      <c r="AB21" s="1268">
        <f>IFERROR(__xludf.DUMMYFUNCTION("""COMPUTED_VALUE"""),3.0)</f>
        <v>3</v>
      </c>
      <c r="AC21" s="1270"/>
      <c r="AD21" s="1268"/>
      <c r="AE21" s="1270"/>
      <c r="AF21" s="1268"/>
      <c r="AG21" s="1270"/>
      <c r="AH21" s="1268"/>
      <c r="AI21" s="1270"/>
      <c r="AJ21" s="1268"/>
      <c r="AK21" s="1270"/>
      <c r="AL21" s="1268"/>
      <c r="AM21" s="1270"/>
      <c r="AN21" s="1221"/>
      <c r="AO21" s="1221"/>
      <c r="AP21" s="1221"/>
      <c r="AQ21" s="1221"/>
      <c r="AR21" s="1221"/>
      <c r="AS21" s="1221"/>
      <c r="AT21" s="1221"/>
      <c r="AU21" s="1221"/>
    </row>
    <row r="22">
      <c r="B22" s="1271"/>
      <c r="H22" s="1272"/>
      <c r="I22" s="1272"/>
      <c r="J22" s="1272"/>
      <c r="K22" s="1272"/>
      <c r="L22" s="1272"/>
      <c r="M22" s="1273"/>
      <c r="N22" s="1266" t="str">
        <f>IFERROR(__xludf.DUMMYFUNCTION("""COMPUTED_VALUE"""),"手配ミス")</f>
        <v>手配ミス</v>
      </c>
      <c r="O22" s="1267">
        <f>IFERROR(__xludf.DUMMYFUNCTION("""COMPUTED_VALUE"""),0.0)</f>
        <v>0</v>
      </c>
      <c r="P22" s="1268">
        <f>IFERROR(__xludf.DUMMYFUNCTION("""COMPUTED_VALUE"""),0.0)</f>
        <v>0</v>
      </c>
      <c r="Q22" s="1267">
        <f>IFERROR(__xludf.DUMMYFUNCTION("""COMPUTED_VALUE"""),0.0)</f>
        <v>0</v>
      </c>
      <c r="R22" s="1268">
        <f>IFERROR(__xludf.DUMMYFUNCTION("""COMPUTED_VALUE"""),0.0)</f>
        <v>0</v>
      </c>
      <c r="S22" s="1267">
        <f>IFERROR(__xludf.DUMMYFUNCTION("""COMPUTED_VALUE"""),0.0)</f>
        <v>0</v>
      </c>
      <c r="T22" s="1268">
        <f>IFERROR(__xludf.DUMMYFUNCTION("""COMPUTED_VALUE"""),0.0)</f>
        <v>0</v>
      </c>
      <c r="U22" s="1267">
        <f>IFERROR(__xludf.DUMMYFUNCTION("""COMPUTED_VALUE"""),0.0)</f>
        <v>0</v>
      </c>
      <c r="V22" s="1268">
        <f>IFERROR(__xludf.DUMMYFUNCTION("""COMPUTED_VALUE"""),0.0)</f>
        <v>0</v>
      </c>
      <c r="W22" s="1267">
        <f>IFERROR(__xludf.DUMMYFUNCTION("""COMPUTED_VALUE"""),0.0)</f>
        <v>0</v>
      </c>
      <c r="X22" s="1268">
        <f>IFERROR(__xludf.DUMMYFUNCTION("""COMPUTED_VALUE"""),0.0)</f>
        <v>0</v>
      </c>
      <c r="Y22" s="1267">
        <f>IFERROR(__xludf.DUMMYFUNCTION("""COMPUTED_VALUE"""),0.0)</f>
        <v>0</v>
      </c>
      <c r="Z22" s="1269">
        <f>IFERROR(__xludf.DUMMYFUNCTION("""COMPUTED_VALUE"""),0.0)</f>
        <v>0</v>
      </c>
      <c r="AA22" s="1270" t="str">
        <f>IFERROR(__xludf.DUMMYFUNCTION("""COMPUTED_VALUE"""),"手配ミス")</f>
        <v>手配ミス</v>
      </c>
      <c r="AB22" s="1268">
        <f>IFERROR(__xludf.DUMMYFUNCTION("""COMPUTED_VALUE"""),0.0)</f>
        <v>0</v>
      </c>
      <c r="AC22" s="1270"/>
      <c r="AD22" s="1268"/>
      <c r="AE22" s="1270"/>
      <c r="AF22" s="1268"/>
      <c r="AG22" s="1270"/>
      <c r="AH22" s="1268"/>
      <c r="AI22" s="1270"/>
      <c r="AJ22" s="1268"/>
      <c r="AK22" s="1270"/>
      <c r="AL22" s="1268"/>
      <c r="AM22" s="1270"/>
      <c r="AN22" s="1221"/>
      <c r="AO22" s="1221"/>
      <c r="AP22" s="1221"/>
      <c r="AQ22" s="1221"/>
      <c r="AR22" s="1221"/>
      <c r="AS22" s="1221"/>
      <c r="AT22" s="1221"/>
      <c r="AU22" s="1221"/>
    </row>
    <row r="23">
      <c r="B23" s="1271"/>
      <c r="H23" s="1272"/>
      <c r="I23" s="1272"/>
      <c r="J23" s="1272"/>
      <c r="K23" s="1272"/>
      <c r="L23" s="1272"/>
      <c r="M23" s="1273"/>
      <c r="N23" s="1266" t="str">
        <f>IFERROR(__xludf.DUMMYFUNCTION("""COMPUTED_VALUE"""),"臭い")</f>
        <v>臭い</v>
      </c>
      <c r="O23" s="1267">
        <f>IFERROR(__xludf.DUMMYFUNCTION("""COMPUTED_VALUE"""),2.0)</f>
        <v>2</v>
      </c>
      <c r="P23" s="1268">
        <f>IFERROR(__xludf.DUMMYFUNCTION("""COMPUTED_VALUE"""),1.0)</f>
        <v>1</v>
      </c>
      <c r="Q23" s="1267">
        <f>IFERROR(__xludf.DUMMYFUNCTION("""COMPUTED_VALUE"""),2.0)</f>
        <v>2</v>
      </c>
      <c r="R23" s="1268">
        <f>IFERROR(__xludf.DUMMYFUNCTION("""COMPUTED_VALUE"""),0.0)</f>
        <v>0</v>
      </c>
      <c r="S23" s="1267">
        <f>IFERROR(__xludf.DUMMYFUNCTION("""COMPUTED_VALUE"""),0.0)</f>
        <v>0</v>
      </c>
      <c r="T23" s="1268">
        <f>IFERROR(__xludf.DUMMYFUNCTION("""COMPUTED_VALUE"""),0.0)</f>
        <v>0</v>
      </c>
      <c r="U23" s="1267">
        <f>IFERROR(__xludf.DUMMYFUNCTION("""COMPUTED_VALUE"""),0.0)</f>
        <v>0</v>
      </c>
      <c r="V23" s="1268">
        <f>IFERROR(__xludf.DUMMYFUNCTION("""COMPUTED_VALUE"""),0.0)</f>
        <v>0</v>
      </c>
      <c r="W23" s="1267">
        <f>IFERROR(__xludf.DUMMYFUNCTION("""COMPUTED_VALUE"""),0.0)</f>
        <v>0</v>
      </c>
      <c r="X23" s="1268">
        <f>IFERROR(__xludf.DUMMYFUNCTION("""COMPUTED_VALUE"""),0.0)</f>
        <v>0</v>
      </c>
      <c r="Y23" s="1267">
        <f>IFERROR(__xludf.DUMMYFUNCTION("""COMPUTED_VALUE"""),0.0)</f>
        <v>0</v>
      </c>
      <c r="Z23" s="1269">
        <f>IFERROR(__xludf.DUMMYFUNCTION("""COMPUTED_VALUE"""),0.0)</f>
        <v>0</v>
      </c>
      <c r="AA23" s="1270" t="str">
        <f>IFERROR(__xludf.DUMMYFUNCTION("""COMPUTED_VALUE"""),"臭い")</f>
        <v>臭い</v>
      </c>
      <c r="AB23" s="1268">
        <f>IFERROR(__xludf.DUMMYFUNCTION("""COMPUTED_VALUE"""),5.0)</f>
        <v>5</v>
      </c>
      <c r="AC23" s="1270"/>
      <c r="AD23" s="1268"/>
      <c r="AE23" s="1270"/>
      <c r="AF23" s="1268"/>
      <c r="AG23" s="1270"/>
      <c r="AH23" s="1268"/>
      <c r="AI23" s="1270"/>
      <c r="AJ23" s="1268"/>
      <c r="AK23" s="1270"/>
      <c r="AL23" s="1268"/>
      <c r="AM23" s="1270"/>
      <c r="AN23" s="1221"/>
      <c r="AO23" s="1221"/>
      <c r="AP23" s="1221"/>
      <c r="AQ23" s="1221"/>
      <c r="AR23" s="1221"/>
      <c r="AS23" s="1221"/>
      <c r="AT23" s="1221"/>
      <c r="AU23" s="1221"/>
    </row>
    <row r="24">
      <c r="B24" s="1271"/>
      <c r="H24" s="1272"/>
      <c r="I24" s="1272"/>
      <c r="J24" s="1272"/>
      <c r="K24" s="1272"/>
      <c r="L24" s="1272"/>
      <c r="M24" s="1273"/>
      <c r="N24" s="1266" t="str">
        <f>IFERROR(__xludf.DUMMYFUNCTION("""COMPUTED_VALUE"""),"ホコリ")</f>
        <v>ホコリ</v>
      </c>
      <c r="O24" s="1267">
        <f>IFERROR(__xludf.DUMMYFUNCTION("""COMPUTED_VALUE"""),3.0)</f>
        <v>3</v>
      </c>
      <c r="P24" s="1268">
        <f>IFERROR(__xludf.DUMMYFUNCTION("""COMPUTED_VALUE"""),0.0)</f>
        <v>0</v>
      </c>
      <c r="Q24" s="1267">
        <f>IFERROR(__xludf.DUMMYFUNCTION("""COMPUTED_VALUE"""),2.0)</f>
        <v>2</v>
      </c>
      <c r="R24" s="1268">
        <f>IFERROR(__xludf.DUMMYFUNCTION("""COMPUTED_VALUE"""),0.0)</f>
        <v>0</v>
      </c>
      <c r="S24" s="1267">
        <f>IFERROR(__xludf.DUMMYFUNCTION("""COMPUTED_VALUE"""),0.0)</f>
        <v>0</v>
      </c>
      <c r="T24" s="1268">
        <f>IFERROR(__xludf.DUMMYFUNCTION("""COMPUTED_VALUE"""),0.0)</f>
        <v>0</v>
      </c>
      <c r="U24" s="1267">
        <f>IFERROR(__xludf.DUMMYFUNCTION("""COMPUTED_VALUE"""),0.0)</f>
        <v>0</v>
      </c>
      <c r="V24" s="1268">
        <f>IFERROR(__xludf.DUMMYFUNCTION("""COMPUTED_VALUE"""),0.0)</f>
        <v>0</v>
      </c>
      <c r="W24" s="1267">
        <f>IFERROR(__xludf.DUMMYFUNCTION("""COMPUTED_VALUE"""),0.0)</f>
        <v>0</v>
      </c>
      <c r="X24" s="1268">
        <f>IFERROR(__xludf.DUMMYFUNCTION("""COMPUTED_VALUE"""),0.0)</f>
        <v>0</v>
      </c>
      <c r="Y24" s="1267">
        <f>IFERROR(__xludf.DUMMYFUNCTION("""COMPUTED_VALUE"""),0.0)</f>
        <v>0</v>
      </c>
      <c r="Z24" s="1269">
        <f>IFERROR(__xludf.DUMMYFUNCTION("""COMPUTED_VALUE"""),0.0)</f>
        <v>0</v>
      </c>
      <c r="AA24" s="1270" t="str">
        <f>IFERROR(__xludf.DUMMYFUNCTION("""COMPUTED_VALUE"""),"ホコリ")</f>
        <v>ホコリ</v>
      </c>
      <c r="AB24" s="1268">
        <f>IFERROR(__xludf.DUMMYFUNCTION("""COMPUTED_VALUE"""),5.0)</f>
        <v>5</v>
      </c>
      <c r="AC24" s="1270"/>
      <c r="AD24" s="1268"/>
      <c r="AE24" s="1270"/>
      <c r="AF24" s="1268"/>
      <c r="AG24" s="1270"/>
      <c r="AH24" s="1268"/>
      <c r="AI24" s="1270"/>
      <c r="AJ24" s="1268"/>
      <c r="AK24" s="1270"/>
      <c r="AL24" s="1268"/>
      <c r="AM24" s="1270"/>
      <c r="AN24" s="1221"/>
      <c r="AO24" s="1221"/>
      <c r="AP24" s="1221"/>
      <c r="AQ24" s="1221"/>
      <c r="AR24" s="1221"/>
      <c r="AS24" s="1221"/>
      <c r="AT24" s="1221"/>
      <c r="AU24" s="1221"/>
    </row>
    <row r="25">
      <c r="B25" s="1271"/>
      <c r="H25" s="1272"/>
      <c r="I25" s="1272"/>
      <c r="J25" s="1272"/>
      <c r="K25" s="1272"/>
      <c r="L25" s="1272"/>
      <c r="M25" s="1273"/>
      <c r="N25" s="1266" t="str">
        <f>IFERROR(__xludf.DUMMYFUNCTION("""COMPUTED_VALUE"""),"カビ")</f>
        <v>カビ</v>
      </c>
      <c r="O25" s="1267">
        <f>IFERROR(__xludf.DUMMYFUNCTION("""COMPUTED_VALUE"""),1.0)</f>
        <v>1</v>
      </c>
      <c r="P25" s="1268">
        <f>IFERROR(__xludf.DUMMYFUNCTION("""COMPUTED_VALUE"""),0.0)</f>
        <v>0</v>
      </c>
      <c r="Q25" s="1267">
        <f>IFERROR(__xludf.DUMMYFUNCTION("""COMPUTED_VALUE"""),0.0)</f>
        <v>0</v>
      </c>
      <c r="R25" s="1268">
        <f>IFERROR(__xludf.DUMMYFUNCTION("""COMPUTED_VALUE"""),0.0)</f>
        <v>0</v>
      </c>
      <c r="S25" s="1267">
        <f>IFERROR(__xludf.DUMMYFUNCTION("""COMPUTED_VALUE"""),0.0)</f>
        <v>0</v>
      </c>
      <c r="T25" s="1268">
        <f>IFERROR(__xludf.DUMMYFUNCTION("""COMPUTED_VALUE"""),0.0)</f>
        <v>0</v>
      </c>
      <c r="U25" s="1267">
        <f>IFERROR(__xludf.DUMMYFUNCTION("""COMPUTED_VALUE"""),0.0)</f>
        <v>0</v>
      </c>
      <c r="V25" s="1268">
        <f>IFERROR(__xludf.DUMMYFUNCTION("""COMPUTED_VALUE"""),0.0)</f>
        <v>0</v>
      </c>
      <c r="W25" s="1267">
        <f>IFERROR(__xludf.DUMMYFUNCTION("""COMPUTED_VALUE"""),0.0)</f>
        <v>0</v>
      </c>
      <c r="X25" s="1268">
        <f>IFERROR(__xludf.DUMMYFUNCTION("""COMPUTED_VALUE"""),0.0)</f>
        <v>0</v>
      </c>
      <c r="Y25" s="1267">
        <f>IFERROR(__xludf.DUMMYFUNCTION("""COMPUTED_VALUE"""),0.0)</f>
        <v>0</v>
      </c>
      <c r="Z25" s="1269">
        <f>IFERROR(__xludf.DUMMYFUNCTION("""COMPUTED_VALUE"""),0.0)</f>
        <v>0</v>
      </c>
      <c r="AA25" s="1270" t="str">
        <f>IFERROR(__xludf.DUMMYFUNCTION("""COMPUTED_VALUE"""),"カビ")</f>
        <v>カビ</v>
      </c>
      <c r="AB25" s="1268">
        <f>IFERROR(__xludf.DUMMYFUNCTION("""COMPUTED_VALUE"""),1.0)</f>
        <v>1</v>
      </c>
      <c r="AC25" s="1270"/>
      <c r="AD25" s="1268"/>
      <c r="AE25" s="1270"/>
      <c r="AF25" s="1268"/>
      <c r="AG25" s="1270"/>
      <c r="AH25" s="1268"/>
      <c r="AI25" s="1270"/>
      <c r="AJ25" s="1268"/>
      <c r="AK25" s="1270"/>
      <c r="AL25" s="1268"/>
      <c r="AM25" s="1270"/>
      <c r="AN25" s="1221"/>
      <c r="AO25" s="1221"/>
      <c r="AP25" s="1221"/>
      <c r="AQ25" s="1221"/>
      <c r="AR25" s="1221"/>
      <c r="AS25" s="1221"/>
      <c r="AT25" s="1221"/>
      <c r="AU25" s="1221"/>
    </row>
    <row r="26">
      <c r="B26" s="1271"/>
      <c r="H26" s="1272"/>
      <c r="I26" s="1272"/>
      <c r="J26" s="1272"/>
      <c r="K26" s="1272"/>
      <c r="L26" s="1272"/>
      <c r="M26" s="1273"/>
      <c r="N26" s="1266" t="str">
        <f>IFERROR(__xludf.DUMMYFUNCTION("""COMPUTED_VALUE"""),"害虫")</f>
        <v>害虫</v>
      </c>
      <c r="O26" s="1267">
        <f>IFERROR(__xludf.DUMMYFUNCTION("""COMPUTED_VALUE"""),0.0)</f>
        <v>0</v>
      </c>
      <c r="P26" s="1268">
        <f>IFERROR(__xludf.DUMMYFUNCTION("""COMPUTED_VALUE"""),0.0)</f>
        <v>0</v>
      </c>
      <c r="Q26" s="1267">
        <f>IFERROR(__xludf.DUMMYFUNCTION("""COMPUTED_VALUE"""),0.0)</f>
        <v>0</v>
      </c>
      <c r="R26" s="1268">
        <f>IFERROR(__xludf.DUMMYFUNCTION("""COMPUTED_VALUE"""),0.0)</f>
        <v>0</v>
      </c>
      <c r="S26" s="1267">
        <f>IFERROR(__xludf.DUMMYFUNCTION("""COMPUTED_VALUE"""),0.0)</f>
        <v>0</v>
      </c>
      <c r="T26" s="1268">
        <f>IFERROR(__xludf.DUMMYFUNCTION("""COMPUTED_VALUE"""),0.0)</f>
        <v>0</v>
      </c>
      <c r="U26" s="1267">
        <f>IFERROR(__xludf.DUMMYFUNCTION("""COMPUTED_VALUE"""),0.0)</f>
        <v>0</v>
      </c>
      <c r="V26" s="1268">
        <f>IFERROR(__xludf.DUMMYFUNCTION("""COMPUTED_VALUE"""),0.0)</f>
        <v>0</v>
      </c>
      <c r="W26" s="1267">
        <f>IFERROR(__xludf.DUMMYFUNCTION("""COMPUTED_VALUE"""),0.0)</f>
        <v>0</v>
      </c>
      <c r="X26" s="1268">
        <f>IFERROR(__xludf.DUMMYFUNCTION("""COMPUTED_VALUE"""),0.0)</f>
        <v>0</v>
      </c>
      <c r="Y26" s="1267">
        <f>IFERROR(__xludf.DUMMYFUNCTION("""COMPUTED_VALUE"""),0.0)</f>
        <v>0</v>
      </c>
      <c r="Z26" s="1269">
        <f>IFERROR(__xludf.DUMMYFUNCTION("""COMPUTED_VALUE"""),0.0)</f>
        <v>0</v>
      </c>
      <c r="AA26" s="1270" t="str">
        <f>IFERROR(__xludf.DUMMYFUNCTION("""COMPUTED_VALUE"""),"害虫")</f>
        <v>害虫</v>
      </c>
      <c r="AB26" s="1268">
        <f>IFERROR(__xludf.DUMMYFUNCTION("""COMPUTED_VALUE"""),0.0)</f>
        <v>0</v>
      </c>
      <c r="AC26" s="1270"/>
      <c r="AD26" s="1268"/>
      <c r="AE26" s="1270"/>
      <c r="AF26" s="1268"/>
      <c r="AG26" s="1270"/>
      <c r="AH26" s="1268"/>
      <c r="AI26" s="1270"/>
      <c r="AJ26" s="1268"/>
      <c r="AK26" s="1270"/>
      <c r="AL26" s="1268"/>
      <c r="AM26" s="1270"/>
      <c r="AN26" s="1221"/>
      <c r="AO26" s="1221"/>
      <c r="AP26" s="1221"/>
      <c r="AQ26" s="1221"/>
      <c r="AR26" s="1221"/>
      <c r="AS26" s="1221"/>
      <c r="AT26" s="1221"/>
      <c r="AU26" s="1221"/>
    </row>
    <row r="27">
      <c r="B27" s="1271"/>
      <c r="H27" s="1272"/>
      <c r="I27" s="1272"/>
      <c r="J27" s="1272"/>
      <c r="K27" s="1272"/>
      <c r="L27" s="1272"/>
      <c r="M27" s="1273"/>
      <c r="N27" s="1274" t="str">
        <f>IFERROR(__xludf.DUMMYFUNCTION("""COMPUTED_VALUE"""),"その他")</f>
        <v>その他</v>
      </c>
      <c r="O27" s="1267">
        <f>IFERROR(__xludf.DUMMYFUNCTION("""COMPUTED_VALUE"""),0.0)</f>
        <v>0</v>
      </c>
      <c r="P27" s="1275">
        <f>IFERROR(__xludf.DUMMYFUNCTION("""COMPUTED_VALUE"""),0.0)</f>
        <v>0</v>
      </c>
      <c r="Q27" s="1267">
        <f>IFERROR(__xludf.DUMMYFUNCTION("""COMPUTED_VALUE"""),0.0)</f>
        <v>0</v>
      </c>
      <c r="R27" s="1275">
        <f>IFERROR(__xludf.DUMMYFUNCTION("""COMPUTED_VALUE"""),0.0)</f>
        <v>0</v>
      </c>
      <c r="S27" s="1267">
        <f>IFERROR(__xludf.DUMMYFUNCTION("""COMPUTED_VALUE"""),0.0)</f>
        <v>0</v>
      </c>
      <c r="T27" s="1275">
        <f>IFERROR(__xludf.DUMMYFUNCTION("""COMPUTED_VALUE"""),0.0)</f>
        <v>0</v>
      </c>
      <c r="U27" s="1267">
        <f>IFERROR(__xludf.DUMMYFUNCTION("""COMPUTED_VALUE"""),0.0)</f>
        <v>0</v>
      </c>
      <c r="V27" s="1275">
        <f>IFERROR(__xludf.DUMMYFUNCTION("""COMPUTED_VALUE"""),0.0)</f>
        <v>0</v>
      </c>
      <c r="W27" s="1267">
        <f>IFERROR(__xludf.DUMMYFUNCTION("""COMPUTED_VALUE"""),0.0)</f>
        <v>0</v>
      </c>
      <c r="X27" s="1275">
        <f>IFERROR(__xludf.DUMMYFUNCTION("""COMPUTED_VALUE"""),0.0)</f>
        <v>0</v>
      </c>
      <c r="Y27" s="1267">
        <f>IFERROR(__xludf.DUMMYFUNCTION("""COMPUTED_VALUE"""),0.0)</f>
        <v>0</v>
      </c>
      <c r="Z27" s="1276">
        <f>IFERROR(__xludf.DUMMYFUNCTION("""COMPUTED_VALUE"""),0.0)</f>
        <v>0</v>
      </c>
      <c r="AA27" s="1277" t="str">
        <f>IFERROR(__xludf.DUMMYFUNCTION("""COMPUTED_VALUE"""),"その他")</f>
        <v>その他</v>
      </c>
      <c r="AB27" s="1275">
        <f>IFERROR(__xludf.DUMMYFUNCTION("""COMPUTED_VALUE"""),0.0)</f>
        <v>0</v>
      </c>
      <c r="AC27" s="1277"/>
      <c r="AD27" s="1275"/>
      <c r="AE27" s="1277"/>
      <c r="AF27" s="1275"/>
      <c r="AG27" s="1277"/>
      <c r="AH27" s="1275"/>
      <c r="AI27" s="1277"/>
      <c r="AJ27" s="1275"/>
      <c r="AK27" s="1277"/>
      <c r="AL27" s="1275"/>
      <c r="AM27" s="1270"/>
      <c r="AN27" s="1221"/>
      <c r="AO27" s="1221"/>
      <c r="AP27" s="1221"/>
      <c r="AQ27" s="1221"/>
      <c r="AR27" s="1221"/>
      <c r="AS27" s="1221"/>
      <c r="AT27" s="1221"/>
      <c r="AU27" s="1221"/>
    </row>
    <row r="28">
      <c r="B28" s="1271"/>
      <c r="H28" s="1272"/>
      <c r="I28" s="1272"/>
      <c r="J28" s="1272"/>
      <c r="K28" s="1272"/>
      <c r="L28" s="1272"/>
      <c r="M28" s="1273"/>
      <c r="N28" s="1278" t="str">
        <f>IFERROR(__xludf.DUMMYFUNCTION("""COMPUTED_VALUE"""),"合計")</f>
        <v>合計</v>
      </c>
      <c r="O28" s="1279">
        <f>IFERROR(__xludf.DUMMYFUNCTION("""COMPUTED_VALUE"""),11.0)</f>
        <v>11</v>
      </c>
      <c r="P28" s="1278">
        <f>IFERROR(__xludf.DUMMYFUNCTION("""COMPUTED_VALUE"""),8.0)</f>
        <v>8</v>
      </c>
      <c r="Q28" s="1279">
        <f>IFERROR(__xludf.DUMMYFUNCTION("""COMPUTED_VALUE"""),4.0)</f>
        <v>4</v>
      </c>
      <c r="R28" s="1278">
        <f>IFERROR(__xludf.DUMMYFUNCTION("""COMPUTED_VALUE"""),0.0)</f>
        <v>0</v>
      </c>
      <c r="S28" s="1279">
        <f>IFERROR(__xludf.DUMMYFUNCTION("""COMPUTED_VALUE"""),0.0)</f>
        <v>0</v>
      </c>
      <c r="T28" s="1278">
        <f>IFERROR(__xludf.DUMMYFUNCTION("""COMPUTED_VALUE"""),0.0)</f>
        <v>0</v>
      </c>
      <c r="U28" s="1279">
        <f>IFERROR(__xludf.DUMMYFUNCTION("""COMPUTED_VALUE"""),0.0)</f>
        <v>0</v>
      </c>
      <c r="V28" s="1278">
        <f>IFERROR(__xludf.DUMMYFUNCTION("""COMPUTED_VALUE"""),0.0)</f>
        <v>0</v>
      </c>
      <c r="W28" s="1279">
        <f>IFERROR(__xludf.DUMMYFUNCTION("""COMPUTED_VALUE"""),0.0)</f>
        <v>0</v>
      </c>
      <c r="X28" s="1278">
        <f>IFERROR(__xludf.DUMMYFUNCTION("""COMPUTED_VALUE"""),0.0)</f>
        <v>0</v>
      </c>
      <c r="Y28" s="1279">
        <f>IFERROR(__xludf.DUMMYFUNCTION("""COMPUTED_VALUE"""),0.0)</f>
        <v>0</v>
      </c>
      <c r="Z28" s="1278">
        <f>IFERROR(__xludf.DUMMYFUNCTION("""COMPUTED_VALUE"""),0.0)</f>
        <v>0</v>
      </c>
      <c r="AA28" s="1279" t="str">
        <f>IFERROR(__xludf.DUMMYFUNCTION("""COMPUTED_VALUE"""),"総合計")</f>
        <v>総合計</v>
      </c>
      <c r="AB28" s="1278">
        <f>IFERROR(__xludf.DUMMYFUNCTION("""COMPUTED_VALUE"""),23.0)</f>
        <v>23</v>
      </c>
      <c r="AC28" s="1279"/>
      <c r="AD28" s="1278"/>
      <c r="AE28" s="1279"/>
      <c r="AF28" s="1278"/>
      <c r="AG28" s="1279"/>
      <c r="AH28" s="1278"/>
      <c r="AI28" s="1279"/>
      <c r="AJ28" s="1278"/>
      <c r="AK28" s="1279"/>
      <c r="AL28" s="1278"/>
      <c r="AM28" s="1280"/>
      <c r="AN28" s="1221"/>
      <c r="AO28" s="1221"/>
      <c r="AP28" s="1221"/>
      <c r="AQ28" s="1221"/>
      <c r="AR28" s="1221"/>
      <c r="AS28" s="1221"/>
      <c r="AT28" s="1221"/>
      <c r="AU28" s="1221"/>
    </row>
    <row r="29">
      <c r="B29" s="1271"/>
      <c r="H29" s="1272"/>
      <c r="I29" s="1272"/>
      <c r="J29" s="1272"/>
      <c r="K29" s="1272"/>
      <c r="L29" s="1272"/>
      <c r="M29" s="1273"/>
      <c r="N29" s="1221"/>
      <c r="O29" s="1221"/>
      <c r="P29" s="1221"/>
      <c r="Q29" s="1221"/>
      <c r="R29" s="1221"/>
      <c r="S29" s="1221"/>
      <c r="T29" s="1221"/>
      <c r="U29" s="1221"/>
      <c r="V29" s="1221"/>
      <c r="W29" s="1221"/>
      <c r="X29" s="1221"/>
      <c r="Y29" s="1221"/>
      <c r="Z29" s="1221"/>
      <c r="AA29" s="1221"/>
      <c r="AB29" s="1221"/>
      <c r="AC29" s="1221"/>
      <c r="AD29" s="1221"/>
      <c r="AE29" s="1221"/>
      <c r="AF29" s="1221"/>
      <c r="AG29" s="1221"/>
      <c r="AH29" s="1221"/>
      <c r="AI29" s="1221"/>
      <c r="AJ29" s="1221"/>
      <c r="AK29" s="1221"/>
      <c r="AL29" s="1221"/>
      <c r="AM29" s="1221"/>
      <c r="AN29" s="1221"/>
      <c r="AO29" s="1221"/>
      <c r="AP29" s="1221"/>
      <c r="AQ29" s="1221"/>
      <c r="AR29" s="1221"/>
      <c r="AS29" s="1221"/>
      <c r="AT29" s="1221"/>
      <c r="AU29" s="1221"/>
    </row>
    <row r="30">
      <c r="B30" s="1271"/>
      <c r="H30" s="1272"/>
      <c r="I30" s="1272"/>
      <c r="J30" s="1272"/>
      <c r="K30" s="1272"/>
      <c r="L30" s="1272"/>
      <c r="M30" s="1273"/>
      <c r="N30" s="1221"/>
      <c r="O30" s="1221"/>
      <c r="P30" s="1221"/>
      <c r="Q30" s="1221"/>
      <c r="R30" s="1221"/>
      <c r="S30" s="1221"/>
      <c r="T30" s="1221"/>
      <c r="U30" s="1221"/>
      <c r="V30" s="1221"/>
      <c r="W30" s="1221"/>
      <c r="X30" s="1221"/>
      <c r="Y30" s="1221"/>
      <c r="Z30" s="1221"/>
      <c r="AA30" s="1221"/>
      <c r="AB30" s="1221"/>
      <c r="AC30" s="1221"/>
      <c r="AD30" s="1221"/>
      <c r="AE30" s="1221"/>
      <c r="AF30" s="1221"/>
      <c r="AG30" s="1221"/>
      <c r="AH30" s="1221"/>
      <c r="AI30" s="1221"/>
      <c r="AJ30" s="1221"/>
      <c r="AK30" s="1221"/>
      <c r="AL30" s="1221"/>
      <c r="AM30" s="1221"/>
      <c r="AN30" s="1221"/>
      <c r="AO30" s="1221"/>
      <c r="AP30" s="1221"/>
      <c r="AQ30" s="1221"/>
      <c r="AR30" s="1221"/>
      <c r="AS30" s="1221"/>
      <c r="AT30" s="1221"/>
      <c r="AU30" s="1221"/>
    </row>
    <row r="31">
      <c r="B31" s="1271"/>
      <c r="M31" s="1281"/>
    </row>
    <row r="32">
      <c r="B32" s="1282"/>
      <c r="C32" s="1283"/>
      <c r="D32" s="1283"/>
      <c r="E32" s="1283"/>
      <c r="F32" s="1283"/>
      <c r="G32" s="1283"/>
      <c r="H32" s="1283"/>
      <c r="I32" s="1283"/>
      <c r="J32" s="1283"/>
      <c r="K32" s="1283"/>
      <c r="L32" s="1283"/>
      <c r="M32" s="1284"/>
    </row>
    <row r="33">
      <c r="B33" s="20"/>
      <c r="C33" s="20"/>
      <c r="D33" s="20"/>
      <c r="E33" s="20"/>
      <c r="F33" s="20"/>
      <c r="G33" s="20"/>
      <c r="H33" s="20"/>
      <c r="I33" s="20"/>
      <c r="J33" s="20" t="s">
        <v>1061</v>
      </c>
      <c r="K33" s="20"/>
      <c r="L33" s="20"/>
    </row>
    <row r="34">
      <c r="B34" s="1285" t="s">
        <v>1085</v>
      </c>
      <c r="C34" s="1217"/>
      <c r="D34" s="1217"/>
      <c r="E34" s="1217"/>
      <c r="F34" s="1217"/>
      <c r="G34" s="1217"/>
      <c r="H34" s="1217"/>
      <c r="I34" s="1217"/>
      <c r="J34" s="1217"/>
      <c r="K34" s="1217"/>
      <c r="L34" s="1217"/>
      <c r="M34" s="1218"/>
      <c r="O34" s="183"/>
      <c r="P34" s="183"/>
      <c r="Q34" s="183"/>
      <c r="S34" s="183"/>
      <c r="T34" s="183"/>
      <c r="U34" s="183"/>
    </row>
    <row r="35">
      <c r="B35" s="1286" t="s">
        <v>1086</v>
      </c>
      <c r="D35" s="1287"/>
      <c r="M35" s="1288"/>
      <c r="O35" s="183"/>
      <c r="P35" s="183"/>
      <c r="Q35" s="183"/>
      <c r="S35" s="183"/>
      <c r="T35" s="183"/>
      <c r="U35" s="183"/>
    </row>
    <row r="36">
      <c r="B36" s="1289" t="s">
        <v>1087</v>
      </c>
      <c r="C36" s="1218"/>
      <c r="D36" s="1289" t="s">
        <v>1088</v>
      </c>
      <c r="E36" s="1218"/>
      <c r="F36" s="1289" t="s">
        <v>1089</v>
      </c>
      <c r="G36" s="1217"/>
      <c r="H36" s="1289" t="s">
        <v>1090</v>
      </c>
      <c r="I36" s="1217"/>
      <c r="J36" s="1218"/>
      <c r="K36" s="1289" t="s">
        <v>1091</v>
      </c>
      <c r="L36" s="1217"/>
      <c r="M36" s="1218"/>
      <c r="O36" s="183" t="s">
        <v>80</v>
      </c>
      <c r="P36" s="183" t="s">
        <v>81</v>
      </c>
      <c r="Q36" s="183" t="s">
        <v>1092</v>
      </c>
      <c r="S36" s="183" t="s">
        <v>88</v>
      </c>
      <c r="T36" s="183" t="s">
        <v>89</v>
      </c>
      <c r="U36" s="183" t="s">
        <v>91</v>
      </c>
      <c r="W36" s="183" t="s">
        <v>80</v>
      </c>
      <c r="X36" s="183" t="s">
        <v>81</v>
      </c>
      <c r="Y36" s="183" t="s">
        <v>1092</v>
      </c>
      <c r="AA36" s="183" t="s">
        <v>88</v>
      </c>
      <c r="AB36" s="183" t="s">
        <v>89</v>
      </c>
      <c r="AC36" s="183" t="s">
        <v>91</v>
      </c>
    </row>
    <row r="37">
      <c r="B37" s="1290"/>
      <c r="C37" s="1291"/>
      <c r="D37" s="1290"/>
      <c r="E37" s="1291"/>
      <c r="F37" s="1290"/>
      <c r="G37" s="281"/>
      <c r="H37" s="1290"/>
      <c r="I37" s="281"/>
      <c r="J37" s="1291"/>
      <c r="K37" s="1290"/>
      <c r="L37" s="281"/>
      <c r="M37" s="1291"/>
      <c r="N37" s="183" t="s">
        <v>1093</v>
      </c>
      <c r="O37" s="1292" t="s">
        <v>58</v>
      </c>
      <c r="P37" s="1292" t="s">
        <v>1094</v>
      </c>
      <c r="Q37" s="1292" t="s">
        <v>40</v>
      </c>
      <c r="R37" s="1293"/>
      <c r="S37" s="1292" t="s">
        <v>1095</v>
      </c>
      <c r="T37" s="1292"/>
      <c r="U37" s="1294" t="s">
        <v>1096</v>
      </c>
      <c r="V37" s="183" t="s">
        <v>1086</v>
      </c>
      <c r="W37" s="1293" t="str">
        <f>'🔵クレーム'!C28</f>
        <v>2月</v>
      </c>
      <c r="X37" s="1293" t="str">
        <f>'🔵クレーム'!D28</f>
        <v>2日</v>
      </c>
      <c r="Y37" s="1292" t="str">
        <f>'🔵クレーム'!I28</f>
        <v>残置</v>
      </c>
      <c r="Z37" s="1293" t="str">
        <f>'🔵クレーム'!J28</f>
        <v/>
      </c>
      <c r="AA37" s="1293" t="str">
        <f>'🔵クレーム'!K28</f>
        <v>堀</v>
      </c>
      <c r="AB37" s="1293" t="str">
        <f>'🔵クレーム'!L28</f>
        <v>サルミラ</v>
      </c>
      <c r="AC37" s="1295"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96" t="s">
        <v>89</v>
      </c>
      <c r="C38" s="1297" t="s">
        <v>1097</v>
      </c>
      <c r="D38" s="1297" t="s">
        <v>88</v>
      </c>
      <c r="E38" s="1297" t="s">
        <v>1097</v>
      </c>
      <c r="F38" s="1298" t="s">
        <v>1092</v>
      </c>
      <c r="G38" s="1298" t="s">
        <v>1097</v>
      </c>
      <c r="H38" s="1297" t="s">
        <v>1092</v>
      </c>
      <c r="I38" s="1299" t="s">
        <v>1097</v>
      </c>
      <c r="J38" s="1300" t="s">
        <v>1098</v>
      </c>
      <c r="K38" s="1301"/>
      <c r="L38" s="1302" t="s">
        <v>1097</v>
      </c>
      <c r="M38" s="1303" t="s">
        <v>1098</v>
      </c>
      <c r="O38" s="1292" t="s">
        <v>58</v>
      </c>
      <c r="P38" s="1292" t="s">
        <v>1099</v>
      </c>
      <c r="Q38" s="1292" t="s">
        <v>39</v>
      </c>
      <c r="R38" s="1293"/>
      <c r="S38" s="1292" t="s">
        <v>1095</v>
      </c>
      <c r="T38" s="1292"/>
      <c r="U38" s="1294" t="s">
        <v>1100</v>
      </c>
      <c r="W38" s="1293" t="str">
        <f>'🔵クレーム'!C29</f>
        <v>2月</v>
      </c>
      <c r="X38" s="1293" t="str">
        <f>'🔵クレーム'!D29</f>
        <v>6日</v>
      </c>
      <c r="Y38" s="1292" t="str">
        <f>'🔵クレーム'!I29</f>
        <v>清掃不備</v>
      </c>
      <c r="Z38" s="1293" t="str">
        <f>'🔵クレーム'!J29</f>
        <v/>
      </c>
      <c r="AA38" s="1293" t="str">
        <f>'🔵クレーム'!K29</f>
        <v>ダヤラム・冨安</v>
      </c>
      <c r="AB38" s="1293" t="str">
        <f>'🔵クレーム'!L29</f>
        <v>トンメ</v>
      </c>
      <c r="AC38" s="1295" t="str">
        <f>'🔵クレーム'!N29</f>
        <v>マグカップに口紅の痕</v>
      </c>
      <c r="AE38" s="23" t="str">
        <f>IFERROR(__xludf.DUMMYFUNCTION("""COMPUTED_VALUE"""),"-")</f>
        <v>-</v>
      </c>
    </row>
    <row r="39">
      <c r="B39" s="1304" t="str">
        <f>IFERROR(__xludf.DUMMYFUNCTION("IFERROR(
  QUERY(
    {
      IF($B$35=""R7"",$T$37:$T1038,$AB$37:$AB1038),
      IF($B$35=""R7"",$T$37:$T1038,$AB$37:$AB1038)
    },
    ""select Col1, count(Col2)
     where Col1 is not null and Col1 &lt;&gt; ''
     group by Col1
     order by count(Col2) de"&amp;"sc, Col1 asc
     label Col1 '', count(Col2) ''"",
    0
  ),
  """"
)"),"黒田")</f>
        <v>黒田</v>
      </c>
      <c r="C39" s="1305">
        <f>IFERROR(__xludf.DUMMYFUNCTION("""COMPUTED_VALUE"""),2.0)</f>
        <v>2</v>
      </c>
      <c r="D39" s="1306" t="str">
        <f>IFERROR(__xludf.DUMMYFUNCTION("IFERROR(
  QUERY(
    {
      IF($B$35=""R7"",$S$37:$S1038,$AA$37:$AA1038),
      IF($B$35=""R7"",$S$37:$S1038,$AA$37:$AA1038)
    },
    ""select Col1, count(Col2)
     where Col1 is not null and Col1 &lt;&gt; ''
     group by Col1
     order by count(Col2) de"&amp;"sc, Col1 asc
     label Col1 '', count(Col2) ''"",
    0
  ),
  """"
)"),"山本")</f>
        <v>山本</v>
      </c>
      <c r="E39" s="1307">
        <f>IFERROR(__xludf.DUMMYFUNCTION("""COMPUTED_VALUE"""),3.0)</f>
        <v>3</v>
      </c>
      <c r="F39" s="1308" t="str">
        <f>IFERROR(__xludf.DUMMYFUNCTION("IFERROR(
  QUERY(
    {
      IF($B$35=""R7"",$Q$37:$Q1038,$Y$37:$Y1038);
      IF($B$35=""R7"",$R$37:$R1038,$Z$37:$Z1038)
    },
    ""select Col1, count(Col1)
     where Col1 is not null and Col1 &lt;&gt; ''
     group by Col1
     order by count(Col1) desc, "&amp;"Col1 asc
     label Col1 '', count(Col1) ''"",
    0
  ),
  """"
)"),"口コミ")</f>
        <v>口コミ</v>
      </c>
      <c r="G39" s="1309">
        <f>IFERROR(__xludf.DUMMYFUNCTION("""COMPUTED_VALUE"""),15.0)</f>
        <v>15</v>
      </c>
      <c r="H39" s="13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11">
        <f>IFERROR(__xludf.DUMMYFUNCTION("""COMPUTED_VALUE"""),6.0)</f>
        <v>6</v>
      </c>
      <c r="J39" s="1312">
        <f t="array" ref="J39:J1038">IF(H39:H1038="","", I39:I1038 / SUM(I39:I1038))</f>
        <v>0.3529411765</v>
      </c>
      <c r="K39" s="1313" t="s">
        <v>39</v>
      </c>
      <c r="L39" s="1314">
        <f t="shared" ref="L39:L50" si="5">AB17</f>
        <v>0</v>
      </c>
      <c r="M39" s="1315">
        <f t="shared" ref="M39:M50" si="6">iferror(L39/$L$50,"")</f>
        <v>0</v>
      </c>
      <c r="O39" s="1292" t="s">
        <v>58</v>
      </c>
      <c r="P39" s="1292" t="s">
        <v>221</v>
      </c>
      <c r="Q39" s="1292" t="s">
        <v>38</v>
      </c>
      <c r="R39" s="1293"/>
      <c r="S39" s="1292" t="s">
        <v>99</v>
      </c>
      <c r="T39" s="1292"/>
      <c r="U39" s="1294" t="s">
        <v>1101</v>
      </c>
      <c r="W39" s="1293" t="str">
        <f>'🔵クレーム'!C30</f>
        <v>2月</v>
      </c>
      <c r="X39" s="1293" t="str">
        <f>'🔵クレーム'!D30</f>
        <v>7日</v>
      </c>
      <c r="Y39" s="1292" t="str">
        <f>'🔵クレーム'!I30</f>
        <v>汚れ</v>
      </c>
      <c r="Z39" s="1293" t="str">
        <f>'🔵クレーム'!J30</f>
        <v/>
      </c>
      <c r="AA39" s="1293" t="str">
        <f>'🔵クレーム'!K30</f>
        <v>堀・冨安</v>
      </c>
      <c r="AB39" s="1293" t="str">
        <f>'🔵クレーム'!L30</f>
        <v/>
      </c>
      <c r="AC39" s="1295"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IFERROR(__xludf.DUMMYFUNCTION("""COMPUTED_VALUE"""),6.0)</f>
        <v>6</v>
      </c>
      <c r="AH39" s="23">
        <f>IFERROR(__xludf.DUMMYFUNCTION("""COMPUTED_VALUE"""),0.35294117647058826)</f>
        <v>0.3529411765</v>
      </c>
    </row>
    <row r="40">
      <c r="B40" s="1313" t="str">
        <f>IFERROR(__xludf.DUMMYFUNCTION("""COMPUTED_VALUE"""),"-")</f>
        <v>-</v>
      </c>
      <c r="C40" s="1316">
        <f>IFERROR(__xludf.DUMMYFUNCTION("""COMPUTED_VALUE"""),1.0)</f>
        <v>1</v>
      </c>
      <c r="D40" s="1317" t="str">
        <f>IFERROR(__xludf.DUMMYFUNCTION("""COMPUTED_VALUE"""),"成田")</f>
        <v>成田</v>
      </c>
      <c r="E40" s="1318">
        <f>IFERROR(__xludf.DUMMYFUNCTION("""COMPUTED_VALUE"""),2.0)</f>
        <v>2</v>
      </c>
      <c r="F40" s="1317" t="str">
        <f>IFERROR(__xludf.DUMMYFUNCTION("""COMPUTED_VALUE"""),"清掃不備")</f>
        <v>清掃不備</v>
      </c>
      <c r="G40" s="1316">
        <f>IFERROR(__xludf.DUMMYFUNCTION("""COMPUTED_VALUE"""),6.0)</f>
        <v>6</v>
      </c>
      <c r="H40" s="1319" t="str">
        <f>IFERROR(__xludf.DUMMYFUNCTION("""COMPUTED_VALUE"""),"セット漏れ")</f>
        <v>セット漏れ</v>
      </c>
      <c r="I40" s="1314">
        <f>IFERROR(__xludf.DUMMYFUNCTION("""COMPUTED_VALUE"""),5.0)</f>
        <v>5</v>
      </c>
      <c r="J40" s="1320">
        <v>0.29411764705882354</v>
      </c>
      <c r="K40" s="1313" t="s">
        <v>38</v>
      </c>
      <c r="L40" s="1314">
        <f t="shared" si="5"/>
        <v>0</v>
      </c>
      <c r="M40" s="1315">
        <f t="shared" si="6"/>
        <v>0</v>
      </c>
      <c r="O40" s="1292" t="s">
        <v>58</v>
      </c>
      <c r="P40" s="1292" t="s">
        <v>221</v>
      </c>
      <c r="Q40" s="1292" t="s">
        <v>39</v>
      </c>
      <c r="R40" s="1293"/>
      <c r="S40" s="1292" t="s">
        <v>1095</v>
      </c>
      <c r="T40" s="1292"/>
      <c r="U40" s="1294" t="s">
        <v>1102</v>
      </c>
      <c r="W40" s="1293" t="str">
        <f>'🔵クレーム'!C31</f>
        <v>2月</v>
      </c>
      <c r="X40" s="1293" t="str">
        <f>'🔵クレーム'!D31</f>
        <v>5日</v>
      </c>
      <c r="Y40" s="1292" t="str">
        <f>'🔵クレーム'!I31</f>
        <v/>
      </c>
      <c r="Z40" s="1293" t="str">
        <f>'🔵クレーム'!J31</f>
        <v>口コミ</v>
      </c>
      <c r="AA40" s="1293" t="str">
        <f>'🔵クレーム'!K31</f>
        <v/>
      </c>
      <c r="AB40" s="1293" t="str">
        <f>'🔵クレーム'!L31</f>
        <v/>
      </c>
      <c r="AC40" s="1295"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IFERROR(__xludf.DUMMYFUNCTION("""COMPUTED_VALUE"""),0.29411764705882354)</f>
        <v>0.2941176471</v>
      </c>
      <c r="AK40" s="1321"/>
      <c r="AL40" s="1321"/>
      <c r="AM40" s="1322"/>
    </row>
    <row r="41">
      <c r="B41" s="1313" t="str">
        <f>IFERROR(__xludf.DUMMYFUNCTION("""COMPUTED_VALUE"""),"アサンジャ")</f>
        <v>アサンジャ</v>
      </c>
      <c r="C41" s="1316">
        <f>IFERROR(__xludf.DUMMYFUNCTION("""COMPUTED_VALUE"""),1.0)</f>
        <v>1</v>
      </c>
      <c r="D41" s="1317" t="str">
        <f>IFERROR(__xludf.DUMMYFUNCTION("""COMPUTED_VALUE"""),"本村")</f>
        <v>本村</v>
      </c>
      <c r="E41" s="1318">
        <f>IFERROR(__xludf.DUMMYFUNCTION("""COMPUTED_VALUE"""),2.0)</f>
        <v>2</v>
      </c>
      <c r="F41" s="1317" t="str">
        <f>IFERROR(__xludf.DUMMYFUNCTION("""COMPUTED_VALUE"""),"セット漏れ")</f>
        <v>セット漏れ</v>
      </c>
      <c r="G41" s="1316">
        <f>IFERROR(__xludf.DUMMYFUNCTION("""COMPUTED_VALUE"""),5.0)</f>
        <v>5</v>
      </c>
      <c r="H41" s="1319" t="str">
        <f>IFERROR(__xludf.DUMMYFUNCTION("""COMPUTED_VALUE"""),"その他")</f>
        <v>その他</v>
      </c>
      <c r="I41" s="1314">
        <f>IFERROR(__xludf.DUMMYFUNCTION("""COMPUTED_VALUE"""),2.0)</f>
        <v>2</v>
      </c>
      <c r="J41" s="1320">
        <v>0.11764705882352941</v>
      </c>
      <c r="K41" s="1313" t="s">
        <v>37</v>
      </c>
      <c r="L41" s="1314">
        <f t="shared" si="5"/>
        <v>1</v>
      </c>
      <c r="M41" s="1315">
        <f t="shared" si="6"/>
        <v>0.04347826087</v>
      </c>
      <c r="O41" s="1292" t="s">
        <v>58</v>
      </c>
      <c r="P41" s="1292" t="s">
        <v>221</v>
      </c>
      <c r="Q41" s="1292" t="s">
        <v>39</v>
      </c>
      <c r="R41" s="1293"/>
      <c r="S41" s="1292" t="s">
        <v>1103</v>
      </c>
      <c r="T41" s="1292"/>
      <c r="U41" s="1294" t="s">
        <v>1104</v>
      </c>
      <c r="W41" s="1293" t="str">
        <f>'🔵クレーム'!C32</f>
        <v>2月</v>
      </c>
      <c r="X41" s="1293" t="str">
        <f>'🔵クレーム'!D32</f>
        <v>9日</v>
      </c>
      <c r="Y41" s="1292" t="str">
        <f>'🔵クレーム'!I32</f>
        <v/>
      </c>
      <c r="Z41" s="1293" t="str">
        <f>'🔵クレーム'!J32</f>
        <v>口コミ</v>
      </c>
      <c r="AA41" s="1293" t="str">
        <f>'🔵クレーム'!K32</f>
        <v/>
      </c>
      <c r="AB41" s="1293" t="str">
        <f>'🔵クレーム'!L32</f>
        <v/>
      </c>
      <c r="AC41" s="1295"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IFERROR(__xludf.DUMMYFUNCTION("""COMPUTED_VALUE"""),0.11764705882352941)</f>
        <v>0.1176470588</v>
      </c>
      <c r="AK41" s="1321"/>
      <c r="AL41" s="1321"/>
      <c r="AM41" s="1322"/>
    </row>
    <row r="42">
      <c r="B42" s="1313" t="str">
        <f>IFERROR(__xludf.DUMMYFUNCTION("""COMPUTED_VALUE"""),"アヌダ")</f>
        <v>アヌダ</v>
      </c>
      <c r="C42" s="1316">
        <f>IFERROR(__xludf.DUMMYFUNCTION("""COMPUTED_VALUE"""),1.0)</f>
        <v>1</v>
      </c>
      <c r="D42" s="1317" t="str">
        <f>IFERROR(__xludf.DUMMYFUNCTION("""COMPUTED_VALUE"""),"-")</f>
        <v>-</v>
      </c>
      <c r="E42" s="1318">
        <f>IFERROR(__xludf.DUMMYFUNCTION("""COMPUTED_VALUE"""),1.0)</f>
        <v>1</v>
      </c>
      <c r="F42" s="1317" t="str">
        <f>IFERROR(__xludf.DUMMYFUNCTION("""COMPUTED_VALUE"""),"その他")</f>
        <v>その他</v>
      </c>
      <c r="G42" s="1316">
        <f>IFERROR(__xludf.DUMMYFUNCTION("""COMPUTED_VALUE"""),4.0)</f>
        <v>4</v>
      </c>
      <c r="H42" s="1319" t="str">
        <f>IFERROR(__xludf.DUMMYFUNCTION("""COMPUTED_VALUE"""),"残置")</f>
        <v>残置</v>
      </c>
      <c r="I42" s="1314">
        <f>IFERROR(__xludf.DUMMYFUNCTION("""COMPUTED_VALUE"""),2.0)</f>
        <v>2</v>
      </c>
      <c r="J42" s="1320">
        <v>0.11764705882352941</v>
      </c>
      <c r="K42" s="1313" t="s">
        <v>40</v>
      </c>
      <c r="L42" s="1314">
        <f t="shared" si="5"/>
        <v>8</v>
      </c>
      <c r="M42" s="1315">
        <f t="shared" si="6"/>
        <v>0.347826087</v>
      </c>
      <c r="O42" s="1292" t="s">
        <v>60</v>
      </c>
      <c r="P42" s="1292" t="s">
        <v>199</v>
      </c>
      <c r="Q42" s="1292" t="s">
        <v>42</v>
      </c>
      <c r="R42" s="1293"/>
      <c r="S42" s="1292" t="s">
        <v>1103</v>
      </c>
      <c r="T42" s="1292"/>
      <c r="U42" s="1294" t="s">
        <v>1105</v>
      </c>
      <c r="W42" s="1293" t="str">
        <f>'🔵クレーム'!C33</f>
        <v>2月</v>
      </c>
      <c r="X42" s="1293" t="str">
        <f>'🔵クレーム'!D33</f>
        <v>9日</v>
      </c>
      <c r="Y42" s="1292" t="str">
        <f>'🔵クレーム'!I33</f>
        <v>清掃不備</v>
      </c>
      <c r="Z42" s="1293" t="str">
        <f>'🔵クレーム'!J33</f>
        <v/>
      </c>
      <c r="AA42" s="1293" t="str">
        <f>'🔵クレーム'!K33</f>
        <v>ウィング</v>
      </c>
      <c r="AB42" s="1293" t="str">
        <f>'🔵クレーム'!L33</f>
        <v>黒田</v>
      </c>
      <c r="AC42" s="1295"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IFERROR(__xludf.DUMMYFUNCTION("""COMPUTED_VALUE"""),0.11764705882352941)</f>
        <v>0.1176470588</v>
      </c>
      <c r="AK42" s="1321"/>
      <c r="AL42" s="1321"/>
      <c r="AM42" s="1322"/>
    </row>
    <row r="43">
      <c r="B43" s="1313" t="str">
        <f>IFERROR(__xludf.DUMMYFUNCTION("""COMPUTED_VALUE"""),"クマル")</f>
        <v>クマル</v>
      </c>
      <c r="C43" s="1316">
        <f>IFERROR(__xludf.DUMMYFUNCTION("""COMPUTED_VALUE"""),1.0)</f>
        <v>1</v>
      </c>
      <c r="D43" s="1317" t="str">
        <f>IFERROR(__xludf.DUMMYFUNCTION("""COMPUTED_VALUE"""),"ウィング")</f>
        <v>ウィング</v>
      </c>
      <c r="E43" s="1318">
        <f>IFERROR(__xludf.DUMMYFUNCTION("""COMPUTED_VALUE"""),1.0)</f>
        <v>1</v>
      </c>
      <c r="F43" s="1317" t="str">
        <f>IFERROR(__xludf.DUMMYFUNCTION("""COMPUTED_VALUE"""),"残置")</f>
        <v>残置</v>
      </c>
      <c r="G43" s="1316">
        <f>IFERROR(__xludf.DUMMYFUNCTION("""COMPUTED_VALUE"""),2.0)</f>
        <v>2</v>
      </c>
      <c r="H43" s="1319" t="str">
        <f>IFERROR(__xludf.DUMMYFUNCTION("""COMPUTED_VALUE"""),"汚れ")</f>
        <v>汚れ</v>
      </c>
      <c r="I43" s="1314">
        <f>IFERROR(__xludf.DUMMYFUNCTION("""COMPUTED_VALUE"""),2.0)</f>
        <v>2</v>
      </c>
      <c r="J43" s="1320">
        <v>0.11764705882352941</v>
      </c>
      <c r="K43" s="1313" t="s">
        <v>42</v>
      </c>
      <c r="L43" s="1314">
        <f t="shared" si="5"/>
        <v>3</v>
      </c>
      <c r="M43" s="1315">
        <f t="shared" si="6"/>
        <v>0.1304347826</v>
      </c>
      <c r="O43" s="1292" t="s">
        <v>60</v>
      </c>
      <c r="P43" s="1292" t="s">
        <v>199</v>
      </c>
      <c r="Q43" s="1292" t="s">
        <v>40</v>
      </c>
      <c r="R43" s="1293"/>
      <c r="S43" s="1292" t="s">
        <v>99</v>
      </c>
      <c r="T43" s="1292"/>
      <c r="U43" s="1294" t="s">
        <v>1106</v>
      </c>
      <c r="W43" s="1293" t="str">
        <f>'🔵クレーム'!C34</f>
        <v>2月</v>
      </c>
      <c r="X43" s="1293" t="str">
        <f>'🔵クレーム'!D34</f>
        <v>11日</v>
      </c>
      <c r="Y43" s="1292" t="str">
        <f>'🔵クレーム'!I34</f>
        <v/>
      </c>
      <c r="Z43" s="1293" t="str">
        <f>'🔵クレーム'!J34</f>
        <v>口コミ</v>
      </c>
      <c r="AA43" s="1293" t="str">
        <f>'🔵クレーム'!K34</f>
        <v/>
      </c>
      <c r="AB43" s="1293" t="str">
        <f>'🔵クレーム'!L34</f>
        <v/>
      </c>
      <c r="AC43" s="1295"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IFERROR(__xludf.DUMMYFUNCTION("""COMPUTED_VALUE"""),0.11764705882352941)</f>
        <v>0.1176470588</v>
      </c>
      <c r="AK43" s="1321"/>
      <c r="AL43" s="1321"/>
      <c r="AM43" s="1322"/>
    </row>
    <row r="44">
      <c r="B44" s="1313" t="str">
        <f>IFERROR(__xludf.DUMMYFUNCTION("""COMPUTED_VALUE"""),"サルミラ")</f>
        <v>サルミラ</v>
      </c>
      <c r="C44" s="1316">
        <f>IFERROR(__xludf.DUMMYFUNCTION("""COMPUTED_VALUE"""),1.0)</f>
        <v>1</v>
      </c>
      <c r="D44" s="1317" t="str">
        <f>IFERROR(__xludf.DUMMYFUNCTION("""COMPUTED_VALUE"""),"サイトウ")</f>
        <v>サイトウ</v>
      </c>
      <c r="E44" s="1318">
        <f>IFERROR(__xludf.DUMMYFUNCTION("""COMPUTED_VALUE"""),1.0)</f>
        <v>1</v>
      </c>
      <c r="F44" s="1317" t="str">
        <f>IFERROR(__xludf.DUMMYFUNCTION("""COMPUTED_VALUE"""),"汚れ")</f>
        <v>汚れ</v>
      </c>
      <c r="G44" s="1316">
        <f>IFERROR(__xludf.DUMMYFUNCTION("""COMPUTED_VALUE"""),2.0)</f>
        <v>2</v>
      </c>
      <c r="H44" s="1319"/>
      <c r="I44" s="1314"/>
      <c r="J44" s="1320" t="s">
        <v>1061</v>
      </c>
      <c r="K44" s="1313" t="s">
        <v>41</v>
      </c>
      <c r="L44" s="1314">
        <f t="shared" si="5"/>
        <v>0</v>
      </c>
      <c r="M44" s="1315">
        <f t="shared" si="6"/>
        <v>0</v>
      </c>
      <c r="O44" s="1292" t="s">
        <v>60</v>
      </c>
      <c r="P44" s="1292" t="s">
        <v>124</v>
      </c>
      <c r="Q44" s="1292" t="s">
        <v>30</v>
      </c>
      <c r="R44" s="1293"/>
      <c r="S44" s="1292" t="s">
        <v>99</v>
      </c>
      <c r="T44" s="1292"/>
      <c r="U44" s="1294" t="s">
        <v>1107</v>
      </c>
      <c r="W44" s="1293" t="str">
        <f>'🔵クレーム'!C35</f>
        <v>2月</v>
      </c>
      <c r="X44" s="1293" t="str">
        <f>'🔵クレーム'!D35</f>
        <v>13日</v>
      </c>
      <c r="Y44" s="1292" t="str">
        <f>'🔵クレーム'!I35</f>
        <v/>
      </c>
      <c r="Z44" s="1293" t="str">
        <f>'🔵クレーム'!J35</f>
        <v>口コミ</v>
      </c>
      <c r="AA44" s="1293" t="str">
        <f>'🔵クレーム'!K35</f>
        <v/>
      </c>
      <c r="AB44" s="1293" t="str">
        <f>'🔵クレーム'!L35</f>
        <v/>
      </c>
      <c r="AC44" s="1295" t="str">
        <f>'🔵クレーム'!N35</f>
        <v>カーペットがとても埃っぽいのでご注意を。滞在の終わりにはひどいアレルギー性鼻炎になりました</v>
      </c>
      <c r="AE44" s="23" t="str">
        <f>IFERROR(__xludf.DUMMYFUNCTION("""COMPUTED_VALUE"""),"アリ")</f>
        <v>アリ</v>
      </c>
      <c r="AK44" s="1321"/>
      <c r="AL44" s="1321"/>
      <c r="AM44" s="1322"/>
    </row>
    <row r="45">
      <c r="B45" s="1313" t="str">
        <f>IFERROR(__xludf.DUMMYFUNCTION("""COMPUTED_VALUE"""),"サロメ")</f>
        <v>サロメ</v>
      </c>
      <c r="C45" s="1316">
        <f>IFERROR(__xludf.DUMMYFUNCTION("""COMPUTED_VALUE"""),1.0)</f>
        <v>1</v>
      </c>
      <c r="D45" s="1317" t="str">
        <f>IFERROR(__xludf.DUMMYFUNCTION("""COMPUTED_VALUE"""),"ダヤラム")</f>
        <v>ダヤラム</v>
      </c>
      <c r="E45" s="1318">
        <f>IFERROR(__xludf.DUMMYFUNCTION("""COMPUTED_VALUE"""),1.0)</f>
        <v>1</v>
      </c>
      <c r="F45" s="1317"/>
      <c r="G45" s="1316"/>
      <c r="H45" s="1319"/>
      <c r="I45" s="1314"/>
      <c r="J45" s="1320" t="s">
        <v>1061</v>
      </c>
      <c r="K45" s="1313" t="s">
        <v>1108</v>
      </c>
      <c r="L45" s="1314">
        <f t="shared" si="5"/>
        <v>5</v>
      </c>
      <c r="M45" s="1315">
        <f t="shared" si="6"/>
        <v>0.2173913043</v>
      </c>
      <c r="O45" s="1292" t="s">
        <v>60</v>
      </c>
      <c r="P45" s="1292" t="s">
        <v>132</v>
      </c>
      <c r="Q45" s="1292" t="s">
        <v>42</v>
      </c>
      <c r="R45" s="1293"/>
      <c r="S45" s="1292" t="s">
        <v>1109</v>
      </c>
      <c r="T45" s="1292"/>
      <c r="U45" s="1294" t="s">
        <v>1110</v>
      </c>
      <c r="W45" s="1293" t="str">
        <f>'🔵クレーム'!C36</f>
        <v>2月</v>
      </c>
      <c r="X45" s="1293" t="str">
        <f>'🔵クレーム'!D36</f>
        <v>18日</v>
      </c>
      <c r="Y45" s="1292" t="str">
        <f>'🔵クレーム'!I36</f>
        <v/>
      </c>
      <c r="Z45" s="1293" t="str">
        <f>'🔵クレーム'!J36</f>
        <v>口コミ</v>
      </c>
      <c r="AA45" s="1293" t="str">
        <f>'🔵クレーム'!K36</f>
        <v/>
      </c>
      <c r="AB45" s="1293" t="str">
        <f>'🔵クレーム'!L36</f>
        <v/>
      </c>
      <c r="AC45" s="1295"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21"/>
      <c r="AL45" s="1321"/>
      <c r="AM45" s="1322"/>
    </row>
    <row r="46">
      <c r="B46" s="1313" t="str">
        <f>IFERROR(__xludf.DUMMYFUNCTION("""COMPUTED_VALUE"""),"シワンティ")</f>
        <v>シワンティ</v>
      </c>
      <c r="C46" s="1316">
        <f>IFERROR(__xludf.DUMMYFUNCTION("""COMPUTED_VALUE"""),1.0)</f>
        <v>1</v>
      </c>
      <c r="D46" s="1317" t="str">
        <f>IFERROR(__xludf.DUMMYFUNCTION("""COMPUTED_VALUE"""),"ダヤラム・冨安")</f>
        <v>ダヤラム・冨安</v>
      </c>
      <c r="E46" s="1318">
        <f>IFERROR(__xludf.DUMMYFUNCTION("""COMPUTED_VALUE"""),1.0)</f>
        <v>1</v>
      </c>
      <c r="F46" s="1317"/>
      <c r="G46" s="1316"/>
      <c r="H46" s="1319"/>
      <c r="I46" s="1314"/>
      <c r="J46" s="1320" t="s">
        <v>1061</v>
      </c>
      <c r="K46" s="1313" t="s">
        <v>1111</v>
      </c>
      <c r="L46" s="1314">
        <f t="shared" si="5"/>
        <v>5</v>
      </c>
      <c r="M46" s="1315">
        <f t="shared" si="6"/>
        <v>0.2173913043</v>
      </c>
      <c r="O46" s="1292" t="s">
        <v>60</v>
      </c>
      <c r="P46" s="1292" t="s">
        <v>135</v>
      </c>
      <c r="Q46" s="1292" t="s">
        <v>38</v>
      </c>
      <c r="R46" s="1293"/>
      <c r="S46" s="1292" t="s">
        <v>1112</v>
      </c>
      <c r="T46" s="1292"/>
      <c r="U46" s="1294" t="s">
        <v>1113</v>
      </c>
      <c r="W46" s="1293" t="str">
        <f>'🔵クレーム'!C37</f>
        <v>2月</v>
      </c>
      <c r="X46" s="1293" t="str">
        <f>'🔵クレーム'!D37</f>
        <v>21日</v>
      </c>
      <c r="Y46" s="1292" t="str">
        <f>'🔵クレーム'!I37</f>
        <v>セット漏れ</v>
      </c>
      <c r="Z46" s="1293" t="str">
        <f>'🔵クレーム'!J37</f>
        <v/>
      </c>
      <c r="AA46" s="1293" t="str">
        <f>'🔵クレーム'!K37</f>
        <v>本村</v>
      </c>
      <c r="AB46" s="1293" t="str">
        <f>'🔵クレーム'!L37</f>
        <v/>
      </c>
      <c r="AC46" s="1295" t="str">
        <f>'🔵クレーム'!N37</f>
        <v>ベイカンのセット替えができてなかった</v>
      </c>
      <c r="AE46" s="23" t="str">
        <f>IFERROR(__xludf.DUMMYFUNCTION("""COMPUTED_VALUE"""),"ウメス")</f>
        <v>ウメス</v>
      </c>
      <c r="AK46" s="1321"/>
      <c r="AL46" s="1321"/>
      <c r="AM46" s="1322"/>
    </row>
    <row r="47">
      <c r="B47" s="1313" t="str">
        <f>IFERROR(__xludf.DUMMYFUNCTION("""COMPUTED_VALUE"""),"ズバエル")</f>
        <v>ズバエル</v>
      </c>
      <c r="C47" s="1316">
        <f>IFERROR(__xludf.DUMMYFUNCTION("""COMPUTED_VALUE"""),1.0)</f>
        <v>1</v>
      </c>
      <c r="D47" s="1317" t="str">
        <f>IFERROR(__xludf.DUMMYFUNCTION("""COMPUTED_VALUE"""),"堀")</f>
        <v>堀</v>
      </c>
      <c r="E47" s="1318">
        <f>IFERROR(__xludf.DUMMYFUNCTION("""COMPUTED_VALUE"""),1.0)</f>
        <v>1</v>
      </c>
      <c r="F47" s="1323"/>
      <c r="G47" s="1324"/>
      <c r="H47" s="1319"/>
      <c r="I47" s="1314"/>
      <c r="J47" s="1320" t="s">
        <v>1061</v>
      </c>
      <c r="K47" s="1313" t="s">
        <v>1114</v>
      </c>
      <c r="L47" s="1314">
        <f t="shared" si="5"/>
        <v>1</v>
      </c>
      <c r="M47" s="1315">
        <f t="shared" si="6"/>
        <v>0.04347826087</v>
      </c>
      <c r="O47" s="1292" t="s">
        <v>60</v>
      </c>
      <c r="P47" s="1292" t="s">
        <v>235</v>
      </c>
      <c r="Q47" s="1292" t="s">
        <v>30</v>
      </c>
      <c r="R47" s="1293"/>
      <c r="S47" s="1292" t="s">
        <v>1103</v>
      </c>
      <c r="T47" s="1292"/>
      <c r="U47" s="1294" t="s">
        <v>1115</v>
      </c>
      <c r="W47" s="1293" t="str">
        <f>'🔵クレーム'!C38</f>
        <v>2月</v>
      </c>
      <c r="X47" s="1293" t="str">
        <f>'🔵クレーム'!D38</f>
        <v>19日</v>
      </c>
      <c r="Y47" s="1292" t="str">
        <f>'🔵クレーム'!I38</f>
        <v/>
      </c>
      <c r="Z47" s="1293" t="str">
        <f>'🔵クレーム'!J38</f>
        <v>口コミ</v>
      </c>
      <c r="AA47" s="1293" t="str">
        <f>'🔵クレーム'!K38</f>
        <v/>
      </c>
      <c r="AB47" s="1293" t="str">
        <f>'🔵クレーム'!L38</f>
        <v/>
      </c>
      <c r="AC47" s="1295"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21"/>
      <c r="AL47" s="1321"/>
      <c r="AM47" s="1322"/>
    </row>
    <row r="48">
      <c r="B48" s="1313" t="str">
        <f>IFERROR(__xludf.DUMMYFUNCTION("""COMPUTED_VALUE"""),"ダリア")</f>
        <v>ダリア</v>
      </c>
      <c r="C48" s="1316">
        <f>IFERROR(__xludf.DUMMYFUNCTION("""COMPUTED_VALUE"""),1.0)</f>
        <v>1</v>
      </c>
      <c r="D48" s="1317" t="str">
        <f>IFERROR(__xludf.DUMMYFUNCTION("""COMPUTED_VALUE"""),"堀・冨安")</f>
        <v>堀・冨安</v>
      </c>
      <c r="E48" s="1318">
        <f>IFERROR(__xludf.DUMMYFUNCTION("""COMPUTED_VALUE"""),1.0)</f>
        <v>1</v>
      </c>
      <c r="F48" s="1323"/>
      <c r="G48" s="1324"/>
      <c r="H48" s="1319"/>
      <c r="I48" s="1314"/>
      <c r="J48" s="1320" t="s">
        <v>1061</v>
      </c>
      <c r="K48" s="1313" t="s">
        <v>1116</v>
      </c>
      <c r="L48" s="1314">
        <f t="shared" si="5"/>
        <v>0</v>
      </c>
      <c r="M48" s="1315">
        <f t="shared" si="6"/>
        <v>0</v>
      </c>
      <c r="O48" s="1292" t="s">
        <v>60</v>
      </c>
      <c r="P48" s="1292" t="s">
        <v>142</v>
      </c>
      <c r="Q48" s="1292" t="s">
        <v>30</v>
      </c>
      <c r="R48" s="1293"/>
      <c r="S48" s="1292" t="s">
        <v>1117</v>
      </c>
      <c r="T48" s="1292"/>
      <c r="U48" s="1294" t="s">
        <v>1118</v>
      </c>
      <c r="W48" s="1293" t="str">
        <f>'🔵クレーム'!C39</f>
        <v>2月</v>
      </c>
      <c r="X48" s="1293" t="str">
        <f>'🔵クレーム'!D39</f>
        <v>19日</v>
      </c>
      <c r="Y48" s="1292" t="str">
        <f>'🔵クレーム'!I39</f>
        <v/>
      </c>
      <c r="Z48" s="1293" t="str">
        <f>'🔵クレーム'!J39</f>
        <v>口コミ</v>
      </c>
      <c r="AA48" s="1293" t="str">
        <f>'🔵クレーム'!K39</f>
        <v/>
      </c>
      <c r="AB48" s="1293" t="str">
        <f>'🔵クレーム'!L39</f>
        <v/>
      </c>
      <c r="AC48" s="1295"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21"/>
      <c r="AL48" s="1321"/>
      <c r="AM48" s="1322"/>
    </row>
    <row r="49">
      <c r="B49" s="1313" t="str">
        <f>IFERROR(__xludf.DUMMYFUNCTION("""COMPUTED_VALUE"""),"トンメ")</f>
        <v>トンメ</v>
      </c>
      <c r="C49" s="1316">
        <f>IFERROR(__xludf.DUMMYFUNCTION("""COMPUTED_VALUE"""),1.0)</f>
        <v>1</v>
      </c>
      <c r="D49" s="1317" t="str">
        <f>IFERROR(__xludf.DUMMYFUNCTION("""COMPUTED_VALUE"""),"李")</f>
        <v>李</v>
      </c>
      <c r="E49" s="1318">
        <f>IFERROR(__xludf.DUMMYFUNCTION("""COMPUTED_VALUE"""),1.0)</f>
        <v>1</v>
      </c>
      <c r="F49" s="1323"/>
      <c r="G49" s="1324"/>
      <c r="H49" s="1319"/>
      <c r="I49" s="1314"/>
      <c r="J49" s="1320" t="s">
        <v>1061</v>
      </c>
      <c r="K49" s="1313" t="s">
        <v>30</v>
      </c>
      <c r="L49" s="1314">
        <f t="shared" si="5"/>
        <v>0</v>
      </c>
      <c r="M49" s="1315">
        <f t="shared" si="6"/>
        <v>0</v>
      </c>
      <c r="O49" s="1292" t="s">
        <v>60</v>
      </c>
      <c r="P49" s="1292" t="s">
        <v>195</v>
      </c>
      <c r="Q49" s="1292" t="s">
        <v>42</v>
      </c>
      <c r="R49" s="1293"/>
      <c r="S49" s="1292" t="s">
        <v>1103</v>
      </c>
      <c r="T49" s="1292" t="s">
        <v>182</v>
      </c>
      <c r="U49" s="1294" t="s">
        <v>1119</v>
      </c>
      <c r="W49" s="1293" t="str">
        <f>'🔵クレーム'!C40</f>
        <v>2月</v>
      </c>
      <c r="X49" s="1293" t="str">
        <f>'🔵クレーム'!D40</f>
        <v>24日</v>
      </c>
      <c r="Y49" s="1292" t="str">
        <f>'🔵クレーム'!I40</f>
        <v>清掃不備</v>
      </c>
      <c r="Z49" s="1293" t="str">
        <f>'🔵クレーム'!J40</f>
        <v/>
      </c>
      <c r="AA49" s="1293" t="str">
        <f>'🔵クレーム'!K40</f>
        <v>山本</v>
      </c>
      <c r="AB49" s="1293" t="str">
        <f>'🔵クレーム'!L40</f>
        <v>黒田</v>
      </c>
      <c r="AC49" s="1295" t="str">
        <f>'🔵クレーム'!N40</f>
        <v>入室時埃や髪の毛があってお客様がフロントに激怒</v>
      </c>
      <c r="AE49" s="23" t="str">
        <f>IFERROR(__xludf.DUMMYFUNCTION("""COMPUTED_VALUE"""),"サプコタ")</f>
        <v>サプコタ</v>
      </c>
      <c r="AK49" s="1321"/>
      <c r="AL49" s="1321"/>
      <c r="AM49" s="1322"/>
    </row>
    <row r="50" collapsed="1">
      <c r="B50" s="1313" t="str">
        <f>IFERROR(__xludf.DUMMYFUNCTION("""COMPUTED_VALUE"""),"ポールニ")</f>
        <v>ポールニ</v>
      </c>
      <c r="C50" s="1316">
        <f>IFERROR(__xludf.DUMMYFUNCTION("""COMPUTED_VALUE"""),1.0)</f>
        <v>1</v>
      </c>
      <c r="D50" s="1317" t="str">
        <f>IFERROR(__xludf.DUMMYFUNCTION("""COMPUTED_VALUE"""),"栗田")</f>
        <v>栗田</v>
      </c>
      <c r="E50" s="1318">
        <f>IFERROR(__xludf.DUMMYFUNCTION("""COMPUTED_VALUE"""),1.0)</f>
        <v>1</v>
      </c>
      <c r="F50" s="1323"/>
      <c r="G50" s="1324"/>
      <c r="H50" s="1319"/>
      <c r="I50" s="1314"/>
      <c r="J50" s="1320" t="s">
        <v>1061</v>
      </c>
      <c r="K50" s="1325" t="s">
        <v>400</v>
      </c>
      <c r="L50" s="1326">
        <f t="shared" si="5"/>
        <v>23</v>
      </c>
      <c r="M50" s="1327">
        <f t="shared" si="6"/>
        <v>1</v>
      </c>
      <c r="O50" s="1292" t="s">
        <v>60</v>
      </c>
      <c r="P50" s="1292" t="s">
        <v>1120</v>
      </c>
      <c r="Q50" s="1292" t="s">
        <v>42</v>
      </c>
      <c r="R50" s="1293"/>
      <c r="S50" s="1292" t="s">
        <v>1109</v>
      </c>
      <c r="T50" s="1292" t="s">
        <v>1121</v>
      </c>
      <c r="U50" s="1294" t="s">
        <v>1122</v>
      </c>
      <c r="W50" s="1293" t="str">
        <f>'🔵クレーム'!C41</f>
        <v>2月</v>
      </c>
      <c r="X50" s="1293" t="str">
        <f>'🔵クレーム'!D41</f>
        <v>24日</v>
      </c>
      <c r="Y50" s="1292" t="str">
        <f>'🔵クレーム'!I41</f>
        <v>その他</v>
      </c>
      <c r="Z50" s="1293" t="str">
        <f>'🔵クレーム'!J41</f>
        <v/>
      </c>
      <c r="AA50" s="1293" t="str">
        <f>'🔵クレーム'!K41</f>
        <v>山本</v>
      </c>
      <c r="AB50" s="1293" t="str">
        <f>'🔵クレーム'!L41</f>
        <v>山本</v>
      </c>
      <c r="AC50" s="1295" t="str">
        <f>'🔵クレーム'!N41</f>
        <v>シーツ交換で清掃に入っているが清掃した形跡がないとお客様よりフロントに連絡あり</v>
      </c>
      <c r="AE50" s="23" t="str">
        <f>IFERROR(__xludf.DUMMYFUNCTION("""COMPUTED_VALUE"""),"サムドゥニ")</f>
        <v>サムドゥニ</v>
      </c>
      <c r="AK50" s="1321"/>
      <c r="AL50" s="1321"/>
      <c r="AM50" s="1322"/>
    </row>
    <row r="51" hidden="1" outlineLevel="1">
      <c r="B51" s="1313" t="str">
        <f>IFERROR(__xludf.DUMMYFUNCTION("""COMPUTED_VALUE"""),"山本")</f>
        <v>山本</v>
      </c>
      <c r="C51" s="1316">
        <f>IFERROR(__xludf.DUMMYFUNCTION("""COMPUTED_VALUE"""),1.0)</f>
        <v>1</v>
      </c>
      <c r="D51" s="1317"/>
      <c r="E51" s="1318"/>
      <c r="F51" s="1323"/>
      <c r="G51" s="1324"/>
      <c r="H51" s="1319"/>
      <c r="I51" s="1314"/>
      <c r="J51" s="1328" t="s">
        <v>1061</v>
      </c>
      <c r="K51" s="1287"/>
      <c r="O51" s="1292" t="s">
        <v>60</v>
      </c>
      <c r="P51" s="1292" t="s">
        <v>1120</v>
      </c>
      <c r="Q51" s="1292" t="s">
        <v>42</v>
      </c>
      <c r="R51" s="1293"/>
      <c r="S51" s="1292"/>
      <c r="T51" s="1292"/>
      <c r="U51" s="1294" t="s">
        <v>1123</v>
      </c>
      <c r="W51" s="1293" t="str">
        <f>'🔵クレーム'!C42</f>
        <v>2月</v>
      </c>
      <c r="X51" s="1293" t="str">
        <f>'🔵クレーム'!D42</f>
        <v>24日</v>
      </c>
      <c r="Y51" s="1292" t="str">
        <f>'🔵クレーム'!I42</f>
        <v>その他</v>
      </c>
      <c r="Z51" s="1293" t="str">
        <f>'🔵クレーム'!J42</f>
        <v/>
      </c>
      <c r="AA51" s="1293" t="str">
        <f>'🔵クレーム'!K42</f>
        <v>-</v>
      </c>
      <c r="AB51" s="1293" t="str">
        <f>'🔵クレーム'!L42</f>
        <v>-</v>
      </c>
      <c r="AC51" s="1295" t="str">
        <f>'🔵クレーム'!N42</f>
        <v>複数の客室でたばこ臭やアンモニア臭がしたとの複数報告があがっている。</v>
      </c>
      <c r="AE51" s="23" t="str">
        <f>IFERROR(__xludf.DUMMYFUNCTION("""COMPUTED_VALUE"""),"サロメ")</f>
        <v>サロメ</v>
      </c>
      <c r="AK51" s="1321"/>
      <c r="AL51" s="1321"/>
      <c r="AM51" s="1322"/>
    </row>
    <row r="52" hidden="1" outlineLevel="1">
      <c r="B52" s="1313"/>
      <c r="C52" s="1316"/>
      <c r="D52" s="1317"/>
      <c r="E52" s="1318"/>
      <c r="F52" s="1323"/>
      <c r="G52" s="1324"/>
      <c r="H52" s="1319"/>
      <c r="I52" s="1314"/>
      <c r="J52" s="1328" t="s">
        <v>1061</v>
      </c>
      <c r="O52" s="1292" t="s">
        <v>62</v>
      </c>
      <c r="P52" s="1292" t="s">
        <v>199</v>
      </c>
      <c r="Q52" s="1292" t="s">
        <v>28</v>
      </c>
      <c r="R52" s="1293"/>
      <c r="S52" s="1292" t="s">
        <v>1124</v>
      </c>
      <c r="T52" s="1292" t="s">
        <v>1125</v>
      </c>
      <c r="U52" s="1294" t="s">
        <v>1126</v>
      </c>
      <c r="W52" s="1293" t="str">
        <f>'🔵クレーム'!C43</f>
        <v>2月</v>
      </c>
      <c r="X52" s="1293" t="str">
        <f>'🔵クレーム'!D43</f>
        <v>28日</v>
      </c>
      <c r="Y52" s="1292" t="str">
        <f>'🔵クレーム'!I43</f>
        <v>清掃不備</v>
      </c>
      <c r="Z52" s="1293" t="str">
        <f>'🔵クレーム'!J43</f>
        <v/>
      </c>
      <c r="AA52" s="1293" t="str">
        <f>'🔵クレーム'!K43</f>
        <v>成田</v>
      </c>
      <c r="AB52" s="1293" t="str">
        <f>'🔵クレーム'!L43</f>
        <v>アサンジャ</v>
      </c>
      <c r="AC52" s="1295" t="str">
        <f>'🔵クレーム'!N43</f>
        <v>ベッドのリネン類が汚く、髪の毛とか付着していて清掃できていない
　　　　とご立腹でルームチェンジになりました。</v>
      </c>
      <c r="AE52" s="23" t="str">
        <f>IFERROR(__xludf.DUMMYFUNCTION("""COMPUTED_VALUE"""),"シトミ")</f>
        <v>シトミ</v>
      </c>
      <c r="AK52" s="1321"/>
    </row>
    <row r="53" hidden="1" outlineLevel="1">
      <c r="B53" s="1313"/>
      <c r="C53" s="1316"/>
      <c r="D53" s="1317"/>
      <c r="E53" s="1318"/>
      <c r="F53" s="1323"/>
      <c r="G53" s="1324"/>
      <c r="H53" s="1319"/>
      <c r="I53" s="1314"/>
      <c r="J53" s="1328" t="s">
        <v>1061</v>
      </c>
      <c r="O53" s="1292" t="s">
        <v>62</v>
      </c>
      <c r="P53" s="1292" t="s">
        <v>106</v>
      </c>
      <c r="Q53" s="1292" t="s">
        <v>30</v>
      </c>
      <c r="R53" s="1293"/>
      <c r="S53" s="1292" t="s">
        <v>1117</v>
      </c>
      <c r="T53" s="1292" t="s">
        <v>1127</v>
      </c>
      <c r="U53" s="1294" t="s">
        <v>1128</v>
      </c>
      <c r="W53" s="1293" t="str">
        <f>'🔵クレーム'!C44</f>
        <v>3月</v>
      </c>
      <c r="X53" s="1293" t="str">
        <f>'🔵クレーム'!D44</f>
        <v>6日</v>
      </c>
      <c r="Y53" s="1292" t="str">
        <f>'🔵クレーム'!I44</f>
        <v>清掃不備</v>
      </c>
      <c r="Z53" s="1293" t="str">
        <f>'🔵クレーム'!J44</f>
        <v/>
      </c>
      <c r="AA53" s="1293" t="str">
        <f>'🔵クレーム'!K44</f>
        <v>李</v>
      </c>
      <c r="AB53" s="1293" t="str">
        <f>'🔵クレーム'!L44</f>
        <v>ダリア</v>
      </c>
      <c r="AC53" s="1295" t="str">
        <f>'🔵クレーム'!N44</f>
        <v>枕カバー大の方が汚れておりお客様がフロントに交換依頼し発覚</v>
      </c>
      <c r="AE53" s="23" t="str">
        <f>IFERROR(__xludf.DUMMYFUNCTION("""COMPUTED_VALUE"""),"ジョティ")</f>
        <v>ジョティ</v>
      </c>
    </row>
    <row r="54" hidden="1" outlineLevel="1">
      <c r="B54" s="1313"/>
      <c r="C54" s="1316"/>
      <c r="D54" s="1317"/>
      <c r="E54" s="1318"/>
      <c r="F54" s="1323"/>
      <c r="G54" s="1324"/>
      <c r="H54" s="1319"/>
      <c r="I54" s="1314"/>
      <c r="J54" s="1328" t="s">
        <v>1061</v>
      </c>
      <c r="O54" s="1292" t="s">
        <v>62</v>
      </c>
      <c r="P54" s="1292" t="s">
        <v>106</v>
      </c>
      <c r="Q54" s="1292" t="s">
        <v>38</v>
      </c>
      <c r="R54" s="1293"/>
      <c r="S54" s="1292" t="s">
        <v>1112</v>
      </c>
      <c r="T54" s="1292"/>
      <c r="U54" s="1294" t="s">
        <v>1129</v>
      </c>
      <c r="W54" s="1293" t="str">
        <f>'🔵クレーム'!C45</f>
        <v>3月</v>
      </c>
      <c r="X54" s="1293" t="str">
        <f>'🔵クレーム'!D45</f>
        <v>10日</v>
      </c>
      <c r="Y54" s="1292" t="str">
        <f>'🔵クレーム'!I45</f>
        <v>残置</v>
      </c>
      <c r="Z54" s="1293" t="str">
        <f>'🔵クレーム'!J45</f>
        <v/>
      </c>
      <c r="AA54" s="1293" t="str">
        <f>'🔵クレーム'!K45</f>
        <v>ダヤラム</v>
      </c>
      <c r="AB54" s="1293" t="str">
        <f>'🔵クレーム'!L45</f>
        <v>ポールニ</v>
      </c>
      <c r="AC54" s="1295" t="str">
        <f>'🔵クレーム'!N45</f>
        <v>拭き上げタオルがゲストのキャリーケースにあり、ゲストの私物を汚した</v>
      </c>
      <c r="AE54" s="23" t="str">
        <f>IFERROR(__xludf.DUMMYFUNCTION("""COMPUTED_VALUE"""),"シワンティ")</f>
        <v>シワンティ</v>
      </c>
    </row>
    <row r="55" hidden="1" outlineLevel="1">
      <c r="B55" s="1313"/>
      <c r="C55" s="1316"/>
      <c r="D55" s="1323"/>
      <c r="E55" s="1329"/>
      <c r="F55" s="1323"/>
      <c r="G55" s="1324"/>
      <c r="H55" s="1319"/>
      <c r="I55" s="1314"/>
      <c r="J55" s="1328" t="s">
        <v>1061</v>
      </c>
      <c r="O55" s="1292" t="s">
        <v>62</v>
      </c>
      <c r="P55" s="1292" t="s">
        <v>1130</v>
      </c>
      <c r="Q55" s="1292" t="s">
        <v>28</v>
      </c>
      <c r="R55" s="1293"/>
      <c r="S55" s="1292"/>
      <c r="T55" s="1292"/>
      <c r="U55" s="1294" t="s">
        <v>1131</v>
      </c>
      <c r="W55" s="1293" t="str">
        <f>'🔵クレーム'!C46</f>
        <v>3月</v>
      </c>
      <c r="X55" s="1293" t="str">
        <f>'🔵クレーム'!D46</f>
        <v>10日</v>
      </c>
      <c r="Y55" s="1292" t="str">
        <f>'🔵クレーム'!I46</f>
        <v>汚れ</v>
      </c>
      <c r="Z55" s="1293" t="str">
        <f>'🔵クレーム'!J46</f>
        <v/>
      </c>
      <c r="AA55" s="1293" t="str">
        <f>'🔵クレーム'!K46</f>
        <v>本村</v>
      </c>
      <c r="AB55" s="1293" t="str">
        <f>'🔵クレーム'!L46</f>
        <v>クマル</v>
      </c>
      <c r="AC55" s="1295" t="str">
        <f>'🔵クレーム'!N46</f>
        <v>デュベ自体が汚れていた</v>
      </c>
      <c r="AE55" s="23" t="str">
        <f>IFERROR(__xludf.DUMMYFUNCTION("""COMPUTED_VALUE"""),"ズバエル")</f>
        <v>ズバエル</v>
      </c>
    </row>
    <row r="56" hidden="1" outlineLevel="1">
      <c r="B56" s="1313"/>
      <c r="C56" s="1316"/>
      <c r="D56" s="1323"/>
      <c r="E56" s="1329"/>
      <c r="F56" s="1323"/>
      <c r="G56" s="1324"/>
      <c r="H56" s="1319"/>
      <c r="I56" s="1314"/>
      <c r="J56" s="1328" t="s">
        <v>1061</v>
      </c>
      <c r="O56" s="1292" t="s">
        <v>62</v>
      </c>
      <c r="P56" s="1292" t="s">
        <v>124</v>
      </c>
      <c r="Q56" s="1292" t="s">
        <v>28</v>
      </c>
      <c r="R56" s="1293"/>
      <c r="S56" s="1292"/>
      <c r="T56" s="1292"/>
      <c r="U56" s="1294" t="s">
        <v>1132</v>
      </c>
      <c r="W56" s="1293" t="str">
        <f>'🔵クレーム'!C47</f>
        <v>3月</v>
      </c>
      <c r="X56" s="1293" t="str">
        <f>'🔵クレーム'!D47</f>
        <v>13日</v>
      </c>
      <c r="Y56" s="1292" t="str">
        <f>'🔵クレーム'!I47</f>
        <v>セット漏れ</v>
      </c>
      <c r="Z56" s="1293" t="str">
        <f>'🔵クレーム'!J47</f>
        <v/>
      </c>
      <c r="AA56" s="1293" t="str">
        <f>'🔵クレーム'!K47</f>
        <v>栗田</v>
      </c>
      <c r="AB56" s="1293" t="str">
        <f>'🔵クレーム'!L47</f>
        <v>シワンティ</v>
      </c>
      <c r="AC56" s="1295" t="str">
        <f>'🔵クレーム'!N47</f>
        <v>ダブルセットの部屋にスリッパが一個セット</v>
      </c>
      <c r="AE56" s="23" t="str">
        <f>IFERROR(__xludf.DUMMYFUNCTION("""COMPUTED_VALUE"""),"ダヤラム")</f>
        <v>ダヤラム</v>
      </c>
    </row>
    <row r="57" hidden="1" outlineLevel="1">
      <c r="B57" s="1313"/>
      <c r="C57" s="1316"/>
      <c r="D57" s="1323"/>
      <c r="E57" s="1329"/>
      <c r="F57" s="1323"/>
      <c r="G57" s="1324"/>
      <c r="H57" s="1319"/>
      <c r="I57" s="1314"/>
      <c r="J57" s="1328" t="s">
        <v>1061</v>
      </c>
      <c r="O57" s="1292" t="s">
        <v>62</v>
      </c>
      <c r="P57" s="1292" t="s">
        <v>1130</v>
      </c>
      <c r="Q57" s="1292" t="s">
        <v>42</v>
      </c>
      <c r="R57" s="1293"/>
      <c r="S57" s="1292" t="s">
        <v>1103</v>
      </c>
      <c r="T57" s="1292"/>
      <c r="U57" s="1294" t="s">
        <v>1133</v>
      </c>
      <c r="W57" s="1293" t="str">
        <f>'🔵クレーム'!C48</f>
        <v>3月</v>
      </c>
      <c r="X57" s="1293" t="str">
        <f>'🔵クレーム'!D48</f>
        <v>26日</v>
      </c>
      <c r="Y57" s="1292" t="str">
        <f>'🔵クレーム'!I48</f>
        <v>セット漏れ</v>
      </c>
      <c r="Z57" s="1293" t="str">
        <f>'🔵クレーム'!J48</f>
        <v/>
      </c>
      <c r="AA57" s="1293" t="str">
        <f>'🔵クレーム'!K48</f>
        <v>山本</v>
      </c>
      <c r="AB57" s="1293" t="str">
        <f>'🔵クレーム'!L48</f>
        <v>ズバエル</v>
      </c>
      <c r="AC57" s="1295" t="str">
        <f>'🔵クレーム'!N48</f>
        <v>タオル類がセットされてなかった</v>
      </c>
      <c r="AE57" s="23" t="str">
        <f>IFERROR(__xludf.DUMMYFUNCTION("""COMPUTED_VALUE"""),"タルハ")</f>
        <v>タルハ</v>
      </c>
    </row>
    <row r="58" hidden="1" outlineLevel="1">
      <c r="B58" s="1313"/>
      <c r="C58" s="1316"/>
      <c r="D58" s="1323"/>
      <c r="E58" s="1329"/>
      <c r="F58" s="1323"/>
      <c r="G58" s="1324"/>
      <c r="H58" s="1319"/>
      <c r="I58" s="1314"/>
      <c r="J58" s="1328" t="s">
        <v>1061</v>
      </c>
      <c r="O58" s="1292" t="s">
        <v>62</v>
      </c>
      <c r="P58" s="1292" t="s">
        <v>1134</v>
      </c>
      <c r="Q58" s="1292" t="s">
        <v>28</v>
      </c>
      <c r="R58" s="1293"/>
      <c r="S58" s="1292"/>
      <c r="T58" s="1292"/>
      <c r="U58" s="1294" t="s">
        <v>1135</v>
      </c>
      <c r="W58" s="1293" t="str">
        <f>'🔵クレーム'!C49</f>
        <v>4月</v>
      </c>
      <c r="X58" s="1293" t="str">
        <f>'🔵クレーム'!D49</f>
        <v>4日</v>
      </c>
      <c r="Y58" s="1292" t="str">
        <f>'🔵クレーム'!I49</f>
        <v>セット漏れ</v>
      </c>
      <c r="Z58" s="1293" t="str">
        <f>'🔵クレーム'!J49</f>
        <v>その他</v>
      </c>
      <c r="AA58" s="1293" t="str">
        <f>'🔵クレーム'!K49</f>
        <v>成田</v>
      </c>
      <c r="AB58" s="1293" t="str">
        <f>'🔵クレーム'!L49</f>
        <v>アヌダ</v>
      </c>
      <c r="AC58" s="1295" t="str">
        <f>'🔵クレーム'!N49</f>
        <v>掛け布団が1つないとゲストから申し出があった</v>
      </c>
      <c r="AE58" s="23" t="str">
        <f>IFERROR(__xludf.DUMMYFUNCTION("""COMPUTED_VALUE"""),"ノーマン")</f>
        <v>ノーマン</v>
      </c>
    </row>
    <row r="59" hidden="1" outlineLevel="1">
      <c r="B59" s="1313"/>
      <c r="C59" s="1316"/>
      <c r="D59" s="1323"/>
      <c r="E59" s="1329"/>
      <c r="F59" s="1323"/>
      <c r="G59" s="1324"/>
      <c r="H59" s="1319"/>
      <c r="I59" s="1314"/>
      <c r="J59" s="1328" t="s">
        <v>1061</v>
      </c>
      <c r="O59" s="1292" t="s">
        <v>62</v>
      </c>
      <c r="P59" s="1292" t="s">
        <v>1136</v>
      </c>
      <c r="Q59" s="1292" t="s">
        <v>28</v>
      </c>
      <c r="R59" s="1293"/>
      <c r="S59" s="1292"/>
      <c r="T59" s="1292"/>
      <c r="U59" s="1294" t="s">
        <v>1135</v>
      </c>
      <c r="W59" s="1293" t="str">
        <f>'🔵クレーム'!C50</f>
        <v>4月</v>
      </c>
      <c r="X59" s="1293" t="str">
        <f>'🔵クレーム'!D50</f>
        <v>6日</v>
      </c>
      <c r="Y59" s="1292" t="str">
        <f>'🔵クレーム'!I50</f>
        <v>セット漏れ</v>
      </c>
      <c r="Z59" s="1293" t="str">
        <f>'🔵クレーム'!J50</f>
        <v>その他</v>
      </c>
      <c r="AA59" s="1293" t="str">
        <f>'🔵クレーム'!K50</f>
        <v>サイトウ</v>
      </c>
      <c r="AB59" s="1293" t="str">
        <f>'🔵クレーム'!L50</f>
        <v>サロメ</v>
      </c>
      <c r="AC59" s="1295" t="str">
        <f>'🔵クレーム'!N50</f>
        <v>ダブルセットなのに1セットにセットされてた</v>
      </c>
      <c r="AE59" s="23" t="str">
        <f>IFERROR(__xludf.DUMMYFUNCTION("""COMPUTED_VALUE"""),"プラミラ")</f>
        <v>プラミラ</v>
      </c>
    </row>
    <row r="60" hidden="1" outlineLevel="1">
      <c r="B60" s="1313"/>
      <c r="C60" s="1316"/>
      <c r="D60" s="1323"/>
      <c r="E60" s="1329"/>
      <c r="F60" s="1323"/>
      <c r="G60" s="1324"/>
      <c r="H60" s="1319"/>
      <c r="I60" s="1314"/>
      <c r="J60" s="1328" t="s">
        <v>1061</v>
      </c>
      <c r="O60" s="1292" t="s">
        <v>62</v>
      </c>
      <c r="P60" s="1292" t="s">
        <v>235</v>
      </c>
      <c r="Q60" s="1292" t="s">
        <v>28</v>
      </c>
      <c r="R60" s="1293"/>
      <c r="S60" s="1292"/>
      <c r="T60" s="1292"/>
      <c r="U60" s="1294" t="s">
        <v>1137</v>
      </c>
      <c r="W60" s="1293" t="str">
        <f>'🔵クレーム'!C51</f>
        <v>3月</v>
      </c>
      <c r="X60" s="1293" t="str">
        <f>'🔵クレーム'!D51</f>
        <v>18日</v>
      </c>
      <c r="Y60" s="1292" t="str">
        <f>'🔵クレーム'!I51</f>
        <v/>
      </c>
      <c r="Z60" s="1293" t="str">
        <f>'🔵クレーム'!J51</f>
        <v>口コミ</v>
      </c>
      <c r="AA60" s="1293" t="str">
        <f>'🔵クレーム'!K51</f>
        <v/>
      </c>
      <c r="AB60" s="1293" t="str">
        <f>'🔵クレーム'!L51</f>
        <v/>
      </c>
      <c r="AC60" s="1295"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13"/>
      <c r="C61" s="1316"/>
      <c r="D61" s="1323"/>
      <c r="E61" s="1329"/>
      <c r="F61" s="1323"/>
      <c r="G61" s="1324"/>
      <c r="H61" s="1319"/>
      <c r="I61" s="1314"/>
      <c r="J61" s="1328" t="s">
        <v>1061</v>
      </c>
      <c r="O61" s="1292" t="s">
        <v>62</v>
      </c>
      <c r="P61" s="1292" t="s">
        <v>1099</v>
      </c>
      <c r="Q61" s="1292" t="s">
        <v>40</v>
      </c>
      <c r="R61" s="1293"/>
      <c r="S61" s="1292" t="s">
        <v>1117</v>
      </c>
      <c r="T61" s="1292" t="s">
        <v>1138</v>
      </c>
      <c r="U61" s="1294" t="s">
        <v>1139</v>
      </c>
      <c r="W61" s="1293" t="str">
        <f>'🔵クレーム'!C52</f>
        <v>3月</v>
      </c>
      <c r="X61" s="1293" t="str">
        <f>'🔵クレーム'!D52</f>
        <v>20日</v>
      </c>
      <c r="Y61" s="1292" t="str">
        <f>'🔵クレーム'!I52</f>
        <v/>
      </c>
      <c r="Z61" s="1293" t="str">
        <f>'🔵クレーム'!J52</f>
        <v>口コミ</v>
      </c>
      <c r="AA61" s="1293" t="str">
        <f>'🔵クレーム'!K52</f>
        <v/>
      </c>
      <c r="AB61" s="1293" t="str">
        <f>'🔵クレーム'!L52</f>
        <v/>
      </c>
      <c r="AC61" s="1295" t="str">
        <f>'🔵クレーム'!N52</f>
        <v>楽天トラベル
天井のシミや壁紙が一部剥がれていたりライトの埃が気になった。</v>
      </c>
      <c r="AE61" s="23" t="str">
        <f>IFERROR(__xludf.DUMMYFUNCTION("""COMPUTED_VALUE"""),"マガル")</f>
        <v>マガル</v>
      </c>
    </row>
    <row r="62" hidden="1" outlineLevel="1">
      <c r="B62" s="1313"/>
      <c r="C62" s="1316"/>
      <c r="D62" s="1323"/>
      <c r="E62" s="1329"/>
      <c r="F62" s="1323"/>
      <c r="G62" s="1324"/>
      <c r="H62" s="1319"/>
      <c r="I62" s="1314"/>
      <c r="J62" s="1328" t="s">
        <v>1061</v>
      </c>
      <c r="O62" s="1292" t="s">
        <v>62</v>
      </c>
      <c r="P62" s="1292" t="s">
        <v>154</v>
      </c>
      <c r="Q62" s="1292" t="s">
        <v>40</v>
      </c>
      <c r="R62" s="1293"/>
      <c r="S62" s="1292" t="s">
        <v>1117</v>
      </c>
      <c r="T62" s="1292" t="s">
        <v>1140</v>
      </c>
      <c r="U62" s="1294" t="s">
        <v>1141</v>
      </c>
      <c r="W62" s="1293" t="str">
        <f>'🔵クレーム'!C53</f>
        <v>3月</v>
      </c>
      <c r="X62" s="1293" t="str">
        <f>'🔵クレーム'!D53</f>
        <v>21日</v>
      </c>
      <c r="Y62" s="1292" t="str">
        <f>'🔵クレーム'!I53</f>
        <v/>
      </c>
      <c r="Z62" s="1293" t="str">
        <f>'🔵クレーム'!J53</f>
        <v>口コミ</v>
      </c>
      <c r="AA62" s="1293" t="str">
        <f>'🔵クレーム'!K53</f>
        <v/>
      </c>
      <c r="AB62" s="1293" t="str">
        <f>'🔵クレーム'!L53</f>
        <v/>
      </c>
      <c r="AC62" s="1295" t="str">
        <f>'🔵クレーム'!N53</f>
        <v>Trip.com
布団を最後の日の朝に確認しましたが、とても汚れていて驚きました。</v>
      </c>
      <c r="AE62" s="23" t="str">
        <f>IFERROR(__xludf.DUMMYFUNCTION("""COMPUTED_VALUE"""),"マリア")</f>
        <v>マリア</v>
      </c>
    </row>
    <row r="63" hidden="1" outlineLevel="1">
      <c r="B63" s="1313"/>
      <c r="C63" s="1316"/>
      <c r="D63" s="1323"/>
      <c r="E63" s="1329"/>
      <c r="F63" s="1323"/>
      <c r="G63" s="1324"/>
      <c r="H63" s="1319"/>
      <c r="I63" s="1314"/>
      <c r="J63" s="1328" t="s">
        <v>1061</v>
      </c>
      <c r="O63" s="1292" t="s">
        <v>62</v>
      </c>
      <c r="P63" s="1292" t="s">
        <v>217</v>
      </c>
      <c r="Q63" s="1292" t="s">
        <v>28</v>
      </c>
      <c r="R63" s="1293"/>
      <c r="S63" s="1292"/>
      <c r="T63" s="1292"/>
      <c r="U63" s="1294" t="s">
        <v>1142</v>
      </c>
      <c r="W63" s="1293" t="str">
        <f>'🔵クレーム'!C54</f>
        <v>3月</v>
      </c>
      <c r="X63" s="1293" t="str">
        <f>'🔵クレーム'!D54</f>
        <v>23日</v>
      </c>
      <c r="Y63" s="1292" t="str">
        <f>'🔵クレーム'!I54</f>
        <v/>
      </c>
      <c r="Z63" s="1293" t="str">
        <f>'🔵クレーム'!J54</f>
        <v>口コミ</v>
      </c>
      <c r="AA63" s="1293" t="str">
        <f>'🔵クレーム'!K54</f>
        <v/>
      </c>
      <c r="AB63" s="1293" t="str">
        <f>'🔵クレーム'!L54</f>
        <v/>
      </c>
      <c r="AC63" s="1295"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13"/>
      <c r="C64" s="1316"/>
      <c r="D64" s="1323"/>
      <c r="E64" s="1329"/>
      <c r="F64" s="1323"/>
      <c r="G64" s="1324"/>
      <c r="H64" s="1319"/>
      <c r="I64" s="1314"/>
      <c r="J64" s="1328" t="s">
        <v>1061</v>
      </c>
      <c r="O64" s="1292" t="s">
        <v>62</v>
      </c>
      <c r="P64" s="1292" t="s">
        <v>221</v>
      </c>
      <c r="Q64" s="1292" t="s">
        <v>39</v>
      </c>
      <c r="R64" s="1293"/>
      <c r="S64" s="1292" t="s">
        <v>1103</v>
      </c>
      <c r="T64" s="1292"/>
      <c r="U64" s="1294" t="s">
        <v>1143</v>
      </c>
      <c r="W64" s="1293" t="str">
        <f>'🔵クレーム'!C55</f>
        <v>3月</v>
      </c>
      <c r="X64" s="1293" t="str">
        <f>'🔵クレーム'!D55</f>
        <v>29日</v>
      </c>
      <c r="Y64" s="1292" t="str">
        <f>'🔵クレーム'!I55</f>
        <v/>
      </c>
      <c r="Z64" s="1293" t="str">
        <f>'🔵クレーム'!J55</f>
        <v>口コミ</v>
      </c>
      <c r="AA64" s="1293" t="str">
        <f>'🔵クレーム'!K55</f>
        <v/>
      </c>
      <c r="AB64" s="1293" t="str">
        <f>'🔵クレーム'!L55</f>
        <v/>
      </c>
      <c r="AC64" s="1295"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13"/>
      <c r="C65" s="1316"/>
      <c r="D65" s="1323"/>
      <c r="E65" s="1329"/>
      <c r="F65" s="1323"/>
      <c r="G65" s="1324"/>
      <c r="H65" s="1319"/>
      <c r="I65" s="1314"/>
      <c r="J65" s="1328" t="s">
        <v>1061</v>
      </c>
      <c r="O65" s="1292" t="s">
        <v>62</v>
      </c>
      <c r="P65" s="1292" t="s">
        <v>221</v>
      </c>
      <c r="Q65" s="1292" t="s">
        <v>39</v>
      </c>
      <c r="R65" s="1293"/>
      <c r="S65" s="1292" t="s">
        <v>175</v>
      </c>
      <c r="T65" s="1292"/>
      <c r="U65" s="1294" t="s">
        <v>1144</v>
      </c>
      <c r="W65" s="1293" t="str">
        <f>'🔵クレーム'!C56</f>
        <v>3月</v>
      </c>
      <c r="X65" s="1293" t="str">
        <f>'🔵クレーム'!D56</f>
        <v>31日</v>
      </c>
      <c r="Y65" s="1292" t="str">
        <f>'🔵クレーム'!I56</f>
        <v/>
      </c>
      <c r="Z65" s="1293" t="str">
        <f>'🔵クレーム'!J56</f>
        <v>口コミ</v>
      </c>
      <c r="AA65" s="1293" t="str">
        <f>'🔵クレーム'!K56</f>
        <v/>
      </c>
      <c r="AB65" s="1293" t="str">
        <f>'🔵クレーム'!L56</f>
        <v/>
      </c>
      <c r="AC65" s="1295"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13"/>
      <c r="C66" s="1316"/>
      <c r="D66" s="1323"/>
      <c r="E66" s="1329"/>
      <c r="F66" s="1323"/>
      <c r="G66" s="1324"/>
      <c r="H66" s="1319"/>
      <c r="I66" s="1314"/>
      <c r="J66" s="1328" t="s">
        <v>1061</v>
      </c>
      <c r="O66" s="1292" t="s">
        <v>62</v>
      </c>
      <c r="P66" s="1292" t="s">
        <v>235</v>
      </c>
      <c r="Q66" s="1292" t="s">
        <v>30</v>
      </c>
      <c r="R66" s="1293"/>
      <c r="S66" s="1292" t="s">
        <v>181</v>
      </c>
      <c r="T66" s="1292" t="s">
        <v>1121</v>
      </c>
      <c r="U66" s="1294" t="s">
        <v>1145</v>
      </c>
      <c r="W66" s="1293" t="str">
        <f>'🔵クレーム'!C57</f>
        <v>4月</v>
      </c>
      <c r="X66" s="1293" t="str">
        <f>'🔵クレーム'!D57</f>
        <v>13日</v>
      </c>
      <c r="Y66" s="1292" t="str">
        <f>'🔵クレーム'!I57</f>
        <v/>
      </c>
      <c r="Z66" s="1293" t="str">
        <f>'🔵クレーム'!J57</f>
        <v>口コミ</v>
      </c>
      <c r="AA66" s="1293" t="str">
        <f>'🔵クレーム'!K57</f>
        <v/>
      </c>
      <c r="AB66" s="1293" t="str">
        <f>'🔵クレーム'!L57</f>
        <v/>
      </c>
      <c r="AC66" s="1295"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13"/>
      <c r="C67" s="1316"/>
      <c r="D67" s="1323"/>
      <c r="E67" s="1329"/>
      <c r="F67" s="1323"/>
      <c r="G67" s="1324"/>
      <c r="H67" s="1319"/>
      <c r="I67" s="1314"/>
      <c r="J67" s="1328" t="s">
        <v>1061</v>
      </c>
      <c r="O67" s="1292" t="s">
        <v>64</v>
      </c>
      <c r="P67" s="1292" t="s">
        <v>1146</v>
      </c>
      <c r="Q67" s="1292" t="s">
        <v>38</v>
      </c>
      <c r="R67" s="1293"/>
      <c r="S67" s="1292" t="s">
        <v>181</v>
      </c>
      <c r="T67" s="1292" t="s">
        <v>164</v>
      </c>
      <c r="U67" s="1294" t="s">
        <v>1147</v>
      </c>
      <c r="W67" s="1293" t="str">
        <f>'🔵クレーム'!C58</f>
        <v>4月</v>
      </c>
      <c r="X67" s="1293" t="str">
        <f>'🔵クレーム'!D58</f>
        <v>13日</v>
      </c>
      <c r="Y67" s="1292" t="str">
        <f>'🔵クレーム'!I58</f>
        <v/>
      </c>
      <c r="Z67" s="1293" t="str">
        <f>'🔵クレーム'!J58</f>
        <v>口コミ</v>
      </c>
      <c r="AA67" s="1293" t="str">
        <f>'🔵クレーム'!K58</f>
        <v/>
      </c>
      <c r="AB67" s="1293" t="str">
        <f>'🔵クレーム'!L58</f>
        <v/>
      </c>
      <c r="AC67" s="1295"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30"/>
      <c r="C68" s="1324"/>
      <c r="D68" s="1323"/>
      <c r="E68" s="1329"/>
      <c r="F68" s="1323"/>
      <c r="G68" s="1324"/>
      <c r="H68" s="1319"/>
      <c r="I68" s="1314"/>
      <c r="J68" s="1328" t="s">
        <v>1061</v>
      </c>
      <c r="O68" s="1292" t="s">
        <v>64</v>
      </c>
      <c r="P68" s="1292" t="s">
        <v>97</v>
      </c>
      <c r="Q68" s="1292" t="s">
        <v>40</v>
      </c>
      <c r="R68" s="1293"/>
      <c r="S68" s="1292" t="s">
        <v>1148</v>
      </c>
      <c r="T68" s="1292" t="s">
        <v>164</v>
      </c>
      <c r="U68" s="1294" t="s">
        <v>1149</v>
      </c>
      <c r="W68" s="1293" t="str">
        <f>'🔵クレーム'!C59</f>
        <v>4月</v>
      </c>
      <c r="X68" s="1293" t="str">
        <f>'🔵クレーム'!D59</f>
        <v>17日</v>
      </c>
      <c r="Y68" s="1292" t="str">
        <f>'🔵クレーム'!I59</f>
        <v>清掃不備</v>
      </c>
      <c r="Z68" s="1293" t="str">
        <f>'🔵クレーム'!J59</f>
        <v/>
      </c>
      <c r="AA68" s="1293" t="str">
        <f>'🔵クレーム'!K59</f>
        <v/>
      </c>
      <c r="AB68" s="1293" t="str">
        <f>'🔵クレーム'!L59</f>
        <v/>
      </c>
      <c r="AC68" s="1295" t="str">
        <f>'🔵クレーム'!N59</f>
        <v>浴室のカビが多いとのご指摘あり。</v>
      </c>
      <c r="AE68" s="23" t="str">
        <f>IFERROR(__xludf.DUMMYFUNCTION("""COMPUTED_VALUE"""),"西川")</f>
        <v>西川</v>
      </c>
    </row>
    <row r="69" hidden="1" outlineLevel="1">
      <c r="B69" s="1313"/>
      <c r="C69" s="1316"/>
      <c r="D69" s="1317"/>
      <c r="E69" s="1318"/>
      <c r="F69" s="1323"/>
      <c r="G69" s="1324"/>
      <c r="H69" s="1319"/>
      <c r="I69" s="1314"/>
      <c r="J69" s="1328" t="s">
        <v>1061</v>
      </c>
      <c r="O69" s="1292" t="s">
        <v>64</v>
      </c>
      <c r="P69" s="1292" t="s">
        <v>199</v>
      </c>
      <c r="Q69" s="1292" t="s">
        <v>28</v>
      </c>
      <c r="R69" s="1293"/>
      <c r="S69" s="1292"/>
      <c r="T69" s="1292"/>
      <c r="U69" s="1294" t="s">
        <v>1150</v>
      </c>
      <c r="W69" s="1293" t="str">
        <f>'🔵クレーム'!C60</f>
        <v/>
      </c>
      <c r="X69" s="1293" t="str">
        <f>'🔵クレーム'!D60</f>
        <v/>
      </c>
      <c r="Y69" s="1292" t="str">
        <f>'🔵クレーム'!I60</f>
        <v/>
      </c>
      <c r="Z69" s="1293" t="str">
        <f>'🔵クレーム'!J60</f>
        <v/>
      </c>
      <c r="AA69" s="1293" t="str">
        <f>'🔵クレーム'!K60</f>
        <v/>
      </c>
      <c r="AB69" s="1293" t="str">
        <f>'🔵クレーム'!L60</f>
        <v/>
      </c>
      <c r="AC69" s="1295" t="str">
        <f>'🔵クレーム'!N60</f>
        <v/>
      </c>
      <c r="AE69" s="23" t="str">
        <f>IFERROR(__xludf.DUMMYFUNCTION("""COMPUTED_VALUE"""),"東等")</f>
        <v>東等</v>
      </c>
    </row>
    <row r="70" hidden="1" outlineLevel="1">
      <c r="B70" s="1313"/>
      <c r="C70" s="1316"/>
      <c r="D70" s="1317"/>
      <c r="E70" s="1318"/>
      <c r="F70" s="1323"/>
      <c r="G70" s="1324"/>
      <c r="H70" s="1319"/>
      <c r="I70" s="1314"/>
      <c r="J70" s="1328" t="s">
        <v>1061</v>
      </c>
      <c r="O70" s="1292" t="s">
        <v>64</v>
      </c>
      <c r="P70" s="1292" t="s">
        <v>199</v>
      </c>
      <c r="Q70" s="1292" t="s">
        <v>28</v>
      </c>
      <c r="R70" s="1293"/>
      <c r="S70" s="1292"/>
      <c r="T70" s="1292"/>
      <c r="U70" s="1294" t="s">
        <v>1151</v>
      </c>
      <c r="W70" s="1293" t="str">
        <f>'🔵クレーム'!C61</f>
        <v/>
      </c>
      <c r="X70" s="1293" t="str">
        <f>'🔵クレーム'!D61</f>
        <v/>
      </c>
      <c r="Y70" s="1292" t="str">
        <f>'🔵クレーム'!I61</f>
        <v/>
      </c>
      <c r="Z70" s="1293" t="str">
        <f>'🔵クレーム'!J61</f>
        <v/>
      </c>
      <c r="AA70" s="1293" t="str">
        <f>'🔵クレーム'!K61</f>
        <v/>
      </c>
      <c r="AB70" s="1293" t="str">
        <f>'🔵クレーム'!L61</f>
        <v/>
      </c>
      <c r="AC70" s="1295" t="str">
        <f>'🔵クレーム'!N61</f>
        <v/>
      </c>
      <c r="AE70" s="23" t="str">
        <f>IFERROR(__xludf.DUMMYFUNCTION("""COMPUTED_VALUE"""),"迫田")</f>
        <v>迫田</v>
      </c>
    </row>
    <row r="71" hidden="1" outlineLevel="1">
      <c r="B71" s="1313"/>
      <c r="C71" s="1316"/>
      <c r="D71" s="1317"/>
      <c r="E71" s="1318"/>
      <c r="F71" s="1323"/>
      <c r="G71" s="1324"/>
      <c r="H71" s="1319"/>
      <c r="I71" s="1314"/>
      <c r="J71" s="1328" t="s">
        <v>1061</v>
      </c>
      <c r="O71" s="1292" t="s">
        <v>64</v>
      </c>
      <c r="P71" s="1292" t="s">
        <v>106</v>
      </c>
      <c r="Q71" s="1292" t="s">
        <v>38</v>
      </c>
      <c r="R71" s="1293"/>
      <c r="S71" s="1292" t="s">
        <v>1117</v>
      </c>
      <c r="T71" s="1292" t="s">
        <v>204</v>
      </c>
      <c r="U71" s="1294" t="s">
        <v>1152</v>
      </c>
      <c r="W71" s="1293" t="str">
        <f>'🔵クレーム'!C62</f>
        <v/>
      </c>
      <c r="X71" s="1293" t="str">
        <f>'🔵クレーム'!D62</f>
        <v/>
      </c>
      <c r="Y71" s="1292" t="str">
        <f>'🔵クレーム'!I62</f>
        <v/>
      </c>
      <c r="Z71" s="1293" t="str">
        <f>'🔵クレーム'!J62</f>
        <v/>
      </c>
      <c r="AA71" s="1293" t="str">
        <f>'🔵クレーム'!K62</f>
        <v/>
      </c>
      <c r="AB71" s="1293" t="str">
        <f>'🔵クレーム'!L62</f>
        <v/>
      </c>
      <c r="AC71" s="1295" t="str">
        <f>'🔵クレーム'!N62</f>
        <v/>
      </c>
      <c r="AE71" s="23" t="str">
        <f>IFERROR(__xludf.DUMMYFUNCTION("""COMPUTED_VALUE"""),"堀")</f>
        <v>堀</v>
      </c>
    </row>
    <row r="72" hidden="1" outlineLevel="1">
      <c r="B72" s="1313"/>
      <c r="C72" s="1316"/>
      <c r="D72" s="1317"/>
      <c r="E72" s="1318"/>
      <c r="F72" s="1323"/>
      <c r="G72" s="1324"/>
      <c r="H72" s="1319"/>
      <c r="I72" s="1314"/>
      <c r="J72" s="1328" t="s">
        <v>1061</v>
      </c>
      <c r="O72" s="1292" t="s">
        <v>64</v>
      </c>
      <c r="P72" s="1292" t="s">
        <v>135</v>
      </c>
      <c r="Q72" s="1292" t="s">
        <v>30</v>
      </c>
      <c r="R72" s="1293"/>
      <c r="S72" s="1292" t="s">
        <v>1103</v>
      </c>
      <c r="T72" s="1292" t="s">
        <v>1153</v>
      </c>
      <c r="U72" s="1294" t="s">
        <v>1154</v>
      </c>
      <c r="W72" s="1293" t="str">
        <f>'🔵クレーム'!C63</f>
        <v/>
      </c>
      <c r="X72" s="1293" t="str">
        <f>'🔵クレーム'!D63</f>
        <v/>
      </c>
      <c r="Y72" s="1292" t="str">
        <f>'🔵クレーム'!I63</f>
        <v/>
      </c>
      <c r="Z72" s="1293" t="str">
        <f>'🔵クレーム'!J63</f>
        <v/>
      </c>
      <c r="AA72" s="1293" t="str">
        <f>'🔵クレーム'!K63</f>
        <v/>
      </c>
      <c r="AB72" s="1293" t="str">
        <f>'🔵クレーム'!L63</f>
        <v/>
      </c>
      <c r="AC72" s="1295" t="str">
        <f>'🔵クレーム'!N63</f>
        <v/>
      </c>
      <c r="AE72" s="23" t="str">
        <f>IFERROR(__xludf.DUMMYFUNCTION("""COMPUTED_VALUE"""),"本村")</f>
        <v>本村</v>
      </c>
    </row>
    <row r="73" hidden="1" outlineLevel="1">
      <c r="B73" s="1313"/>
      <c r="C73" s="1316"/>
      <c r="D73" s="1317"/>
      <c r="E73" s="1318"/>
      <c r="F73" s="1323"/>
      <c r="G73" s="1324"/>
      <c r="H73" s="1319"/>
      <c r="I73" s="1314"/>
      <c r="J73" s="1328" t="s">
        <v>1061</v>
      </c>
      <c r="O73" s="1292" t="s">
        <v>64</v>
      </c>
      <c r="P73" s="1292" t="s">
        <v>135</v>
      </c>
      <c r="Q73" s="1292" t="s">
        <v>39</v>
      </c>
      <c r="R73" s="1293"/>
      <c r="S73" s="1292" t="s">
        <v>181</v>
      </c>
      <c r="T73" s="1292" t="s">
        <v>164</v>
      </c>
      <c r="U73" s="1294" t="s">
        <v>1155</v>
      </c>
      <c r="W73" s="1293" t="str">
        <f>'🔵クレーム'!C64</f>
        <v/>
      </c>
      <c r="X73" s="1293" t="str">
        <f>'🔵クレーム'!D64</f>
        <v/>
      </c>
      <c r="Y73" s="1292" t="str">
        <f>'🔵クレーム'!I64</f>
        <v/>
      </c>
      <c r="Z73" s="1293" t="str">
        <f>'🔵クレーム'!J64</f>
        <v/>
      </c>
      <c r="AA73" s="1293" t="str">
        <f>'🔵クレーム'!K64</f>
        <v/>
      </c>
      <c r="AB73" s="1293" t="str">
        <f>'🔵クレーム'!L64</f>
        <v/>
      </c>
      <c r="AC73" s="1295" t="str">
        <f>'🔵クレーム'!N64</f>
        <v/>
      </c>
      <c r="AE73" s="23" t="str">
        <f>IFERROR(__xludf.DUMMYFUNCTION("""COMPUTED_VALUE"""),"李")</f>
        <v>李</v>
      </c>
    </row>
    <row r="74" hidden="1" outlineLevel="1">
      <c r="B74" s="1313"/>
      <c r="C74" s="1316"/>
      <c r="D74" s="1317"/>
      <c r="E74" s="1318"/>
      <c r="F74" s="1323"/>
      <c r="G74" s="1324"/>
      <c r="H74" s="1319"/>
      <c r="I74" s="1314"/>
      <c r="J74" s="1328" t="s">
        <v>1061</v>
      </c>
      <c r="O74" s="1292" t="s">
        <v>64</v>
      </c>
      <c r="P74" s="1292" t="s">
        <v>149</v>
      </c>
      <c r="Q74" s="1292" t="s">
        <v>28</v>
      </c>
      <c r="R74" s="1293"/>
      <c r="S74" s="1292"/>
      <c r="T74" s="1292"/>
      <c r="U74" s="1294" t="s">
        <v>1156</v>
      </c>
      <c r="W74" s="1293" t="str">
        <f>'🔵クレーム'!C65</f>
        <v/>
      </c>
      <c r="X74" s="1293" t="str">
        <f>'🔵クレーム'!D65</f>
        <v/>
      </c>
      <c r="Y74" s="1292" t="str">
        <f>'🔵クレーム'!I65</f>
        <v/>
      </c>
      <c r="Z74" s="1293" t="str">
        <f>'🔵クレーム'!J65</f>
        <v/>
      </c>
      <c r="AA74" s="1293" t="str">
        <f>'🔵クレーム'!K65</f>
        <v/>
      </c>
      <c r="AB74" s="1293" t="str">
        <f>'🔵クレーム'!L65</f>
        <v/>
      </c>
      <c r="AC74" s="1295" t="str">
        <f>'🔵クレーム'!N65</f>
        <v/>
      </c>
      <c r="AE74" s="23" t="str">
        <f>IFERROR(__xludf.DUMMYFUNCTION("""COMPUTED_VALUE"""),"李、迫田")</f>
        <v>李、迫田</v>
      </c>
    </row>
    <row r="75" hidden="1" outlineLevel="1">
      <c r="B75" s="1313"/>
      <c r="C75" s="1316"/>
      <c r="D75" s="1317"/>
      <c r="E75" s="1318"/>
      <c r="F75" s="1323"/>
      <c r="G75" s="1324"/>
      <c r="H75" s="1319"/>
      <c r="I75" s="1314"/>
      <c r="J75" s="1328" t="s">
        <v>1061</v>
      </c>
      <c r="O75" s="1292" t="s">
        <v>64</v>
      </c>
      <c r="P75" s="1292" t="s">
        <v>212</v>
      </c>
      <c r="Q75" s="1292" t="s">
        <v>38</v>
      </c>
      <c r="R75" s="1293"/>
      <c r="S75" s="1292" t="s">
        <v>181</v>
      </c>
      <c r="T75" s="1292" t="s">
        <v>1157</v>
      </c>
      <c r="U75" s="1294" t="s">
        <v>1158</v>
      </c>
      <c r="W75" s="1293" t="str">
        <f>'🔵クレーム'!C66</f>
        <v/>
      </c>
      <c r="X75" s="1293" t="str">
        <f>'🔵クレーム'!D66</f>
        <v/>
      </c>
      <c r="Y75" s="1292" t="str">
        <f>'🔵クレーム'!I66</f>
        <v/>
      </c>
      <c r="Z75" s="1293" t="str">
        <f>'🔵クレーム'!J66</f>
        <v/>
      </c>
      <c r="AA75" s="1293" t="str">
        <f>'🔵クレーム'!K66</f>
        <v/>
      </c>
      <c r="AB75" s="1293" t="str">
        <f>'🔵クレーム'!L66</f>
        <v/>
      </c>
      <c r="AC75" s="1295" t="str">
        <f>'🔵クレーム'!N66</f>
        <v/>
      </c>
    </row>
    <row r="76" hidden="1" outlineLevel="1">
      <c r="B76" s="1313"/>
      <c r="C76" s="1316"/>
      <c r="D76" s="1317"/>
      <c r="E76" s="1318"/>
      <c r="F76" s="1323"/>
      <c r="G76" s="1324"/>
      <c r="H76" s="1319"/>
      <c r="I76" s="1314"/>
      <c r="J76" s="1328" t="s">
        <v>1061</v>
      </c>
      <c r="O76" s="1292" t="s">
        <v>64</v>
      </c>
      <c r="P76" s="1292" t="s">
        <v>212</v>
      </c>
      <c r="Q76" s="1292" t="s">
        <v>39</v>
      </c>
      <c r="R76" s="1293"/>
      <c r="S76" s="1292" t="s">
        <v>1112</v>
      </c>
      <c r="T76" s="1292" t="s">
        <v>164</v>
      </c>
      <c r="U76" s="1294" t="s">
        <v>1159</v>
      </c>
      <c r="W76" s="1293" t="str">
        <f>'🔵クレーム'!C67</f>
        <v/>
      </c>
      <c r="X76" s="1293" t="str">
        <f>'🔵クレーム'!D67</f>
        <v/>
      </c>
      <c r="Y76" s="1292" t="str">
        <f>'🔵クレーム'!I67</f>
        <v/>
      </c>
      <c r="Z76" s="1293" t="str">
        <f>'🔵クレーム'!J67</f>
        <v/>
      </c>
      <c r="AA76" s="1293" t="str">
        <f>'🔵クレーム'!K67</f>
        <v/>
      </c>
      <c r="AB76" s="1293" t="str">
        <f>'🔵クレーム'!L67</f>
        <v/>
      </c>
      <c r="AC76" s="1295" t="str">
        <f>'🔵クレーム'!N67</f>
        <v/>
      </c>
    </row>
    <row r="77" hidden="1" outlineLevel="1">
      <c r="B77" s="1313"/>
      <c r="C77" s="1316"/>
      <c r="D77" s="1323"/>
      <c r="E77" s="1329"/>
      <c r="F77" s="1323"/>
      <c r="G77" s="1324"/>
      <c r="H77" s="1319"/>
      <c r="I77" s="1314"/>
      <c r="J77" s="1328" t="s">
        <v>1061</v>
      </c>
      <c r="O77" s="1292" t="s">
        <v>64</v>
      </c>
      <c r="P77" s="1292" t="s">
        <v>1160</v>
      </c>
      <c r="Q77" s="1292" t="s">
        <v>30</v>
      </c>
      <c r="R77" s="1293"/>
      <c r="S77" s="1292" t="s">
        <v>204</v>
      </c>
      <c r="T77" s="1292" t="s">
        <v>191</v>
      </c>
      <c r="U77" s="1294" t="s">
        <v>1161</v>
      </c>
      <c r="W77" s="1293" t="str">
        <f>'🔵クレーム'!C68</f>
        <v/>
      </c>
      <c r="X77" s="1293" t="str">
        <f>'🔵クレーム'!D68</f>
        <v/>
      </c>
      <c r="Y77" s="1292" t="str">
        <f>'🔵クレーム'!I68</f>
        <v/>
      </c>
      <c r="Z77" s="1293" t="str">
        <f>'🔵クレーム'!J68</f>
        <v/>
      </c>
      <c r="AA77" s="1293" t="str">
        <f>'🔵クレーム'!K68</f>
        <v/>
      </c>
      <c r="AB77" s="1293" t="str">
        <f>'🔵クレーム'!L68</f>
        <v/>
      </c>
      <c r="AC77" s="1295" t="str">
        <f>'🔵クレーム'!N68</f>
        <v/>
      </c>
    </row>
    <row r="78" hidden="1" outlineLevel="1">
      <c r="B78" s="1313"/>
      <c r="C78" s="1316"/>
      <c r="D78" s="1323"/>
      <c r="E78" s="1329"/>
      <c r="F78" s="1323"/>
      <c r="G78" s="1324"/>
      <c r="H78" s="1319"/>
      <c r="I78" s="1314"/>
      <c r="J78" s="1328" t="s">
        <v>1061</v>
      </c>
      <c r="O78" s="1292" t="s">
        <v>64</v>
      </c>
      <c r="P78" s="1292" t="s">
        <v>154</v>
      </c>
      <c r="Q78" s="1292" t="s">
        <v>28</v>
      </c>
      <c r="R78" s="1293"/>
      <c r="S78" s="1292"/>
      <c r="T78" s="1292"/>
      <c r="U78" s="1294" t="s">
        <v>1162</v>
      </c>
      <c r="W78" s="1293" t="str">
        <f>'🔵クレーム'!C69</f>
        <v/>
      </c>
      <c r="X78" s="1293" t="str">
        <f>'🔵クレーム'!D69</f>
        <v/>
      </c>
      <c r="Y78" s="1292" t="str">
        <f>'🔵クレーム'!I69</f>
        <v/>
      </c>
      <c r="Z78" s="1293" t="str">
        <f>'🔵クレーム'!J69</f>
        <v/>
      </c>
      <c r="AA78" s="1293" t="str">
        <f>'🔵クレーム'!K69</f>
        <v/>
      </c>
      <c r="AB78" s="1293" t="str">
        <f>'🔵クレーム'!L69</f>
        <v/>
      </c>
      <c r="AC78" s="1295" t="str">
        <f>'🔵クレーム'!N69</f>
        <v/>
      </c>
    </row>
    <row r="79" hidden="1" outlineLevel="1">
      <c r="B79" s="1313"/>
      <c r="C79" s="1316"/>
      <c r="D79" s="1323"/>
      <c r="E79" s="1329"/>
      <c r="F79" s="1323"/>
      <c r="G79" s="1324"/>
      <c r="H79" s="1319"/>
      <c r="I79" s="1314"/>
      <c r="J79" s="1328" t="s">
        <v>1061</v>
      </c>
      <c r="O79" s="1292" t="s">
        <v>64</v>
      </c>
      <c r="P79" s="1292" t="s">
        <v>993</v>
      </c>
      <c r="Q79" s="1292" t="s">
        <v>30</v>
      </c>
      <c r="R79" s="1293"/>
      <c r="S79" s="1292" t="s">
        <v>175</v>
      </c>
      <c r="T79" s="1292" t="s">
        <v>164</v>
      </c>
      <c r="U79" s="1294" t="s">
        <v>1163</v>
      </c>
      <c r="W79" s="1293" t="str">
        <f>'🔵クレーム'!C70</f>
        <v/>
      </c>
      <c r="X79" s="1293" t="str">
        <f>'🔵クレーム'!D70</f>
        <v/>
      </c>
      <c r="Y79" s="1292" t="str">
        <f>'🔵クレーム'!I70</f>
        <v/>
      </c>
      <c r="Z79" s="1293" t="str">
        <f>'🔵クレーム'!J70</f>
        <v/>
      </c>
      <c r="AA79" s="1293" t="str">
        <f>'🔵クレーム'!K70</f>
        <v/>
      </c>
      <c r="AB79" s="1293" t="str">
        <f>'🔵クレーム'!L70</f>
        <v/>
      </c>
      <c r="AC79" s="1295" t="str">
        <f>'🔵クレーム'!N70</f>
        <v/>
      </c>
    </row>
    <row r="80" hidden="1" outlineLevel="1">
      <c r="B80" s="1313"/>
      <c r="C80" s="1316"/>
      <c r="D80" s="1323"/>
      <c r="E80" s="1329"/>
      <c r="F80" s="1323"/>
      <c r="G80" s="1324"/>
      <c r="H80" s="1319"/>
      <c r="I80" s="1314"/>
      <c r="J80" s="1328" t="s">
        <v>1061</v>
      </c>
      <c r="O80" s="1292" t="s">
        <v>64</v>
      </c>
      <c r="P80" s="1292" t="s">
        <v>168</v>
      </c>
      <c r="Q80" s="1292" t="s">
        <v>28</v>
      </c>
      <c r="R80" s="1293"/>
      <c r="S80" s="1292"/>
      <c r="T80" s="1292"/>
      <c r="U80" s="1294" t="s">
        <v>1164</v>
      </c>
      <c r="W80" s="1293" t="str">
        <f>'🔵クレーム'!C71</f>
        <v/>
      </c>
      <c r="X80" s="1293" t="str">
        <f>'🔵クレーム'!D71</f>
        <v/>
      </c>
      <c r="Y80" s="1292" t="str">
        <f>'🔵クレーム'!I71</f>
        <v/>
      </c>
      <c r="Z80" s="1293" t="str">
        <f>'🔵クレーム'!J71</f>
        <v/>
      </c>
      <c r="AA80" s="1293" t="str">
        <f>'🔵クレーム'!K71</f>
        <v/>
      </c>
      <c r="AB80" s="1293" t="str">
        <f>'🔵クレーム'!L71</f>
        <v/>
      </c>
      <c r="AC80" s="1295" t="str">
        <f>'🔵クレーム'!N71</f>
        <v/>
      </c>
    </row>
    <row r="81" hidden="1" outlineLevel="1">
      <c r="B81" s="1313"/>
      <c r="C81" s="1316"/>
      <c r="D81" s="1323"/>
      <c r="E81" s="1329"/>
      <c r="F81" s="1323"/>
      <c r="G81" s="1324"/>
      <c r="H81" s="1319"/>
      <c r="I81" s="1314"/>
      <c r="J81" s="1328" t="s">
        <v>1061</v>
      </c>
      <c r="O81" s="1292" t="s">
        <v>66</v>
      </c>
      <c r="P81" s="1292" t="s">
        <v>1165</v>
      </c>
      <c r="Q81" s="1292" t="s">
        <v>28</v>
      </c>
      <c r="R81" s="1293"/>
      <c r="S81" s="1292"/>
      <c r="T81" s="1292"/>
      <c r="U81" s="1294" t="s">
        <v>1166</v>
      </c>
      <c r="W81" s="1293" t="str">
        <f>'🔵クレーム'!C72</f>
        <v/>
      </c>
      <c r="X81" s="1293" t="str">
        <f>'🔵クレーム'!D72</f>
        <v/>
      </c>
      <c r="Y81" s="1292" t="str">
        <f>'🔵クレーム'!I72</f>
        <v/>
      </c>
      <c r="Z81" s="1293" t="str">
        <f>'🔵クレーム'!J72</f>
        <v/>
      </c>
      <c r="AA81" s="1293" t="str">
        <f>'🔵クレーム'!K72</f>
        <v/>
      </c>
      <c r="AB81" s="1293" t="str">
        <f>'🔵クレーム'!L72</f>
        <v/>
      </c>
      <c r="AC81" s="1295" t="str">
        <f>'🔵クレーム'!N72</f>
        <v/>
      </c>
    </row>
    <row r="82" hidden="1" outlineLevel="1">
      <c r="B82" s="1313"/>
      <c r="C82" s="1316"/>
      <c r="D82" s="1323"/>
      <c r="E82" s="1329"/>
      <c r="F82" s="1323"/>
      <c r="G82" s="1324"/>
      <c r="H82" s="1319"/>
      <c r="I82" s="1314"/>
      <c r="J82" s="1328" t="s">
        <v>1061</v>
      </c>
      <c r="O82" s="1292" t="s">
        <v>66</v>
      </c>
      <c r="P82" s="1292" t="s">
        <v>1165</v>
      </c>
      <c r="Q82" s="1292" t="s">
        <v>28</v>
      </c>
      <c r="R82" s="1293"/>
      <c r="S82" s="1292"/>
      <c r="T82" s="1292"/>
      <c r="U82" s="1294" t="s">
        <v>1167</v>
      </c>
      <c r="W82" s="1293" t="str">
        <f>'🔵クレーム'!C73</f>
        <v/>
      </c>
      <c r="X82" s="1293" t="str">
        <f>'🔵クレーム'!D73</f>
        <v/>
      </c>
      <c r="Y82" s="1292" t="str">
        <f>'🔵クレーム'!I73</f>
        <v/>
      </c>
      <c r="Z82" s="1293" t="str">
        <f>'🔵クレーム'!J73</f>
        <v/>
      </c>
      <c r="AA82" s="1293" t="str">
        <f>'🔵クレーム'!K73</f>
        <v/>
      </c>
      <c r="AB82" s="1293" t="str">
        <f>'🔵クレーム'!L73</f>
        <v/>
      </c>
      <c r="AC82" s="1295" t="str">
        <f>'🔵クレーム'!N73</f>
        <v/>
      </c>
    </row>
    <row r="83" hidden="1" outlineLevel="1">
      <c r="B83" s="1313"/>
      <c r="C83" s="1316"/>
      <c r="D83" s="1323"/>
      <c r="E83" s="1329"/>
      <c r="F83" s="1323"/>
      <c r="G83" s="1324"/>
      <c r="H83" s="1319"/>
      <c r="I83" s="1314"/>
      <c r="J83" s="1328" t="s">
        <v>1061</v>
      </c>
      <c r="O83" s="1292" t="s">
        <v>66</v>
      </c>
      <c r="P83" s="1292" t="s">
        <v>121</v>
      </c>
      <c r="Q83" s="1292" t="s">
        <v>28</v>
      </c>
      <c r="R83" s="1293"/>
      <c r="S83" s="1292"/>
      <c r="T83" s="1292"/>
      <c r="U83" s="1294" t="s">
        <v>1168</v>
      </c>
      <c r="W83" s="1293" t="str">
        <f>'🔵クレーム'!C74</f>
        <v/>
      </c>
      <c r="X83" s="1293" t="str">
        <f>'🔵クレーム'!D74</f>
        <v/>
      </c>
      <c r="Y83" s="1292" t="str">
        <f>'🔵クレーム'!I74</f>
        <v/>
      </c>
      <c r="Z83" s="1293" t="str">
        <f>'🔵クレーム'!J74</f>
        <v/>
      </c>
      <c r="AA83" s="1293" t="str">
        <f>'🔵クレーム'!K74</f>
        <v/>
      </c>
      <c r="AB83" s="1293" t="str">
        <f>'🔵クレーム'!L74</f>
        <v/>
      </c>
      <c r="AC83" s="1295" t="str">
        <f>'🔵クレーム'!N74</f>
        <v/>
      </c>
    </row>
    <row r="84" hidden="1" outlineLevel="1">
      <c r="B84" s="1313"/>
      <c r="C84" s="1316"/>
      <c r="D84" s="1323"/>
      <c r="E84" s="1329"/>
      <c r="F84" s="1323"/>
      <c r="G84" s="1324"/>
      <c r="H84" s="1319"/>
      <c r="I84" s="1314"/>
      <c r="J84" s="1328" t="s">
        <v>1061</v>
      </c>
      <c r="O84" s="1292" t="s">
        <v>66</v>
      </c>
      <c r="P84" s="1292" t="s">
        <v>124</v>
      </c>
      <c r="Q84" s="1292" t="s">
        <v>30</v>
      </c>
      <c r="R84" s="1293"/>
      <c r="S84" s="1292" t="s">
        <v>175</v>
      </c>
      <c r="T84" s="1292" t="s">
        <v>164</v>
      </c>
      <c r="U84" s="1294" t="s">
        <v>1169</v>
      </c>
      <c r="W84" s="1293" t="str">
        <f>'🔵クレーム'!C75</f>
        <v/>
      </c>
      <c r="X84" s="1293" t="str">
        <f>'🔵クレーム'!D75</f>
        <v/>
      </c>
      <c r="Y84" s="1292" t="str">
        <f>'🔵クレーム'!I75</f>
        <v/>
      </c>
      <c r="Z84" s="1293" t="str">
        <f>'🔵クレーム'!J75</f>
        <v/>
      </c>
      <c r="AA84" s="1293" t="str">
        <f>'🔵クレーム'!K75</f>
        <v/>
      </c>
      <c r="AB84" s="1293" t="str">
        <f>'🔵クレーム'!L75</f>
        <v/>
      </c>
      <c r="AC84" s="1295" t="str">
        <f>'🔵クレーム'!N75</f>
        <v/>
      </c>
    </row>
    <row r="85" hidden="1" outlineLevel="1">
      <c r="B85" s="1313"/>
      <c r="C85" s="1316"/>
      <c r="D85" s="1323"/>
      <c r="E85" s="1329"/>
      <c r="F85" s="1323"/>
      <c r="G85" s="1324"/>
      <c r="H85" s="1319"/>
      <c r="I85" s="1314"/>
      <c r="J85" s="1328" t="s">
        <v>1061</v>
      </c>
      <c r="O85" s="1292" t="s">
        <v>66</v>
      </c>
      <c r="P85" s="1292" t="s">
        <v>135</v>
      </c>
      <c r="Q85" s="1292" t="s">
        <v>42</v>
      </c>
      <c r="R85" s="1293"/>
      <c r="S85" s="1292" t="s">
        <v>1103</v>
      </c>
      <c r="T85" s="1292" t="s">
        <v>182</v>
      </c>
      <c r="U85" s="1294" t="s">
        <v>1170</v>
      </c>
      <c r="W85" s="1293" t="str">
        <f>'🔵クレーム'!C76</f>
        <v/>
      </c>
      <c r="X85" s="1293" t="str">
        <f>'🔵クレーム'!D76</f>
        <v/>
      </c>
      <c r="Y85" s="1292" t="str">
        <f>'🔵クレーム'!I76</f>
        <v/>
      </c>
      <c r="Z85" s="1293" t="str">
        <f>'🔵クレーム'!J76</f>
        <v/>
      </c>
      <c r="AA85" s="1293" t="str">
        <f>'🔵クレーム'!K76</f>
        <v/>
      </c>
      <c r="AB85" s="1293" t="str">
        <f>'🔵クレーム'!L76</f>
        <v/>
      </c>
      <c r="AC85" s="1295" t="str">
        <f>'🔵クレーム'!N76</f>
        <v/>
      </c>
    </row>
    <row r="86" hidden="1" outlineLevel="1">
      <c r="B86" s="1313"/>
      <c r="C86" s="1316"/>
      <c r="D86" s="1323"/>
      <c r="E86" s="1329"/>
      <c r="F86" s="1323"/>
      <c r="G86" s="1324"/>
      <c r="H86" s="1319"/>
      <c r="I86" s="1314"/>
      <c r="J86" s="1328" t="s">
        <v>1061</v>
      </c>
      <c r="O86" s="1292" t="s">
        <v>66</v>
      </c>
      <c r="P86" s="1292" t="s">
        <v>149</v>
      </c>
      <c r="Q86" s="1292" t="s">
        <v>30</v>
      </c>
      <c r="R86" s="1293"/>
      <c r="S86" s="1292" t="s">
        <v>175</v>
      </c>
      <c r="T86" s="1292"/>
      <c r="U86" s="1294" t="s">
        <v>1171</v>
      </c>
      <c r="W86" s="1293" t="str">
        <f>'🔵クレーム'!C77</f>
        <v/>
      </c>
      <c r="X86" s="1293" t="str">
        <f>'🔵クレーム'!D77</f>
        <v/>
      </c>
      <c r="Y86" s="1292" t="str">
        <f>'🔵クレーム'!I77</f>
        <v/>
      </c>
      <c r="Z86" s="1293" t="str">
        <f>'🔵クレーム'!J77</f>
        <v/>
      </c>
      <c r="AA86" s="1293" t="str">
        <f>'🔵クレーム'!K77</f>
        <v/>
      </c>
      <c r="AB86" s="1293" t="str">
        <f>'🔵クレーム'!L77</f>
        <v/>
      </c>
      <c r="AC86" s="1295" t="str">
        <f>'🔵クレーム'!N77</f>
        <v/>
      </c>
    </row>
    <row r="87" hidden="1" outlineLevel="1">
      <c r="B87" s="1313"/>
      <c r="C87" s="1316"/>
      <c r="D87" s="1323"/>
      <c r="E87" s="1329"/>
      <c r="F87" s="1323"/>
      <c r="G87" s="1324"/>
      <c r="H87" s="1319"/>
      <c r="I87" s="1314"/>
      <c r="J87" s="1328" t="s">
        <v>1061</v>
      </c>
      <c r="O87" s="1292" t="s">
        <v>66</v>
      </c>
      <c r="P87" s="1292" t="s">
        <v>115</v>
      </c>
      <c r="Q87" s="1292" t="s">
        <v>28</v>
      </c>
      <c r="R87" s="1293"/>
      <c r="S87" s="1292"/>
      <c r="T87" s="1292"/>
      <c r="U87" s="1294" t="s">
        <v>1172</v>
      </c>
      <c r="W87" s="1293" t="str">
        <f>'🔵クレーム'!C78</f>
        <v/>
      </c>
      <c r="X87" s="1293" t="str">
        <f>'🔵クレーム'!D78</f>
        <v/>
      </c>
      <c r="Y87" s="1292" t="str">
        <f>'🔵クレーム'!I78</f>
        <v/>
      </c>
      <c r="Z87" s="1293" t="str">
        <f>'🔵クレーム'!J78</f>
        <v/>
      </c>
      <c r="AA87" s="1293" t="str">
        <f>'🔵クレーム'!K78</f>
        <v/>
      </c>
      <c r="AB87" s="1293" t="str">
        <f>'🔵クレーム'!L78</f>
        <v/>
      </c>
      <c r="AC87" s="1295" t="str">
        <f>'🔵クレーム'!N78</f>
        <v/>
      </c>
    </row>
    <row r="88" hidden="1" outlineLevel="1">
      <c r="B88" s="1313"/>
      <c r="C88" s="1316"/>
      <c r="D88" s="1323"/>
      <c r="E88" s="1329"/>
      <c r="F88" s="1323"/>
      <c r="G88" s="1324"/>
      <c r="H88" s="1319"/>
      <c r="I88" s="1314"/>
      <c r="J88" s="1328" t="s">
        <v>1061</v>
      </c>
      <c r="O88" s="1292" t="s">
        <v>66</v>
      </c>
      <c r="P88" s="1292" t="s">
        <v>1130</v>
      </c>
      <c r="Q88" s="1292" t="s">
        <v>28</v>
      </c>
      <c r="R88" s="1293"/>
      <c r="S88" s="1292"/>
      <c r="T88" s="1292"/>
      <c r="U88" s="1294" t="s">
        <v>1173</v>
      </c>
      <c r="W88" s="1293" t="str">
        <f>'🔵クレーム'!C79</f>
        <v/>
      </c>
      <c r="X88" s="1293" t="str">
        <f>'🔵クレーム'!D79</f>
        <v/>
      </c>
      <c r="Y88" s="1292" t="str">
        <f>'🔵クレーム'!I79</f>
        <v/>
      </c>
      <c r="Z88" s="1293" t="str">
        <f>'🔵クレーム'!J79</f>
        <v/>
      </c>
      <c r="AA88" s="1293" t="str">
        <f>'🔵クレーム'!K79</f>
        <v/>
      </c>
      <c r="AB88" s="1293" t="str">
        <f>'🔵クレーム'!L79</f>
        <v/>
      </c>
      <c r="AC88" s="1295" t="str">
        <f>'🔵クレーム'!N79</f>
        <v/>
      </c>
    </row>
    <row r="89" hidden="1" outlineLevel="1">
      <c r="B89" s="1313"/>
      <c r="C89" s="1316"/>
      <c r="D89" s="1323"/>
      <c r="E89" s="1329"/>
      <c r="F89" s="1323"/>
      <c r="G89" s="1324"/>
      <c r="H89" s="1319"/>
      <c r="I89" s="1314"/>
      <c r="J89" s="1328" t="s">
        <v>1061</v>
      </c>
      <c r="O89" s="1292" t="s">
        <v>66</v>
      </c>
      <c r="P89" s="1292" t="s">
        <v>124</v>
      </c>
      <c r="Q89" s="1292" t="s">
        <v>28</v>
      </c>
      <c r="R89" s="1293"/>
      <c r="S89" s="1292"/>
      <c r="T89" s="1292"/>
      <c r="U89" s="1294" t="s">
        <v>1174</v>
      </c>
      <c r="W89" s="1293" t="str">
        <f>'🔵クレーム'!C80</f>
        <v/>
      </c>
      <c r="X89" s="1293" t="str">
        <f>'🔵クレーム'!D80</f>
        <v/>
      </c>
      <c r="Y89" s="1292" t="str">
        <f>'🔵クレーム'!I80</f>
        <v/>
      </c>
      <c r="Z89" s="1293" t="str">
        <f>'🔵クレーム'!J80</f>
        <v/>
      </c>
      <c r="AA89" s="1293" t="str">
        <f>'🔵クレーム'!K80</f>
        <v/>
      </c>
      <c r="AB89" s="1293" t="str">
        <f>'🔵クレーム'!L80</f>
        <v/>
      </c>
      <c r="AC89" s="1295" t="str">
        <f>'🔵クレーム'!N80</f>
        <v/>
      </c>
    </row>
    <row r="90" hidden="1" outlineLevel="1">
      <c r="B90" s="1331"/>
      <c r="C90" s="1332"/>
      <c r="D90" s="1333"/>
      <c r="E90" s="1334"/>
      <c r="F90" s="1333"/>
      <c r="G90" s="1332"/>
      <c r="H90" s="1333"/>
      <c r="I90" s="1326"/>
      <c r="J90" s="1334" t="s">
        <v>1061</v>
      </c>
      <c r="O90" s="1292" t="s">
        <v>66</v>
      </c>
      <c r="P90" s="1292" t="s">
        <v>217</v>
      </c>
      <c r="Q90" s="1292" t="s">
        <v>28</v>
      </c>
      <c r="R90" s="1293"/>
      <c r="S90" s="1292" t="s">
        <v>1117</v>
      </c>
      <c r="T90" s="1292" t="s">
        <v>1175</v>
      </c>
      <c r="U90" s="1294" t="s">
        <v>1176</v>
      </c>
      <c r="W90" s="1293" t="str">
        <f>'🔵クレーム'!C81</f>
        <v/>
      </c>
      <c r="X90" s="1293" t="str">
        <f>'🔵クレーム'!D81</f>
        <v/>
      </c>
      <c r="Y90" s="1292" t="str">
        <f>'🔵クレーム'!I81</f>
        <v/>
      </c>
      <c r="Z90" s="1293" t="str">
        <f>'🔵クレーム'!J81</f>
        <v/>
      </c>
      <c r="AA90" s="1293" t="str">
        <f>'🔵クレーム'!K81</f>
        <v/>
      </c>
      <c r="AB90" s="1293" t="str">
        <f>'🔵クレーム'!L81</f>
        <v/>
      </c>
      <c r="AC90" s="1295" t="str">
        <f>'🔵クレーム'!N81</f>
        <v/>
      </c>
    </row>
    <row r="91">
      <c r="B91" s="20"/>
      <c r="C91" s="20"/>
      <c r="D91" s="20"/>
      <c r="E91" s="20"/>
      <c r="F91" s="20"/>
      <c r="G91" s="20"/>
      <c r="H91" s="20"/>
      <c r="I91" s="20"/>
      <c r="J91" s="20" t="s">
        <v>1061</v>
      </c>
      <c r="K91" s="20"/>
      <c r="L91" s="20"/>
      <c r="M91" s="20"/>
      <c r="O91" s="1292" t="s">
        <v>66</v>
      </c>
      <c r="P91" s="1292" t="s">
        <v>1177</v>
      </c>
      <c r="Q91" s="1292" t="s">
        <v>28</v>
      </c>
      <c r="R91" s="1293"/>
      <c r="S91" s="1292"/>
      <c r="T91" s="1292"/>
      <c r="U91" s="1294" t="s">
        <v>1178</v>
      </c>
      <c r="W91" s="1293" t="str">
        <f>'🔵クレーム'!C82</f>
        <v/>
      </c>
      <c r="X91" s="1293" t="str">
        <f>'🔵クレーム'!D82</f>
        <v/>
      </c>
      <c r="Y91" s="1292" t="str">
        <f>'🔵クレーム'!I82</f>
        <v/>
      </c>
      <c r="Z91" s="1293" t="str">
        <f>'🔵クレーム'!J82</f>
        <v/>
      </c>
      <c r="AA91" s="1293" t="str">
        <f>'🔵クレーム'!K82</f>
        <v/>
      </c>
      <c r="AB91" s="1293" t="str">
        <f>'🔵クレーム'!L82</f>
        <v/>
      </c>
      <c r="AC91" s="1295" t="str">
        <f>'🔵クレーム'!N82</f>
        <v/>
      </c>
    </row>
    <row r="92">
      <c r="B92" s="1335" t="s">
        <v>1179</v>
      </c>
      <c r="C92" s="1217"/>
      <c r="D92" s="1217"/>
      <c r="E92" s="1217"/>
      <c r="F92" s="1217"/>
      <c r="G92" s="1217"/>
      <c r="H92" s="1217"/>
      <c r="I92" s="1217"/>
      <c r="J92" s="1217"/>
      <c r="K92" s="1217"/>
      <c r="L92" s="1217"/>
      <c r="M92" s="1218"/>
      <c r="O92" s="1292" t="s">
        <v>66</v>
      </c>
      <c r="P92" s="1292" t="s">
        <v>1177</v>
      </c>
      <c r="Q92" s="1292" t="s">
        <v>28</v>
      </c>
      <c r="R92" s="1293"/>
      <c r="S92" s="1292"/>
      <c r="T92" s="1292"/>
      <c r="U92" s="1294" t="s">
        <v>1180</v>
      </c>
      <c r="W92" s="1293" t="str">
        <f>'🔵クレーム'!C83</f>
        <v/>
      </c>
      <c r="X92" s="1293" t="str">
        <f>'🔵クレーム'!D83</f>
        <v/>
      </c>
      <c r="Y92" s="1292" t="str">
        <f>'🔵クレーム'!I83</f>
        <v/>
      </c>
      <c r="Z92" s="1293" t="str">
        <f>'🔵クレーム'!J83</f>
        <v/>
      </c>
      <c r="AA92" s="1293" t="str">
        <f>'🔵クレーム'!K83</f>
        <v/>
      </c>
      <c r="AB92" s="1293" t="str">
        <f>'🔵クレーム'!L83</f>
        <v/>
      </c>
      <c r="AC92" s="1295" t="str">
        <f>'🔵クレーム'!N83</f>
        <v/>
      </c>
    </row>
    <row r="93" ht="30.75" customHeight="1">
      <c r="B93" s="1336" t="s">
        <v>1181</v>
      </c>
      <c r="C93" s="263"/>
      <c r="D93" s="1337" t="s">
        <v>1093</v>
      </c>
      <c r="F93" s="20"/>
      <c r="M93" s="1288"/>
      <c r="O93" s="1292" t="s">
        <v>66</v>
      </c>
      <c r="P93" s="1292" t="s">
        <v>154</v>
      </c>
      <c r="Q93" s="1292" t="s">
        <v>28</v>
      </c>
      <c r="R93" s="1293"/>
      <c r="S93" s="1292"/>
      <c r="T93" s="1292"/>
      <c r="U93" s="1294" t="s">
        <v>1182</v>
      </c>
      <c r="W93" s="1293" t="str">
        <f>'🔵クレーム'!C84</f>
        <v/>
      </c>
      <c r="X93" s="1293" t="str">
        <f>'🔵クレーム'!D84</f>
        <v/>
      </c>
      <c r="Y93" s="1292" t="str">
        <f>'🔵クレーム'!I84</f>
        <v/>
      </c>
      <c r="Z93" s="1293" t="str">
        <f>'🔵クレーム'!J84</f>
        <v/>
      </c>
      <c r="AA93" s="1293" t="str">
        <f>'🔵クレーム'!K84</f>
        <v/>
      </c>
      <c r="AB93" s="1293" t="str">
        <f>'🔵クレーム'!L84</f>
        <v/>
      </c>
      <c r="AC93" s="1295" t="str">
        <f>'🔵クレーム'!N84</f>
        <v/>
      </c>
    </row>
    <row r="94">
      <c r="B94" s="1338" t="s">
        <v>80</v>
      </c>
      <c r="C94" s="1339" t="s">
        <v>81</v>
      </c>
      <c r="D94" s="1339" t="s">
        <v>78</v>
      </c>
      <c r="E94" s="1340" t="s">
        <v>88</v>
      </c>
      <c r="F94" s="1340" t="s">
        <v>89</v>
      </c>
      <c r="G94" s="1341" t="s">
        <v>91</v>
      </c>
      <c r="H94" s="1342"/>
      <c r="I94" s="1342"/>
      <c r="J94" s="1342"/>
      <c r="K94" s="1342"/>
      <c r="L94" s="1342"/>
      <c r="M94" s="1343"/>
      <c r="O94" s="1292" t="s">
        <v>66</v>
      </c>
      <c r="P94" s="1292" t="s">
        <v>195</v>
      </c>
      <c r="Q94" s="1292" t="s">
        <v>28</v>
      </c>
      <c r="R94" s="1293"/>
      <c r="S94" s="1292"/>
      <c r="T94" s="1292"/>
      <c r="U94" s="1294" t="s">
        <v>1183</v>
      </c>
      <c r="W94" s="1293" t="str">
        <f>'🔵クレーム'!C85</f>
        <v/>
      </c>
      <c r="X94" s="1293" t="str">
        <f>'🔵クレーム'!D85</f>
        <v/>
      </c>
      <c r="Y94" s="1292" t="str">
        <f>'🔵クレーム'!I85</f>
        <v/>
      </c>
      <c r="Z94" s="1293" t="str">
        <f>'🔵クレーム'!J85</f>
        <v/>
      </c>
      <c r="AA94" s="1293" t="str">
        <f>'🔵クレーム'!K85</f>
        <v/>
      </c>
      <c r="AB94" s="1293" t="str">
        <f>'🔵クレーム'!L85</f>
        <v/>
      </c>
      <c r="AC94" s="1295" t="str">
        <f>'🔵クレーム'!N85</f>
        <v/>
      </c>
    </row>
    <row r="95">
      <c r="B95" s="134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45" t="str">
        <f>IFERROR(__xludf.DUMMYFUNCTION("""COMPUTED_VALUE"""),"14日")</f>
        <v>14日</v>
      </c>
      <c r="D95" s="1346" t="str">
        <f>IFERROR(__xludf.DUMMYFUNCTION("""COMPUTED_VALUE"""),"汚れ")</f>
        <v>汚れ</v>
      </c>
      <c r="E95" s="1347" t="str">
        <f>IFERROR(__xludf.DUMMYFUNCTION("""COMPUTED_VALUE"""),"笹田")</f>
        <v>笹田</v>
      </c>
      <c r="F95" s="1347"/>
      <c r="G95" s="1348" t="str">
        <f>IFERROR(__xludf.DUMMYFUNCTION("""COMPUTED_VALUE"""),"ベッドボードの埃がひどく
RC")</f>
        <v>ベッドボードの埃がひどく
RC</v>
      </c>
      <c r="H95" s="246"/>
      <c r="I95" s="246"/>
      <c r="J95" s="246"/>
      <c r="K95" s="246"/>
      <c r="L95" s="246"/>
      <c r="M95" s="1349"/>
      <c r="O95" s="1292" t="s">
        <v>66</v>
      </c>
      <c r="P95" s="1292" t="s">
        <v>1160</v>
      </c>
      <c r="Q95" s="1292" t="s">
        <v>29</v>
      </c>
      <c r="R95" s="1293"/>
      <c r="S95" s="1292"/>
      <c r="T95" s="1292"/>
      <c r="U95" s="1294" t="s">
        <v>1184</v>
      </c>
      <c r="W95" s="1293" t="str">
        <f>'🔵クレーム'!C86</f>
        <v/>
      </c>
      <c r="X95" s="1293" t="str">
        <f>'🔵クレーム'!D86</f>
        <v/>
      </c>
      <c r="Y95" s="1292" t="str">
        <f>'🔵クレーム'!I86</f>
        <v/>
      </c>
      <c r="Z95" s="1293" t="str">
        <f>'🔵クレーム'!J86</f>
        <v/>
      </c>
      <c r="AA95" s="1293" t="str">
        <f>'🔵クレーム'!K86</f>
        <v/>
      </c>
      <c r="AB95" s="1293" t="str">
        <f>'🔵クレーム'!L86</f>
        <v/>
      </c>
      <c r="AC95" s="1295" t="str">
        <f>'🔵クレーム'!N86</f>
        <v/>
      </c>
    </row>
    <row r="96">
      <c r="B96" s="1350" t="str">
        <f>IFERROR(__xludf.DUMMYFUNCTION("""COMPUTED_VALUE"""),"6月")</f>
        <v>6月</v>
      </c>
      <c r="C96" s="1351" t="str">
        <f>IFERROR(__xludf.DUMMYFUNCTION("""COMPUTED_VALUE"""),"22日")</f>
        <v>22日</v>
      </c>
      <c r="D96" s="1351" t="str">
        <f>IFERROR(__xludf.DUMMYFUNCTION("""COMPUTED_VALUE"""),"セット漏れ")</f>
        <v>セット漏れ</v>
      </c>
      <c r="E96" s="1347" t="str">
        <f>IFERROR(__xludf.DUMMYFUNCTION("""COMPUTED_VALUE"""),"笹田")</f>
        <v>笹田</v>
      </c>
      <c r="F96" s="1347"/>
      <c r="G96" s="1348" t="str">
        <f>IFERROR(__xludf.DUMMYFUNCTION("""COMPUTED_VALUE"""),"スリッパがなかった")</f>
        <v>スリッパがなかった</v>
      </c>
      <c r="H96" s="246"/>
      <c r="I96" s="246"/>
      <c r="J96" s="246"/>
      <c r="K96" s="246"/>
      <c r="L96" s="246"/>
      <c r="M96" s="1349"/>
      <c r="O96" s="1292" t="s">
        <v>68</v>
      </c>
      <c r="P96" s="1292" t="s">
        <v>1146</v>
      </c>
      <c r="Q96" s="1292" t="s">
        <v>38</v>
      </c>
      <c r="R96" s="1293"/>
      <c r="S96" s="1292" t="s">
        <v>1117</v>
      </c>
      <c r="T96" s="1292" t="s">
        <v>182</v>
      </c>
      <c r="U96" s="1294" t="s">
        <v>1185</v>
      </c>
      <c r="W96" s="1293" t="str">
        <f>'🔵クレーム'!C87</f>
        <v/>
      </c>
      <c r="X96" s="1293" t="str">
        <f>'🔵クレーム'!D87</f>
        <v/>
      </c>
      <c r="Y96" s="1292" t="str">
        <f>'🔵クレーム'!I87</f>
        <v/>
      </c>
      <c r="Z96" s="1293" t="str">
        <f>'🔵クレーム'!J87</f>
        <v/>
      </c>
      <c r="AA96" s="1293" t="str">
        <f>'🔵クレーム'!K87</f>
        <v/>
      </c>
      <c r="AB96" s="1293" t="str">
        <f>'🔵クレーム'!L87</f>
        <v/>
      </c>
      <c r="AC96" s="1295" t="str">
        <f>'🔵クレーム'!N87</f>
        <v/>
      </c>
    </row>
    <row r="97">
      <c r="B97" s="1350" t="str">
        <f>IFERROR(__xludf.DUMMYFUNCTION("""COMPUTED_VALUE"""),"6月")</f>
        <v>6月</v>
      </c>
      <c r="C97" s="1351" t="str">
        <f>IFERROR(__xludf.DUMMYFUNCTION("""COMPUTED_VALUE"""),"29日")</f>
        <v>29日</v>
      </c>
      <c r="D97" s="1351" t="str">
        <f>IFERROR(__xludf.DUMMYFUNCTION("""COMPUTED_VALUE"""),"残置")</f>
        <v>残置</v>
      </c>
      <c r="E97" s="1347" t="str">
        <f>IFERROR(__xludf.DUMMYFUNCTION("""COMPUTED_VALUE"""),"堀")</f>
        <v>堀</v>
      </c>
      <c r="F97" s="1347"/>
      <c r="G97" s="1348" t="str">
        <f>IFERROR(__xludf.DUMMYFUNCTION("""COMPUTED_VALUE"""),"机の上にコンタクトレンズが
あった")</f>
        <v>机の上にコンタクトレンズが
あった</v>
      </c>
      <c r="H97" s="246"/>
      <c r="I97" s="246"/>
      <c r="J97" s="246"/>
      <c r="K97" s="246"/>
      <c r="L97" s="246"/>
      <c r="M97" s="1349"/>
      <c r="O97" s="1292" t="s">
        <v>68</v>
      </c>
      <c r="P97" s="1292" t="s">
        <v>115</v>
      </c>
      <c r="Q97" s="1292" t="s">
        <v>39</v>
      </c>
      <c r="R97" s="1293"/>
      <c r="S97" s="1292" t="s">
        <v>181</v>
      </c>
      <c r="T97" s="1292"/>
      <c r="U97" s="1294" t="s">
        <v>1186</v>
      </c>
      <c r="W97" s="1293" t="str">
        <f>'🔵クレーム'!C88</f>
        <v/>
      </c>
      <c r="X97" s="1293" t="str">
        <f>'🔵クレーム'!D88</f>
        <v/>
      </c>
      <c r="Y97" s="1292" t="str">
        <f>'🔵クレーム'!I88</f>
        <v/>
      </c>
      <c r="Z97" s="1293" t="str">
        <f>'🔵クレーム'!J88</f>
        <v/>
      </c>
      <c r="AA97" s="1293" t="str">
        <f>'🔵クレーム'!K88</f>
        <v/>
      </c>
      <c r="AB97" s="1293" t="str">
        <f>'🔵クレーム'!L88</f>
        <v/>
      </c>
      <c r="AC97" s="1295" t="str">
        <f>'🔵クレーム'!N88</f>
        <v/>
      </c>
    </row>
    <row r="98">
      <c r="B98" s="1350" t="str">
        <f>IFERROR(__xludf.DUMMYFUNCTION("""COMPUTED_VALUE"""),"6月")</f>
        <v>6月</v>
      </c>
      <c r="C98" s="1351" t="str">
        <f>IFERROR(__xludf.DUMMYFUNCTION("""COMPUTED_VALUE"""),"29日")</f>
        <v>29日</v>
      </c>
      <c r="D98" s="1351" t="str">
        <f>IFERROR(__xludf.DUMMYFUNCTION("""COMPUTED_VALUE"""),"セット漏れ")</f>
        <v>セット漏れ</v>
      </c>
      <c r="E98" s="1347" t="str">
        <f>IFERROR(__xludf.DUMMYFUNCTION("""COMPUTED_VALUE"""),"笹田")</f>
        <v>笹田</v>
      </c>
      <c r="F98" s="1347"/>
      <c r="G98" s="1348" t="str">
        <f>IFERROR(__xludf.DUMMYFUNCTION("""COMPUTED_VALUE"""),"ダブルセットになっていなかった。")</f>
        <v>ダブルセットになっていなかった。</v>
      </c>
      <c r="H98" s="246"/>
      <c r="I98" s="246"/>
      <c r="J98" s="246"/>
      <c r="K98" s="246"/>
      <c r="L98" s="246"/>
      <c r="M98" s="1349"/>
      <c r="O98" s="1292" t="s">
        <v>66</v>
      </c>
      <c r="P98" s="1292" t="s">
        <v>225</v>
      </c>
      <c r="Q98" s="1292" t="s">
        <v>28</v>
      </c>
      <c r="R98" s="1293"/>
      <c r="S98" s="1292"/>
      <c r="T98" s="1292"/>
      <c r="U98" s="1294" t="s">
        <v>1187</v>
      </c>
      <c r="W98" s="1293" t="str">
        <f>'🔵クレーム'!C89</f>
        <v/>
      </c>
      <c r="X98" s="1293" t="str">
        <f>'🔵クレーム'!D89</f>
        <v/>
      </c>
      <c r="Y98" s="1292" t="str">
        <f>'🔵クレーム'!I89</f>
        <v/>
      </c>
      <c r="Z98" s="1293" t="str">
        <f>'🔵クレーム'!J89</f>
        <v/>
      </c>
      <c r="AA98" s="1293" t="str">
        <f>'🔵クレーム'!K89</f>
        <v/>
      </c>
      <c r="AB98" s="1293" t="str">
        <f>'🔵クレーム'!L89</f>
        <v/>
      </c>
      <c r="AC98" s="1295" t="str">
        <f>'🔵クレーム'!N89</f>
        <v/>
      </c>
    </row>
    <row r="99">
      <c r="B99" s="1350" t="str">
        <f>IFERROR(__xludf.DUMMYFUNCTION("""COMPUTED_VALUE"""),"6月")</f>
        <v>6月</v>
      </c>
      <c r="C99" s="1351" t="str">
        <f>IFERROR(__xludf.DUMMYFUNCTION("""COMPUTED_VALUE"""),"29日")</f>
        <v>29日</v>
      </c>
      <c r="D99" s="1351" t="str">
        <f>IFERROR(__xludf.DUMMYFUNCTION("""COMPUTED_VALUE"""),"セット漏れ")</f>
        <v>セット漏れ</v>
      </c>
      <c r="E99" s="1347" t="str">
        <f>IFERROR(__xludf.DUMMYFUNCTION("""COMPUTED_VALUE"""),"迫田")</f>
        <v>迫田</v>
      </c>
      <c r="F99" s="1347"/>
      <c r="G99" s="1348"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49"/>
      <c r="O99" s="1292" t="s">
        <v>68</v>
      </c>
      <c r="P99" s="1292" t="s">
        <v>199</v>
      </c>
      <c r="Q99" s="1292" t="s">
        <v>28</v>
      </c>
      <c r="R99" s="1293"/>
      <c r="S99" s="1292"/>
      <c r="T99" s="1293"/>
      <c r="U99" s="1294" t="s">
        <v>1188</v>
      </c>
      <c r="W99" s="1293" t="str">
        <f>'🔵クレーム'!C90</f>
        <v/>
      </c>
      <c r="X99" s="1293" t="str">
        <f>'🔵クレーム'!D90</f>
        <v/>
      </c>
      <c r="Y99" s="1292" t="str">
        <f>'🔵クレーム'!I90</f>
        <v/>
      </c>
      <c r="Z99" s="1293" t="str">
        <f>'🔵クレーム'!J90</f>
        <v/>
      </c>
      <c r="AA99" s="1293" t="str">
        <f>'🔵クレーム'!K90</f>
        <v/>
      </c>
      <c r="AB99" s="1293" t="str">
        <f>'🔵クレーム'!L90</f>
        <v/>
      </c>
      <c r="AC99" s="1295" t="str">
        <f>'🔵クレーム'!N90</f>
        <v/>
      </c>
    </row>
    <row r="100">
      <c r="B100" s="1350" t="str">
        <f>IFERROR(__xludf.DUMMYFUNCTION("""COMPUTED_VALUE"""),"7月")</f>
        <v>7月</v>
      </c>
      <c r="C100" s="1351" t="str">
        <f>IFERROR(__xludf.DUMMYFUNCTION("""COMPUTED_VALUE"""),"4日")</f>
        <v>4日</v>
      </c>
      <c r="D100" s="1351" t="str">
        <f>IFERROR(__xludf.DUMMYFUNCTION("""COMPUTED_VALUE"""),"清掃不備")</f>
        <v>清掃不備</v>
      </c>
      <c r="E100" s="1347" t="str">
        <f>IFERROR(__xludf.DUMMYFUNCTION("""COMPUTED_VALUE"""),"迫田")</f>
        <v>迫田</v>
      </c>
      <c r="F100" s="1347"/>
      <c r="G100" s="1348" t="str">
        <f>IFERROR(__xludf.DUMMYFUNCTION("""COMPUTED_VALUE"""),"ボディソープが少なかった。")</f>
        <v>ボディソープが少なかった。</v>
      </c>
      <c r="H100" s="246"/>
      <c r="I100" s="246"/>
      <c r="J100" s="246"/>
      <c r="K100" s="246"/>
      <c r="L100" s="246"/>
      <c r="M100" s="1349"/>
      <c r="O100" s="1292" t="s">
        <v>68</v>
      </c>
      <c r="P100" s="1292" t="s">
        <v>124</v>
      </c>
      <c r="Q100" s="1292" t="s">
        <v>28</v>
      </c>
      <c r="R100" s="1293"/>
      <c r="S100" s="1292"/>
      <c r="T100" s="1292"/>
      <c r="U100" s="1294" t="s">
        <v>1189</v>
      </c>
      <c r="W100" s="1293" t="str">
        <f>'🔵クレーム'!C91</f>
        <v/>
      </c>
      <c r="X100" s="1293" t="str">
        <f>'🔵クレーム'!D91</f>
        <v/>
      </c>
      <c r="Y100" s="1292" t="str">
        <f>'🔵クレーム'!I91</f>
        <v/>
      </c>
      <c r="Z100" s="1293" t="str">
        <f>'🔵クレーム'!J91</f>
        <v/>
      </c>
      <c r="AA100" s="1293" t="str">
        <f>'🔵クレーム'!K91</f>
        <v/>
      </c>
      <c r="AB100" s="1293" t="str">
        <f>'🔵クレーム'!L91</f>
        <v/>
      </c>
      <c r="AC100" s="1295" t="str">
        <f>'🔵クレーム'!N91</f>
        <v/>
      </c>
    </row>
    <row r="101">
      <c r="B101" s="1350" t="str">
        <f>IFERROR(__xludf.DUMMYFUNCTION("""COMPUTED_VALUE"""),"7月")</f>
        <v>7月</v>
      </c>
      <c r="C101" s="1351" t="str">
        <f>IFERROR(__xludf.DUMMYFUNCTION("""COMPUTED_VALUE"""),"4日")</f>
        <v>4日</v>
      </c>
      <c r="D101" s="1351" t="str">
        <f>IFERROR(__xludf.DUMMYFUNCTION("""COMPUTED_VALUE"""),"汚れ")</f>
        <v>汚れ</v>
      </c>
      <c r="E101" s="1347" t="str">
        <f>IFERROR(__xludf.DUMMYFUNCTION("""COMPUTED_VALUE"""),"堀")</f>
        <v>堀</v>
      </c>
      <c r="F101" s="1347"/>
      <c r="G101" s="1348" t="str">
        <f>IFERROR(__xludf.DUMMYFUNCTION("""COMPUTED_VALUE"""),"ドア枠の埃がひどい")</f>
        <v>ドア枠の埃がひどい</v>
      </c>
      <c r="H101" s="246"/>
      <c r="I101" s="246"/>
      <c r="J101" s="246"/>
      <c r="K101" s="246"/>
      <c r="L101" s="246"/>
      <c r="M101" s="1349"/>
      <c r="O101" s="1292" t="s">
        <v>68</v>
      </c>
      <c r="P101" s="1292" t="s">
        <v>1094</v>
      </c>
      <c r="Q101" s="1292" t="s">
        <v>39</v>
      </c>
      <c r="R101" s="1293"/>
      <c r="S101" s="1292" t="s">
        <v>181</v>
      </c>
      <c r="T101" s="1292" t="s">
        <v>572</v>
      </c>
      <c r="U101" s="1294" t="s">
        <v>1190</v>
      </c>
      <c r="W101" s="1293" t="str">
        <f>'🔵クレーム'!C92</f>
        <v/>
      </c>
      <c r="X101" s="1293" t="str">
        <f>'🔵クレーム'!D92</f>
        <v/>
      </c>
      <c r="Y101" s="1292" t="str">
        <f>'🔵クレーム'!I92</f>
        <v/>
      </c>
      <c r="Z101" s="1293" t="str">
        <f>'🔵クレーム'!J92</f>
        <v/>
      </c>
      <c r="AA101" s="1293" t="str">
        <f>'🔵クレーム'!K92</f>
        <v/>
      </c>
      <c r="AB101" s="1293" t="str">
        <f>'🔵クレーム'!L92</f>
        <v/>
      </c>
      <c r="AC101" s="1295" t="str">
        <f>'🔵クレーム'!N92</f>
        <v/>
      </c>
    </row>
    <row r="102">
      <c r="B102" s="1350" t="str">
        <f>IFERROR(__xludf.DUMMYFUNCTION("""COMPUTED_VALUE"""),"7月")</f>
        <v>7月</v>
      </c>
      <c r="C102" s="1351" t="str">
        <f>IFERROR(__xludf.DUMMYFUNCTION("""COMPUTED_VALUE"""),"9日")</f>
        <v>9日</v>
      </c>
      <c r="D102" s="1351" t="str">
        <f>IFERROR(__xludf.DUMMYFUNCTION("""COMPUTED_VALUE"""),"その他")</f>
        <v>その他</v>
      </c>
      <c r="E102" s="1347" t="str">
        <f>IFERROR(__xludf.DUMMYFUNCTION("""COMPUTED_VALUE"""),"堀")</f>
        <v>堀</v>
      </c>
      <c r="F102" s="1347"/>
      <c r="G102" s="1348"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49"/>
      <c r="O102" s="1292" t="s">
        <v>68</v>
      </c>
      <c r="P102" s="1292" t="s">
        <v>1134</v>
      </c>
      <c r="Q102" s="1292" t="s">
        <v>39</v>
      </c>
      <c r="R102" s="1293"/>
      <c r="S102" s="1292" t="s">
        <v>181</v>
      </c>
      <c r="T102" s="1292" t="s">
        <v>512</v>
      </c>
      <c r="U102" s="1294" t="s">
        <v>1191</v>
      </c>
      <c r="W102" s="1293" t="str">
        <f>'🔵クレーム'!C93</f>
        <v/>
      </c>
      <c r="X102" s="1293" t="str">
        <f>'🔵クレーム'!D93</f>
        <v/>
      </c>
      <c r="Y102" s="1292" t="str">
        <f>'🔵クレーム'!I93</f>
        <v/>
      </c>
      <c r="Z102" s="1293" t="str">
        <f>'🔵クレーム'!J93</f>
        <v/>
      </c>
      <c r="AA102" s="1293" t="str">
        <f>'🔵クレーム'!K93</f>
        <v/>
      </c>
      <c r="AB102" s="1293" t="str">
        <f>'🔵クレーム'!L93</f>
        <v/>
      </c>
      <c r="AC102" s="1295" t="str">
        <f>'🔵クレーム'!N93</f>
        <v/>
      </c>
    </row>
    <row r="103">
      <c r="B103" s="1350" t="str">
        <f>IFERROR(__xludf.DUMMYFUNCTION("""COMPUTED_VALUE"""),"7月")</f>
        <v>7月</v>
      </c>
      <c r="C103" s="1351" t="str">
        <f>IFERROR(__xludf.DUMMYFUNCTION("""COMPUTED_VALUE"""),"11日")</f>
        <v>11日</v>
      </c>
      <c r="D103" s="1351" t="str">
        <f>IFERROR(__xludf.DUMMYFUNCTION("""COMPUTED_VALUE"""),"清掃不備")</f>
        <v>清掃不備</v>
      </c>
      <c r="E103" s="1347" t="str">
        <f>IFERROR(__xludf.DUMMYFUNCTION("""COMPUTED_VALUE"""),"東等")</f>
        <v>東等</v>
      </c>
      <c r="F103" s="1347"/>
      <c r="G103" s="1348" t="str">
        <f>IFERROR(__xludf.DUMMYFUNCTION("""COMPUTED_VALUE"""),"机の横がべたべたしていた。")</f>
        <v>机の横がべたべたしていた。</v>
      </c>
      <c r="H103" s="246"/>
      <c r="I103" s="246"/>
      <c r="J103" s="246"/>
      <c r="K103" s="246"/>
      <c r="L103" s="246"/>
      <c r="M103" s="1349"/>
      <c r="O103" s="1292" t="s">
        <v>68</v>
      </c>
      <c r="P103" s="1292" t="s">
        <v>1134</v>
      </c>
      <c r="Q103" s="1292" t="s">
        <v>38</v>
      </c>
      <c r="R103" s="1293"/>
      <c r="S103" s="1292" t="s">
        <v>204</v>
      </c>
      <c r="T103" s="1292" t="s">
        <v>171</v>
      </c>
      <c r="U103" s="1294" t="s">
        <v>1192</v>
      </c>
      <c r="W103" s="1293" t="str">
        <f>'🔵クレーム'!C94</f>
        <v/>
      </c>
      <c r="X103" s="1293" t="str">
        <f>'🔵クレーム'!D94</f>
        <v/>
      </c>
      <c r="Y103" s="1292" t="str">
        <f>'🔵クレーム'!I94</f>
        <v/>
      </c>
      <c r="Z103" s="1293" t="str">
        <f>'🔵クレーム'!J94</f>
        <v/>
      </c>
      <c r="AA103" s="1293" t="str">
        <f>'🔵クレーム'!K94</f>
        <v/>
      </c>
      <c r="AB103" s="1293" t="str">
        <f>'🔵クレーム'!L94</f>
        <v/>
      </c>
      <c r="AC103" s="1295" t="str">
        <f>'🔵クレーム'!N94</f>
        <v/>
      </c>
    </row>
    <row r="104">
      <c r="B104" s="1350" t="str">
        <f>IFERROR(__xludf.DUMMYFUNCTION("""COMPUTED_VALUE"""),"7月")</f>
        <v>7月</v>
      </c>
      <c r="C104" s="1351" t="str">
        <f>IFERROR(__xludf.DUMMYFUNCTION("""COMPUTED_VALUE"""),"13日")</f>
        <v>13日</v>
      </c>
      <c r="D104" s="1351" t="str">
        <f>IFERROR(__xludf.DUMMYFUNCTION("""COMPUTED_VALUE"""),"残置")</f>
        <v>残置</v>
      </c>
      <c r="E104" s="1347" t="str">
        <f>IFERROR(__xludf.DUMMYFUNCTION("""COMPUTED_VALUE"""),"柴村")</f>
        <v>柴村</v>
      </c>
      <c r="F104" s="1347"/>
      <c r="G104" s="1348" t="str">
        <f>IFERROR(__xludf.DUMMYFUNCTION("""COMPUTED_VALUE"""),"歯ブラシの袋が開いていた")</f>
        <v>歯ブラシの袋が開いていた</v>
      </c>
      <c r="H104" s="246"/>
      <c r="I104" s="246"/>
      <c r="J104" s="246"/>
      <c r="K104" s="246"/>
      <c r="L104" s="246"/>
      <c r="M104" s="1349"/>
      <c r="O104" s="1292" t="s">
        <v>68</v>
      </c>
      <c r="P104" s="1292" t="s">
        <v>212</v>
      </c>
      <c r="Q104" s="1292" t="s">
        <v>42</v>
      </c>
      <c r="R104" s="1293"/>
      <c r="S104" s="1292" t="s">
        <v>175</v>
      </c>
      <c r="T104" s="1292" t="s">
        <v>200</v>
      </c>
      <c r="U104" s="1294" t="s">
        <v>1193</v>
      </c>
      <c r="W104" s="1293" t="str">
        <f>'🔵クレーム'!C95</f>
        <v/>
      </c>
      <c r="X104" s="1293" t="str">
        <f>'🔵クレーム'!D95</f>
        <v/>
      </c>
      <c r="Y104" s="1292" t="str">
        <f>'🔵クレーム'!I95</f>
        <v/>
      </c>
      <c r="Z104" s="1293" t="str">
        <f>'🔵クレーム'!J95</f>
        <v/>
      </c>
      <c r="AA104" s="1293" t="str">
        <f>'🔵クレーム'!K95</f>
        <v/>
      </c>
      <c r="AB104" s="1293" t="str">
        <f>'🔵クレーム'!L95</f>
        <v/>
      </c>
      <c r="AC104" s="1295" t="str">
        <f>'🔵クレーム'!N95</f>
        <v/>
      </c>
    </row>
    <row r="105">
      <c r="B105" s="1350" t="str">
        <f>IFERROR(__xludf.DUMMYFUNCTION("""COMPUTED_VALUE"""),"7月")</f>
        <v>7月</v>
      </c>
      <c r="C105" s="1351" t="str">
        <f>IFERROR(__xludf.DUMMYFUNCTION("""COMPUTED_VALUE"""),"17日")</f>
        <v>17日</v>
      </c>
      <c r="D105" s="1351" t="str">
        <f>IFERROR(__xludf.DUMMYFUNCTION("""COMPUTED_VALUE"""),"その他")</f>
        <v>その他</v>
      </c>
      <c r="E105" s="1347" t="str">
        <f>IFERROR(__xludf.DUMMYFUNCTION("""COMPUTED_VALUE"""),"迫田")</f>
        <v>迫田</v>
      </c>
      <c r="F105" s="1347"/>
      <c r="G105" s="1348" t="str">
        <f>IFERROR(__xludf.DUMMYFUNCTION("""COMPUTED_VALUE"""),"枕が臭い")</f>
        <v>枕が臭い</v>
      </c>
      <c r="H105" s="246"/>
      <c r="I105" s="246"/>
      <c r="J105" s="246"/>
      <c r="K105" s="246"/>
      <c r="L105" s="246"/>
      <c r="M105" s="1349"/>
      <c r="O105" s="1292" t="s">
        <v>68</v>
      </c>
      <c r="P105" s="1292" t="s">
        <v>1136</v>
      </c>
      <c r="Q105" s="1292" t="s">
        <v>42</v>
      </c>
      <c r="R105" s="1293"/>
      <c r="S105" s="1292" t="s">
        <v>1117</v>
      </c>
      <c r="T105" s="1292" t="s">
        <v>196</v>
      </c>
      <c r="U105" s="1294" t="s">
        <v>1194</v>
      </c>
      <c r="W105" s="1293" t="str">
        <f>'🔵クレーム'!C96</f>
        <v/>
      </c>
      <c r="X105" s="1293" t="str">
        <f>'🔵クレーム'!D96</f>
        <v/>
      </c>
      <c r="Y105" s="1292" t="str">
        <f>'🔵クレーム'!I96</f>
        <v/>
      </c>
      <c r="Z105" s="1293" t="str">
        <f>'🔵クレーム'!J96</f>
        <v/>
      </c>
      <c r="AA105" s="1293" t="str">
        <f>'🔵クレーム'!K96</f>
        <v/>
      </c>
      <c r="AB105" s="1293" t="str">
        <f>'🔵クレーム'!L96</f>
        <v/>
      </c>
      <c r="AC105" s="1295" t="str">
        <f>'🔵クレーム'!N96</f>
        <v/>
      </c>
    </row>
    <row r="106">
      <c r="B106" s="1350" t="str">
        <f>IFERROR(__xludf.DUMMYFUNCTION("""COMPUTED_VALUE"""),"7月")</f>
        <v>7月</v>
      </c>
      <c r="C106" s="1351" t="str">
        <f>IFERROR(__xludf.DUMMYFUNCTION("""COMPUTED_VALUE"""),"21日")</f>
        <v>21日</v>
      </c>
      <c r="D106" s="1351" t="str">
        <f>IFERROR(__xludf.DUMMYFUNCTION("""COMPUTED_VALUE"""),"その他")</f>
        <v>その他</v>
      </c>
      <c r="E106" s="1347" t="str">
        <f>IFERROR(__xludf.DUMMYFUNCTION("""COMPUTED_VALUE"""),"西川")</f>
        <v>西川</v>
      </c>
      <c r="F106" s="1347"/>
      <c r="G106" s="1348" t="str">
        <f>IFERROR(__xludf.DUMMYFUNCTION("""COMPUTED_VALUE"""),"DDでテッシュボックスを外に出していたら
回収された")</f>
        <v>DDでテッシュボックスを外に出していたら
回収された</v>
      </c>
      <c r="H106" s="246"/>
      <c r="I106" s="246"/>
      <c r="J106" s="246"/>
      <c r="K106" s="246"/>
      <c r="L106" s="246"/>
      <c r="M106" s="1349"/>
      <c r="O106" s="1292" t="s">
        <v>68</v>
      </c>
      <c r="P106" s="1292" t="s">
        <v>1177</v>
      </c>
      <c r="Q106" s="1292" t="s">
        <v>28</v>
      </c>
      <c r="R106" s="1293"/>
      <c r="S106" s="1292"/>
      <c r="T106" s="1292"/>
      <c r="U106" s="1294" t="s">
        <v>1195</v>
      </c>
      <c r="W106" s="1293" t="str">
        <f>'🔵クレーム'!C97</f>
        <v/>
      </c>
      <c r="X106" s="1293" t="str">
        <f>'🔵クレーム'!D97</f>
        <v/>
      </c>
      <c r="Y106" s="1292" t="str">
        <f>'🔵クレーム'!I97</f>
        <v/>
      </c>
      <c r="Z106" s="1293" t="str">
        <f>'🔵クレーム'!J97</f>
        <v/>
      </c>
      <c r="AA106" s="1293" t="str">
        <f>'🔵クレーム'!K97</f>
        <v/>
      </c>
      <c r="AB106" s="1293" t="str">
        <f>'🔵クレーム'!L97</f>
        <v/>
      </c>
      <c r="AC106" s="1295" t="str">
        <f>'🔵クレーム'!N97</f>
        <v/>
      </c>
    </row>
    <row r="107">
      <c r="B107" s="1350" t="str">
        <f>IFERROR(__xludf.DUMMYFUNCTION("""COMPUTED_VALUE"""),"7月")</f>
        <v>7月</v>
      </c>
      <c r="C107" s="1351" t="str">
        <f>IFERROR(__xludf.DUMMYFUNCTION("""COMPUTED_VALUE"""),"26日")</f>
        <v>26日</v>
      </c>
      <c r="D107" s="1351" t="str">
        <f>IFERROR(__xludf.DUMMYFUNCTION("""COMPUTED_VALUE"""),"清掃不備")</f>
        <v>清掃不備</v>
      </c>
      <c r="E107" s="1347" t="str">
        <f>IFERROR(__xludf.DUMMYFUNCTION("""COMPUTED_VALUE"""),"迫田")</f>
        <v>迫田</v>
      </c>
      <c r="F107" s="1347" t="str">
        <f>IFERROR(__xludf.DUMMYFUNCTION("""COMPUTED_VALUE"""),"ポールニ")</f>
        <v>ポールニ</v>
      </c>
      <c r="G107" s="1348" t="str">
        <f>IFERROR(__xludf.DUMMYFUNCTION("""COMPUTED_VALUE"""),"部屋からタバコ臭")</f>
        <v>部屋からタバコ臭</v>
      </c>
      <c r="H107" s="246"/>
      <c r="I107" s="246"/>
      <c r="J107" s="246"/>
      <c r="K107" s="246"/>
      <c r="L107" s="246"/>
      <c r="M107" s="1349"/>
      <c r="O107" s="1292" t="s">
        <v>68</v>
      </c>
      <c r="P107" s="1292" t="s">
        <v>1177</v>
      </c>
      <c r="Q107" s="1292" t="s">
        <v>28</v>
      </c>
      <c r="R107" s="1293"/>
      <c r="S107" s="1292"/>
      <c r="T107" s="1292"/>
      <c r="U107" s="1294" t="s">
        <v>1196</v>
      </c>
      <c r="W107" s="1293" t="str">
        <f>'🔵クレーム'!C98</f>
        <v/>
      </c>
      <c r="X107" s="1293" t="str">
        <f>'🔵クレーム'!D98</f>
        <v/>
      </c>
      <c r="Y107" s="1292" t="str">
        <f>'🔵クレーム'!I98</f>
        <v/>
      </c>
      <c r="Z107" s="1293" t="str">
        <f>'🔵クレーム'!J98</f>
        <v/>
      </c>
      <c r="AA107" s="1293" t="str">
        <f>'🔵クレーム'!K98</f>
        <v/>
      </c>
      <c r="AB107" s="1293" t="str">
        <f>'🔵クレーム'!L98</f>
        <v/>
      </c>
      <c r="AC107" s="1295" t="str">
        <f>'🔵クレーム'!N98</f>
        <v/>
      </c>
    </row>
    <row r="108">
      <c r="B108" s="1350" t="str">
        <f>IFERROR(__xludf.DUMMYFUNCTION("""COMPUTED_VALUE"""),"7月")</f>
        <v>7月</v>
      </c>
      <c r="C108" s="1351" t="str">
        <f>IFERROR(__xludf.DUMMYFUNCTION("""COMPUTED_VALUE"""),"27日")</f>
        <v>27日</v>
      </c>
      <c r="D108" s="1351" t="str">
        <f>IFERROR(__xludf.DUMMYFUNCTION("""COMPUTED_VALUE"""),"清掃不備")</f>
        <v>清掃不備</v>
      </c>
      <c r="E108" s="1347" t="str">
        <f>IFERROR(__xludf.DUMMYFUNCTION("""COMPUTED_VALUE"""),"東等")</f>
        <v>東等</v>
      </c>
      <c r="F108" s="1347" t="str">
        <f>IFERROR(__xludf.DUMMYFUNCTION("""COMPUTED_VALUE"""),"アビシク")</f>
        <v>アビシク</v>
      </c>
      <c r="G108" s="1348" t="str">
        <f>IFERROR(__xludf.DUMMYFUNCTION("""COMPUTED_VALUE"""),"ボディソープがなかった。")</f>
        <v>ボディソープがなかった。</v>
      </c>
      <c r="H108" s="246"/>
      <c r="I108" s="246"/>
      <c r="J108" s="246"/>
      <c r="K108" s="246"/>
      <c r="L108" s="246"/>
      <c r="M108" s="1349"/>
      <c r="O108" s="1292" t="s">
        <v>68</v>
      </c>
      <c r="P108" s="1292" t="s">
        <v>135</v>
      </c>
      <c r="Q108" s="1292" t="s">
        <v>28</v>
      </c>
      <c r="R108" s="1293"/>
      <c r="S108" s="1292"/>
      <c r="T108" s="1292"/>
      <c r="U108" s="1294" t="s">
        <v>1197</v>
      </c>
      <c r="W108" s="1293" t="str">
        <f>'🔵クレーム'!C99</f>
        <v/>
      </c>
      <c r="X108" s="1293" t="str">
        <f>'🔵クレーム'!D99</f>
        <v/>
      </c>
      <c r="Y108" s="1292" t="str">
        <f>'🔵クレーム'!I99</f>
        <v/>
      </c>
      <c r="Z108" s="1293" t="str">
        <f>'🔵クレーム'!J99</f>
        <v/>
      </c>
      <c r="AA108" s="1293" t="str">
        <f>'🔵クレーム'!K99</f>
        <v/>
      </c>
      <c r="AB108" s="1293" t="str">
        <f>'🔵クレーム'!L99</f>
        <v/>
      </c>
      <c r="AC108" s="1295" t="str">
        <f>'🔵クレーム'!N99</f>
        <v/>
      </c>
    </row>
    <row r="109">
      <c r="B109" s="1350" t="str">
        <f>IFERROR(__xludf.DUMMYFUNCTION("""COMPUTED_VALUE"""),"7月")</f>
        <v>7月</v>
      </c>
      <c r="C109" s="1351" t="str">
        <f>IFERROR(__xludf.DUMMYFUNCTION("""COMPUTED_VALUE"""),"27日")</f>
        <v>27日</v>
      </c>
      <c r="D109" s="1351" t="str">
        <f>IFERROR(__xludf.DUMMYFUNCTION("""COMPUTED_VALUE"""),"清掃不備")</f>
        <v>清掃不備</v>
      </c>
      <c r="E109" s="1347"/>
      <c r="F109" s="1347"/>
      <c r="G109" s="1348" t="str">
        <f>IFERROR(__xludf.DUMMYFUNCTION("""COMPUTED_VALUE"""),"お客様の耳栓が捨てられていた。")</f>
        <v>お客様の耳栓が捨てられていた。</v>
      </c>
      <c r="H109" s="246"/>
      <c r="I109" s="246"/>
      <c r="J109" s="246"/>
      <c r="K109" s="246"/>
      <c r="L109" s="246"/>
      <c r="M109" s="1349"/>
      <c r="O109" s="1292" t="s">
        <v>68</v>
      </c>
      <c r="P109" s="1292" t="s">
        <v>235</v>
      </c>
      <c r="Q109" s="1292" t="s">
        <v>28</v>
      </c>
      <c r="R109" s="1293"/>
      <c r="S109" s="1292"/>
      <c r="T109" s="1292"/>
      <c r="U109" s="1294" t="s">
        <v>1198</v>
      </c>
      <c r="W109" s="1293" t="str">
        <f>'🔵クレーム'!C100</f>
        <v/>
      </c>
      <c r="X109" s="1293" t="str">
        <f>'🔵クレーム'!D100</f>
        <v/>
      </c>
      <c r="Y109" s="1292" t="str">
        <f>'🔵クレーム'!I100</f>
        <v/>
      </c>
      <c r="Z109" s="1293" t="str">
        <f>'🔵クレーム'!J100</f>
        <v/>
      </c>
      <c r="AA109" s="1293" t="str">
        <f>'🔵クレーム'!K100</f>
        <v/>
      </c>
      <c r="AB109" s="1293" t="str">
        <f>'🔵クレーム'!L100</f>
        <v/>
      </c>
      <c r="AC109" s="1295" t="str">
        <f>'🔵クレーム'!N100</f>
        <v/>
      </c>
    </row>
    <row r="110">
      <c r="B110" s="1350" t="str">
        <f>IFERROR(__xludf.DUMMYFUNCTION("""COMPUTED_VALUE"""),"8月")</f>
        <v>8月</v>
      </c>
      <c r="C110" s="1351" t="str">
        <f>IFERROR(__xludf.DUMMYFUNCTION("""COMPUTED_VALUE"""),"4日")</f>
        <v>4日</v>
      </c>
      <c r="D110" s="1351" t="str">
        <f>IFERROR(__xludf.DUMMYFUNCTION("""COMPUTED_VALUE"""),"口コミ")</f>
        <v>口コミ</v>
      </c>
      <c r="E110" s="1347" t="str">
        <f>IFERROR(__xludf.DUMMYFUNCTION("""COMPUTED_VALUE"""),"?")</f>
        <v>?</v>
      </c>
      <c r="F110" s="1347" t="str">
        <f>IFERROR(__xludf.DUMMYFUNCTION("""COMPUTED_VALUE"""),"？")</f>
        <v>？</v>
      </c>
      <c r="G110" s="1348" t="str">
        <f>IFERROR(__xludf.DUMMYFUNCTION("""COMPUTED_VALUE"""),"ベッド上の棚やテレビ台の棚に
ホコリがあった")</f>
        <v>ベッド上の棚やテレビ台の棚に
ホコリがあった</v>
      </c>
      <c r="H110" s="246"/>
      <c r="I110" s="246"/>
      <c r="J110" s="246"/>
      <c r="K110" s="246"/>
      <c r="L110" s="246"/>
      <c r="M110" s="1349"/>
      <c r="O110" s="1292" t="s">
        <v>68</v>
      </c>
      <c r="P110" s="1292" t="s">
        <v>1099</v>
      </c>
      <c r="Q110" s="1292" t="s">
        <v>28</v>
      </c>
      <c r="R110" s="1293"/>
      <c r="S110" s="1292"/>
      <c r="T110" s="1292"/>
      <c r="U110" s="1294" t="s">
        <v>1199</v>
      </c>
      <c r="W110" s="1293" t="str">
        <f>'🔵クレーム'!C101</f>
        <v/>
      </c>
      <c r="X110" s="1293" t="str">
        <f>'🔵クレーム'!D101</f>
        <v/>
      </c>
      <c r="Y110" s="1292" t="str">
        <f>'🔵クレーム'!I101</f>
        <v/>
      </c>
      <c r="Z110" s="1293" t="str">
        <f>'🔵クレーム'!J101</f>
        <v/>
      </c>
      <c r="AA110" s="1293" t="str">
        <f>'🔵クレーム'!K101</f>
        <v/>
      </c>
      <c r="AB110" s="1293" t="str">
        <f>'🔵クレーム'!L101</f>
        <v/>
      </c>
      <c r="AC110" s="1295" t="str">
        <f>'🔵クレーム'!N101</f>
        <v/>
      </c>
    </row>
    <row r="111">
      <c r="B111" s="1350" t="str">
        <f>IFERROR(__xludf.DUMMYFUNCTION("""COMPUTED_VALUE"""),"8月")</f>
        <v>8月</v>
      </c>
      <c r="C111" s="1351" t="str">
        <f>IFERROR(__xludf.DUMMYFUNCTION("""COMPUTED_VALUE"""),"6日")</f>
        <v>6日</v>
      </c>
      <c r="D111" s="1351" t="str">
        <f>IFERROR(__xludf.DUMMYFUNCTION("""COMPUTED_VALUE"""),"その他")</f>
        <v>その他</v>
      </c>
      <c r="E111" s="1347" t="str">
        <f>IFERROR(__xludf.DUMMYFUNCTION("""COMPUTED_VALUE"""),"西川")</f>
        <v>西川</v>
      </c>
      <c r="F111" s="1347" t="str">
        <f>IFERROR(__xludf.DUMMYFUNCTION("""COMPUTED_VALUE"""),"サプコタ")</f>
        <v>サプコタ</v>
      </c>
      <c r="G111" s="1348" t="str">
        <f>IFERROR(__xludf.DUMMYFUNCTION("""COMPUTED_VALUE"""),"洋服巻き込み")</f>
        <v>洋服巻き込み</v>
      </c>
      <c r="H111" s="246"/>
      <c r="I111" s="246"/>
      <c r="J111" s="246"/>
      <c r="K111" s="246"/>
      <c r="L111" s="246"/>
      <c r="M111" s="1349"/>
      <c r="O111" s="1292" t="s">
        <v>68</v>
      </c>
      <c r="P111" s="1292" t="s">
        <v>1160</v>
      </c>
      <c r="Q111" s="1292" t="s">
        <v>28</v>
      </c>
      <c r="R111" s="1293"/>
      <c r="S111" s="1292"/>
      <c r="T111" s="1292"/>
      <c r="U111" s="1294" t="s">
        <v>1200</v>
      </c>
      <c r="W111" s="1293" t="str">
        <f>'🔵クレーム'!C102</f>
        <v/>
      </c>
      <c r="X111" s="1293" t="str">
        <f>'🔵クレーム'!D102</f>
        <v/>
      </c>
      <c r="Y111" s="1292" t="str">
        <f>'🔵クレーム'!I102</f>
        <v/>
      </c>
      <c r="Z111" s="1293" t="str">
        <f>'🔵クレーム'!J102</f>
        <v/>
      </c>
      <c r="AA111" s="1293" t="str">
        <f>'🔵クレーム'!K102</f>
        <v/>
      </c>
      <c r="AB111" s="1293" t="str">
        <f>'🔵クレーム'!L102</f>
        <v/>
      </c>
      <c r="AC111" s="1295" t="str">
        <f>'🔵クレーム'!N102</f>
        <v/>
      </c>
    </row>
    <row r="112">
      <c r="B112" s="1350" t="str">
        <f>IFERROR(__xludf.DUMMYFUNCTION("""COMPUTED_VALUE"""),"8月")</f>
        <v>8月</v>
      </c>
      <c r="C112" s="1351" t="str">
        <f>IFERROR(__xludf.DUMMYFUNCTION("""COMPUTED_VALUE"""),"6日")</f>
        <v>6日</v>
      </c>
      <c r="D112" s="1351" t="str">
        <f>IFERROR(__xludf.DUMMYFUNCTION("""COMPUTED_VALUE"""),"残置")</f>
        <v>残置</v>
      </c>
      <c r="E112" s="1347" t="str">
        <f>IFERROR(__xludf.DUMMYFUNCTION("""COMPUTED_VALUE"""),"柴村")</f>
        <v>柴村</v>
      </c>
      <c r="F112" s="1347"/>
      <c r="G112" s="1348" t="str">
        <f>IFERROR(__xludf.DUMMYFUNCTION("""COMPUTED_VALUE"""),"クイックルハンディ部屋に
置きっぱなし")</f>
        <v>クイックルハンディ部屋に
置きっぱなし</v>
      </c>
      <c r="H112" s="246"/>
      <c r="I112" s="246"/>
      <c r="J112" s="246"/>
      <c r="K112" s="246"/>
      <c r="L112" s="246"/>
      <c r="M112" s="1349"/>
      <c r="O112" s="1292" t="s">
        <v>68</v>
      </c>
      <c r="P112" s="1292" t="s">
        <v>195</v>
      </c>
      <c r="Q112" s="1292" t="s">
        <v>28</v>
      </c>
      <c r="R112" s="1293"/>
      <c r="S112" s="1292"/>
      <c r="T112" s="1292"/>
      <c r="U112" s="1294" t="s">
        <v>1201</v>
      </c>
      <c r="W112" s="1293" t="str">
        <f>'🔵クレーム'!C103</f>
        <v/>
      </c>
      <c r="X112" s="1293" t="str">
        <f>'🔵クレーム'!D103</f>
        <v/>
      </c>
      <c r="Y112" s="1292" t="str">
        <f>'🔵クレーム'!I103</f>
        <v/>
      </c>
      <c r="Z112" s="1293" t="str">
        <f>'🔵クレーム'!J103</f>
        <v/>
      </c>
      <c r="AA112" s="1293" t="str">
        <f>'🔵クレーム'!K103</f>
        <v/>
      </c>
      <c r="AB112" s="1293" t="str">
        <f>'🔵クレーム'!L103</f>
        <v/>
      </c>
      <c r="AC112" s="1295" t="str">
        <f>'🔵クレーム'!N103</f>
        <v/>
      </c>
    </row>
    <row r="113">
      <c r="B113" s="1352" t="str">
        <f>IFERROR(__xludf.DUMMYFUNCTION("""COMPUTED_VALUE"""),"8月")</f>
        <v>8月</v>
      </c>
      <c r="C113" s="1270" t="str">
        <f>IFERROR(__xludf.DUMMYFUNCTION("""COMPUTED_VALUE"""),"8日")</f>
        <v>8日</v>
      </c>
      <c r="D113" s="1270" t="str">
        <f>IFERROR(__xludf.DUMMYFUNCTION("""COMPUTED_VALUE"""),"口コミ")</f>
        <v>口コミ</v>
      </c>
      <c r="E113" s="1347"/>
      <c r="F113" s="1347"/>
      <c r="G113" s="1348" t="str">
        <f>IFERROR(__xludf.DUMMYFUNCTION("""COMPUTED_VALUE"""),"蛇口が汚れていた。")</f>
        <v>蛇口が汚れていた。</v>
      </c>
      <c r="H113" s="246"/>
      <c r="I113" s="246"/>
      <c r="J113" s="246"/>
      <c r="K113" s="246"/>
      <c r="L113" s="246"/>
      <c r="M113" s="1349"/>
      <c r="O113" s="1292" t="s">
        <v>70</v>
      </c>
      <c r="P113" s="1292" t="s">
        <v>97</v>
      </c>
      <c r="Q113" s="1292" t="s">
        <v>39</v>
      </c>
      <c r="R113" s="1293"/>
      <c r="S113" s="1292" t="s">
        <v>1202</v>
      </c>
      <c r="T113" s="1292" t="s">
        <v>570</v>
      </c>
      <c r="U113" s="1294" t="s">
        <v>1203</v>
      </c>
      <c r="W113" s="1293" t="str">
        <f>'🔵クレーム'!C104</f>
        <v/>
      </c>
      <c r="X113" s="1293" t="str">
        <f>'🔵クレーム'!D104</f>
        <v/>
      </c>
      <c r="Y113" s="1292" t="str">
        <f>'🔵クレーム'!I104</f>
        <v/>
      </c>
      <c r="Z113" s="1293" t="str">
        <f>'🔵クレーム'!J104</f>
        <v/>
      </c>
      <c r="AA113" s="1293" t="str">
        <f>'🔵クレーム'!K104</f>
        <v/>
      </c>
      <c r="AB113" s="1293" t="str">
        <f>'🔵クレーム'!L104</f>
        <v/>
      </c>
      <c r="AC113" s="1295" t="str">
        <f>'🔵クレーム'!N104</f>
        <v/>
      </c>
    </row>
    <row r="114">
      <c r="B114" s="1352" t="str">
        <f>IFERROR(__xludf.DUMMYFUNCTION("""COMPUTED_VALUE"""),"8月")</f>
        <v>8月</v>
      </c>
      <c r="C114" s="1270" t="str">
        <f>IFERROR(__xludf.DUMMYFUNCTION("""COMPUTED_VALUE"""),"8日")</f>
        <v>8日</v>
      </c>
      <c r="D114" s="1270" t="str">
        <f>IFERROR(__xludf.DUMMYFUNCTION("""COMPUTED_VALUE"""),"清掃不備")</f>
        <v>清掃不備</v>
      </c>
      <c r="E114" s="1347" t="str">
        <f>IFERROR(__xludf.DUMMYFUNCTION("""COMPUTED_VALUE"""),"迫田")</f>
        <v>迫田</v>
      </c>
      <c r="F114" s="1347"/>
      <c r="G114" s="1348" t="str">
        <f>IFERROR(__xludf.DUMMYFUNCTION("""COMPUTED_VALUE"""),"浴室シャワーカーテンにカビ")</f>
        <v>浴室シャワーカーテンにカビ</v>
      </c>
      <c r="H114" s="246"/>
      <c r="I114" s="246"/>
      <c r="J114" s="246"/>
      <c r="K114" s="246"/>
      <c r="L114" s="246"/>
      <c r="M114" s="1349"/>
      <c r="O114" s="1292" t="s">
        <v>70</v>
      </c>
      <c r="P114" s="1292" t="s">
        <v>97</v>
      </c>
      <c r="Q114" s="1292" t="s">
        <v>28</v>
      </c>
      <c r="R114" s="1293"/>
      <c r="S114" s="1292"/>
      <c r="T114" s="1292"/>
      <c r="U114" s="1294" t="s">
        <v>1204</v>
      </c>
      <c r="W114" s="1293" t="str">
        <f>'🔵クレーム'!C105</f>
        <v/>
      </c>
      <c r="X114" s="1293" t="str">
        <f>'🔵クレーム'!D105</f>
        <v/>
      </c>
      <c r="Y114" s="1292" t="str">
        <f>'🔵クレーム'!I105</f>
        <v/>
      </c>
      <c r="Z114" s="1293" t="str">
        <f>'🔵クレーム'!J105</f>
        <v/>
      </c>
      <c r="AA114" s="1293" t="str">
        <f>'🔵クレーム'!K105</f>
        <v/>
      </c>
      <c r="AB114" s="1293" t="str">
        <f>'🔵クレーム'!L105</f>
        <v/>
      </c>
      <c r="AC114" s="1295" t="str">
        <f>'🔵クレーム'!N105</f>
        <v/>
      </c>
    </row>
    <row r="115">
      <c r="B115" s="1352" t="str">
        <f>IFERROR(__xludf.DUMMYFUNCTION("""COMPUTED_VALUE"""),"8月")</f>
        <v>8月</v>
      </c>
      <c r="C115" s="1270" t="str">
        <f>IFERROR(__xludf.DUMMYFUNCTION("""COMPUTED_VALUE"""),"9日")</f>
        <v>9日</v>
      </c>
      <c r="D115" s="1270" t="str">
        <f>IFERROR(__xludf.DUMMYFUNCTION("""COMPUTED_VALUE"""),"口コミ")</f>
        <v>口コミ</v>
      </c>
      <c r="E115" s="1347"/>
      <c r="F115" s="1347"/>
      <c r="G115" s="1348" t="str">
        <f>IFERROR(__xludf.DUMMYFUNCTION("""COMPUTED_VALUE"""),"冷蔵庫の中にカビ")</f>
        <v>冷蔵庫の中にカビ</v>
      </c>
      <c r="H115" s="246"/>
      <c r="I115" s="246"/>
      <c r="J115" s="246"/>
      <c r="K115" s="246"/>
      <c r="L115" s="246"/>
      <c r="M115" s="1349"/>
      <c r="O115" s="1292" t="s">
        <v>70</v>
      </c>
      <c r="P115" s="1292" t="s">
        <v>1165</v>
      </c>
      <c r="Q115" s="1292" t="s">
        <v>28</v>
      </c>
      <c r="R115" s="1293"/>
      <c r="S115" s="1292"/>
      <c r="T115" s="1292"/>
      <c r="U115" s="1294" t="s">
        <v>1205</v>
      </c>
      <c r="W115" s="1293" t="str">
        <f>'🔵クレーム'!C106</f>
        <v/>
      </c>
      <c r="X115" s="1293" t="str">
        <f>'🔵クレーム'!D106</f>
        <v/>
      </c>
      <c r="Y115" s="1292" t="str">
        <f>'🔵クレーム'!I106</f>
        <v/>
      </c>
      <c r="Z115" s="1293" t="str">
        <f>'🔵クレーム'!J106</f>
        <v/>
      </c>
      <c r="AA115" s="1293" t="str">
        <f>'🔵クレーム'!K106</f>
        <v/>
      </c>
      <c r="AB115" s="1293" t="str">
        <f>'🔵クレーム'!L106</f>
        <v/>
      </c>
      <c r="AC115" s="1295" t="str">
        <f>'🔵クレーム'!N106</f>
        <v/>
      </c>
    </row>
    <row r="116">
      <c r="B116" s="1352" t="str">
        <f>IFERROR(__xludf.DUMMYFUNCTION("""COMPUTED_VALUE"""),"8月")</f>
        <v>8月</v>
      </c>
      <c r="C116" s="1270" t="str">
        <f>IFERROR(__xludf.DUMMYFUNCTION("""COMPUTED_VALUE"""),"15日")</f>
        <v>15日</v>
      </c>
      <c r="D116" s="1270" t="str">
        <f>IFERROR(__xludf.DUMMYFUNCTION("""COMPUTED_VALUE"""),"口コミ")</f>
        <v>口コミ</v>
      </c>
      <c r="E116" s="1347"/>
      <c r="F116" s="1347"/>
      <c r="G116" s="1348" t="str">
        <f>IFERROR(__xludf.DUMMYFUNCTION("""COMPUTED_VALUE"""),"タバコの臭い")</f>
        <v>タバコの臭い</v>
      </c>
      <c r="H116" s="246"/>
      <c r="I116" s="246"/>
      <c r="J116" s="246"/>
      <c r="K116" s="246"/>
      <c r="L116" s="246"/>
      <c r="M116" s="1349"/>
      <c r="O116" s="1292" t="s">
        <v>70</v>
      </c>
      <c r="P116" s="1292" t="s">
        <v>121</v>
      </c>
      <c r="Q116" s="1292" t="s">
        <v>28</v>
      </c>
      <c r="R116" s="1293"/>
      <c r="S116" s="1292"/>
      <c r="T116" s="1292"/>
      <c r="U116" s="1294" t="s">
        <v>1206</v>
      </c>
      <c r="W116" s="1293" t="str">
        <f>'🔵クレーム'!C107</f>
        <v/>
      </c>
      <c r="X116" s="1293" t="str">
        <f>'🔵クレーム'!D107</f>
        <v/>
      </c>
      <c r="Y116" s="1292" t="str">
        <f>'🔵クレーム'!I107</f>
        <v/>
      </c>
      <c r="Z116" s="1293" t="str">
        <f>'🔵クレーム'!J107</f>
        <v/>
      </c>
      <c r="AA116" s="1293" t="str">
        <f>'🔵クレーム'!K107</f>
        <v/>
      </c>
      <c r="AB116" s="1293" t="str">
        <f>'🔵クレーム'!L107</f>
        <v/>
      </c>
      <c r="AC116" s="1295" t="str">
        <f>'🔵クレーム'!N107</f>
        <v/>
      </c>
    </row>
    <row r="117">
      <c r="B117" s="1352" t="str">
        <f>IFERROR(__xludf.DUMMYFUNCTION("""COMPUTED_VALUE"""),"8月")</f>
        <v>8月</v>
      </c>
      <c r="C117" s="1270" t="str">
        <f>IFERROR(__xludf.DUMMYFUNCTION("""COMPUTED_VALUE"""),"16日")</f>
        <v>16日</v>
      </c>
      <c r="D117" s="1270" t="str">
        <f>IFERROR(__xludf.DUMMYFUNCTION("""COMPUTED_VALUE"""),"口コミ")</f>
        <v>口コミ</v>
      </c>
      <c r="E117" s="1347"/>
      <c r="F117" s="1347"/>
      <c r="G117" s="1348" t="str">
        <f>IFERROR(__xludf.DUMMYFUNCTION("""COMPUTED_VALUE"""),"タバコの臭い")</f>
        <v>タバコの臭い</v>
      </c>
      <c r="H117" s="246"/>
      <c r="I117" s="246"/>
      <c r="J117" s="246"/>
      <c r="K117" s="246"/>
      <c r="L117" s="246"/>
      <c r="M117" s="1349"/>
      <c r="O117" s="1292" t="s">
        <v>70</v>
      </c>
      <c r="P117" s="1292" t="s">
        <v>121</v>
      </c>
      <c r="Q117" s="1292" t="s">
        <v>28</v>
      </c>
      <c r="R117" s="1293"/>
      <c r="S117" s="1292"/>
      <c r="T117" s="1292"/>
      <c r="U117" s="1294" t="s">
        <v>1207</v>
      </c>
      <c r="W117" s="1293" t="str">
        <f>'🔵クレーム'!C108</f>
        <v/>
      </c>
      <c r="X117" s="1293" t="str">
        <f>'🔵クレーム'!D108</f>
        <v/>
      </c>
      <c r="Y117" s="1292" t="str">
        <f>'🔵クレーム'!I108</f>
        <v/>
      </c>
      <c r="Z117" s="1293" t="str">
        <f>'🔵クレーム'!J108</f>
        <v/>
      </c>
      <c r="AA117" s="1293" t="str">
        <f>'🔵クレーム'!K108</f>
        <v/>
      </c>
      <c r="AB117" s="1293" t="str">
        <f>'🔵クレーム'!L108</f>
        <v/>
      </c>
      <c r="AC117" s="1295" t="str">
        <f>'🔵クレーム'!N108</f>
        <v/>
      </c>
    </row>
    <row r="118">
      <c r="B118" s="1352" t="str">
        <f>IFERROR(__xludf.DUMMYFUNCTION("""COMPUTED_VALUE"""),"8月")</f>
        <v>8月</v>
      </c>
      <c r="C118" s="1270" t="str">
        <f>IFERROR(__xludf.DUMMYFUNCTION("""COMPUTED_VALUE"""),"17日")</f>
        <v>17日</v>
      </c>
      <c r="D118" s="1270" t="str">
        <f>IFERROR(__xludf.DUMMYFUNCTION("""COMPUTED_VALUE"""),"口コミ")</f>
        <v>口コミ</v>
      </c>
      <c r="E118" s="1347"/>
      <c r="F118" s="1347"/>
      <c r="G118" s="1348" t="str">
        <f>IFERROR(__xludf.DUMMYFUNCTION("""COMPUTED_VALUE"""),"お風呂場がカビ臭い")</f>
        <v>お風呂場がカビ臭い</v>
      </c>
      <c r="H118" s="246"/>
      <c r="I118" s="246"/>
      <c r="J118" s="246"/>
      <c r="K118" s="246"/>
      <c r="L118" s="246"/>
      <c r="M118" s="1349"/>
      <c r="O118" s="1292" t="s">
        <v>70</v>
      </c>
      <c r="P118" s="1292" t="s">
        <v>180</v>
      </c>
      <c r="Q118" s="1292" t="s">
        <v>30</v>
      </c>
      <c r="R118" s="1293"/>
      <c r="S118" s="1292" t="s">
        <v>204</v>
      </c>
      <c r="T118" s="1292" t="s">
        <v>1208</v>
      </c>
      <c r="U118" s="1294" t="s">
        <v>1209</v>
      </c>
      <c r="W118" s="1293" t="str">
        <f>'🔵クレーム'!C109</f>
        <v/>
      </c>
      <c r="X118" s="1293" t="str">
        <f>'🔵クレーム'!D109</f>
        <v/>
      </c>
      <c r="Y118" s="1292" t="str">
        <f>'🔵クレーム'!I109</f>
        <v/>
      </c>
      <c r="Z118" s="1293" t="str">
        <f>'🔵クレーム'!J109</f>
        <v/>
      </c>
      <c r="AA118" s="1293" t="str">
        <f>'🔵クレーム'!K109</f>
        <v/>
      </c>
      <c r="AB118" s="1293" t="str">
        <f>'🔵クレーム'!L109</f>
        <v/>
      </c>
      <c r="AC118" s="1295" t="str">
        <f>'🔵クレーム'!N109</f>
        <v/>
      </c>
    </row>
    <row r="119">
      <c r="B119" s="1352" t="str">
        <f>IFERROR(__xludf.DUMMYFUNCTION("""COMPUTED_VALUE"""),"8月")</f>
        <v>8月</v>
      </c>
      <c r="C119" s="1270" t="str">
        <f>IFERROR(__xludf.DUMMYFUNCTION("""COMPUTED_VALUE"""),"17日")</f>
        <v>17日</v>
      </c>
      <c r="D119" s="1270" t="str">
        <f>IFERROR(__xludf.DUMMYFUNCTION("""COMPUTED_VALUE"""),"その他")</f>
        <v>その他</v>
      </c>
      <c r="E119" s="1347" t="str">
        <f>IFERROR(__xludf.DUMMYFUNCTION("""COMPUTED_VALUE"""),"ダヤラム")</f>
        <v>ダヤラム</v>
      </c>
      <c r="F119" s="1347" t="str">
        <f>IFERROR(__xludf.DUMMYFUNCTION("""COMPUTED_VALUE"""),"アビシク")</f>
        <v>アビシク</v>
      </c>
      <c r="G119" s="1348" t="str">
        <f>IFERROR(__xludf.DUMMYFUNCTION("""COMPUTED_VALUE"""),"DD部屋誤入室")</f>
        <v>DD部屋誤入室</v>
      </c>
      <c r="H119" s="246"/>
      <c r="I119" s="246"/>
      <c r="J119" s="246"/>
      <c r="K119" s="246"/>
      <c r="L119" s="246"/>
      <c r="M119" s="1349"/>
      <c r="O119" s="1292" t="s">
        <v>70</v>
      </c>
      <c r="P119" s="1292" t="s">
        <v>135</v>
      </c>
      <c r="Q119" s="1292" t="s">
        <v>42</v>
      </c>
      <c r="R119" s="1293"/>
      <c r="S119" s="1292" t="s">
        <v>204</v>
      </c>
      <c r="T119" s="1292" t="s">
        <v>205</v>
      </c>
      <c r="U119" s="1294" t="s">
        <v>1210</v>
      </c>
      <c r="W119" s="1293" t="str">
        <f>'🔵クレーム'!C110</f>
        <v/>
      </c>
      <c r="X119" s="1293" t="str">
        <f>'🔵クレーム'!D110</f>
        <v/>
      </c>
      <c r="Y119" s="1292" t="str">
        <f>'🔵クレーム'!I110</f>
        <v/>
      </c>
      <c r="Z119" s="1293" t="str">
        <f>'🔵クレーム'!J110</f>
        <v/>
      </c>
      <c r="AA119" s="1293" t="str">
        <f>'🔵クレーム'!K110</f>
        <v/>
      </c>
      <c r="AB119" s="1293" t="str">
        <f>'🔵クレーム'!L110</f>
        <v/>
      </c>
      <c r="AC119" s="1295" t="str">
        <f>'🔵クレーム'!N110</f>
        <v/>
      </c>
    </row>
    <row r="120" collapsed="1">
      <c r="B120" s="1352" t="str">
        <f>IFERROR(__xludf.DUMMYFUNCTION("""COMPUTED_VALUE"""),"8月")</f>
        <v>8月</v>
      </c>
      <c r="C120" s="1270" t="str">
        <f>IFERROR(__xludf.DUMMYFUNCTION("""COMPUTED_VALUE"""),"22日")</f>
        <v>22日</v>
      </c>
      <c r="D120" s="1270" t="str">
        <f>IFERROR(__xludf.DUMMYFUNCTION("""COMPUTED_VALUE"""),"汚れ")</f>
        <v>汚れ</v>
      </c>
      <c r="E120" s="1347" t="str">
        <f>IFERROR(__xludf.DUMMYFUNCTION("""COMPUTED_VALUE"""),"西川")</f>
        <v>西川</v>
      </c>
      <c r="F120" s="1347" t="str">
        <f>IFERROR(__xludf.DUMMYFUNCTION("""COMPUTED_VALUE"""),"枝吉")</f>
        <v>枝吉</v>
      </c>
      <c r="G120" s="1348"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49"/>
      <c r="O120" s="1292" t="s">
        <v>70</v>
      </c>
      <c r="P120" s="1292" t="s">
        <v>1177</v>
      </c>
      <c r="Q120" s="1292" t="s">
        <v>39</v>
      </c>
      <c r="R120" s="1293"/>
      <c r="S120" s="1292" t="s">
        <v>204</v>
      </c>
      <c r="T120" s="1292" t="s">
        <v>1124</v>
      </c>
      <c r="U120" s="1294" t="s">
        <v>1143</v>
      </c>
      <c r="W120" s="1293" t="str">
        <f>'🔵クレーム'!C111</f>
        <v/>
      </c>
      <c r="X120" s="1293" t="str">
        <f>'🔵クレーム'!D111</f>
        <v/>
      </c>
      <c r="Y120" s="1292" t="str">
        <f>'🔵クレーム'!I111</f>
        <v/>
      </c>
      <c r="Z120" s="1293" t="str">
        <f>'🔵クレーム'!J111</f>
        <v/>
      </c>
      <c r="AA120" s="1293" t="str">
        <f>'🔵クレーム'!K111</f>
        <v/>
      </c>
      <c r="AB120" s="1293" t="str">
        <f>'🔵クレーム'!L111</f>
        <v/>
      </c>
      <c r="AC120" s="1295" t="str">
        <f>'🔵クレーム'!N111</f>
        <v/>
      </c>
    </row>
    <row r="121" hidden="1" outlineLevel="1">
      <c r="B121" s="1352" t="str">
        <f>IFERROR(__xludf.DUMMYFUNCTION("""COMPUTED_VALUE"""),"8月")</f>
        <v>8月</v>
      </c>
      <c r="C121" s="1270" t="str">
        <f>IFERROR(__xludf.DUMMYFUNCTION("""COMPUTED_VALUE"""),"23日")</f>
        <v>23日</v>
      </c>
      <c r="D121" s="1270" t="str">
        <f>IFERROR(__xludf.DUMMYFUNCTION("""COMPUTED_VALUE"""),"口コミ")</f>
        <v>口コミ</v>
      </c>
      <c r="E121" s="1347"/>
      <c r="F121" s="1347"/>
      <c r="G121" s="1348"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49"/>
      <c r="O121" s="1292" t="s">
        <v>70</v>
      </c>
      <c r="P121" s="1292" t="s">
        <v>132</v>
      </c>
      <c r="Q121" s="1292" t="s">
        <v>28</v>
      </c>
      <c r="R121" s="1293"/>
      <c r="S121" s="1292"/>
      <c r="T121" s="1292"/>
      <c r="U121" s="1294" t="s">
        <v>1211</v>
      </c>
      <c r="W121" s="1293" t="str">
        <f>'🔵クレーム'!C112</f>
        <v/>
      </c>
      <c r="X121" s="1293" t="str">
        <f>'🔵クレーム'!D112</f>
        <v/>
      </c>
      <c r="Y121" s="1292" t="str">
        <f>'🔵クレーム'!I112</f>
        <v/>
      </c>
      <c r="Z121" s="1293" t="str">
        <f>'🔵クレーム'!J112</f>
        <v/>
      </c>
      <c r="AA121" s="1293" t="str">
        <f>'🔵クレーム'!K112</f>
        <v/>
      </c>
      <c r="AB121" s="1293" t="str">
        <f>'🔵クレーム'!L112</f>
        <v/>
      </c>
      <c r="AC121" s="1295" t="str">
        <f>'🔵クレーム'!N112</f>
        <v/>
      </c>
    </row>
    <row r="122" hidden="1" outlineLevel="1">
      <c r="B122" s="1352" t="str">
        <f>IFERROR(__xludf.DUMMYFUNCTION("""COMPUTED_VALUE"""),"8月")</f>
        <v>8月</v>
      </c>
      <c r="C122" s="1270" t="str">
        <f>IFERROR(__xludf.DUMMYFUNCTION("""COMPUTED_VALUE"""),"24日")</f>
        <v>24日</v>
      </c>
      <c r="D122" s="1270" t="str">
        <f>IFERROR(__xludf.DUMMYFUNCTION("""COMPUTED_VALUE"""),"汚れ")</f>
        <v>汚れ</v>
      </c>
      <c r="E122" s="1347" t="str">
        <f>IFERROR(__xludf.DUMMYFUNCTION("""COMPUTED_VALUE"""),"西川")</f>
        <v>西川</v>
      </c>
      <c r="F122" s="1347" t="str">
        <f>IFERROR(__xludf.DUMMYFUNCTION("""COMPUTED_VALUE"""),"ノーマン")</f>
        <v>ノーマン</v>
      </c>
      <c r="G122" s="1348"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49"/>
      <c r="O122" s="1292" t="s">
        <v>70</v>
      </c>
      <c r="P122" s="1292" t="s">
        <v>132</v>
      </c>
      <c r="Q122" s="1292" t="s">
        <v>28</v>
      </c>
      <c r="R122" s="1293"/>
      <c r="S122" s="1292"/>
      <c r="T122" s="1292"/>
      <c r="U122" s="1294" t="s">
        <v>1212</v>
      </c>
      <c r="W122" s="1293" t="str">
        <f>'🔵クレーム'!C113</f>
        <v/>
      </c>
      <c r="X122" s="1293" t="str">
        <f>'🔵クレーム'!D113</f>
        <v/>
      </c>
      <c r="Y122" s="1292" t="str">
        <f>'🔵クレーム'!I113</f>
        <v/>
      </c>
      <c r="Z122" s="1293" t="str">
        <f>'🔵クレーム'!J113</f>
        <v/>
      </c>
      <c r="AA122" s="1293" t="str">
        <f>'🔵クレーム'!K113</f>
        <v/>
      </c>
      <c r="AB122" s="1293" t="str">
        <f>'🔵クレーム'!L113</f>
        <v/>
      </c>
      <c r="AC122" s="1295" t="str">
        <f>'🔵クレーム'!N113</f>
        <v/>
      </c>
    </row>
    <row r="123" hidden="1" outlineLevel="1">
      <c r="B123" s="1352" t="str">
        <f>IFERROR(__xludf.DUMMYFUNCTION("""COMPUTED_VALUE"""),"8月")</f>
        <v>8月</v>
      </c>
      <c r="C123" s="1270" t="str">
        <f>IFERROR(__xludf.DUMMYFUNCTION("""COMPUTED_VALUE"""),"29日")</f>
        <v>29日</v>
      </c>
      <c r="D123" s="1270" t="str">
        <f>IFERROR(__xludf.DUMMYFUNCTION("""COMPUTED_VALUE"""),"セット漏れ")</f>
        <v>セット漏れ</v>
      </c>
      <c r="E123" s="1347" t="str">
        <f>IFERROR(__xludf.DUMMYFUNCTION("""COMPUTED_VALUE"""),"迫田")</f>
        <v>迫田</v>
      </c>
      <c r="F123" s="1347"/>
      <c r="G123" s="1348"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49"/>
      <c r="O123" s="1292" t="s">
        <v>70</v>
      </c>
      <c r="P123" s="1292" t="s">
        <v>1134</v>
      </c>
      <c r="Q123" s="1292" t="s">
        <v>28</v>
      </c>
      <c r="R123" s="1293"/>
      <c r="S123" s="1292"/>
      <c r="T123" s="1292"/>
      <c r="U123" s="1294" t="s">
        <v>1213</v>
      </c>
      <c r="W123" s="1293" t="str">
        <f>'🔵クレーム'!C114</f>
        <v/>
      </c>
      <c r="X123" s="1293" t="str">
        <f>'🔵クレーム'!D114</f>
        <v/>
      </c>
      <c r="Y123" s="1292" t="str">
        <f>'🔵クレーム'!I114</f>
        <v/>
      </c>
      <c r="Z123" s="1293" t="str">
        <f>'🔵クレーム'!J114</f>
        <v/>
      </c>
      <c r="AA123" s="1293" t="str">
        <f>'🔵クレーム'!K114</f>
        <v/>
      </c>
      <c r="AB123" s="1293" t="str">
        <f>'🔵クレーム'!L114</f>
        <v/>
      </c>
      <c r="AC123" s="1295" t="str">
        <f>'🔵クレーム'!N114</f>
        <v/>
      </c>
    </row>
    <row r="124" hidden="1" outlineLevel="1">
      <c r="B124" s="1352" t="str">
        <f>IFERROR(__xludf.DUMMYFUNCTION("""COMPUTED_VALUE"""),"8月")</f>
        <v>8月</v>
      </c>
      <c r="C124" s="1270" t="str">
        <f>IFERROR(__xludf.DUMMYFUNCTION("""COMPUTED_VALUE"""),"29日")</f>
        <v>29日</v>
      </c>
      <c r="D124" s="1270" t="str">
        <f>IFERROR(__xludf.DUMMYFUNCTION("""COMPUTED_VALUE"""),"セット漏れ")</f>
        <v>セット漏れ</v>
      </c>
      <c r="E124" s="1347" t="str">
        <f>IFERROR(__xludf.DUMMYFUNCTION("""COMPUTED_VALUE"""),"李")</f>
        <v>李</v>
      </c>
      <c r="F124" s="1347"/>
      <c r="G124" s="1348" t="str">
        <f>IFERROR(__xludf.DUMMYFUNCTION("""COMPUTED_VALUE"""),"タオルがなかった")</f>
        <v>タオルがなかった</v>
      </c>
      <c r="H124" s="246"/>
      <c r="I124" s="246"/>
      <c r="J124" s="246"/>
      <c r="K124" s="246"/>
      <c r="L124" s="246"/>
      <c r="M124" s="1349"/>
      <c r="O124" s="1292" t="s">
        <v>70</v>
      </c>
      <c r="P124" s="1292" t="s">
        <v>1136</v>
      </c>
      <c r="Q124" s="1292" t="s">
        <v>28</v>
      </c>
      <c r="R124" s="1293"/>
      <c r="S124" s="1292"/>
      <c r="T124" s="1292"/>
      <c r="U124" s="1294" t="s">
        <v>1214</v>
      </c>
      <c r="W124" s="1293" t="str">
        <f>'🔵クレーム'!C115</f>
        <v/>
      </c>
      <c r="X124" s="1293" t="str">
        <f>'🔵クレーム'!D115</f>
        <v/>
      </c>
      <c r="Y124" s="1292" t="str">
        <f>'🔵クレーム'!I115</f>
        <v/>
      </c>
      <c r="Z124" s="1293" t="str">
        <f>'🔵クレーム'!J115</f>
        <v/>
      </c>
      <c r="AA124" s="1293" t="str">
        <f>'🔵クレーム'!K115</f>
        <v/>
      </c>
      <c r="AB124" s="1293" t="str">
        <f>'🔵クレーム'!L115</f>
        <v/>
      </c>
      <c r="AC124" s="1295" t="str">
        <f>'🔵クレーム'!N115</f>
        <v/>
      </c>
    </row>
    <row r="125" hidden="1" outlineLevel="1">
      <c r="B125" s="1352" t="str">
        <f>IFERROR(__xludf.DUMMYFUNCTION("""COMPUTED_VALUE"""),"9月")</f>
        <v>9月</v>
      </c>
      <c r="C125" s="1270" t="str">
        <f>IFERROR(__xludf.DUMMYFUNCTION("""COMPUTED_VALUE"""),"1日")</f>
        <v>1日</v>
      </c>
      <c r="D125" s="1270" t="str">
        <f>IFERROR(__xludf.DUMMYFUNCTION("""COMPUTED_VALUE"""),"残置")</f>
        <v>残置</v>
      </c>
      <c r="E125" s="1347" t="str">
        <f>IFERROR(__xludf.DUMMYFUNCTION("""COMPUTED_VALUE"""),"ダヤラム")</f>
        <v>ダヤラム</v>
      </c>
      <c r="F125" s="1347" t="str">
        <f>IFERROR(__xludf.DUMMYFUNCTION("""COMPUTED_VALUE"""),"-")</f>
        <v>-</v>
      </c>
      <c r="G125" s="1348" t="str">
        <f>IFERROR(__xludf.DUMMYFUNCTION("""COMPUTED_VALUE"""),"冷蔵庫内に残置")</f>
        <v>冷蔵庫内に残置</v>
      </c>
      <c r="H125" s="246"/>
      <c r="I125" s="246"/>
      <c r="J125" s="246"/>
      <c r="K125" s="246"/>
      <c r="L125" s="246"/>
      <c r="M125" s="1349"/>
      <c r="O125" s="1292" t="s">
        <v>70</v>
      </c>
      <c r="P125" s="1292" t="s">
        <v>138</v>
      </c>
      <c r="Q125" s="1292" t="s">
        <v>28</v>
      </c>
      <c r="R125" s="1293"/>
      <c r="S125" s="1292"/>
      <c r="T125" s="1292"/>
      <c r="U125" s="1294" t="s">
        <v>1215</v>
      </c>
      <c r="W125" s="1293" t="str">
        <f>'🔵クレーム'!C116</f>
        <v/>
      </c>
      <c r="X125" s="1293" t="str">
        <f>'🔵クレーム'!D116</f>
        <v/>
      </c>
      <c r="Y125" s="1292" t="str">
        <f>'🔵クレーム'!I116</f>
        <v/>
      </c>
      <c r="Z125" s="1293" t="str">
        <f>'🔵クレーム'!J116</f>
        <v/>
      </c>
      <c r="AA125" s="1293" t="str">
        <f>'🔵クレーム'!K116</f>
        <v/>
      </c>
      <c r="AB125" s="1293" t="str">
        <f>'🔵クレーム'!L116</f>
        <v/>
      </c>
      <c r="AC125" s="1295" t="str">
        <f>'🔵クレーム'!N116</f>
        <v/>
      </c>
    </row>
    <row r="126" hidden="1" outlineLevel="1">
      <c r="B126" s="1352" t="str">
        <f>IFERROR(__xludf.DUMMYFUNCTION("""COMPUTED_VALUE"""),"9月")</f>
        <v>9月</v>
      </c>
      <c r="C126" s="1270" t="str">
        <f>IFERROR(__xludf.DUMMYFUNCTION("""COMPUTED_VALUE"""),"2日")</f>
        <v>2日</v>
      </c>
      <c r="D126" s="1270" t="str">
        <f>IFERROR(__xludf.DUMMYFUNCTION("""COMPUTED_VALUE"""),"汚れ")</f>
        <v>汚れ</v>
      </c>
      <c r="E126" s="1347" t="str">
        <f>IFERROR(__xludf.DUMMYFUNCTION("""COMPUTED_VALUE"""),"李、迫田")</f>
        <v>李、迫田</v>
      </c>
      <c r="F126" s="1347" t="str">
        <f>IFERROR(__xludf.DUMMYFUNCTION("""COMPUTED_VALUE"""),"-")</f>
        <v>-</v>
      </c>
      <c r="G126" s="1348" t="str">
        <f>IFERROR(__xludf.DUMMYFUNCTION("""COMPUTED_VALUE"""),"電話がべたべたしていた")</f>
        <v>電話がべたべたしていた</v>
      </c>
      <c r="H126" s="246"/>
      <c r="I126" s="246"/>
      <c r="J126" s="246"/>
      <c r="K126" s="246"/>
      <c r="L126" s="246"/>
      <c r="M126" s="1349"/>
      <c r="O126" s="1292" t="s">
        <v>70</v>
      </c>
      <c r="P126" s="1292" t="s">
        <v>149</v>
      </c>
      <c r="Q126" s="1292" t="s">
        <v>28</v>
      </c>
      <c r="R126" s="1293"/>
      <c r="S126" s="1292"/>
      <c r="T126" s="1292"/>
      <c r="U126" s="1294" t="s">
        <v>1216</v>
      </c>
      <c r="W126" s="1293" t="str">
        <f>'🔵クレーム'!C117</f>
        <v/>
      </c>
      <c r="X126" s="1293" t="str">
        <f>'🔵クレーム'!D117</f>
        <v/>
      </c>
      <c r="Y126" s="1292" t="str">
        <f>'🔵クレーム'!I117</f>
        <v/>
      </c>
      <c r="Z126" s="1293" t="str">
        <f>'🔵クレーム'!J117</f>
        <v/>
      </c>
      <c r="AA126" s="1293" t="str">
        <f>'🔵クレーム'!K117</f>
        <v/>
      </c>
      <c r="AB126" s="1293" t="str">
        <f>'🔵クレーム'!L117</f>
        <v/>
      </c>
      <c r="AC126" s="1295" t="str">
        <f>'🔵クレーム'!N117</f>
        <v/>
      </c>
    </row>
    <row r="127" hidden="1" outlineLevel="1">
      <c r="B127" s="1352" t="str">
        <f>IFERROR(__xludf.DUMMYFUNCTION("""COMPUTED_VALUE"""),"9月")</f>
        <v>9月</v>
      </c>
      <c r="C127" s="1270" t="str">
        <f>IFERROR(__xludf.DUMMYFUNCTION("""COMPUTED_VALUE"""),"4日")</f>
        <v>4日</v>
      </c>
      <c r="D127" s="1270" t="str">
        <f>IFERROR(__xludf.DUMMYFUNCTION("""COMPUTED_VALUE"""),"口コミ")</f>
        <v>口コミ</v>
      </c>
      <c r="E127" s="1347"/>
      <c r="F127" s="1347"/>
      <c r="G127" s="1348" t="str">
        <f>IFERROR(__xludf.DUMMYFUNCTION("""COMPUTED_VALUE"""),"全体的に古い
布団にシミ")</f>
        <v>全体的に古い
布団にシミ</v>
      </c>
      <c r="H127" s="246"/>
      <c r="I127" s="246"/>
      <c r="J127" s="246"/>
      <c r="K127" s="246"/>
      <c r="L127" s="246"/>
      <c r="M127" s="1349"/>
      <c r="O127" s="1292" t="s">
        <v>70</v>
      </c>
      <c r="P127" s="1292" t="s">
        <v>142</v>
      </c>
      <c r="Q127" s="1292" t="s">
        <v>28</v>
      </c>
      <c r="R127" s="1293"/>
      <c r="S127" s="1292"/>
      <c r="T127" s="1292"/>
      <c r="U127" s="1294" t="s">
        <v>1217</v>
      </c>
      <c r="W127" s="1293" t="str">
        <f>'🔵クレーム'!C118</f>
        <v/>
      </c>
      <c r="X127" s="1293" t="str">
        <f>'🔵クレーム'!D118</f>
        <v/>
      </c>
      <c r="Y127" s="1292" t="str">
        <f>'🔵クレーム'!I118</f>
        <v/>
      </c>
      <c r="Z127" s="1293" t="str">
        <f>'🔵クレーム'!J118</f>
        <v/>
      </c>
      <c r="AA127" s="1293" t="str">
        <f>'🔵クレーム'!K118</f>
        <v/>
      </c>
      <c r="AB127" s="1293" t="str">
        <f>'🔵クレーム'!L118</f>
        <v/>
      </c>
      <c r="AC127" s="1295" t="str">
        <f>'🔵クレーム'!N118</f>
        <v/>
      </c>
    </row>
    <row r="128" hidden="1" outlineLevel="1">
      <c r="B128" s="1352" t="str">
        <f>IFERROR(__xludf.DUMMYFUNCTION("""COMPUTED_VALUE"""),"9月")</f>
        <v>9月</v>
      </c>
      <c r="C128" s="1270" t="str">
        <f>IFERROR(__xludf.DUMMYFUNCTION("""COMPUTED_VALUE"""),"4日")</f>
        <v>4日</v>
      </c>
      <c r="D128" s="1270" t="str">
        <f>IFERROR(__xludf.DUMMYFUNCTION("""COMPUTED_VALUE"""),"口コミ")</f>
        <v>口コミ</v>
      </c>
      <c r="E128" s="1347"/>
      <c r="F128" s="1347"/>
      <c r="G128" s="1348" t="str">
        <f>IFERROR(__xludf.DUMMYFUNCTION("""COMPUTED_VALUE"""),"No31の残置と同じ")</f>
        <v>No31の残置と同じ</v>
      </c>
      <c r="H128" s="246"/>
      <c r="I128" s="246"/>
      <c r="J128" s="246"/>
      <c r="K128" s="246"/>
      <c r="L128" s="246"/>
      <c r="M128" s="1349"/>
      <c r="O128" s="1292" t="s">
        <v>70</v>
      </c>
      <c r="P128" s="1292" t="s">
        <v>1099</v>
      </c>
      <c r="Q128" s="1292" t="s">
        <v>28</v>
      </c>
      <c r="R128" s="1293"/>
      <c r="S128" s="1292"/>
      <c r="T128" s="1292"/>
      <c r="U128" s="1294" t="s">
        <v>1218</v>
      </c>
      <c r="W128" s="1293" t="str">
        <f>'🔵クレーム'!C119</f>
        <v/>
      </c>
      <c r="X128" s="1293" t="str">
        <f>'🔵クレーム'!D119</f>
        <v/>
      </c>
      <c r="Y128" s="1292" t="str">
        <f>'🔵クレーム'!I119</f>
        <v/>
      </c>
      <c r="Z128" s="1293" t="str">
        <f>'🔵クレーム'!J119</f>
        <v/>
      </c>
      <c r="AA128" s="1293" t="str">
        <f>'🔵クレーム'!K119</f>
        <v/>
      </c>
      <c r="AB128" s="1293" t="str">
        <f>'🔵クレーム'!L119</f>
        <v/>
      </c>
      <c r="AC128" s="1295" t="str">
        <f>'🔵クレーム'!N119</f>
        <v/>
      </c>
    </row>
    <row r="129" hidden="1" outlineLevel="1">
      <c r="B129" s="1352" t="str">
        <f>IFERROR(__xludf.DUMMYFUNCTION("""COMPUTED_VALUE"""),"9月")</f>
        <v>9月</v>
      </c>
      <c r="C129" s="1270" t="str">
        <f>IFERROR(__xludf.DUMMYFUNCTION("""COMPUTED_VALUE"""),"6日")</f>
        <v>6日</v>
      </c>
      <c r="D129" s="1270" t="str">
        <f>IFERROR(__xludf.DUMMYFUNCTION("""COMPUTED_VALUE"""),"残置")</f>
        <v>残置</v>
      </c>
      <c r="E129" s="1347" t="str">
        <f>IFERROR(__xludf.DUMMYFUNCTION("""COMPUTED_VALUE"""),"西川")</f>
        <v>西川</v>
      </c>
      <c r="F129" s="1347" t="str">
        <f>IFERROR(__xludf.DUMMYFUNCTION("""COMPUTED_VALUE"""),"サイトウ")</f>
        <v>サイトウ</v>
      </c>
      <c r="G129" s="1348" t="str">
        <f>IFERROR(__xludf.DUMMYFUNCTION("""COMPUTED_VALUE"""),"歯ブラシの封が開いていた。")</f>
        <v>歯ブラシの封が開いていた。</v>
      </c>
      <c r="H129" s="246"/>
      <c r="I129" s="246"/>
      <c r="J129" s="246"/>
      <c r="K129" s="246"/>
      <c r="L129" s="246"/>
      <c r="M129" s="1349"/>
      <c r="O129" s="1292" t="s">
        <v>70</v>
      </c>
      <c r="P129" s="1292" t="s">
        <v>154</v>
      </c>
      <c r="Q129" s="1292" t="s">
        <v>28</v>
      </c>
      <c r="R129" s="1293"/>
      <c r="S129" s="1292"/>
      <c r="T129" s="1292"/>
      <c r="U129" s="1294" t="s">
        <v>1219</v>
      </c>
      <c r="W129" s="1293" t="str">
        <f>'🔵クレーム'!C120</f>
        <v/>
      </c>
      <c r="X129" s="1293" t="str">
        <f>'🔵クレーム'!D120</f>
        <v/>
      </c>
      <c r="Y129" s="1292" t="str">
        <f>'🔵クレーム'!I120</f>
        <v/>
      </c>
      <c r="Z129" s="1293" t="str">
        <f>'🔵クレーム'!J120</f>
        <v/>
      </c>
      <c r="AA129" s="1293" t="str">
        <f>'🔵クレーム'!K120</f>
        <v/>
      </c>
      <c r="AB129" s="1293" t="str">
        <f>'🔵クレーム'!L120</f>
        <v/>
      </c>
      <c r="AC129" s="1295" t="str">
        <f>'🔵クレーム'!N120</f>
        <v/>
      </c>
    </row>
    <row r="130" hidden="1" outlineLevel="1">
      <c r="B130" s="1352" t="str">
        <f>IFERROR(__xludf.DUMMYFUNCTION("""COMPUTED_VALUE"""),"9月")</f>
        <v>9月</v>
      </c>
      <c r="C130" s="1270" t="str">
        <f>IFERROR(__xludf.DUMMYFUNCTION("""COMPUTED_VALUE"""),"13日")</f>
        <v>13日</v>
      </c>
      <c r="D130" s="1270" t="str">
        <f>IFERROR(__xludf.DUMMYFUNCTION("""COMPUTED_VALUE"""),"その他")</f>
        <v>その他</v>
      </c>
      <c r="E130" s="1347" t="str">
        <f>IFERROR(__xludf.DUMMYFUNCTION("""COMPUTED_VALUE"""),"迫田")</f>
        <v>迫田</v>
      </c>
      <c r="F130" s="1347" t="str">
        <f>IFERROR(__xludf.DUMMYFUNCTION("""COMPUTED_VALUE"""),"アリ")</f>
        <v>アリ</v>
      </c>
      <c r="G130" s="1348"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49"/>
      <c r="O130" s="1292" t="s">
        <v>70</v>
      </c>
      <c r="P130" s="1292" t="s">
        <v>168</v>
      </c>
      <c r="Q130" s="1292" t="s">
        <v>39</v>
      </c>
      <c r="R130" s="1293"/>
      <c r="S130" s="1292" t="s">
        <v>204</v>
      </c>
      <c r="T130" s="1292" t="s">
        <v>575</v>
      </c>
      <c r="U130" s="1294" t="s">
        <v>1102</v>
      </c>
      <c r="W130" s="1293" t="str">
        <f>'🔵クレーム'!C121</f>
        <v/>
      </c>
      <c r="X130" s="1293" t="str">
        <f>'🔵クレーム'!D121</f>
        <v/>
      </c>
      <c r="Y130" s="1292" t="str">
        <f>'🔵クレーム'!I121</f>
        <v/>
      </c>
      <c r="Z130" s="1293" t="str">
        <f>'🔵クレーム'!J121</f>
        <v/>
      </c>
      <c r="AA130" s="1293" t="str">
        <f>'🔵クレーム'!K121</f>
        <v/>
      </c>
      <c r="AB130" s="1293" t="str">
        <f>'🔵クレーム'!L121</f>
        <v/>
      </c>
      <c r="AC130" s="1295" t="str">
        <f>'🔵クレーム'!N121</f>
        <v/>
      </c>
    </row>
    <row r="131" hidden="1" outlineLevel="1">
      <c r="B131" s="1352" t="str">
        <f>IFERROR(__xludf.DUMMYFUNCTION("""COMPUTED_VALUE"""),"9月")</f>
        <v>9月</v>
      </c>
      <c r="C131" s="1270" t="str">
        <f>IFERROR(__xludf.DUMMYFUNCTION("""COMPUTED_VALUE"""),"13日")</f>
        <v>13日</v>
      </c>
      <c r="D131" s="1270" t="str">
        <f>IFERROR(__xludf.DUMMYFUNCTION("""COMPUTED_VALUE"""),"セット漏れ")</f>
        <v>セット漏れ</v>
      </c>
      <c r="E131" s="1347" t="str">
        <f>IFERROR(__xludf.DUMMYFUNCTION("""COMPUTED_VALUE"""),"ダヤラム")</f>
        <v>ダヤラム</v>
      </c>
      <c r="F131" s="1347" t="str">
        <f>IFERROR(__xludf.DUMMYFUNCTION("""COMPUTED_VALUE"""),"-")</f>
        <v>-</v>
      </c>
      <c r="G131" s="1348" t="str">
        <f>IFERROR(__xludf.DUMMYFUNCTION("""COMPUTED_VALUE"""),"ツインの部屋でセット数が
一人用になっていた。")</f>
        <v>ツインの部屋でセット数が
一人用になっていた。</v>
      </c>
      <c r="H131" s="246"/>
      <c r="I131" s="246"/>
      <c r="J131" s="246"/>
      <c r="K131" s="246"/>
      <c r="L131" s="246"/>
      <c r="M131" s="1349"/>
      <c r="O131" s="1292" t="s">
        <v>70</v>
      </c>
      <c r="P131" s="1292" t="s">
        <v>1120</v>
      </c>
      <c r="Q131" s="1292" t="s">
        <v>38</v>
      </c>
      <c r="R131" s="1293"/>
      <c r="S131" s="1292" t="s">
        <v>204</v>
      </c>
      <c r="T131" s="1292" t="s">
        <v>128</v>
      </c>
      <c r="U131" s="1294" t="s">
        <v>1220</v>
      </c>
      <c r="W131" s="1293" t="str">
        <f>'🔵クレーム'!C122</f>
        <v/>
      </c>
      <c r="X131" s="1293" t="str">
        <f>'🔵クレーム'!D122</f>
        <v/>
      </c>
      <c r="Y131" s="1292" t="str">
        <f>'🔵クレーム'!I122</f>
        <v/>
      </c>
      <c r="Z131" s="1293" t="str">
        <f>'🔵クレーム'!J122</f>
        <v/>
      </c>
      <c r="AA131" s="1293" t="str">
        <f>'🔵クレーム'!K122</f>
        <v/>
      </c>
      <c r="AB131" s="1293" t="str">
        <f>'🔵クレーム'!L122</f>
        <v/>
      </c>
      <c r="AC131" s="1295" t="str">
        <f>'🔵クレーム'!N122</f>
        <v/>
      </c>
    </row>
    <row r="132" hidden="1" outlineLevel="1">
      <c r="B132" s="1352" t="str">
        <f>IFERROR(__xludf.DUMMYFUNCTION("""COMPUTED_VALUE"""),"9月")</f>
        <v>9月</v>
      </c>
      <c r="C132" s="1270" t="str">
        <f>IFERROR(__xludf.DUMMYFUNCTION("""COMPUTED_VALUE"""),"19日")</f>
        <v>19日</v>
      </c>
      <c r="D132" s="1270" t="str">
        <f>IFERROR(__xludf.DUMMYFUNCTION("""COMPUTED_VALUE"""),"口コミ")</f>
        <v>口コミ</v>
      </c>
      <c r="E132" s="1347"/>
      <c r="F132" s="1347"/>
      <c r="G132" s="1348"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49"/>
      <c r="O132" s="1292" t="s">
        <v>70</v>
      </c>
      <c r="P132" s="1292" t="s">
        <v>1120</v>
      </c>
      <c r="Q132" s="1292" t="s">
        <v>39</v>
      </c>
      <c r="R132" s="1293"/>
      <c r="S132" s="1292" t="s">
        <v>1117</v>
      </c>
      <c r="T132" s="1292" t="s">
        <v>578</v>
      </c>
      <c r="U132" s="1294" t="s">
        <v>1221</v>
      </c>
      <c r="W132" s="1293" t="str">
        <f>'🔵クレーム'!C123</f>
        <v/>
      </c>
      <c r="X132" s="1293" t="str">
        <f>'🔵クレーム'!D123</f>
        <v/>
      </c>
      <c r="Y132" s="1292" t="str">
        <f>'🔵クレーム'!I123</f>
        <v/>
      </c>
      <c r="Z132" s="1293" t="str">
        <f>'🔵クレーム'!J123</f>
        <v/>
      </c>
      <c r="AA132" s="1293" t="str">
        <f>'🔵クレーム'!K123</f>
        <v/>
      </c>
      <c r="AB132" s="1293" t="str">
        <f>'🔵クレーム'!L123</f>
        <v/>
      </c>
      <c r="AC132" s="1295" t="str">
        <f>'🔵クレーム'!N123</f>
        <v/>
      </c>
    </row>
    <row r="133" hidden="1" outlineLevel="1">
      <c r="B133" s="1352" t="str">
        <f>IFERROR(__xludf.DUMMYFUNCTION("""COMPUTED_VALUE"""),"9月")</f>
        <v>9月</v>
      </c>
      <c r="C133" s="1270" t="str">
        <f>IFERROR(__xludf.DUMMYFUNCTION("""COMPUTED_VALUE"""),"20日")</f>
        <v>20日</v>
      </c>
      <c r="D133" s="1270" t="str">
        <f>IFERROR(__xludf.DUMMYFUNCTION("""COMPUTED_VALUE"""),"残置")</f>
        <v>残置</v>
      </c>
      <c r="E133" s="1347" t="str">
        <f>IFERROR(__xludf.DUMMYFUNCTION("""COMPUTED_VALUE"""),"ダヤラム")</f>
        <v>ダヤラム</v>
      </c>
      <c r="F133" s="1347" t="str">
        <f>IFERROR(__xludf.DUMMYFUNCTION("""COMPUTED_VALUE"""),"マガル")</f>
        <v>マガル</v>
      </c>
      <c r="G133" s="1348" t="str">
        <f>IFERROR(__xludf.DUMMYFUNCTION("""COMPUTED_VALUE"""),"冷蔵庫の中に前泊者の物が残っていた。")</f>
        <v>冷蔵庫の中に前泊者の物が残っていた。</v>
      </c>
      <c r="H133" s="246"/>
      <c r="I133" s="246"/>
      <c r="J133" s="246"/>
      <c r="K133" s="246"/>
      <c r="L133" s="246"/>
      <c r="M133" s="1349"/>
      <c r="O133" s="1292" t="s">
        <v>70</v>
      </c>
      <c r="P133" s="1292" t="s">
        <v>225</v>
      </c>
      <c r="Q133" s="1292" t="s">
        <v>28</v>
      </c>
      <c r="R133" s="1293"/>
      <c r="S133" s="1292"/>
      <c r="T133" s="1292"/>
      <c r="U133" s="1294" t="s">
        <v>1222</v>
      </c>
      <c r="W133" s="1293" t="str">
        <f>'🔵クレーム'!C124</f>
        <v/>
      </c>
      <c r="X133" s="1293" t="str">
        <f>'🔵クレーム'!D124</f>
        <v/>
      </c>
      <c r="Y133" s="1292" t="str">
        <f>'🔵クレーム'!I124</f>
        <v/>
      </c>
      <c r="Z133" s="1293" t="str">
        <f>'🔵クレーム'!J124</f>
        <v/>
      </c>
      <c r="AA133" s="1293" t="str">
        <f>'🔵クレーム'!K124</f>
        <v/>
      </c>
      <c r="AB133" s="1293" t="str">
        <f>'🔵クレーム'!L124</f>
        <v/>
      </c>
      <c r="AC133" s="1295" t="str">
        <f>'🔵クレーム'!N124</f>
        <v/>
      </c>
    </row>
    <row r="134" hidden="1" outlineLevel="1">
      <c r="B134" s="1352" t="str">
        <f>IFERROR(__xludf.DUMMYFUNCTION("""COMPUTED_VALUE"""),"9月")</f>
        <v>9月</v>
      </c>
      <c r="C134" s="1270" t="str">
        <f>IFERROR(__xludf.DUMMYFUNCTION("""COMPUTED_VALUE"""),"20日")</f>
        <v>20日</v>
      </c>
      <c r="D134" s="1270" t="str">
        <f>IFERROR(__xludf.DUMMYFUNCTION("""COMPUTED_VALUE"""),"セット漏れ")</f>
        <v>セット漏れ</v>
      </c>
      <c r="E134" s="1347" t="str">
        <f>IFERROR(__xludf.DUMMYFUNCTION("""COMPUTED_VALUE"""),"柴村")</f>
        <v>柴村</v>
      </c>
      <c r="F134" s="1347" t="str">
        <f>IFERROR(__xludf.DUMMYFUNCTION("""COMPUTED_VALUE"""),"-")</f>
        <v>-</v>
      </c>
      <c r="G134" s="1348" t="str">
        <f>IFERROR(__xludf.DUMMYFUNCTION("""COMPUTED_VALUE"""),"ドライヤーが無かった。")</f>
        <v>ドライヤーが無かった。</v>
      </c>
      <c r="H134" s="246"/>
      <c r="I134" s="246"/>
      <c r="J134" s="246"/>
      <c r="K134" s="246"/>
      <c r="L134" s="246"/>
      <c r="M134" s="1349"/>
      <c r="O134" s="1292" t="s">
        <v>70</v>
      </c>
      <c r="P134" s="1292" t="s">
        <v>221</v>
      </c>
      <c r="Q134" s="1292" t="s">
        <v>28</v>
      </c>
      <c r="R134" s="1293"/>
      <c r="S134" s="1292"/>
      <c r="T134" s="1292"/>
      <c r="U134" s="1294" t="s">
        <v>1223</v>
      </c>
      <c r="W134" s="1293" t="str">
        <f>'🔵クレーム'!C125</f>
        <v/>
      </c>
      <c r="X134" s="1293" t="str">
        <f>'🔵クレーム'!D125</f>
        <v/>
      </c>
      <c r="Y134" s="1292" t="str">
        <f>'🔵クレーム'!I125</f>
        <v/>
      </c>
      <c r="Z134" s="1293" t="str">
        <f>'🔵クレーム'!J125</f>
        <v/>
      </c>
      <c r="AA134" s="1293" t="str">
        <f>'🔵クレーム'!K125</f>
        <v/>
      </c>
      <c r="AB134" s="1293" t="str">
        <f>'🔵クレーム'!L125</f>
        <v/>
      </c>
      <c r="AC134" s="1295" t="str">
        <f>'🔵クレーム'!N125</f>
        <v/>
      </c>
    </row>
    <row r="135" hidden="1" outlineLevel="1">
      <c r="B135" s="1352" t="str">
        <f>IFERROR(__xludf.DUMMYFUNCTION("""COMPUTED_VALUE"""),"9月")</f>
        <v>9月</v>
      </c>
      <c r="C135" s="1270" t="str">
        <f>IFERROR(__xludf.DUMMYFUNCTION("""COMPUTED_VALUE"""),"24日")</f>
        <v>24日</v>
      </c>
      <c r="D135" s="1270" t="str">
        <f>IFERROR(__xludf.DUMMYFUNCTION("""COMPUTED_VALUE"""),"口コミ")</f>
        <v>口コミ</v>
      </c>
      <c r="E135" s="1347"/>
      <c r="F135" s="1347"/>
      <c r="G135" s="1348" t="str">
        <f>IFERROR(__xludf.DUMMYFUNCTION("""COMPUTED_VALUE"""),"部屋にゴキブリがいてWIFIも弱かった")</f>
        <v>部屋にゴキブリがいてWIFIも弱かった</v>
      </c>
      <c r="H135" s="246"/>
      <c r="I135" s="246"/>
      <c r="J135" s="246"/>
      <c r="K135" s="246"/>
      <c r="L135" s="246"/>
      <c r="M135" s="1349"/>
      <c r="O135" s="1292" t="s">
        <v>70</v>
      </c>
      <c r="P135" s="1292" t="s">
        <v>221</v>
      </c>
      <c r="Q135" s="1292" t="s">
        <v>28</v>
      </c>
      <c r="R135" s="1293"/>
      <c r="S135" s="1292"/>
      <c r="T135" s="1292"/>
      <c r="U135" s="1294" t="s">
        <v>1224</v>
      </c>
      <c r="W135" s="1293" t="str">
        <f>'🔵クレーム'!C126</f>
        <v/>
      </c>
      <c r="X135" s="1293" t="str">
        <f>'🔵クレーム'!D126</f>
        <v/>
      </c>
      <c r="Y135" s="1292" t="str">
        <f>'🔵クレーム'!I126</f>
        <v/>
      </c>
      <c r="Z135" s="1293" t="str">
        <f>'🔵クレーム'!J126</f>
        <v/>
      </c>
      <c r="AA135" s="1293" t="str">
        <f>'🔵クレーム'!K126</f>
        <v/>
      </c>
      <c r="AB135" s="1293" t="str">
        <f>'🔵クレーム'!L126</f>
        <v/>
      </c>
      <c r="AC135" s="1295" t="str">
        <f>'🔵クレーム'!N126</f>
        <v/>
      </c>
    </row>
    <row r="136" hidden="1" outlineLevel="1">
      <c r="B136" s="1352" t="str">
        <f>IFERROR(__xludf.DUMMYFUNCTION("""COMPUTED_VALUE"""),"9月")</f>
        <v>9月</v>
      </c>
      <c r="C136" s="1270" t="str">
        <f>IFERROR(__xludf.DUMMYFUNCTION("""COMPUTED_VALUE"""),"25日")</f>
        <v>25日</v>
      </c>
      <c r="D136" s="1270" t="str">
        <f>IFERROR(__xludf.DUMMYFUNCTION("""COMPUTED_VALUE"""),"その他")</f>
        <v>その他</v>
      </c>
      <c r="E136" s="1347" t="str">
        <f>IFERROR(__xludf.DUMMYFUNCTION("""COMPUTED_VALUE"""),"サイトウ")</f>
        <v>サイトウ</v>
      </c>
      <c r="F136" s="1347" t="str">
        <f>IFERROR(__xludf.DUMMYFUNCTION("""COMPUTED_VALUE"""),"シワンティ")</f>
        <v>シワンティ</v>
      </c>
      <c r="G136" s="1348"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49"/>
      <c r="O136" s="1292" t="s">
        <v>72</v>
      </c>
      <c r="P136" s="1292" t="s">
        <v>199</v>
      </c>
      <c r="Q136" s="1292" t="s">
        <v>39</v>
      </c>
      <c r="R136" s="1293"/>
      <c r="S136" s="1292" t="s">
        <v>144</v>
      </c>
      <c r="T136" s="1292" t="s">
        <v>573</v>
      </c>
      <c r="U136" s="1294" t="s">
        <v>1225</v>
      </c>
      <c r="W136" s="1293" t="str">
        <f>'🔵クレーム'!C127</f>
        <v/>
      </c>
      <c r="X136" s="1293" t="str">
        <f>'🔵クレーム'!D127</f>
        <v/>
      </c>
      <c r="Y136" s="1292" t="str">
        <f>'🔵クレーム'!I127</f>
        <v/>
      </c>
      <c r="Z136" s="1293" t="str">
        <f>'🔵クレーム'!J127</f>
        <v/>
      </c>
      <c r="AA136" s="1293" t="str">
        <f>'🔵クレーム'!K127</f>
        <v/>
      </c>
      <c r="AB136" s="1293" t="str">
        <f>'🔵クレーム'!L127</f>
        <v/>
      </c>
      <c r="AC136" s="1295" t="str">
        <f>'🔵クレーム'!N127</f>
        <v/>
      </c>
    </row>
    <row r="137" hidden="1" outlineLevel="1">
      <c r="B137" s="1352" t="str">
        <f>IFERROR(__xludf.DUMMYFUNCTION("""COMPUTED_VALUE"""),"9月")</f>
        <v>9月</v>
      </c>
      <c r="C137" s="1270" t="str">
        <f>IFERROR(__xludf.DUMMYFUNCTION("""COMPUTED_VALUE"""),"28日")</f>
        <v>28日</v>
      </c>
      <c r="D137" s="1270" t="str">
        <f>IFERROR(__xludf.DUMMYFUNCTION("""COMPUTED_VALUE"""),"口コミ")</f>
        <v>口コミ</v>
      </c>
      <c r="E137" s="1347"/>
      <c r="F137" s="1347"/>
      <c r="G137" s="1348" t="str">
        <f>IFERROR(__xludf.DUMMYFUNCTION("""COMPUTED_VALUE"""),"バスルームの臭いがひどく
トイレに汚れが残っていた。")</f>
        <v>バスルームの臭いがひどく
トイレに汚れが残っていた。</v>
      </c>
      <c r="H137" s="246"/>
      <c r="I137" s="246"/>
      <c r="J137" s="246"/>
      <c r="K137" s="246"/>
      <c r="L137" s="246"/>
      <c r="M137" s="1349"/>
      <c r="O137" s="1292" t="s">
        <v>72</v>
      </c>
      <c r="P137" s="1292" t="s">
        <v>121</v>
      </c>
      <c r="Q137" s="1292" t="s">
        <v>28</v>
      </c>
      <c r="R137" s="1293"/>
      <c r="S137" s="1292"/>
      <c r="T137" s="1292"/>
      <c r="U137" s="1294" t="s">
        <v>1226</v>
      </c>
      <c r="W137" s="1293" t="str">
        <f>'🔵クレーム'!C128</f>
        <v/>
      </c>
      <c r="X137" s="1293" t="str">
        <f>'🔵クレーム'!D128</f>
        <v/>
      </c>
      <c r="Y137" s="1292" t="str">
        <f>'🔵クレーム'!I128</f>
        <v/>
      </c>
      <c r="Z137" s="1293" t="str">
        <f>'🔵クレーム'!J128</f>
        <v/>
      </c>
      <c r="AA137" s="1293" t="str">
        <f>'🔵クレーム'!K128</f>
        <v/>
      </c>
      <c r="AB137" s="1293" t="str">
        <f>'🔵クレーム'!L128</f>
        <v/>
      </c>
      <c r="AC137" s="1295" t="str">
        <f>'🔵クレーム'!N128</f>
        <v/>
      </c>
    </row>
    <row r="138" hidden="1" outlineLevel="1">
      <c r="B138" s="1352" t="str">
        <f>IFERROR(__xludf.DUMMYFUNCTION("""COMPUTED_VALUE"""),"9月")</f>
        <v>9月</v>
      </c>
      <c r="C138" s="1270" t="str">
        <f>IFERROR(__xludf.DUMMYFUNCTION("""COMPUTED_VALUE"""),"30日")</f>
        <v>30日</v>
      </c>
      <c r="D138" s="1270" t="str">
        <f>IFERROR(__xludf.DUMMYFUNCTION("""COMPUTED_VALUE"""),"その他")</f>
        <v>その他</v>
      </c>
      <c r="E138" s="1347" t="str">
        <f>IFERROR(__xludf.DUMMYFUNCTION("""COMPUTED_VALUE"""),"李")</f>
        <v>李</v>
      </c>
      <c r="F138" s="1347" t="str">
        <f>IFERROR(__xludf.DUMMYFUNCTION("""COMPUTED_VALUE"""),"-")</f>
        <v>-</v>
      </c>
      <c r="G138" s="1348" t="str">
        <f>IFERROR(__xludf.DUMMYFUNCTION("""COMPUTED_VALUE"""),"客室誤入室")</f>
        <v>客室誤入室</v>
      </c>
      <c r="H138" s="246"/>
      <c r="I138" s="246"/>
      <c r="J138" s="246"/>
      <c r="K138" s="246"/>
      <c r="L138" s="246"/>
      <c r="M138" s="1349"/>
      <c r="O138" s="1292" t="s">
        <v>72</v>
      </c>
      <c r="P138" s="1292" t="s">
        <v>1136</v>
      </c>
      <c r="Q138" s="1292" t="s">
        <v>30</v>
      </c>
      <c r="R138" s="1293"/>
      <c r="S138" s="1292" t="s">
        <v>204</v>
      </c>
      <c r="T138" s="1292" t="s">
        <v>205</v>
      </c>
      <c r="U138" s="1294" t="s">
        <v>1227</v>
      </c>
      <c r="W138" s="1293" t="str">
        <f>'🔵クレーム'!C129</f>
        <v/>
      </c>
      <c r="X138" s="1293" t="str">
        <f>'🔵クレーム'!D129</f>
        <v/>
      </c>
      <c r="Y138" s="1292" t="str">
        <f>'🔵クレーム'!I129</f>
        <v/>
      </c>
      <c r="Z138" s="1293" t="str">
        <f>'🔵クレーム'!J129</f>
        <v/>
      </c>
      <c r="AA138" s="1293" t="str">
        <f>'🔵クレーム'!K129</f>
        <v/>
      </c>
      <c r="AB138" s="1293" t="str">
        <f>'🔵クレーム'!L129</f>
        <v/>
      </c>
      <c r="AC138" s="1295" t="str">
        <f>'🔵クレーム'!N129</f>
        <v/>
      </c>
    </row>
    <row r="139" hidden="1" outlineLevel="1">
      <c r="B139" s="1352" t="str">
        <f>IFERROR(__xludf.DUMMYFUNCTION("""COMPUTED_VALUE"""),"10月")</f>
        <v>10月</v>
      </c>
      <c r="C139" s="1270" t="str">
        <f>IFERROR(__xludf.DUMMYFUNCTION("""COMPUTED_VALUE"""),"3日")</f>
        <v>3日</v>
      </c>
      <c r="D139" s="1270" t="str">
        <f>IFERROR(__xludf.DUMMYFUNCTION("""COMPUTED_VALUE"""),"口コミ")</f>
        <v>口コミ</v>
      </c>
      <c r="E139" s="1347"/>
      <c r="F139" s="1347"/>
      <c r="G139" s="1348" t="str">
        <f>IFERROR(__xludf.DUMMYFUNCTION("""COMPUTED_VALUE"""),"トイレのドアが外れた？
カーテンに埃があった")</f>
        <v>トイレのドアが外れた？
カーテンに埃があった</v>
      </c>
      <c r="H139" s="246"/>
      <c r="I139" s="246"/>
      <c r="J139" s="246"/>
      <c r="K139" s="246"/>
      <c r="L139" s="246"/>
      <c r="M139" s="1349"/>
      <c r="O139" s="1292" t="s">
        <v>72</v>
      </c>
      <c r="P139" s="1292" t="s">
        <v>1094</v>
      </c>
      <c r="Q139" s="1292" t="s">
        <v>28</v>
      </c>
      <c r="R139" s="1293"/>
      <c r="S139" s="1292"/>
      <c r="T139" s="1292"/>
      <c r="U139" s="1294" t="s">
        <v>1228</v>
      </c>
      <c r="W139" s="1293" t="str">
        <f>'🔵クレーム'!C130</f>
        <v/>
      </c>
      <c r="X139" s="1293" t="str">
        <f>'🔵クレーム'!D130</f>
        <v/>
      </c>
      <c r="Y139" s="1292" t="str">
        <f>'🔵クレーム'!I130</f>
        <v/>
      </c>
      <c r="Z139" s="1293" t="str">
        <f>'🔵クレーム'!J130</f>
        <v/>
      </c>
      <c r="AA139" s="1293" t="str">
        <f>'🔵クレーム'!K130</f>
        <v/>
      </c>
      <c r="AB139" s="1293" t="str">
        <f>'🔵クレーム'!L130</f>
        <v/>
      </c>
      <c r="AC139" s="1295" t="str">
        <f>'🔵クレーム'!N130</f>
        <v/>
      </c>
    </row>
    <row r="140" hidden="1" outlineLevel="1">
      <c r="B140" s="1352" t="str">
        <f>IFERROR(__xludf.DUMMYFUNCTION("""COMPUTED_VALUE"""),"10月")</f>
        <v>10月</v>
      </c>
      <c r="C140" s="1270" t="str">
        <f>IFERROR(__xludf.DUMMYFUNCTION("""COMPUTED_VALUE"""),"3日")</f>
        <v>3日</v>
      </c>
      <c r="D140" s="1270" t="str">
        <f>IFERROR(__xludf.DUMMYFUNCTION("""COMPUTED_VALUE"""),"口コミ")</f>
        <v>口コミ</v>
      </c>
      <c r="E140" s="1347"/>
      <c r="F140" s="1347"/>
      <c r="G140" s="1348" t="str">
        <f>IFERROR(__xludf.DUMMYFUNCTION("""COMPUTED_VALUE"""),"和室の洗面台下のドアが
壊れている")</f>
        <v>和室の洗面台下のドアが
壊れている</v>
      </c>
      <c r="H140" s="246"/>
      <c r="I140" s="246"/>
      <c r="J140" s="246"/>
      <c r="K140" s="246"/>
      <c r="L140" s="246"/>
      <c r="M140" s="1349"/>
      <c r="O140" s="1292" t="s">
        <v>72</v>
      </c>
      <c r="P140" s="1292" t="s">
        <v>149</v>
      </c>
      <c r="Q140" s="1292" t="s">
        <v>37</v>
      </c>
      <c r="R140" s="1293"/>
      <c r="S140" s="1292" t="s">
        <v>204</v>
      </c>
      <c r="T140" s="1292" t="s">
        <v>567</v>
      </c>
      <c r="U140" s="1294" t="s">
        <v>1229</v>
      </c>
      <c r="W140" s="1293" t="str">
        <f>'🔵クレーム'!C131</f>
        <v/>
      </c>
      <c r="X140" s="1293" t="str">
        <f>'🔵クレーム'!D131</f>
        <v/>
      </c>
      <c r="Y140" s="1292" t="str">
        <f>'🔵クレーム'!I131</f>
        <v/>
      </c>
      <c r="Z140" s="1293" t="str">
        <f>'🔵クレーム'!J131</f>
        <v/>
      </c>
      <c r="AA140" s="1293" t="str">
        <f>'🔵クレーム'!K131</f>
        <v/>
      </c>
      <c r="AB140" s="1293" t="str">
        <f>'🔵クレーム'!L131</f>
        <v/>
      </c>
      <c r="AC140" s="1295" t="str">
        <f>'🔵クレーム'!N131</f>
        <v/>
      </c>
    </row>
    <row r="141" hidden="1" outlineLevel="1">
      <c r="B141" s="1352" t="str">
        <f>IFERROR(__xludf.DUMMYFUNCTION("""COMPUTED_VALUE"""),"10月")</f>
        <v>10月</v>
      </c>
      <c r="C141" s="1270" t="str">
        <f>IFERROR(__xludf.DUMMYFUNCTION("""COMPUTED_VALUE"""),"5日")</f>
        <v>5日</v>
      </c>
      <c r="D141" s="1270" t="str">
        <f>IFERROR(__xludf.DUMMYFUNCTION("""COMPUTED_VALUE"""),"口コミ")</f>
        <v>口コミ</v>
      </c>
      <c r="E141" s="1347"/>
      <c r="F141" s="1347"/>
      <c r="G141" s="1348" t="str">
        <f>IFERROR(__xludf.DUMMYFUNCTION("""COMPUTED_VALUE"""),"エレベーターの
カーペットが埃っぽかった")</f>
        <v>エレベーターの
カーペットが埃っぽかった</v>
      </c>
      <c r="H141" s="246"/>
      <c r="I141" s="246"/>
      <c r="J141" s="246"/>
      <c r="K141" s="246"/>
      <c r="L141" s="246"/>
      <c r="M141" s="1349"/>
      <c r="O141" s="1292" t="s">
        <v>72</v>
      </c>
      <c r="P141" s="1292" t="s">
        <v>142</v>
      </c>
      <c r="Q141" s="1292" t="s">
        <v>28</v>
      </c>
      <c r="R141" s="1293"/>
      <c r="S141" s="1292"/>
      <c r="T141" s="1292"/>
      <c r="U141" s="1294" t="s">
        <v>1230</v>
      </c>
      <c r="W141" s="1293" t="str">
        <f>'🔵クレーム'!C132</f>
        <v/>
      </c>
      <c r="X141" s="1293" t="str">
        <f>'🔵クレーム'!D132</f>
        <v/>
      </c>
      <c r="Y141" s="1292" t="str">
        <f>'🔵クレーム'!I132</f>
        <v/>
      </c>
      <c r="Z141" s="1293" t="str">
        <f>'🔵クレーム'!J132</f>
        <v/>
      </c>
      <c r="AA141" s="1293" t="str">
        <f>'🔵クレーム'!K132</f>
        <v/>
      </c>
      <c r="AB141" s="1293" t="str">
        <f>'🔵クレーム'!L132</f>
        <v/>
      </c>
      <c r="AC141" s="1295" t="str">
        <f>'🔵クレーム'!N132</f>
        <v/>
      </c>
    </row>
    <row r="142" hidden="1" outlineLevel="1">
      <c r="B142" s="1352" t="str">
        <f>IFERROR(__xludf.DUMMYFUNCTION("""COMPUTED_VALUE"""),"10月")</f>
        <v>10月</v>
      </c>
      <c r="C142" s="1270" t="str">
        <f>IFERROR(__xludf.DUMMYFUNCTION("""COMPUTED_VALUE"""),"7日")</f>
        <v>7日</v>
      </c>
      <c r="D142" s="1270" t="str">
        <f>IFERROR(__xludf.DUMMYFUNCTION("""COMPUTED_VALUE"""),"口コミ")</f>
        <v>口コミ</v>
      </c>
      <c r="E142" s="1347"/>
      <c r="F142" s="1347"/>
      <c r="G142" s="1348" t="str">
        <f>IFERROR(__xludf.DUMMYFUNCTION("""COMPUTED_VALUE"""),"トイレで臭いが出たが窓が開けられなかった")</f>
        <v>トイレで臭いが出たが窓が開けられなかった</v>
      </c>
      <c r="H142" s="246"/>
      <c r="I142" s="246"/>
      <c r="J142" s="246"/>
      <c r="K142" s="246"/>
      <c r="L142" s="246"/>
      <c r="M142" s="1349"/>
      <c r="O142" s="1292" t="s">
        <v>72</v>
      </c>
      <c r="P142" s="1292" t="s">
        <v>149</v>
      </c>
      <c r="Q142" s="1292" t="s">
        <v>28</v>
      </c>
      <c r="R142" s="1293"/>
      <c r="S142" s="1292"/>
      <c r="T142" s="1292"/>
      <c r="U142" s="1294" t="s">
        <v>1231</v>
      </c>
      <c r="W142" s="1293" t="str">
        <f>'🔵クレーム'!C133</f>
        <v/>
      </c>
      <c r="X142" s="1293" t="str">
        <f>'🔵クレーム'!D133</f>
        <v/>
      </c>
      <c r="Y142" s="1292" t="str">
        <f>'🔵クレーム'!I133</f>
        <v/>
      </c>
      <c r="Z142" s="1293" t="str">
        <f>'🔵クレーム'!J133</f>
        <v/>
      </c>
      <c r="AA142" s="1293" t="str">
        <f>'🔵クレーム'!K133</f>
        <v/>
      </c>
      <c r="AB142" s="1293" t="str">
        <f>'🔵クレーム'!L133</f>
        <v/>
      </c>
      <c r="AC142" s="1295" t="str">
        <f>'🔵クレーム'!N133</f>
        <v/>
      </c>
    </row>
    <row r="143" hidden="1" outlineLevel="1">
      <c r="B143" s="1352" t="str">
        <f>IFERROR(__xludf.DUMMYFUNCTION("""COMPUTED_VALUE"""),"10月")</f>
        <v>10月</v>
      </c>
      <c r="C143" s="1270" t="str">
        <f>IFERROR(__xludf.DUMMYFUNCTION("""COMPUTED_VALUE"""),"8日")</f>
        <v>8日</v>
      </c>
      <c r="D143" s="1270" t="str">
        <f>IFERROR(__xludf.DUMMYFUNCTION("""COMPUTED_VALUE"""),"口コミ")</f>
        <v>口コミ</v>
      </c>
      <c r="E143" s="1347"/>
      <c r="F143" s="1347"/>
      <c r="G143" s="1348"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49"/>
      <c r="O143" s="1292"/>
      <c r="P143" s="1292"/>
      <c r="Q143" s="1292"/>
      <c r="R143" s="1293"/>
      <c r="S143" s="1292"/>
      <c r="T143" s="1292"/>
      <c r="U143" s="1353"/>
      <c r="W143" s="1293" t="str">
        <f>'🔵クレーム'!C134</f>
        <v/>
      </c>
      <c r="X143" s="1293" t="str">
        <f>'🔵クレーム'!D134</f>
        <v/>
      </c>
      <c r="Y143" s="1292" t="str">
        <f>'🔵クレーム'!I134</f>
        <v/>
      </c>
      <c r="Z143" s="1293" t="str">
        <f>'🔵クレーム'!J134</f>
        <v/>
      </c>
      <c r="AA143" s="1293" t="str">
        <f>'🔵クレーム'!K134</f>
        <v/>
      </c>
      <c r="AB143" s="1293" t="str">
        <f>'🔵クレーム'!L134</f>
        <v/>
      </c>
      <c r="AC143" s="1295" t="str">
        <f>'🔵クレーム'!N134</f>
        <v/>
      </c>
    </row>
    <row r="144" hidden="1" outlineLevel="1">
      <c r="B144" s="1352" t="str">
        <f>IFERROR(__xludf.DUMMYFUNCTION("""COMPUTED_VALUE"""),"10月")</f>
        <v>10月</v>
      </c>
      <c r="C144" s="1270" t="str">
        <f>IFERROR(__xludf.DUMMYFUNCTION("""COMPUTED_VALUE"""),"9日")</f>
        <v>9日</v>
      </c>
      <c r="D144" s="1270" t="str">
        <f>IFERROR(__xludf.DUMMYFUNCTION("""COMPUTED_VALUE"""),"その他")</f>
        <v>その他</v>
      </c>
      <c r="E144" s="1347" t="str">
        <f>IFERROR(__xludf.DUMMYFUNCTION("""COMPUTED_VALUE"""),"李")</f>
        <v>李</v>
      </c>
      <c r="F144" s="1347" t="str">
        <f>IFERROR(__xludf.DUMMYFUNCTION("""COMPUTED_VALUE"""),"-")</f>
        <v>-</v>
      </c>
      <c r="G144" s="1348" t="str">
        <f>IFERROR(__xludf.DUMMYFUNCTION("""COMPUTED_VALUE"""),"1262の部屋の前に出してあったゴミ箱が
回収された")</f>
        <v>1262の部屋の前に出してあったゴミ箱が
回収された</v>
      </c>
      <c r="H144" s="246"/>
      <c r="I144" s="246"/>
      <c r="J144" s="246"/>
      <c r="K144" s="246"/>
      <c r="L144" s="246"/>
      <c r="M144" s="1349"/>
      <c r="O144" s="1292"/>
      <c r="P144" s="1292"/>
      <c r="Q144" s="1292"/>
      <c r="R144" s="1293"/>
      <c r="S144" s="1292"/>
      <c r="T144" s="1292"/>
      <c r="U144" s="1353"/>
      <c r="W144" s="1293" t="str">
        <f>'🔵クレーム'!C135</f>
        <v/>
      </c>
      <c r="X144" s="1293" t="str">
        <f>'🔵クレーム'!D135</f>
        <v/>
      </c>
      <c r="Y144" s="1292" t="str">
        <f>'🔵クレーム'!I135</f>
        <v/>
      </c>
      <c r="Z144" s="1293" t="str">
        <f>'🔵クレーム'!J135</f>
        <v/>
      </c>
      <c r="AA144" s="1293" t="str">
        <f>'🔵クレーム'!K135</f>
        <v/>
      </c>
      <c r="AB144" s="1293" t="str">
        <f>'🔵クレーム'!L135</f>
        <v/>
      </c>
      <c r="AC144" s="1295" t="str">
        <f>'🔵クレーム'!N135</f>
        <v/>
      </c>
    </row>
    <row r="145" hidden="1" outlineLevel="1">
      <c r="B145" s="1352" t="str">
        <f>IFERROR(__xludf.DUMMYFUNCTION("""COMPUTED_VALUE"""),"10月")</f>
        <v>10月</v>
      </c>
      <c r="C145" s="1270" t="str">
        <f>IFERROR(__xludf.DUMMYFUNCTION("""COMPUTED_VALUE"""),"9日")</f>
        <v>9日</v>
      </c>
      <c r="D145" s="1270" t="str">
        <f>IFERROR(__xludf.DUMMYFUNCTION("""COMPUTED_VALUE"""),"口コミ")</f>
        <v>口コミ</v>
      </c>
      <c r="E145" s="1347"/>
      <c r="F145" s="1347"/>
      <c r="G145" s="1348"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49"/>
      <c r="O145" s="1292"/>
      <c r="P145" s="1292"/>
      <c r="Q145" s="1292"/>
      <c r="R145" s="1293"/>
      <c r="S145" s="1292"/>
      <c r="T145" s="1292"/>
      <c r="U145" s="1353"/>
      <c r="W145" s="1293" t="str">
        <f>'🔵クレーム'!C136</f>
        <v/>
      </c>
      <c r="X145" s="1293" t="str">
        <f>'🔵クレーム'!D136</f>
        <v/>
      </c>
      <c r="Y145" s="1292" t="str">
        <f>'🔵クレーム'!I136</f>
        <v/>
      </c>
      <c r="Z145" s="1293" t="str">
        <f>'🔵クレーム'!J136</f>
        <v/>
      </c>
      <c r="AA145" s="1293" t="str">
        <f>'🔵クレーム'!K136</f>
        <v/>
      </c>
      <c r="AB145" s="1293" t="str">
        <f>'🔵クレーム'!L136</f>
        <v/>
      </c>
      <c r="AC145" s="1295" t="str">
        <f>'🔵クレーム'!N136</f>
        <v/>
      </c>
    </row>
    <row r="146" hidden="1" outlineLevel="1">
      <c r="B146" s="1352" t="str">
        <f>IFERROR(__xludf.DUMMYFUNCTION("""COMPUTED_VALUE"""),"10月")</f>
        <v>10月</v>
      </c>
      <c r="C146" s="1270" t="str">
        <f>IFERROR(__xludf.DUMMYFUNCTION("""COMPUTED_VALUE"""),"12日")</f>
        <v>12日</v>
      </c>
      <c r="D146" s="1270" t="str">
        <f>IFERROR(__xludf.DUMMYFUNCTION("""COMPUTED_VALUE"""),"口コミ")</f>
        <v>口コミ</v>
      </c>
      <c r="E146" s="1347"/>
      <c r="F146" s="1347"/>
      <c r="G146" s="1348" t="str">
        <f>IFERROR(__xludf.DUMMYFUNCTION("""COMPUTED_VALUE"""),"トイレにゴキブリ")</f>
        <v>トイレにゴキブリ</v>
      </c>
      <c r="H146" s="246"/>
      <c r="I146" s="246"/>
      <c r="J146" s="246"/>
      <c r="K146" s="246"/>
      <c r="L146" s="246"/>
      <c r="M146" s="1349"/>
      <c r="O146" s="1292"/>
      <c r="P146" s="1292"/>
      <c r="Q146" s="1292"/>
      <c r="R146" s="1293"/>
      <c r="S146" s="1292"/>
      <c r="T146" s="1292"/>
      <c r="U146" s="1353"/>
      <c r="W146" s="1293" t="str">
        <f>'🔵クレーム'!C137</f>
        <v/>
      </c>
      <c r="X146" s="1293" t="str">
        <f>'🔵クレーム'!D137</f>
        <v/>
      </c>
      <c r="Y146" s="1292" t="str">
        <f>'🔵クレーム'!I137</f>
        <v/>
      </c>
      <c r="Z146" s="1293" t="str">
        <f>'🔵クレーム'!J137</f>
        <v/>
      </c>
      <c r="AA146" s="1293" t="str">
        <f>'🔵クレーム'!K137</f>
        <v/>
      </c>
      <c r="AB146" s="1293" t="str">
        <f>'🔵クレーム'!L137</f>
        <v/>
      </c>
      <c r="AC146" s="1295" t="str">
        <f>'🔵クレーム'!N137</f>
        <v/>
      </c>
    </row>
    <row r="147" hidden="1" outlineLevel="1">
      <c r="B147" s="1352" t="str">
        <f>IFERROR(__xludf.DUMMYFUNCTION("""COMPUTED_VALUE"""),"10月")</f>
        <v>10月</v>
      </c>
      <c r="C147" s="1270" t="str">
        <f>IFERROR(__xludf.DUMMYFUNCTION("""COMPUTED_VALUE"""),"12日")</f>
        <v>12日</v>
      </c>
      <c r="D147" s="1270" t="str">
        <f>IFERROR(__xludf.DUMMYFUNCTION("""COMPUTED_VALUE"""),"口コミ")</f>
        <v>口コミ</v>
      </c>
      <c r="E147" s="1347"/>
      <c r="F147" s="1347"/>
      <c r="G147" s="1348"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49"/>
      <c r="O147" s="1293"/>
      <c r="P147" s="1293"/>
      <c r="Q147" s="1293"/>
      <c r="R147" s="1293"/>
      <c r="S147" s="1293"/>
      <c r="T147" s="1293"/>
      <c r="U147" s="1295"/>
      <c r="W147" s="1293" t="str">
        <f>'🔵クレーム'!C138</f>
        <v/>
      </c>
      <c r="X147" s="1293" t="str">
        <f>'🔵クレーム'!D138</f>
        <v/>
      </c>
      <c r="Y147" s="1292" t="str">
        <f>'🔵クレーム'!I138</f>
        <v/>
      </c>
      <c r="Z147" s="1293" t="str">
        <f>'🔵クレーム'!J138</f>
        <v/>
      </c>
      <c r="AA147" s="1293" t="str">
        <f>'🔵クレーム'!K138</f>
        <v/>
      </c>
      <c r="AB147" s="1293" t="str">
        <f>'🔵クレーム'!L138</f>
        <v/>
      </c>
      <c r="AC147" s="1295" t="str">
        <f>'🔵クレーム'!N138</f>
        <v/>
      </c>
    </row>
    <row r="148" hidden="1" outlineLevel="1">
      <c r="B148" s="1352" t="str">
        <f>IFERROR(__xludf.DUMMYFUNCTION("""COMPUTED_VALUE"""),"10月")</f>
        <v>10月</v>
      </c>
      <c r="C148" s="1270" t="str">
        <f>IFERROR(__xludf.DUMMYFUNCTION("""COMPUTED_VALUE"""),"13日")</f>
        <v>13日</v>
      </c>
      <c r="D148" s="1270" t="str">
        <f>IFERROR(__xludf.DUMMYFUNCTION("""COMPUTED_VALUE"""),"清掃不備")</f>
        <v>清掃不備</v>
      </c>
      <c r="E148" s="1347" t="str">
        <f>IFERROR(__xludf.DUMMYFUNCTION("""COMPUTED_VALUE"""),"迫田")</f>
        <v>迫田</v>
      </c>
      <c r="F148" s="1347" t="str">
        <f>IFERROR(__xludf.DUMMYFUNCTION("""COMPUTED_VALUE"""),"ポールニ")</f>
        <v>ポールニ</v>
      </c>
      <c r="G148" s="1348" t="str">
        <f>IFERROR(__xludf.DUMMYFUNCTION("""COMPUTED_VALUE"""),"掛け布団が汚れていた")</f>
        <v>掛け布団が汚れていた</v>
      </c>
      <c r="H148" s="246"/>
      <c r="I148" s="246"/>
      <c r="J148" s="246"/>
      <c r="K148" s="246"/>
      <c r="L148" s="246"/>
      <c r="M148" s="1349"/>
      <c r="O148" s="1293"/>
      <c r="P148" s="1293"/>
      <c r="Q148" s="1293"/>
      <c r="R148" s="1293"/>
      <c r="S148" s="1293"/>
      <c r="T148" s="1293"/>
      <c r="U148" s="1295"/>
      <c r="W148" s="1293" t="str">
        <f>'🔵クレーム'!C139</f>
        <v/>
      </c>
      <c r="X148" s="1293" t="str">
        <f>'🔵クレーム'!D139</f>
        <v/>
      </c>
      <c r="Y148" s="1292" t="str">
        <f>'🔵クレーム'!I139</f>
        <v/>
      </c>
      <c r="Z148" s="1293" t="str">
        <f>'🔵クレーム'!J139</f>
        <v/>
      </c>
      <c r="AA148" s="1293" t="str">
        <f>'🔵クレーム'!K139</f>
        <v/>
      </c>
      <c r="AB148" s="1293" t="str">
        <f>'🔵クレーム'!L139</f>
        <v/>
      </c>
      <c r="AC148" s="1295" t="str">
        <f>'🔵クレーム'!N139</f>
        <v/>
      </c>
    </row>
    <row r="149" hidden="1" outlineLevel="1">
      <c r="B149" s="1352" t="str">
        <f>IFERROR(__xludf.DUMMYFUNCTION("""COMPUTED_VALUE"""),"10月")</f>
        <v>10月</v>
      </c>
      <c r="C149" s="1270" t="str">
        <f>IFERROR(__xludf.DUMMYFUNCTION("""COMPUTED_VALUE"""),"19日")</f>
        <v>19日</v>
      </c>
      <c r="D149" s="1270" t="str">
        <f>IFERROR(__xludf.DUMMYFUNCTION("""COMPUTED_VALUE"""),"その他")</f>
        <v>その他</v>
      </c>
      <c r="E149" s="1347" t="str">
        <f>IFERROR(__xludf.DUMMYFUNCTION("""COMPUTED_VALUE"""),"李")</f>
        <v>李</v>
      </c>
      <c r="F149" s="1347"/>
      <c r="G149" s="1348" t="str">
        <f>IFERROR(__xludf.DUMMYFUNCTION("""COMPUTED_VALUE"""),"ボールペンのインク切れ")</f>
        <v>ボールペンのインク切れ</v>
      </c>
      <c r="H149" s="246"/>
      <c r="I149" s="246"/>
      <c r="J149" s="246"/>
      <c r="K149" s="246"/>
      <c r="L149" s="246"/>
      <c r="M149" s="1349"/>
      <c r="O149" s="1293"/>
      <c r="P149" s="1293"/>
      <c r="Q149" s="1293"/>
      <c r="R149" s="1293"/>
      <c r="S149" s="1293"/>
      <c r="T149" s="1293"/>
      <c r="U149" s="1295"/>
      <c r="W149" s="1293" t="str">
        <f>'🔵クレーム'!C140</f>
        <v/>
      </c>
      <c r="X149" s="1293" t="str">
        <f>'🔵クレーム'!D140</f>
        <v/>
      </c>
      <c r="Y149" s="1292" t="str">
        <f>'🔵クレーム'!I140</f>
        <v/>
      </c>
      <c r="Z149" s="1293" t="str">
        <f>'🔵クレーム'!J140</f>
        <v/>
      </c>
      <c r="AA149" s="1293" t="str">
        <f>'🔵クレーム'!K140</f>
        <v/>
      </c>
      <c r="AB149" s="1293" t="str">
        <f>'🔵クレーム'!L140</f>
        <v/>
      </c>
      <c r="AC149" s="1295" t="str">
        <f>'🔵クレーム'!N140</f>
        <v/>
      </c>
    </row>
    <row r="150" hidden="1" outlineLevel="1">
      <c r="B150" s="1352" t="str">
        <f>IFERROR(__xludf.DUMMYFUNCTION("""COMPUTED_VALUE"""),"10月")</f>
        <v>10月</v>
      </c>
      <c r="C150" s="1270" t="str">
        <f>IFERROR(__xludf.DUMMYFUNCTION("""COMPUTED_VALUE"""),"23日")</f>
        <v>23日</v>
      </c>
      <c r="D150" s="1270" t="str">
        <f>IFERROR(__xludf.DUMMYFUNCTION("""COMPUTED_VALUE"""),"口コミ")</f>
        <v>口コミ</v>
      </c>
      <c r="E150" s="1347" t="str">
        <f>IFERROR(__xludf.DUMMYFUNCTION("""COMPUTED_VALUE"""),"西川")</f>
        <v>西川</v>
      </c>
      <c r="F150" s="1347" t="str">
        <f>IFERROR(__xludf.DUMMYFUNCTION("""COMPUTED_VALUE"""),"ウメス")</f>
        <v>ウメス</v>
      </c>
      <c r="G150" s="1348" t="str">
        <f>IFERROR(__xludf.DUMMYFUNCTION("""COMPUTED_VALUE"""),"浴室の床に髪の毛が沢山あった")</f>
        <v>浴室の床に髪の毛が沢山あった</v>
      </c>
      <c r="H150" s="246"/>
      <c r="I150" s="246"/>
      <c r="J150" s="246"/>
      <c r="K150" s="246"/>
      <c r="L150" s="246"/>
      <c r="M150" s="1349"/>
      <c r="O150" s="1293"/>
      <c r="P150" s="1293"/>
      <c r="Q150" s="1293"/>
      <c r="R150" s="1293"/>
      <c r="S150" s="1293"/>
      <c r="T150" s="1293"/>
      <c r="U150" s="1295"/>
      <c r="W150" s="1293" t="str">
        <f>'🔵クレーム'!C141</f>
        <v/>
      </c>
      <c r="X150" s="1293" t="str">
        <f>'🔵クレーム'!D141</f>
        <v/>
      </c>
      <c r="Y150" s="1292" t="str">
        <f>'🔵クレーム'!I141</f>
        <v/>
      </c>
      <c r="Z150" s="1293" t="str">
        <f>'🔵クレーム'!J141</f>
        <v/>
      </c>
      <c r="AA150" s="1293" t="str">
        <f>'🔵クレーム'!K141</f>
        <v/>
      </c>
      <c r="AB150" s="1293" t="str">
        <f>'🔵クレーム'!L141</f>
        <v/>
      </c>
      <c r="AC150" s="1295" t="str">
        <f>'🔵クレーム'!N141</f>
        <v/>
      </c>
    </row>
    <row r="151" hidden="1" outlineLevel="1">
      <c r="B151" s="1352" t="str">
        <f>IFERROR(__xludf.DUMMYFUNCTION("""COMPUTED_VALUE"""),"10月")</f>
        <v>10月</v>
      </c>
      <c r="C151" s="1270" t="str">
        <f>IFERROR(__xludf.DUMMYFUNCTION("""COMPUTED_VALUE"""),"24日")</f>
        <v>24日</v>
      </c>
      <c r="D151" s="1270" t="str">
        <f>IFERROR(__xludf.DUMMYFUNCTION("""COMPUTED_VALUE"""),"口コミ")</f>
        <v>口コミ</v>
      </c>
      <c r="E151" s="1347"/>
      <c r="F151" s="1347"/>
      <c r="G151" s="1348"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49"/>
      <c r="O151" s="1293"/>
      <c r="P151" s="1293"/>
      <c r="Q151" s="1293"/>
      <c r="R151" s="1293"/>
      <c r="S151" s="1293"/>
      <c r="T151" s="1293"/>
      <c r="U151" s="1295"/>
      <c r="W151" s="1293" t="str">
        <f>'🔵クレーム'!C142</f>
        <v/>
      </c>
      <c r="X151" s="1293" t="str">
        <f>'🔵クレーム'!D142</f>
        <v/>
      </c>
      <c r="Y151" s="1292" t="str">
        <f>'🔵クレーム'!I142</f>
        <v/>
      </c>
      <c r="Z151" s="1293" t="str">
        <f>'🔵クレーム'!J142</f>
        <v/>
      </c>
      <c r="AA151" s="1293" t="str">
        <f>'🔵クレーム'!K142</f>
        <v/>
      </c>
      <c r="AB151" s="1293" t="str">
        <f>'🔵クレーム'!L142</f>
        <v/>
      </c>
      <c r="AC151" s="1295" t="str">
        <f>'🔵クレーム'!N142</f>
        <v/>
      </c>
    </row>
    <row r="152" hidden="1" outlineLevel="1">
      <c r="B152" s="1352" t="str">
        <f>IFERROR(__xludf.DUMMYFUNCTION("""COMPUTED_VALUE"""),"10月")</f>
        <v>10月</v>
      </c>
      <c r="C152" s="1270" t="str">
        <f>IFERROR(__xludf.DUMMYFUNCTION("""COMPUTED_VALUE"""),"25日")</f>
        <v>25日</v>
      </c>
      <c r="D152" s="1270" t="str">
        <f>IFERROR(__xludf.DUMMYFUNCTION("""COMPUTED_VALUE"""),"社内ミス")</f>
        <v>社内ミス</v>
      </c>
      <c r="E152" s="1347"/>
      <c r="F152" s="1347"/>
      <c r="G152" s="1348" t="str">
        <f>IFERROR(__xludf.DUMMYFUNCTION("""COMPUTED_VALUE"""),"12FのEVホールにカートが残っていた。")</f>
        <v>12FのEVホールにカートが残っていた。</v>
      </c>
      <c r="H152" s="246"/>
      <c r="I152" s="246"/>
      <c r="J152" s="246"/>
      <c r="K152" s="246"/>
      <c r="L152" s="246"/>
      <c r="M152" s="1349"/>
      <c r="O152" s="1293"/>
      <c r="P152" s="1293"/>
      <c r="Q152" s="1293"/>
      <c r="R152" s="1293"/>
      <c r="S152" s="1293"/>
      <c r="T152" s="1293"/>
      <c r="U152" s="1295"/>
      <c r="W152" s="1293" t="str">
        <f>'🔵クレーム'!C143</f>
        <v/>
      </c>
      <c r="X152" s="1293" t="str">
        <f>'🔵クレーム'!D143</f>
        <v/>
      </c>
      <c r="Y152" s="1292" t="str">
        <f>'🔵クレーム'!I143</f>
        <v/>
      </c>
      <c r="Z152" s="1293" t="str">
        <f>'🔵クレーム'!J143</f>
        <v/>
      </c>
      <c r="AA152" s="1293" t="str">
        <f>'🔵クレーム'!K143</f>
        <v/>
      </c>
      <c r="AB152" s="1293" t="str">
        <f>'🔵クレーム'!L143</f>
        <v/>
      </c>
      <c r="AC152" s="1295" t="str">
        <f>'🔵クレーム'!N143</f>
        <v/>
      </c>
    </row>
    <row r="153" hidden="1" outlineLevel="1">
      <c r="B153" s="1352" t="str">
        <f>IFERROR(__xludf.DUMMYFUNCTION("""COMPUTED_VALUE"""),"10月")</f>
        <v>10月</v>
      </c>
      <c r="C153" s="1270" t="str">
        <f>IFERROR(__xludf.DUMMYFUNCTION("""COMPUTED_VALUE"""),"26日")</f>
        <v>26日</v>
      </c>
      <c r="D153" s="1270" t="str">
        <f>IFERROR(__xludf.DUMMYFUNCTION("""COMPUTED_VALUE"""),"口コミ")</f>
        <v>口コミ</v>
      </c>
      <c r="E153" s="1347"/>
      <c r="F153" s="1347"/>
      <c r="G153" s="1348"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49"/>
      <c r="O153" s="1293"/>
      <c r="P153" s="1293"/>
      <c r="Q153" s="1293"/>
      <c r="R153" s="1293"/>
      <c r="S153" s="1293"/>
      <c r="T153" s="1293"/>
      <c r="U153" s="1295"/>
      <c r="W153" s="1293" t="str">
        <f>'🔵クレーム'!C144</f>
        <v/>
      </c>
      <c r="X153" s="1293" t="str">
        <f>'🔵クレーム'!D144</f>
        <v/>
      </c>
      <c r="Y153" s="1292" t="str">
        <f>'🔵クレーム'!I144</f>
        <v/>
      </c>
      <c r="Z153" s="1293" t="str">
        <f>'🔵クレーム'!J144</f>
        <v/>
      </c>
      <c r="AA153" s="1293" t="str">
        <f>'🔵クレーム'!K144</f>
        <v/>
      </c>
      <c r="AB153" s="1293" t="str">
        <f>'🔵クレーム'!L144</f>
        <v/>
      </c>
      <c r="AC153" s="1295" t="str">
        <f>'🔵クレーム'!N144</f>
        <v/>
      </c>
    </row>
    <row r="154" hidden="1" outlineLevel="1">
      <c r="B154" s="1352" t="str">
        <f>IFERROR(__xludf.DUMMYFUNCTION("""COMPUTED_VALUE"""),"10月")</f>
        <v>10月</v>
      </c>
      <c r="C154" s="1270" t="str">
        <f>IFERROR(__xludf.DUMMYFUNCTION("""COMPUTED_VALUE"""),"31日")</f>
        <v>31日</v>
      </c>
      <c r="D154" s="1270" t="str">
        <f>IFERROR(__xludf.DUMMYFUNCTION("""COMPUTED_VALUE"""),"口コミ")</f>
        <v>口コミ</v>
      </c>
      <c r="E154" s="1347"/>
      <c r="F154" s="1347"/>
      <c r="G154" s="1348"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49"/>
      <c r="O154" s="1293"/>
      <c r="P154" s="1293"/>
      <c r="Q154" s="1293"/>
      <c r="R154" s="1293"/>
      <c r="S154" s="1293"/>
      <c r="T154" s="1293"/>
      <c r="U154" s="1295"/>
      <c r="W154" s="1293" t="str">
        <f>'🔵クレーム'!C145</f>
        <v/>
      </c>
      <c r="X154" s="1293" t="str">
        <f>'🔵クレーム'!D145</f>
        <v/>
      </c>
      <c r="Y154" s="1292" t="str">
        <f>'🔵クレーム'!I145</f>
        <v/>
      </c>
      <c r="Z154" s="1293" t="str">
        <f>'🔵クレーム'!J145</f>
        <v/>
      </c>
      <c r="AA154" s="1293" t="str">
        <f>'🔵クレーム'!K145</f>
        <v/>
      </c>
      <c r="AB154" s="1293" t="str">
        <f>'🔵クレーム'!L145</f>
        <v/>
      </c>
      <c r="AC154" s="1295" t="str">
        <f>'🔵クレーム'!N145</f>
        <v/>
      </c>
    </row>
    <row r="155" hidden="1" outlineLevel="1">
      <c r="B155" s="1352" t="str">
        <f>IFERROR(__xludf.DUMMYFUNCTION("""COMPUTED_VALUE"""),"11月")</f>
        <v>11月</v>
      </c>
      <c r="C155" s="1270" t="str">
        <f>IFERROR(__xludf.DUMMYFUNCTION("""COMPUTED_VALUE"""),"1日")</f>
        <v>1日</v>
      </c>
      <c r="D155" s="1270" t="str">
        <f>IFERROR(__xludf.DUMMYFUNCTION("""COMPUTED_VALUE"""),"残置")</f>
        <v>残置</v>
      </c>
      <c r="E155" s="1347" t="str">
        <f>IFERROR(__xludf.DUMMYFUNCTION("""COMPUTED_VALUE"""),"西川")</f>
        <v>西川</v>
      </c>
      <c r="F155" s="1347" t="str">
        <f>IFERROR(__xludf.DUMMYFUNCTION("""COMPUTED_VALUE"""),"ポールニ")</f>
        <v>ポールニ</v>
      </c>
      <c r="G155" s="1348" t="str">
        <f>IFERROR(__xludf.DUMMYFUNCTION("""COMPUTED_VALUE"""),"滞在部屋に清掃道具が残っていた。")</f>
        <v>滞在部屋に清掃道具が残っていた。</v>
      </c>
      <c r="H155" s="246"/>
      <c r="I155" s="246"/>
      <c r="J155" s="246"/>
      <c r="K155" s="246"/>
      <c r="L155" s="246"/>
      <c r="M155" s="1349"/>
      <c r="O155" s="1293"/>
      <c r="P155" s="1293"/>
      <c r="Q155" s="1293"/>
      <c r="R155" s="1293"/>
      <c r="S155" s="1293"/>
      <c r="T155" s="1293"/>
      <c r="U155" s="1295"/>
      <c r="W155" s="1293" t="str">
        <f>'🔵クレーム'!C146</f>
        <v/>
      </c>
      <c r="X155" s="1293" t="str">
        <f>'🔵クレーム'!D146</f>
        <v/>
      </c>
      <c r="Y155" s="1292" t="str">
        <f>'🔵クレーム'!I146</f>
        <v/>
      </c>
      <c r="Z155" s="1293" t="str">
        <f>'🔵クレーム'!J146</f>
        <v/>
      </c>
      <c r="AA155" s="1293" t="str">
        <f>'🔵クレーム'!K146</f>
        <v/>
      </c>
      <c r="AB155" s="1293" t="str">
        <f>'🔵クレーム'!L146</f>
        <v/>
      </c>
      <c r="AC155" s="1295" t="str">
        <f>'🔵クレーム'!N146</f>
        <v/>
      </c>
    </row>
    <row r="156" hidden="1" outlineLevel="1">
      <c r="B156" s="1352" t="str">
        <f>IFERROR(__xludf.DUMMYFUNCTION("""COMPUTED_VALUE"""),"11月")</f>
        <v>11月</v>
      </c>
      <c r="C156" s="1270" t="str">
        <f>IFERROR(__xludf.DUMMYFUNCTION("""COMPUTED_VALUE"""),"4日")</f>
        <v>4日</v>
      </c>
      <c r="D156" s="1270" t="str">
        <f>IFERROR(__xludf.DUMMYFUNCTION("""COMPUTED_VALUE"""),"口コミ")</f>
        <v>口コミ</v>
      </c>
      <c r="E156" s="1347"/>
      <c r="F156" s="1347"/>
      <c r="G156" s="1348"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49"/>
      <c r="O156" s="1293"/>
      <c r="P156" s="1293"/>
      <c r="Q156" s="1293"/>
      <c r="R156" s="1293"/>
      <c r="S156" s="1293"/>
      <c r="T156" s="1293"/>
      <c r="U156" s="1295"/>
      <c r="W156" s="1293" t="str">
        <f>'🔵クレーム'!C147</f>
        <v/>
      </c>
      <c r="X156" s="1293" t="str">
        <f>'🔵クレーム'!D147</f>
        <v/>
      </c>
      <c r="Y156" s="1292" t="str">
        <f>'🔵クレーム'!I147</f>
        <v/>
      </c>
      <c r="Z156" s="1293" t="str">
        <f>'🔵クレーム'!J147</f>
        <v/>
      </c>
      <c r="AA156" s="1293" t="str">
        <f>'🔵クレーム'!K147</f>
        <v/>
      </c>
      <c r="AB156" s="1293" t="str">
        <f>'🔵クレーム'!L147</f>
        <v/>
      </c>
      <c r="AC156" s="1295" t="str">
        <f>'🔵クレーム'!N147</f>
        <v/>
      </c>
    </row>
    <row r="157" hidden="1" outlineLevel="1">
      <c r="B157" s="1352" t="str">
        <f>IFERROR(__xludf.DUMMYFUNCTION("""COMPUTED_VALUE"""),"11月")</f>
        <v>11月</v>
      </c>
      <c r="C157" s="1270" t="str">
        <f>IFERROR(__xludf.DUMMYFUNCTION("""COMPUTED_VALUE"""),"7日")</f>
        <v>7日</v>
      </c>
      <c r="D157" s="1270" t="str">
        <f>IFERROR(__xludf.DUMMYFUNCTION("""COMPUTED_VALUE"""),"セット漏れ")</f>
        <v>セット漏れ</v>
      </c>
      <c r="E157" s="1347" t="str">
        <f>IFERROR(__xludf.DUMMYFUNCTION("""COMPUTED_VALUE"""),"ダヤラム")</f>
        <v>ダヤラム</v>
      </c>
      <c r="F157" s="1347"/>
      <c r="G157" s="1348" t="str">
        <f>IFERROR(__xludf.DUMMYFUNCTION("""COMPUTED_VALUE"""),"1256リネン類が1セットしかなかった")</f>
        <v>1256リネン類が1セットしかなかった</v>
      </c>
      <c r="H157" s="246"/>
      <c r="I157" s="246"/>
      <c r="J157" s="246"/>
      <c r="K157" s="246"/>
      <c r="L157" s="246"/>
      <c r="M157" s="1349"/>
      <c r="O157" s="1293"/>
      <c r="P157" s="1293"/>
      <c r="Q157" s="1293"/>
      <c r="R157" s="1293"/>
      <c r="S157" s="1293"/>
      <c r="T157" s="1293"/>
      <c r="U157" s="1295"/>
      <c r="W157" s="1293" t="str">
        <f>'🔵クレーム'!C148</f>
        <v/>
      </c>
      <c r="X157" s="1293" t="str">
        <f>'🔵クレーム'!D148</f>
        <v/>
      </c>
      <c r="Y157" s="1292" t="str">
        <f>'🔵クレーム'!I148</f>
        <v/>
      </c>
      <c r="Z157" s="1293" t="str">
        <f>'🔵クレーム'!J148</f>
        <v/>
      </c>
      <c r="AA157" s="1293" t="str">
        <f>'🔵クレーム'!K148</f>
        <v/>
      </c>
      <c r="AB157" s="1293" t="str">
        <f>'🔵クレーム'!L148</f>
        <v/>
      </c>
      <c r="AC157" s="1295" t="str">
        <f>'🔵クレーム'!N148</f>
        <v/>
      </c>
    </row>
    <row r="158" hidden="1" outlineLevel="1">
      <c r="B158" s="1352" t="str">
        <f>IFERROR(__xludf.DUMMYFUNCTION("""COMPUTED_VALUE"""),"11月")</f>
        <v>11月</v>
      </c>
      <c r="C158" s="1270" t="str">
        <f>IFERROR(__xludf.DUMMYFUNCTION("""COMPUTED_VALUE"""),"9日")</f>
        <v>9日</v>
      </c>
      <c r="D158" s="1270" t="str">
        <f>IFERROR(__xludf.DUMMYFUNCTION("""COMPUTED_VALUE"""),"口コミ")</f>
        <v>口コミ</v>
      </c>
      <c r="E158" s="1347"/>
      <c r="F158" s="1347"/>
      <c r="G158" s="1348"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49"/>
      <c r="O158" s="1293"/>
      <c r="P158" s="1293"/>
      <c r="Q158" s="1293"/>
      <c r="R158" s="1293"/>
      <c r="S158" s="1293"/>
      <c r="T158" s="1293"/>
      <c r="U158" s="1295"/>
      <c r="W158" s="1293" t="str">
        <f>'🔵クレーム'!C149</f>
        <v/>
      </c>
      <c r="X158" s="1293" t="str">
        <f>'🔵クレーム'!D149</f>
        <v/>
      </c>
      <c r="Y158" s="1292" t="str">
        <f>'🔵クレーム'!I149</f>
        <v/>
      </c>
      <c r="Z158" s="1293" t="str">
        <f>'🔵クレーム'!J149</f>
        <v/>
      </c>
      <c r="AA158" s="1293" t="str">
        <f>'🔵クレーム'!K149</f>
        <v/>
      </c>
      <c r="AB158" s="1293" t="str">
        <f>'🔵クレーム'!L149</f>
        <v/>
      </c>
      <c r="AC158" s="1295" t="str">
        <f>'🔵クレーム'!N149</f>
        <v/>
      </c>
    </row>
    <row r="159" hidden="1" outlineLevel="1">
      <c r="B159" s="1352" t="str">
        <f>IFERROR(__xludf.DUMMYFUNCTION("""COMPUTED_VALUE"""),"11月")</f>
        <v>11月</v>
      </c>
      <c r="C159" s="1270" t="str">
        <f>IFERROR(__xludf.DUMMYFUNCTION("""COMPUTED_VALUE"""),"12日")</f>
        <v>12日</v>
      </c>
      <c r="D159" s="1270" t="str">
        <f>IFERROR(__xludf.DUMMYFUNCTION("""COMPUTED_VALUE"""),"口コミ")</f>
        <v>口コミ</v>
      </c>
      <c r="E159" s="1347"/>
      <c r="F159" s="1347"/>
      <c r="G159" s="1348"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49"/>
      <c r="O159" s="1293"/>
      <c r="P159" s="1293"/>
      <c r="Q159" s="1293"/>
      <c r="R159" s="1293"/>
      <c r="S159" s="1293"/>
      <c r="T159" s="1293"/>
      <c r="U159" s="1295"/>
      <c r="W159" s="1293" t="str">
        <f>'🔵クレーム'!C150</f>
        <v/>
      </c>
      <c r="X159" s="1293" t="str">
        <f>'🔵クレーム'!D150</f>
        <v/>
      </c>
      <c r="Y159" s="1292" t="str">
        <f>'🔵クレーム'!I150</f>
        <v/>
      </c>
      <c r="Z159" s="1293" t="str">
        <f>'🔵クレーム'!J150</f>
        <v/>
      </c>
      <c r="AA159" s="1293" t="str">
        <f>'🔵クレーム'!K150</f>
        <v/>
      </c>
      <c r="AB159" s="1293" t="str">
        <f>'🔵クレーム'!L150</f>
        <v/>
      </c>
      <c r="AC159" s="1295" t="str">
        <f>'🔵クレーム'!N150</f>
        <v/>
      </c>
    </row>
    <row r="160" hidden="1" outlineLevel="1">
      <c r="B160" s="1352" t="str">
        <f>IFERROR(__xludf.DUMMYFUNCTION("""COMPUTED_VALUE"""),"11月")</f>
        <v>11月</v>
      </c>
      <c r="C160" s="1270" t="str">
        <f>IFERROR(__xludf.DUMMYFUNCTION("""COMPUTED_VALUE"""),"12日")</f>
        <v>12日</v>
      </c>
      <c r="D160" s="1270" t="str">
        <f>IFERROR(__xludf.DUMMYFUNCTION("""COMPUTED_VALUE"""),"口コミ")</f>
        <v>口コミ</v>
      </c>
      <c r="E160" s="1347"/>
      <c r="F160" s="1347"/>
      <c r="G160" s="1348"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49"/>
      <c r="O160" s="1293"/>
      <c r="P160" s="1293"/>
      <c r="Q160" s="1293"/>
      <c r="R160" s="1293"/>
      <c r="S160" s="1293"/>
      <c r="T160" s="1293"/>
      <c r="U160" s="1295"/>
      <c r="W160" s="1293" t="str">
        <f>'🔵クレーム'!C151</f>
        <v/>
      </c>
      <c r="X160" s="1293" t="str">
        <f>'🔵クレーム'!D151</f>
        <v/>
      </c>
      <c r="Y160" s="1292" t="str">
        <f>'🔵クレーム'!I151</f>
        <v/>
      </c>
      <c r="Z160" s="1293" t="str">
        <f>'🔵クレーム'!J151</f>
        <v/>
      </c>
      <c r="AA160" s="1293" t="str">
        <f>'🔵クレーム'!K151</f>
        <v/>
      </c>
      <c r="AB160" s="1293" t="str">
        <f>'🔵クレーム'!L151</f>
        <v/>
      </c>
      <c r="AC160" s="1295" t="str">
        <f>'🔵クレーム'!N151</f>
        <v/>
      </c>
    </row>
    <row r="161" hidden="1" outlineLevel="1">
      <c r="B161" s="1352" t="str">
        <f>IFERROR(__xludf.DUMMYFUNCTION("""COMPUTED_VALUE"""),"11月")</f>
        <v>11月</v>
      </c>
      <c r="C161" s="1270" t="str">
        <f>IFERROR(__xludf.DUMMYFUNCTION("""COMPUTED_VALUE"""),"13日")</f>
        <v>13日</v>
      </c>
      <c r="D161" s="1270" t="str">
        <f>IFERROR(__xludf.DUMMYFUNCTION("""COMPUTED_VALUE"""),"口コミ")</f>
        <v>口コミ</v>
      </c>
      <c r="E161" s="1347"/>
      <c r="F161" s="1347"/>
      <c r="G161" s="1348"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49"/>
      <c r="O161" s="1293"/>
      <c r="P161" s="1293"/>
      <c r="Q161" s="1293"/>
      <c r="R161" s="1293"/>
      <c r="S161" s="1293"/>
      <c r="T161" s="1293"/>
      <c r="U161" s="1295"/>
      <c r="W161" s="1293" t="str">
        <f>'🔵クレーム'!C152</f>
        <v/>
      </c>
      <c r="X161" s="1293" t="str">
        <f>'🔵クレーム'!D152</f>
        <v/>
      </c>
      <c r="Y161" s="1292" t="str">
        <f>'🔵クレーム'!I152</f>
        <v/>
      </c>
      <c r="Z161" s="1293" t="str">
        <f>'🔵クレーム'!J152</f>
        <v/>
      </c>
      <c r="AA161" s="1293" t="str">
        <f>'🔵クレーム'!K152</f>
        <v/>
      </c>
      <c r="AB161" s="1293" t="str">
        <f>'🔵クレーム'!L152</f>
        <v/>
      </c>
      <c r="AC161" s="1295" t="str">
        <f>'🔵クレーム'!N152</f>
        <v/>
      </c>
    </row>
    <row r="162" hidden="1" outlineLevel="1">
      <c r="B162" s="1352" t="str">
        <f>IFERROR(__xludf.DUMMYFUNCTION("""COMPUTED_VALUE"""),"11月")</f>
        <v>11月</v>
      </c>
      <c r="C162" s="1270" t="str">
        <f>IFERROR(__xludf.DUMMYFUNCTION("""COMPUTED_VALUE"""),"14日")</f>
        <v>14日</v>
      </c>
      <c r="D162" s="1270" t="str">
        <f>IFERROR(__xludf.DUMMYFUNCTION("""COMPUTED_VALUE"""),"セット漏れ")</f>
        <v>セット漏れ</v>
      </c>
      <c r="E162" s="1347" t="str">
        <f>IFERROR(__xludf.DUMMYFUNCTION("""COMPUTED_VALUE"""),"ダヤラム")</f>
        <v>ダヤラム</v>
      </c>
      <c r="F162" s="1347" t="str">
        <f>IFERROR(__xludf.DUMMYFUNCTION("""COMPUTED_VALUE"""),"サムドゥニ")</f>
        <v>サムドゥニ</v>
      </c>
      <c r="G162" s="1348"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49"/>
      <c r="O162" s="1293"/>
      <c r="P162" s="1293"/>
      <c r="Q162" s="1293"/>
      <c r="R162" s="1293"/>
      <c r="S162" s="1293"/>
      <c r="T162" s="1293"/>
      <c r="U162" s="1295"/>
      <c r="W162" s="1293" t="str">
        <f>'🔵クレーム'!C153</f>
        <v/>
      </c>
      <c r="X162" s="1293" t="str">
        <f>'🔵クレーム'!D153</f>
        <v/>
      </c>
      <c r="Y162" s="1292" t="str">
        <f>'🔵クレーム'!I153</f>
        <v/>
      </c>
      <c r="Z162" s="1293" t="str">
        <f>'🔵クレーム'!J153</f>
        <v/>
      </c>
      <c r="AA162" s="1293" t="str">
        <f>'🔵クレーム'!K153</f>
        <v/>
      </c>
      <c r="AB162" s="1293" t="str">
        <f>'🔵クレーム'!L153</f>
        <v/>
      </c>
      <c r="AC162" s="1295" t="str">
        <f>'🔵クレーム'!N153</f>
        <v/>
      </c>
    </row>
    <row r="163" hidden="1" outlineLevel="1">
      <c r="B163" s="1352" t="str">
        <f>IFERROR(__xludf.DUMMYFUNCTION("""COMPUTED_VALUE"""),"11月")</f>
        <v>11月</v>
      </c>
      <c r="C163" s="1270" t="str">
        <f>IFERROR(__xludf.DUMMYFUNCTION("""COMPUTED_VALUE"""),"15日")</f>
        <v>15日</v>
      </c>
      <c r="D163" s="1270" t="str">
        <f>IFERROR(__xludf.DUMMYFUNCTION("""COMPUTED_VALUE"""),"セット漏れ")</f>
        <v>セット漏れ</v>
      </c>
      <c r="E163" s="1347" t="str">
        <f>IFERROR(__xludf.DUMMYFUNCTION("""COMPUTED_VALUE"""),"ダヤラム")</f>
        <v>ダヤラム</v>
      </c>
      <c r="F163" s="1347" t="str">
        <f>IFERROR(__xludf.DUMMYFUNCTION("""COMPUTED_VALUE"""),"ジョティ")</f>
        <v>ジョティ</v>
      </c>
      <c r="G163" s="1348" t="str">
        <f>IFERROR(__xludf.DUMMYFUNCTION("""COMPUTED_VALUE"""),"滞在清掃後にホテルのスリッパがなかった")</f>
        <v>滞在清掃後にホテルのスリッパがなかった</v>
      </c>
      <c r="H163" s="246"/>
      <c r="I163" s="246"/>
      <c r="J163" s="246"/>
      <c r="K163" s="246"/>
      <c r="L163" s="246"/>
      <c r="M163" s="1349"/>
      <c r="O163" s="1293"/>
      <c r="P163" s="1293"/>
      <c r="Q163" s="1293"/>
      <c r="R163" s="1293"/>
      <c r="S163" s="1293"/>
      <c r="T163" s="1293"/>
      <c r="U163" s="1295"/>
      <c r="W163" s="1293" t="str">
        <f>'🔵クレーム'!C154</f>
        <v/>
      </c>
      <c r="X163" s="1293" t="str">
        <f>'🔵クレーム'!D154</f>
        <v/>
      </c>
      <c r="Y163" s="1292" t="str">
        <f>'🔵クレーム'!I154</f>
        <v/>
      </c>
      <c r="Z163" s="1293" t="str">
        <f>'🔵クレーム'!J154</f>
        <v/>
      </c>
      <c r="AA163" s="1293" t="str">
        <f>'🔵クレーム'!K154</f>
        <v/>
      </c>
      <c r="AB163" s="1293" t="str">
        <f>'🔵クレーム'!L154</f>
        <v/>
      </c>
      <c r="AC163" s="1295" t="str">
        <f>'🔵クレーム'!N154</f>
        <v/>
      </c>
    </row>
    <row r="164" hidden="1" outlineLevel="1">
      <c r="B164" s="1352" t="str">
        <f>IFERROR(__xludf.DUMMYFUNCTION("""COMPUTED_VALUE"""),"11月")</f>
        <v>11月</v>
      </c>
      <c r="C164" s="1270" t="str">
        <f>IFERROR(__xludf.DUMMYFUNCTION("""COMPUTED_VALUE"""),"15日")</f>
        <v>15日</v>
      </c>
      <c r="D164" s="1270" t="str">
        <f>IFERROR(__xludf.DUMMYFUNCTION("""COMPUTED_VALUE"""),"残置")</f>
        <v>残置</v>
      </c>
      <c r="E164" s="1347" t="str">
        <f>IFERROR(__xludf.DUMMYFUNCTION("""COMPUTED_VALUE"""),"サイトウ")</f>
        <v>サイトウ</v>
      </c>
      <c r="F164" s="1347" t="str">
        <f>IFERROR(__xludf.DUMMYFUNCTION("""COMPUTED_VALUE"""),"アサンジャ")</f>
        <v>アサンジャ</v>
      </c>
      <c r="G164" s="1348" t="str">
        <f>IFERROR(__xludf.DUMMYFUNCTION("""COMPUTED_VALUE"""),"冷蔵庫の上に靴下が置いてあった")</f>
        <v>冷蔵庫の上に靴下が置いてあった</v>
      </c>
      <c r="H164" s="246"/>
      <c r="I164" s="246"/>
      <c r="J164" s="246"/>
      <c r="K164" s="246"/>
      <c r="L164" s="246"/>
      <c r="M164" s="1349"/>
      <c r="O164" s="1293"/>
      <c r="P164" s="1293"/>
      <c r="Q164" s="1293"/>
      <c r="R164" s="1293"/>
      <c r="S164" s="1293"/>
      <c r="T164" s="1293"/>
      <c r="U164" s="1295"/>
      <c r="W164" s="1293" t="str">
        <f>'🔵クレーム'!C155</f>
        <v/>
      </c>
      <c r="X164" s="1293" t="str">
        <f>'🔵クレーム'!D155</f>
        <v/>
      </c>
      <c r="Y164" s="1292" t="str">
        <f>'🔵クレーム'!I155</f>
        <v/>
      </c>
      <c r="Z164" s="1293" t="str">
        <f>'🔵クレーム'!J155</f>
        <v/>
      </c>
      <c r="AA164" s="1293" t="str">
        <f>'🔵クレーム'!K155</f>
        <v/>
      </c>
      <c r="AB164" s="1293" t="str">
        <f>'🔵クレーム'!L155</f>
        <v/>
      </c>
      <c r="AC164" s="1295" t="str">
        <f>'🔵クレーム'!N155</f>
        <v/>
      </c>
    </row>
    <row r="165" hidden="1" outlineLevel="1">
      <c r="B165" s="1352" t="str">
        <f>IFERROR(__xludf.DUMMYFUNCTION("""COMPUTED_VALUE"""),"11月")</f>
        <v>11月</v>
      </c>
      <c r="C165" s="1270" t="str">
        <f>IFERROR(__xludf.DUMMYFUNCTION("""COMPUTED_VALUE"""),"16日")</f>
        <v>16日</v>
      </c>
      <c r="D165" s="1270" t="str">
        <f>IFERROR(__xludf.DUMMYFUNCTION("""COMPUTED_VALUE"""),"清掃不備")</f>
        <v>清掃不備</v>
      </c>
      <c r="E165" s="1347" t="str">
        <f>IFERROR(__xludf.DUMMYFUNCTION("""COMPUTED_VALUE"""),"西川")</f>
        <v>西川</v>
      </c>
      <c r="F165" s="1347" t="str">
        <f>IFERROR(__xludf.DUMMYFUNCTION("""COMPUTED_VALUE"""),"ズバエル")</f>
        <v>ズバエル</v>
      </c>
      <c r="G165" s="1348" t="str">
        <f>IFERROR(__xludf.DUMMYFUNCTION("""COMPUTED_VALUE"""),"冷蔵庫の上に埃、ベイシンに汚れ")</f>
        <v>冷蔵庫の上に埃、ベイシンに汚れ</v>
      </c>
      <c r="H165" s="246"/>
      <c r="I165" s="246"/>
      <c r="J165" s="246"/>
      <c r="K165" s="246"/>
      <c r="L165" s="246"/>
      <c r="M165" s="1349"/>
      <c r="O165" s="1293"/>
      <c r="P165" s="1293"/>
      <c r="Q165" s="1293"/>
      <c r="R165" s="1293"/>
      <c r="S165" s="1293"/>
      <c r="T165" s="1293"/>
      <c r="U165" s="1295"/>
      <c r="W165" s="1293" t="str">
        <f>'🔵クレーム'!C156</f>
        <v/>
      </c>
      <c r="X165" s="1293" t="str">
        <f>'🔵クレーム'!D156</f>
        <v/>
      </c>
      <c r="Y165" s="1292" t="str">
        <f>'🔵クレーム'!I156</f>
        <v/>
      </c>
      <c r="Z165" s="1293" t="str">
        <f>'🔵クレーム'!J156</f>
        <v/>
      </c>
      <c r="AA165" s="1293" t="str">
        <f>'🔵クレーム'!K156</f>
        <v/>
      </c>
      <c r="AB165" s="1293" t="str">
        <f>'🔵クレーム'!L156</f>
        <v/>
      </c>
      <c r="AC165" s="1295" t="str">
        <f>'🔵クレーム'!N156</f>
        <v/>
      </c>
    </row>
    <row r="166" hidden="1" outlineLevel="1">
      <c r="B166" s="1352" t="str">
        <f>IFERROR(__xludf.DUMMYFUNCTION("""COMPUTED_VALUE"""),"11月")</f>
        <v>11月</v>
      </c>
      <c r="C166" s="1270" t="str">
        <f>IFERROR(__xludf.DUMMYFUNCTION("""COMPUTED_VALUE"""),"17日")</f>
        <v>17日</v>
      </c>
      <c r="D166" s="1270" t="str">
        <f>IFERROR(__xludf.DUMMYFUNCTION("""COMPUTED_VALUE"""),"口コミ")</f>
        <v>口コミ</v>
      </c>
      <c r="E166" s="1347"/>
      <c r="F166" s="1347"/>
      <c r="G166" s="1348"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49"/>
      <c r="O166" s="1293"/>
      <c r="P166" s="1293"/>
      <c r="Q166" s="1293"/>
      <c r="R166" s="1293"/>
      <c r="S166" s="1293"/>
      <c r="T166" s="1293"/>
      <c r="U166" s="1295"/>
      <c r="W166" s="1293" t="str">
        <f>'🔵クレーム'!C157</f>
        <v/>
      </c>
      <c r="X166" s="1293" t="str">
        <f>'🔵クレーム'!D157</f>
        <v/>
      </c>
      <c r="Y166" s="1292" t="str">
        <f>'🔵クレーム'!I157</f>
        <v/>
      </c>
      <c r="Z166" s="1293" t="str">
        <f>'🔵クレーム'!J157</f>
        <v/>
      </c>
      <c r="AA166" s="1293" t="str">
        <f>'🔵クレーム'!K157</f>
        <v/>
      </c>
      <c r="AB166" s="1293" t="str">
        <f>'🔵クレーム'!L157</f>
        <v/>
      </c>
      <c r="AC166" s="1295" t="str">
        <f>'🔵クレーム'!N157</f>
        <v/>
      </c>
    </row>
    <row r="167" hidden="1" outlineLevel="1">
      <c r="B167" s="1352" t="str">
        <f>IFERROR(__xludf.DUMMYFUNCTION("""COMPUTED_VALUE"""),"11月")</f>
        <v>11月</v>
      </c>
      <c r="C167" s="1270" t="str">
        <f>IFERROR(__xludf.DUMMYFUNCTION("""COMPUTED_VALUE"""),"20日")</f>
        <v>20日</v>
      </c>
      <c r="D167" s="1270" t="str">
        <f>IFERROR(__xludf.DUMMYFUNCTION("""COMPUTED_VALUE"""),"清掃不備")</f>
        <v>清掃不備</v>
      </c>
      <c r="E167" s="1347" t="str">
        <f>IFERROR(__xludf.DUMMYFUNCTION("""COMPUTED_VALUE"""),"李")</f>
        <v>李</v>
      </c>
      <c r="F167" s="1347" t="str">
        <f>IFERROR(__xludf.DUMMYFUNCTION("""COMPUTED_VALUE"""),"アヌダ")</f>
        <v>アヌダ</v>
      </c>
      <c r="G167" s="1348" t="str">
        <f>IFERROR(__xludf.DUMMYFUNCTION("""COMPUTED_VALUE"""),"冷蔵庫の上と横に埃がある。")</f>
        <v>冷蔵庫の上と横に埃がある。</v>
      </c>
      <c r="H167" s="246"/>
      <c r="I167" s="246"/>
      <c r="J167" s="246"/>
      <c r="K167" s="246"/>
      <c r="L167" s="246"/>
      <c r="M167" s="1349"/>
      <c r="O167" s="1293"/>
      <c r="P167" s="1293"/>
      <c r="Q167" s="1293"/>
      <c r="R167" s="1293"/>
      <c r="S167" s="1293"/>
      <c r="T167" s="1293"/>
      <c r="U167" s="1295"/>
      <c r="W167" s="1293" t="str">
        <f>'🔵クレーム'!C158</f>
        <v/>
      </c>
      <c r="X167" s="1293" t="str">
        <f>'🔵クレーム'!D158</f>
        <v/>
      </c>
      <c r="Y167" s="1292" t="str">
        <f>'🔵クレーム'!I158</f>
        <v/>
      </c>
      <c r="Z167" s="1293" t="str">
        <f>'🔵クレーム'!J158</f>
        <v/>
      </c>
      <c r="AA167" s="1293" t="str">
        <f>'🔵クレーム'!K158</f>
        <v/>
      </c>
      <c r="AB167" s="1293" t="str">
        <f>'🔵クレーム'!L158</f>
        <v/>
      </c>
      <c r="AC167" s="1295" t="str">
        <f>'🔵クレーム'!N158</f>
        <v/>
      </c>
    </row>
    <row r="168" hidden="1" outlineLevel="1">
      <c r="B168" s="1352" t="str">
        <f>IFERROR(__xludf.DUMMYFUNCTION("""COMPUTED_VALUE"""),"11月")</f>
        <v>11月</v>
      </c>
      <c r="C168" s="1270" t="str">
        <f>IFERROR(__xludf.DUMMYFUNCTION("""COMPUTED_VALUE"""),"22日")</f>
        <v>22日</v>
      </c>
      <c r="D168" s="1270" t="str">
        <f>IFERROR(__xludf.DUMMYFUNCTION("""COMPUTED_VALUE"""),"口コミ")</f>
        <v>口コミ</v>
      </c>
      <c r="E168" s="1347"/>
      <c r="F168" s="1347"/>
      <c r="G168" s="1348"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49"/>
      <c r="O168" s="1293"/>
      <c r="P168" s="1293"/>
      <c r="Q168" s="1293"/>
      <c r="R168" s="1293"/>
      <c r="S168" s="1293"/>
      <c r="T168" s="1293"/>
      <c r="U168" s="1295"/>
      <c r="W168" s="1293" t="str">
        <f>'🔵クレーム'!C159</f>
        <v/>
      </c>
      <c r="X168" s="1293" t="str">
        <f>'🔵クレーム'!D159</f>
        <v/>
      </c>
      <c r="Y168" s="1292" t="str">
        <f>'🔵クレーム'!I159</f>
        <v/>
      </c>
      <c r="Z168" s="1293" t="str">
        <f>'🔵クレーム'!J159</f>
        <v/>
      </c>
      <c r="AA168" s="1293" t="str">
        <f>'🔵クレーム'!K159</f>
        <v/>
      </c>
      <c r="AB168" s="1293" t="str">
        <f>'🔵クレーム'!L159</f>
        <v/>
      </c>
      <c r="AC168" s="1295" t="str">
        <f>'🔵クレーム'!N159</f>
        <v/>
      </c>
    </row>
    <row r="169" hidden="1" outlineLevel="1">
      <c r="B169" s="1352" t="str">
        <f>IFERROR(__xludf.DUMMYFUNCTION("""COMPUTED_VALUE"""),"11月")</f>
        <v>11月</v>
      </c>
      <c r="C169" s="1270" t="str">
        <f>IFERROR(__xludf.DUMMYFUNCTION("""COMPUTED_VALUE"""),"25日")</f>
        <v>25日</v>
      </c>
      <c r="D169" s="1270" t="str">
        <f>IFERROR(__xludf.DUMMYFUNCTION("""COMPUTED_VALUE"""),"口コミ")</f>
        <v>口コミ</v>
      </c>
      <c r="E169" s="1347"/>
      <c r="F169" s="1347"/>
      <c r="G169" s="1348"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49"/>
      <c r="O169" s="1293"/>
      <c r="P169" s="1293"/>
      <c r="Q169" s="1293"/>
      <c r="R169" s="1293"/>
      <c r="S169" s="1293"/>
      <c r="T169" s="1293"/>
      <c r="U169" s="1293"/>
      <c r="W169" s="1293" t="str">
        <f>'🔵クレーム'!C160</f>
        <v/>
      </c>
      <c r="X169" s="1293" t="str">
        <f>'🔵クレーム'!D160</f>
        <v/>
      </c>
      <c r="Y169" s="1292" t="str">
        <f>'🔵クレーム'!I160</f>
        <v/>
      </c>
      <c r="Z169" s="1293" t="str">
        <f>'🔵クレーム'!J160</f>
        <v/>
      </c>
      <c r="AA169" s="1293" t="str">
        <f>'🔵クレーム'!K160</f>
        <v/>
      </c>
      <c r="AB169" s="1293" t="str">
        <f>'🔵クレーム'!L160</f>
        <v/>
      </c>
      <c r="AC169" s="1295" t="str">
        <f>'🔵クレーム'!N160</f>
        <v/>
      </c>
    </row>
    <row r="170" hidden="1" outlineLevel="1">
      <c r="B170" s="1352" t="str">
        <f>IFERROR(__xludf.DUMMYFUNCTION("""COMPUTED_VALUE"""),"11月")</f>
        <v>11月</v>
      </c>
      <c r="C170" s="1270" t="str">
        <f>IFERROR(__xludf.DUMMYFUNCTION("""COMPUTED_VALUE"""),"26日")</f>
        <v>26日</v>
      </c>
      <c r="D170" s="1270" t="str">
        <f>IFERROR(__xludf.DUMMYFUNCTION("""COMPUTED_VALUE"""),"口コミ")</f>
        <v>口コミ</v>
      </c>
      <c r="E170" s="1347"/>
      <c r="F170" s="1347"/>
      <c r="G170" s="1348"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49"/>
      <c r="O170" s="1293"/>
      <c r="P170" s="1293"/>
      <c r="Q170" s="1293"/>
      <c r="R170" s="1293"/>
      <c r="S170" s="1293"/>
      <c r="T170" s="1293"/>
      <c r="U170" s="1293"/>
      <c r="W170" s="1293" t="str">
        <f>'🔵クレーム'!C161</f>
        <v/>
      </c>
      <c r="X170" s="1293" t="str">
        <f>'🔵クレーム'!D161</f>
        <v/>
      </c>
      <c r="Y170" s="1292" t="str">
        <f>'🔵クレーム'!I161</f>
        <v/>
      </c>
      <c r="Z170" s="1293" t="str">
        <f>'🔵クレーム'!J161</f>
        <v/>
      </c>
      <c r="AA170" s="1293" t="str">
        <f>'🔵クレーム'!K161</f>
        <v/>
      </c>
      <c r="AB170" s="1293" t="str">
        <f>'🔵クレーム'!L161</f>
        <v/>
      </c>
      <c r="AC170" s="1295" t="str">
        <f>'🔵クレーム'!N161</f>
        <v/>
      </c>
    </row>
    <row r="171" hidden="1" outlineLevel="1">
      <c r="B171" s="1352" t="str">
        <f>IFERROR(__xludf.DUMMYFUNCTION("""COMPUTED_VALUE"""),"12月")</f>
        <v>12月</v>
      </c>
      <c r="C171" s="1270" t="str">
        <f>IFERROR(__xludf.DUMMYFUNCTION("""COMPUTED_VALUE"""),"2日")</f>
        <v>2日</v>
      </c>
      <c r="D171" s="1270" t="str">
        <f>IFERROR(__xludf.DUMMYFUNCTION("""COMPUTED_VALUE"""),"セット漏れ")</f>
        <v>セット漏れ</v>
      </c>
      <c r="E171" s="1347" t="str">
        <f>IFERROR(__xludf.DUMMYFUNCTION("""COMPUTED_VALUE"""),"山本
（西川）")</f>
        <v>山本
（西川）</v>
      </c>
      <c r="F171" s="1347" t="str">
        <f>IFERROR(__xludf.DUMMYFUNCTION("""COMPUTED_VALUE"""),"マリア")</f>
        <v>マリア</v>
      </c>
      <c r="G171" s="1348" t="str">
        <f>IFERROR(__xludf.DUMMYFUNCTION("""COMPUTED_VALUE"""),"歯ブラシが入っていなかった。")</f>
        <v>歯ブラシが入っていなかった。</v>
      </c>
      <c r="H171" s="246"/>
      <c r="I171" s="246"/>
      <c r="J171" s="246"/>
      <c r="K171" s="246"/>
      <c r="L171" s="246"/>
      <c r="M171" s="1349"/>
      <c r="O171" s="1293"/>
      <c r="P171" s="1293"/>
      <c r="Q171" s="1293"/>
      <c r="R171" s="1293"/>
      <c r="S171" s="1293"/>
      <c r="T171" s="1293"/>
      <c r="U171" s="1293"/>
      <c r="W171" s="1293" t="str">
        <f>'🔵クレーム'!C162</f>
        <v/>
      </c>
      <c r="X171" s="1293" t="str">
        <f>'🔵クレーム'!D162</f>
        <v/>
      </c>
      <c r="Y171" s="1292" t="str">
        <f>'🔵クレーム'!I162</f>
        <v/>
      </c>
      <c r="Z171" s="1293" t="str">
        <f>'🔵クレーム'!J162</f>
        <v/>
      </c>
      <c r="AA171" s="1293" t="str">
        <f>'🔵クレーム'!K162</f>
        <v/>
      </c>
      <c r="AB171" s="1293" t="str">
        <f>'🔵クレーム'!L162</f>
        <v/>
      </c>
      <c r="AC171" s="1295" t="str">
        <f>'🔵クレーム'!N162</f>
        <v/>
      </c>
    </row>
    <row r="172" hidden="1" outlineLevel="1">
      <c r="B172" s="1352" t="str">
        <f>IFERROR(__xludf.DUMMYFUNCTION("""COMPUTED_VALUE"""),"12月")</f>
        <v>12月</v>
      </c>
      <c r="C172" s="1270" t="str">
        <f>IFERROR(__xludf.DUMMYFUNCTION("""COMPUTED_VALUE"""),"2日")</f>
        <v>2日</v>
      </c>
      <c r="D172" s="1270" t="str">
        <f>IFERROR(__xludf.DUMMYFUNCTION("""COMPUTED_VALUE"""),"口コミ")</f>
        <v>口コミ</v>
      </c>
      <c r="E172" s="1347"/>
      <c r="F172" s="1347"/>
      <c r="G172" s="1348"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49"/>
      <c r="O172" s="1293"/>
      <c r="P172" s="1293"/>
      <c r="Q172" s="1293"/>
      <c r="R172" s="1293"/>
      <c r="S172" s="1293"/>
      <c r="T172" s="1293"/>
      <c r="U172" s="1293"/>
      <c r="W172" s="1293" t="str">
        <f>'🔵クレーム'!C163</f>
        <v/>
      </c>
      <c r="X172" s="1293" t="str">
        <f>'🔵クレーム'!D163</f>
        <v/>
      </c>
      <c r="Y172" s="1292" t="str">
        <f>'🔵クレーム'!I163</f>
        <v/>
      </c>
      <c r="Z172" s="1293" t="str">
        <f>'🔵クレーム'!J163</f>
        <v/>
      </c>
      <c r="AA172" s="1293" t="str">
        <f>'🔵クレーム'!K163</f>
        <v/>
      </c>
      <c r="AB172" s="1293" t="str">
        <f>'🔵クレーム'!L163</f>
        <v/>
      </c>
      <c r="AC172" s="1295" t="str">
        <f>'🔵クレーム'!N163</f>
        <v/>
      </c>
    </row>
    <row r="173" hidden="1" outlineLevel="1">
      <c r="B173" s="1352" t="str">
        <f>IFERROR(__xludf.DUMMYFUNCTION("""COMPUTED_VALUE"""),"12月")</f>
        <v>12月</v>
      </c>
      <c r="C173" s="1270" t="str">
        <f>IFERROR(__xludf.DUMMYFUNCTION("""COMPUTED_VALUE"""),"3日")</f>
        <v>3日</v>
      </c>
      <c r="D173" s="1270" t="str">
        <f>IFERROR(__xludf.DUMMYFUNCTION("""COMPUTED_VALUE"""),"口コミ")</f>
        <v>口コミ</v>
      </c>
      <c r="E173" s="1347"/>
      <c r="F173" s="1347"/>
      <c r="G173" s="1348"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49"/>
      <c r="O173" s="1293"/>
      <c r="P173" s="1293"/>
      <c r="Q173" s="1293"/>
      <c r="R173" s="1293"/>
      <c r="S173" s="1293"/>
      <c r="T173" s="1293"/>
      <c r="U173" s="1293"/>
      <c r="W173" s="1293" t="str">
        <f>'🔵クレーム'!C164</f>
        <v/>
      </c>
      <c r="X173" s="1293" t="str">
        <f>'🔵クレーム'!D164</f>
        <v/>
      </c>
      <c r="Y173" s="1292" t="str">
        <f>'🔵クレーム'!I164</f>
        <v/>
      </c>
      <c r="Z173" s="1293" t="str">
        <f>'🔵クレーム'!J164</f>
        <v/>
      </c>
      <c r="AA173" s="1293" t="str">
        <f>'🔵クレーム'!K164</f>
        <v/>
      </c>
      <c r="AB173" s="1293" t="str">
        <f>'🔵クレーム'!L164</f>
        <v/>
      </c>
      <c r="AC173" s="1295" t="str">
        <f>'🔵クレーム'!N164</f>
        <v/>
      </c>
    </row>
    <row r="174" hidden="1" outlineLevel="1">
      <c r="B174" s="1352" t="str">
        <f>IFERROR(__xludf.DUMMYFUNCTION("""COMPUTED_VALUE"""),"12月")</f>
        <v>12月</v>
      </c>
      <c r="C174" s="1270" t="str">
        <f>IFERROR(__xludf.DUMMYFUNCTION("""COMPUTED_VALUE"""),"5日")</f>
        <v>5日</v>
      </c>
      <c r="D174" s="1270" t="str">
        <f>IFERROR(__xludf.DUMMYFUNCTION("""COMPUTED_VALUE"""),"口コミ")</f>
        <v>口コミ</v>
      </c>
      <c r="E174" s="1347"/>
      <c r="F174" s="1347"/>
      <c r="G174" s="1348"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49"/>
      <c r="O174" s="1293"/>
      <c r="P174" s="1293"/>
      <c r="Q174" s="1293"/>
      <c r="R174" s="1293"/>
      <c r="S174" s="1293"/>
      <c r="T174" s="1293"/>
      <c r="U174" s="1293"/>
      <c r="W174" s="1293" t="str">
        <f>'🔵クレーム'!C165</f>
        <v/>
      </c>
      <c r="X174" s="1293" t="str">
        <f>'🔵クレーム'!D165</f>
        <v/>
      </c>
      <c r="Y174" s="1292" t="str">
        <f>'🔵クレーム'!I165</f>
        <v/>
      </c>
      <c r="Z174" s="1293" t="str">
        <f>'🔵クレーム'!J165</f>
        <v/>
      </c>
      <c r="AA174" s="1293" t="str">
        <f>'🔵クレーム'!K165</f>
        <v/>
      </c>
      <c r="AB174" s="1293" t="str">
        <f>'🔵クレーム'!L165</f>
        <v/>
      </c>
      <c r="AC174" s="1295" t="str">
        <f>'🔵クレーム'!N165</f>
        <v/>
      </c>
    </row>
    <row r="175" hidden="1" outlineLevel="1">
      <c r="B175" s="1352" t="str">
        <f>IFERROR(__xludf.DUMMYFUNCTION("""COMPUTED_VALUE"""),"12月")</f>
        <v>12月</v>
      </c>
      <c r="C175" s="1270" t="str">
        <f>IFERROR(__xludf.DUMMYFUNCTION("""COMPUTED_VALUE"""),"5日")</f>
        <v>5日</v>
      </c>
      <c r="D175" s="1270" t="str">
        <f>IFERROR(__xludf.DUMMYFUNCTION("""COMPUTED_VALUE"""),"口コミ")</f>
        <v>口コミ</v>
      </c>
      <c r="E175" s="1347"/>
      <c r="F175" s="1347"/>
      <c r="G175" s="1348"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49"/>
      <c r="O175" s="1293"/>
      <c r="P175" s="1293"/>
      <c r="Q175" s="1293"/>
      <c r="R175" s="1293"/>
      <c r="S175" s="1293"/>
      <c r="T175" s="1293"/>
      <c r="U175" s="1293"/>
      <c r="W175" s="1293" t="str">
        <f>'🔵クレーム'!C166</f>
        <v/>
      </c>
      <c r="X175" s="1293" t="str">
        <f>'🔵クレーム'!D166</f>
        <v/>
      </c>
      <c r="Y175" s="1292" t="str">
        <f>'🔵クレーム'!I166</f>
        <v/>
      </c>
      <c r="Z175" s="1293" t="str">
        <f>'🔵クレーム'!J166</f>
        <v/>
      </c>
      <c r="AA175" s="1293" t="str">
        <f>'🔵クレーム'!K166</f>
        <v/>
      </c>
      <c r="AB175" s="1293" t="str">
        <f>'🔵クレーム'!L166</f>
        <v/>
      </c>
      <c r="AC175" s="1295" t="str">
        <f>'🔵クレーム'!N166</f>
        <v/>
      </c>
    </row>
    <row r="176" hidden="1" outlineLevel="1">
      <c r="B176" s="1352" t="str">
        <f>IFERROR(__xludf.DUMMYFUNCTION("""COMPUTED_VALUE"""),"12月")</f>
        <v>12月</v>
      </c>
      <c r="C176" s="1270" t="str">
        <f>IFERROR(__xludf.DUMMYFUNCTION("""COMPUTED_VALUE"""),"10日")</f>
        <v>10日</v>
      </c>
      <c r="D176" s="1270" t="str">
        <f>IFERROR(__xludf.DUMMYFUNCTION("""COMPUTED_VALUE"""),"その他")</f>
        <v>その他</v>
      </c>
      <c r="E176" s="1347" t="str">
        <f>IFERROR(__xludf.DUMMYFUNCTION("""COMPUTED_VALUE"""),"サイトウ")</f>
        <v>サイトウ</v>
      </c>
      <c r="F176" s="1347" t="str">
        <f>IFERROR(__xludf.DUMMYFUNCTION("""COMPUTED_VALUE"""),"プラミラ")</f>
        <v>プラミラ</v>
      </c>
      <c r="G176" s="1348"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49"/>
      <c r="O176" s="1293"/>
      <c r="P176" s="1293"/>
      <c r="Q176" s="1293"/>
      <c r="R176" s="1293"/>
      <c r="S176" s="1293"/>
      <c r="T176" s="1293"/>
      <c r="U176" s="1293"/>
      <c r="W176" s="1293" t="str">
        <f>'🔵クレーム'!C167</f>
        <v/>
      </c>
      <c r="X176" s="1293" t="str">
        <f>'🔵クレーム'!D167</f>
        <v/>
      </c>
      <c r="Y176" s="1292" t="str">
        <f>'🔵クレーム'!I167</f>
        <v/>
      </c>
      <c r="Z176" s="1293" t="str">
        <f>'🔵クレーム'!J167</f>
        <v/>
      </c>
      <c r="AA176" s="1293" t="str">
        <f>'🔵クレーム'!K167</f>
        <v/>
      </c>
      <c r="AB176" s="1293" t="str">
        <f>'🔵クレーム'!L167</f>
        <v/>
      </c>
      <c r="AC176" s="1295" t="str">
        <f>'🔵クレーム'!N167</f>
        <v/>
      </c>
    </row>
    <row r="177" hidden="1" outlineLevel="1">
      <c r="B177" s="1352" t="str">
        <f>IFERROR(__xludf.DUMMYFUNCTION("""COMPUTED_VALUE"""),"12月")</f>
        <v>12月</v>
      </c>
      <c r="C177" s="1270" t="str">
        <f>IFERROR(__xludf.DUMMYFUNCTION("""COMPUTED_VALUE"""),"11日")</f>
        <v>11日</v>
      </c>
      <c r="D177" s="1270" t="str">
        <f>IFERROR(__xludf.DUMMYFUNCTION("""COMPUTED_VALUE"""),"口コミ")</f>
        <v>口コミ</v>
      </c>
      <c r="E177" s="1347"/>
      <c r="F177" s="1347"/>
      <c r="G177" s="1348"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49"/>
      <c r="O177" s="1293"/>
      <c r="P177" s="1293"/>
      <c r="Q177" s="1293"/>
      <c r="R177" s="1293"/>
      <c r="S177" s="1293"/>
      <c r="T177" s="1293"/>
      <c r="U177" s="1293"/>
      <c r="W177" s="1293" t="str">
        <f>'🔵クレーム'!C168</f>
        <v/>
      </c>
      <c r="X177" s="1293" t="str">
        <f>'🔵クレーム'!D168</f>
        <v/>
      </c>
      <c r="Y177" s="1292" t="str">
        <f>'🔵クレーム'!I168</f>
        <v/>
      </c>
      <c r="Z177" s="1293" t="str">
        <f>'🔵クレーム'!J168</f>
        <v/>
      </c>
      <c r="AA177" s="1293" t="str">
        <f>'🔵クレーム'!K168</f>
        <v/>
      </c>
      <c r="AB177" s="1293" t="str">
        <f>'🔵クレーム'!L168</f>
        <v/>
      </c>
      <c r="AC177" s="1295" t="str">
        <f>'🔵クレーム'!N168</f>
        <v/>
      </c>
    </row>
    <row r="178" hidden="1" outlineLevel="1">
      <c r="B178" s="1352" t="str">
        <f>IFERROR(__xludf.DUMMYFUNCTION("""COMPUTED_VALUE"""),"12月")</f>
        <v>12月</v>
      </c>
      <c r="C178" s="1270" t="str">
        <f>IFERROR(__xludf.DUMMYFUNCTION("""COMPUTED_VALUE"""),"11日")</f>
        <v>11日</v>
      </c>
      <c r="D178" s="1270" t="str">
        <f>IFERROR(__xludf.DUMMYFUNCTION("""COMPUTED_VALUE"""),"口コミ")</f>
        <v>口コミ</v>
      </c>
      <c r="E178" s="1347"/>
      <c r="F178" s="1347"/>
      <c r="G178" s="1348"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49"/>
      <c r="O178" s="1293"/>
      <c r="P178" s="1293"/>
      <c r="Q178" s="1293"/>
      <c r="R178" s="1293"/>
      <c r="S178" s="1293"/>
      <c r="T178" s="1293"/>
      <c r="U178" s="1293"/>
      <c r="W178" s="1293" t="str">
        <f>'🔵クレーム'!C169</f>
        <v/>
      </c>
      <c r="X178" s="1293" t="str">
        <f>'🔵クレーム'!D169</f>
        <v/>
      </c>
      <c r="Y178" s="1292" t="str">
        <f>'🔵クレーム'!I169</f>
        <v/>
      </c>
      <c r="Z178" s="1293" t="str">
        <f>'🔵クレーム'!J169</f>
        <v/>
      </c>
      <c r="AA178" s="1293" t="str">
        <f>'🔵クレーム'!K169</f>
        <v/>
      </c>
      <c r="AB178" s="1293" t="str">
        <f>'🔵クレーム'!L169</f>
        <v/>
      </c>
      <c r="AC178" s="1295" t="str">
        <f>'🔵クレーム'!N169</f>
        <v/>
      </c>
    </row>
    <row r="179" hidden="1" outlineLevel="1">
      <c r="B179" s="1352" t="str">
        <f>IFERROR(__xludf.DUMMYFUNCTION("""COMPUTED_VALUE"""),"12月")</f>
        <v>12月</v>
      </c>
      <c r="C179" s="1270" t="str">
        <f>IFERROR(__xludf.DUMMYFUNCTION("""COMPUTED_VALUE"""),"12日")</f>
        <v>12日</v>
      </c>
      <c r="D179" s="1270" t="str">
        <f>IFERROR(__xludf.DUMMYFUNCTION("""COMPUTED_VALUE"""),"セット漏れ")</f>
        <v>セット漏れ</v>
      </c>
      <c r="E179" s="1347" t="str">
        <f>IFERROR(__xludf.DUMMYFUNCTION("""COMPUTED_VALUE"""),"サイトウ")</f>
        <v>サイトウ</v>
      </c>
      <c r="F179" s="1347" t="str">
        <f>IFERROR(__xludf.DUMMYFUNCTION("""COMPUTED_VALUE"""),"?")</f>
        <v>?</v>
      </c>
      <c r="G179" s="1348"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49"/>
      <c r="O179" s="1293"/>
      <c r="P179" s="1293"/>
      <c r="Q179" s="1293"/>
      <c r="R179" s="1293"/>
      <c r="S179" s="1293"/>
      <c r="T179" s="1293"/>
      <c r="U179" s="1293"/>
      <c r="W179" s="1293" t="str">
        <f>'🔵クレーム'!C170</f>
        <v/>
      </c>
      <c r="X179" s="1293" t="str">
        <f>'🔵クレーム'!D170</f>
        <v/>
      </c>
      <c r="Y179" s="1292" t="str">
        <f>'🔵クレーム'!I170</f>
        <v/>
      </c>
      <c r="Z179" s="1293" t="str">
        <f>'🔵クレーム'!J170</f>
        <v/>
      </c>
      <c r="AA179" s="1293" t="str">
        <f>'🔵クレーム'!K170</f>
        <v/>
      </c>
      <c r="AB179" s="1293" t="str">
        <f>'🔵クレーム'!L170</f>
        <v/>
      </c>
      <c r="AC179" s="1295" t="str">
        <f>'🔵クレーム'!N170</f>
        <v/>
      </c>
    </row>
    <row r="180" hidden="1" outlineLevel="1">
      <c r="B180" s="1352" t="str">
        <f>IFERROR(__xludf.DUMMYFUNCTION("""COMPUTED_VALUE"""),"12月")</f>
        <v>12月</v>
      </c>
      <c r="C180" s="1270" t="str">
        <f>IFERROR(__xludf.DUMMYFUNCTION("""COMPUTED_VALUE"""),"13日")</f>
        <v>13日</v>
      </c>
      <c r="D180" s="1270" t="str">
        <f>IFERROR(__xludf.DUMMYFUNCTION("""COMPUTED_VALUE"""),"清掃不備")</f>
        <v>清掃不備</v>
      </c>
      <c r="E180" s="1347" t="str">
        <f>IFERROR(__xludf.DUMMYFUNCTION("""COMPUTED_VALUE"""),"サイトウ")</f>
        <v>サイトウ</v>
      </c>
      <c r="F180" s="1347" t="str">
        <f>IFERROR(__xludf.DUMMYFUNCTION("""COMPUTED_VALUE"""),"サロメ")</f>
        <v>サロメ</v>
      </c>
      <c r="G180" s="1348"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49"/>
      <c r="O180" s="1293"/>
      <c r="P180" s="1293"/>
      <c r="Q180" s="1293"/>
      <c r="R180" s="1293"/>
      <c r="S180" s="1293"/>
      <c r="T180" s="1293"/>
      <c r="U180" s="1293"/>
      <c r="W180" s="1293" t="str">
        <f>'🔵クレーム'!C171</f>
        <v/>
      </c>
      <c r="X180" s="1293" t="str">
        <f>'🔵クレーム'!D171</f>
        <v/>
      </c>
      <c r="Y180" s="1292" t="str">
        <f>'🔵クレーム'!I171</f>
        <v/>
      </c>
      <c r="Z180" s="1293" t="str">
        <f>'🔵クレーム'!J171</f>
        <v/>
      </c>
      <c r="AA180" s="1293" t="str">
        <f>'🔵クレーム'!K171</f>
        <v/>
      </c>
      <c r="AB180" s="1293" t="str">
        <f>'🔵クレーム'!L171</f>
        <v/>
      </c>
      <c r="AC180" s="1295" t="str">
        <f>'🔵クレーム'!N171</f>
        <v/>
      </c>
    </row>
    <row r="181" hidden="1" outlineLevel="1">
      <c r="B181" s="1352" t="str">
        <f>IFERROR(__xludf.DUMMYFUNCTION("""COMPUTED_VALUE"""),"12月")</f>
        <v>12月</v>
      </c>
      <c r="C181" s="1270" t="str">
        <f>IFERROR(__xludf.DUMMYFUNCTION("""COMPUTED_VALUE"""),"15日")</f>
        <v>15日</v>
      </c>
      <c r="D181" s="1270" t="str">
        <f>IFERROR(__xludf.DUMMYFUNCTION("""COMPUTED_VALUE"""),"口コミ")</f>
        <v>口コミ</v>
      </c>
      <c r="E181" s="1347"/>
      <c r="F181" s="1347"/>
      <c r="G181" s="1348"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49"/>
      <c r="O181" s="1293"/>
      <c r="P181" s="1293"/>
      <c r="Q181" s="1293"/>
      <c r="R181" s="1293"/>
      <c r="S181" s="1293"/>
      <c r="T181" s="1293"/>
      <c r="U181" s="1293"/>
      <c r="W181" s="1293" t="str">
        <f>'🔵クレーム'!C172</f>
        <v/>
      </c>
      <c r="X181" s="1293" t="str">
        <f>'🔵クレーム'!D172</f>
        <v/>
      </c>
      <c r="Y181" s="1292" t="str">
        <f>'🔵クレーム'!I172</f>
        <v/>
      </c>
      <c r="Z181" s="1293" t="str">
        <f>'🔵クレーム'!J172</f>
        <v/>
      </c>
      <c r="AA181" s="1293" t="str">
        <f>'🔵クレーム'!K172</f>
        <v/>
      </c>
      <c r="AB181" s="1293" t="str">
        <f>'🔵クレーム'!L172</f>
        <v/>
      </c>
      <c r="AC181" s="1295" t="str">
        <f>'🔵クレーム'!N172</f>
        <v/>
      </c>
    </row>
    <row r="182" hidden="1" outlineLevel="1">
      <c r="B182" s="1352" t="str">
        <f>IFERROR(__xludf.DUMMYFUNCTION("""COMPUTED_VALUE"""),"12月")</f>
        <v>12月</v>
      </c>
      <c r="C182" s="1270" t="str">
        <f>IFERROR(__xludf.DUMMYFUNCTION("""COMPUTED_VALUE"""),"16日")</f>
        <v>16日</v>
      </c>
      <c r="D182" s="1270" t="str">
        <f>IFERROR(__xludf.DUMMYFUNCTION("""COMPUTED_VALUE"""),"口コミ")</f>
        <v>口コミ</v>
      </c>
      <c r="E182" s="1347"/>
      <c r="F182" s="1347"/>
      <c r="G182" s="1348"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49"/>
      <c r="O182" s="1293"/>
      <c r="P182" s="1293"/>
      <c r="Q182" s="1293"/>
      <c r="R182" s="1293"/>
      <c r="S182" s="1293"/>
      <c r="T182" s="1293"/>
      <c r="U182" s="1293"/>
      <c r="W182" s="1293" t="str">
        <f>'🔵クレーム'!C173</f>
        <v/>
      </c>
      <c r="X182" s="1293" t="str">
        <f>'🔵クレーム'!D173</f>
        <v/>
      </c>
      <c r="Y182" s="1292" t="str">
        <f>'🔵クレーム'!I173</f>
        <v/>
      </c>
      <c r="Z182" s="1293" t="str">
        <f>'🔵クレーム'!J173</f>
        <v/>
      </c>
      <c r="AA182" s="1293" t="str">
        <f>'🔵クレーム'!K173</f>
        <v/>
      </c>
      <c r="AB182" s="1293" t="str">
        <f>'🔵クレーム'!L173</f>
        <v/>
      </c>
      <c r="AC182" s="1295" t="str">
        <f>'🔵クレーム'!N173</f>
        <v/>
      </c>
    </row>
    <row r="183" hidden="1" outlineLevel="1">
      <c r="B183" s="1352" t="str">
        <f>IFERROR(__xludf.DUMMYFUNCTION("""COMPUTED_VALUE"""),"12月")</f>
        <v>12月</v>
      </c>
      <c r="C183" s="1270" t="str">
        <f>IFERROR(__xludf.DUMMYFUNCTION("""COMPUTED_VALUE"""),"18日")</f>
        <v>18日</v>
      </c>
      <c r="D183" s="1270" t="str">
        <f>IFERROR(__xludf.DUMMYFUNCTION("""COMPUTED_VALUE"""),"口コミ")</f>
        <v>口コミ</v>
      </c>
      <c r="E183" s="1347"/>
      <c r="F183" s="1347"/>
      <c r="G183" s="1348"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49"/>
      <c r="O183" s="1293"/>
      <c r="P183" s="1293"/>
      <c r="Q183" s="1293"/>
      <c r="R183" s="1293"/>
      <c r="S183" s="1293"/>
      <c r="T183" s="1293"/>
      <c r="U183" s="1293"/>
      <c r="W183" s="1293" t="str">
        <f>'🔵クレーム'!C174</f>
        <v/>
      </c>
      <c r="X183" s="1293" t="str">
        <f>'🔵クレーム'!D174</f>
        <v/>
      </c>
      <c r="Y183" s="1292" t="str">
        <f>'🔵クレーム'!I174</f>
        <v/>
      </c>
      <c r="Z183" s="1293" t="str">
        <f>'🔵クレーム'!J174</f>
        <v/>
      </c>
      <c r="AA183" s="1293" t="str">
        <f>'🔵クレーム'!K174</f>
        <v/>
      </c>
      <c r="AB183" s="1293" t="str">
        <f>'🔵クレーム'!L174</f>
        <v/>
      </c>
      <c r="AC183" s="1295" t="str">
        <f>'🔵クレーム'!N174</f>
        <v/>
      </c>
    </row>
    <row r="184" hidden="1" outlineLevel="1">
      <c r="B184" s="1352" t="str">
        <f>IFERROR(__xludf.DUMMYFUNCTION("""COMPUTED_VALUE"""),"12月")</f>
        <v>12月</v>
      </c>
      <c r="C184" s="1270" t="str">
        <f>IFERROR(__xludf.DUMMYFUNCTION("""COMPUTED_VALUE"""),"19日")</f>
        <v>19日</v>
      </c>
      <c r="D184" s="1270" t="str">
        <f>IFERROR(__xludf.DUMMYFUNCTION("""COMPUTED_VALUE"""),"口コミ")</f>
        <v>口コミ</v>
      </c>
      <c r="E184" s="1347"/>
      <c r="F184" s="1347"/>
      <c r="G184" s="1348"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49"/>
      <c r="O184" s="1293"/>
      <c r="P184" s="1293"/>
      <c r="Q184" s="1293"/>
      <c r="R184" s="1293"/>
      <c r="S184" s="1293"/>
      <c r="T184" s="1293"/>
      <c r="U184" s="1293"/>
      <c r="W184" s="1293" t="str">
        <f>'🔵クレーム'!C175</f>
        <v/>
      </c>
      <c r="X184" s="1293" t="str">
        <f>'🔵クレーム'!D175</f>
        <v/>
      </c>
      <c r="Y184" s="1292" t="str">
        <f>'🔵クレーム'!I175</f>
        <v/>
      </c>
      <c r="Z184" s="1293" t="str">
        <f>'🔵クレーム'!J175</f>
        <v/>
      </c>
      <c r="AA184" s="1293" t="str">
        <f>'🔵クレーム'!K175</f>
        <v/>
      </c>
      <c r="AB184" s="1293" t="str">
        <f>'🔵クレーム'!L175</f>
        <v/>
      </c>
      <c r="AC184" s="1295" t="str">
        <f>'🔵クレーム'!N175</f>
        <v/>
      </c>
    </row>
    <row r="185" hidden="1" outlineLevel="1">
      <c r="B185" s="1352" t="str">
        <f>IFERROR(__xludf.DUMMYFUNCTION("""COMPUTED_VALUE"""),"12月")</f>
        <v>12月</v>
      </c>
      <c r="C185" s="1270" t="str">
        <f>IFERROR(__xludf.DUMMYFUNCTION("""COMPUTED_VALUE"""),"21日")</f>
        <v>21日</v>
      </c>
      <c r="D185" s="1270" t="str">
        <f>IFERROR(__xludf.DUMMYFUNCTION("""COMPUTED_VALUE"""),"口コミ")</f>
        <v>口コミ</v>
      </c>
      <c r="E185" s="1347"/>
      <c r="F185" s="1347"/>
      <c r="G185" s="1348"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49"/>
      <c r="O185" s="1293"/>
      <c r="P185" s="1293"/>
      <c r="Q185" s="1293"/>
      <c r="R185" s="1293"/>
      <c r="S185" s="1293"/>
      <c r="T185" s="1293"/>
      <c r="U185" s="1293"/>
      <c r="W185" s="1293" t="str">
        <f>'🔵クレーム'!C176</f>
        <v/>
      </c>
      <c r="X185" s="1293" t="str">
        <f>'🔵クレーム'!D176</f>
        <v/>
      </c>
      <c r="Y185" s="1292" t="str">
        <f>'🔵クレーム'!I176</f>
        <v/>
      </c>
      <c r="Z185" s="1293" t="str">
        <f>'🔵クレーム'!J176</f>
        <v/>
      </c>
      <c r="AA185" s="1293" t="str">
        <f>'🔵クレーム'!K176</f>
        <v/>
      </c>
      <c r="AB185" s="1293" t="str">
        <f>'🔵クレーム'!L176</f>
        <v/>
      </c>
      <c r="AC185" s="1295" t="str">
        <f>'🔵クレーム'!N176</f>
        <v/>
      </c>
    </row>
    <row r="186" hidden="1" outlineLevel="1">
      <c r="B186" s="1352" t="str">
        <f>IFERROR(__xludf.DUMMYFUNCTION("""COMPUTED_VALUE"""),"12月")</f>
        <v>12月</v>
      </c>
      <c r="C186" s="1270" t="str">
        <f>IFERROR(__xludf.DUMMYFUNCTION("""COMPUTED_VALUE"""),"22日")</f>
        <v>22日</v>
      </c>
      <c r="D186" s="1270" t="str">
        <f>IFERROR(__xludf.DUMMYFUNCTION("""COMPUTED_VALUE"""),"口コミ")</f>
        <v>口コミ</v>
      </c>
      <c r="E186" s="1347"/>
      <c r="F186" s="1347"/>
      <c r="G186" s="1348"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49"/>
      <c r="O186" s="1293"/>
      <c r="P186" s="1293"/>
      <c r="Q186" s="1293"/>
      <c r="R186" s="1293"/>
      <c r="S186" s="1293"/>
      <c r="T186" s="1293"/>
      <c r="U186" s="1293"/>
      <c r="W186" s="1293" t="str">
        <f>'🔵クレーム'!C177</f>
        <v/>
      </c>
      <c r="X186" s="1293" t="str">
        <f>'🔵クレーム'!D177</f>
        <v/>
      </c>
      <c r="Y186" s="1292" t="str">
        <f>'🔵クレーム'!I177</f>
        <v/>
      </c>
      <c r="Z186" s="1293" t="str">
        <f>'🔵クレーム'!J177</f>
        <v/>
      </c>
      <c r="AA186" s="1293" t="str">
        <f>'🔵クレーム'!K177</f>
        <v/>
      </c>
      <c r="AB186" s="1293" t="str">
        <f>'🔵クレーム'!L177</f>
        <v/>
      </c>
      <c r="AC186" s="1295" t="str">
        <f>'🔵クレーム'!N177</f>
        <v/>
      </c>
    </row>
    <row r="187" hidden="1" outlineLevel="1">
      <c r="B187" s="1352" t="str">
        <f>IFERROR(__xludf.DUMMYFUNCTION("""COMPUTED_VALUE"""),"12月")</f>
        <v>12月</v>
      </c>
      <c r="C187" s="1270" t="str">
        <f>IFERROR(__xludf.DUMMYFUNCTION("""COMPUTED_VALUE"""),"24日")</f>
        <v>24日</v>
      </c>
      <c r="D187" s="1270" t="str">
        <f>IFERROR(__xludf.DUMMYFUNCTION("""COMPUTED_VALUE"""),"口コミ")</f>
        <v>口コミ</v>
      </c>
      <c r="E187" s="1347"/>
      <c r="F187" s="1347"/>
      <c r="G187" s="1348"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49"/>
      <c r="O187" s="1293"/>
      <c r="P187" s="1293"/>
      <c r="Q187" s="1293"/>
      <c r="R187" s="1293"/>
      <c r="S187" s="1293"/>
      <c r="T187" s="1293"/>
      <c r="U187" s="1293"/>
      <c r="W187" s="1293" t="str">
        <f>'🔵クレーム'!C178</f>
        <v/>
      </c>
      <c r="X187" s="1293" t="str">
        <f>'🔵クレーム'!D178</f>
        <v/>
      </c>
      <c r="Y187" s="1292" t="str">
        <f>'🔵クレーム'!I178</f>
        <v/>
      </c>
      <c r="Z187" s="1293" t="str">
        <f>'🔵クレーム'!J178</f>
        <v/>
      </c>
      <c r="AA187" s="1293" t="str">
        <f>'🔵クレーム'!K178</f>
        <v/>
      </c>
      <c r="AB187" s="1293" t="str">
        <f>'🔵クレーム'!L178</f>
        <v/>
      </c>
      <c r="AC187" s="1295" t="str">
        <f>'🔵クレーム'!N178</f>
        <v/>
      </c>
    </row>
    <row r="188" hidden="1" outlineLevel="1">
      <c r="B188" s="1352" t="str">
        <f>IFERROR(__xludf.DUMMYFUNCTION("""COMPUTED_VALUE"""),"12月")</f>
        <v>12月</v>
      </c>
      <c r="C188" s="1270" t="str">
        <f>IFERROR(__xludf.DUMMYFUNCTION("""COMPUTED_VALUE"""),"27日")</f>
        <v>27日</v>
      </c>
      <c r="D188" s="1270" t="str">
        <f>IFERROR(__xludf.DUMMYFUNCTION("""COMPUTED_VALUE"""),"残置")</f>
        <v>残置</v>
      </c>
      <c r="E188" s="1347" t="str">
        <f>IFERROR(__xludf.DUMMYFUNCTION("""COMPUTED_VALUE"""),"サイトウ")</f>
        <v>サイトウ</v>
      </c>
      <c r="F188" s="1347" t="str">
        <f>IFERROR(__xludf.DUMMYFUNCTION("""COMPUTED_VALUE"""),"黒田")</f>
        <v>黒田</v>
      </c>
      <c r="G188" s="1348" t="str">
        <f>IFERROR(__xludf.DUMMYFUNCTION("""COMPUTED_VALUE"""),"スリッパなし")</f>
        <v>スリッパなし</v>
      </c>
      <c r="H188" s="246"/>
      <c r="I188" s="246"/>
      <c r="J188" s="246"/>
      <c r="K188" s="246"/>
      <c r="L188" s="246"/>
      <c r="M188" s="1349"/>
      <c r="O188" s="1293"/>
      <c r="P188" s="1293"/>
      <c r="Q188" s="1293"/>
      <c r="R188" s="1293"/>
      <c r="S188" s="1293"/>
      <c r="T188" s="1293"/>
      <c r="U188" s="1293"/>
      <c r="W188" s="1293" t="str">
        <f>'🔵クレーム'!C179</f>
        <v/>
      </c>
      <c r="X188" s="1293" t="str">
        <f>'🔵クレーム'!D179</f>
        <v/>
      </c>
      <c r="Y188" s="1292" t="str">
        <f>'🔵クレーム'!I179</f>
        <v/>
      </c>
      <c r="Z188" s="1293" t="str">
        <f>'🔵クレーム'!J179</f>
        <v/>
      </c>
      <c r="AA188" s="1293" t="str">
        <f>'🔵クレーム'!K179</f>
        <v/>
      </c>
      <c r="AB188" s="1293" t="str">
        <f>'🔵クレーム'!L179</f>
        <v/>
      </c>
      <c r="AC188" s="1295" t="str">
        <f>'🔵クレーム'!N179</f>
        <v/>
      </c>
    </row>
    <row r="189" hidden="1" outlineLevel="1">
      <c r="B189" s="1352" t="str">
        <f>IFERROR(__xludf.DUMMYFUNCTION("""COMPUTED_VALUE"""),"12月")</f>
        <v>12月</v>
      </c>
      <c r="C189" s="1270" t="str">
        <f>IFERROR(__xludf.DUMMYFUNCTION("""COMPUTED_VALUE"""),"27日")</f>
        <v>27日</v>
      </c>
      <c r="D189" s="1270" t="str">
        <f>IFERROR(__xludf.DUMMYFUNCTION("""COMPUTED_VALUE"""),"セット漏れ")</f>
        <v>セット漏れ</v>
      </c>
      <c r="E189" s="1347" t="str">
        <f>IFERROR(__xludf.DUMMYFUNCTION("""COMPUTED_VALUE"""),"西川")</f>
        <v>西川</v>
      </c>
      <c r="F189" s="1347" t="str">
        <f>IFERROR(__xludf.DUMMYFUNCTION("""COMPUTED_VALUE"""),"タルハ")</f>
        <v>タルハ</v>
      </c>
      <c r="G189" s="1348" t="str">
        <f>IFERROR(__xludf.DUMMYFUNCTION("""COMPUTED_VALUE"""),"トリプルセットになっていなかった。")</f>
        <v>トリプルセットになっていなかった。</v>
      </c>
      <c r="H189" s="246"/>
      <c r="I189" s="246"/>
      <c r="J189" s="246"/>
      <c r="K189" s="246"/>
      <c r="L189" s="246"/>
      <c r="M189" s="1349"/>
      <c r="O189" s="1293"/>
      <c r="P189" s="1293"/>
      <c r="Q189" s="1293"/>
      <c r="R189" s="1293"/>
      <c r="S189" s="1293"/>
      <c r="T189" s="1293"/>
      <c r="U189" s="1293"/>
      <c r="W189" s="1293" t="str">
        <f>'🔵クレーム'!C180</f>
        <v/>
      </c>
      <c r="X189" s="1293" t="str">
        <f>'🔵クレーム'!D180</f>
        <v/>
      </c>
      <c r="Y189" s="1292" t="str">
        <f>'🔵クレーム'!I180</f>
        <v/>
      </c>
      <c r="Z189" s="1293" t="str">
        <f>'🔵クレーム'!J180</f>
        <v/>
      </c>
      <c r="AA189" s="1293" t="str">
        <f>'🔵クレーム'!K180</f>
        <v/>
      </c>
      <c r="AB189" s="1293" t="str">
        <f>'🔵クレーム'!L180</f>
        <v/>
      </c>
      <c r="AC189" s="1295" t="str">
        <f>'🔵クレーム'!N180</f>
        <v/>
      </c>
    </row>
    <row r="190" hidden="1" outlineLevel="1">
      <c r="B190" s="1352" t="str">
        <f>IFERROR(__xludf.DUMMYFUNCTION("""COMPUTED_VALUE"""),"12月")</f>
        <v>12月</v>
      </c>
      <c r="C190" s="1270" t="str">
        <f>IFERROR(__xludf.DUMMYFUNCTION("""COMPUTED_VALUE"""),"28日")</f>
        <v>28日</v>
      </c>
      <c r="D190" s="1270" t="str">
        <f>IFERROR(__xludf.DUMMYFUNCTION("""COMPUTED_VALUE"""),"セット漏れ")</f>
        <v>セット漏れ</v>
      </c>
      <c r="E190" s="1347" t="str">
        <f>IFERROR(__xludf.DUMMYFUNCTION("""COMPUTED_VALUE"""),"サイトウ")</f>
        <v>サイトウ</v>
      </c>
      <c r="F190" s="1347" t="str">
        <f>IFERROR(__xludf.DUMMYFUNCTION("""COMPUTED_VALUE"""),"シトミ")</f>
        <v>シトミ</v>
      </c>
      <c r="G190" s="1348" t="str">
        <f>IFERROR(__xludf.DUMMYFUNCTION("""COMPUTED_VALUE"""),"ダブルセットになっていなかった。")</f>
        <v>ダブルセットになっていなかった。</v>
      </c>
      <c r="H190" s="246"/>
      <c r="I190" s="246"/>
      <c r="J190" s="246"/>
      <c r="K190" s="246"/>
      <c r="L190" s="246"/>
      <c r="M190" s="1349"/>
      <c r="O190" s="1293"/>
      <c r="P190" s="1293"/>
      <c r="Q190" s="1293"/>
      <c r="R190" s="1293"/>
      <c r="S190" s="1293"/>
      <c r="T190" s="1293"/>
      <c r="U190" s="1293"/>
      <c r="W190" s="1293" t="str">
        <f>'🔵クレーム'!C181</f>
        <v/>
      </c>
      <c r="X190" s="1293" t="str">
        <f>'🔵クレーム'!D181</f>
        <v/>
      </c>
      <c r="Y190" s="1292" t="str">
        <f>'🔵クレーム'!I181</f>
        <v/>
      </c>
      <c r="Z190" s="1293" t="str">
        <f>'🔵クレーム'!J181</f>
        <v/>
      </c>
      <c r="AA190" s="1293" t="str">
        <f>'🔵クレーム'!K181</f>
        <v/>
      </c>
      <c r="AB190" s="1293" t="str">
        <f>'🔵クレーム'!L181</f>
        <v/>
      </c>
      <c r="AC190" s="1295" t="str">
        <f>'🔵クレーム'!N181</f>
        <v/>
      </c>
    </row>
    <row r="191" hidden="1" outlineLevel="1">
      <c r="B191" s="1352" t="str">
        <f>IFERROR(__xludf.DUMMYFUNCTION("""COMPUTED_VALUE"""),"12月")</f>
        <v>12月</v>
      </c>
      <c r="C191" s="1270" t="str">
        <f>IFERROR(__xludf.DUMMYFUNCTION("""COMPUTED_VALUE"""),"29日")</f>
        <v>29日</v>
      </c>
      <c r="D191" s="1270" t="str">
        <f>IFERROR(__xludf.DUMMYFUNCTION("""COMPUTED_VALUE"""),"口コミ")</f>
        <v>口コミ</v>
      </c>
      <c r="E191" s="1347"/>
      <c r="F191" s="1347"/>
      <c r="G191" s="1348"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49"/>
      <c r="O191" s="1293"/>
      <c r="P191" s="1293"/>
      <c r="Q191" s="1293"/>
      <c r="R191" s="1293"/>
      <c r="S191" s="1293"/>
      <c r="T191" s="1293"/>
      <c r="U191" s="1293"/>
      <c r="W191" s="1293" t="str">
        <f>'🔵クレーム'!C182</f>
        <v/>
      </c>
      <c r="X191" s="1293" t="str">
        <f>'🔵クレーム'!D182</f>
        <v/>
      </c>
      <c r="Y191" s="1292" t="str">
        <f>'🔵クレーム'!I182</f>
        <v/>
      </c>
      <c r="Z191" s="1293" t="str">
        <f>'🔵クレーム'!J182</f>
        <v/>
      </c>
      <c r="AA191" s="1293" t="str">
        <f>'🔵クレーム'!K182</f>
        <v/>
      </c>
      <c r="AB191" s="1293" t="str">
        <f>'🔵クレーム'!L182</f>
        <v/>
      </c>
      <c r="AC191" s="1295" t="str">
        <f>'🔵クレーム'!N182</f>
        <v/>
      </c>
    </row>
    <row r="192" hidden="1" outlineLevel="1">
      <c r="B192" s="1352" t="str">
        <f>IFERROR(__xludf.DUMMYFUNCTION("""COMPUTED_VALUE"""),"12月")</f>
        <v>12月</v>
      </c>
      <c r="C192" s="1270" t="str">
        <f>IFERROR(__xludf.DUMMYFUNCTION("""COMPUTED_VALUE"""),"29日")</f>
        <v>29日</v>
      </c>
      <c r="D192" s="1270" t="str">
        <f>IFERROR(__xludf.DUMMYFUNCTION("""COMPUTED_VALUE"""),"口コミ")</f>
        <v>口コミ</v>
      </c>
      <c r="E192" s="1347"/>
      <c r="F192" s="1347"/>
      <c r="G192" s="1348"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49"/>
      <c r="O192" s="1293"/>
      <c r="P192" s="1293"/>
      <c r="Q192" s="1293"/>
      <c r="R192" s="1293"/>
      <c r="S192" s="1293"/>
      <c r="T192" s="1293"/>
      <c r="U192" s="1293"/>
      <c r="W192" s="1293" t="str">
        <f>'🔵クレーム'!C183</f>
        <v/>
      </c>
      <c r="X192" s="1293" t="str">
        <f>'🔵クレーム'!D183</f>
        <v/>
      </c>
      <c r="Y192" s="1292" t="str">
        <f>'🔵クレーム'!I183</f>
        <v/>
      </c>
      <c r="Z192" s="1293" t="str">
        <f>'🔵クレーム'!J183</f>
        <v/>
      </c>
      <c r="AA192" s="1293" t="str">
        <f>'🔵クレーム'!K183</f>
        <v/>
      </c>
      <c r="AB192" s="1293" t="str">
        <f>'🔵クレーム'!L183</f>
        <v/>
      </c>
      <c r="AC192" s="1295" t="str">
        <f>'🔵クレーム'!N183</f>
        <v/>
      </c>
    </row>
    <row r="193" hidden="1" outlineLevel="1">
      <c r="B193" s="1352" t="str">
        <f>IFERROR(__xludf.DUMMYFUNCTION("""COMPUTED_VALUE"""),"12月")</f>
        <v>12月</v>
      </c>
      <c r="C193" s="1270" t="str">
        <f>IFERROR(__xludf.DUMMYFUNCTION("""COMPUTED_VALUE"""),"31日")</f>
        <v>31日</v>
      </c>
      <c r="D193" s="1270" t="str">
        <f>IFERROR(__xludf.DUMMYFUNCTION("""COMPUTED_VALUE"""),"口コミ")</f>
        <v>口コミ</v>
      </c>
      <c r="E193" s="1347"/>
      <c r="F193" s="1347"/>
      <c r="G193" s="1348"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49"/>
      <c r="O193" s="1293"/>
      <c r="P193" s="1293"/>
      <c r="Q193" s="1293"/>
      <c r="R193" s="1293"/>
      <c r="S193" s="1293"/>
      <c r="T193" s="1293"/>
      <c r="U193" s="1293"/>
      <c r="W193" s="1293" t="str">
        <f>'🔵クレーム'!C184</f>
        <v/>
      </c>
      <c r="X193" s="1293" t="str">
        <f>'🔵クレーム'!D184</f>
        <v/>
      </c>
      <c r="Y193" s="1292" t="str">
        <f>'🔵クレーム'!I184</f>
        <v/>
      </c>
      <c r="Z193" s="1293" t="str">
        <f>'🔵クレーム'!J184</f>
        <v/>
      </c>
      <c r="AA193" s="1293" t="str">
        <f>'🔵クレーム'!K184</f>
        <v/>
      </c>
      <c r="AB193" s="1293" t="str">
        <f>'🔵クレーム'!L184</f>
        <v/>
      </c>
      <c r="AC193" s="1295" t="str">
        <f>'🔵クレーム'!N184</f>
        <v/>
      </c>
    </row>
    <row r="194" hidden="1" outlineLevel="1">
      <c r="B194" s="1352" t="str">
        <f>IFERROR(__xludf.DUMMYFUNCTION("""COMPUTED_VALUE"""),"1月")</f>
        <v>1月</v>
      </c>
      <c r="C194" s="1270" t="str">
        <f>IFERROR(__xludf.DUMMYFUNCTION("""COMPUTED_VALUE"""),"4日")</f>
        <v>4日</v>
      </c>
      <c r="D194" s="1270" t="str">
        <f>IFERROR(__xludf.DUMMYFUNCTION("""COMPUTED_VALUE"""),"セット漏れ")</f>
        <v>セット漏れ</v>
      </c>
      <c r="E194" s="1347" t="str">
        <f>IFERROR(__xludf.DUMMYFUNCTION("""COMPUTED_VALUE"""),"本村")</f>
        <v>本村</v>
      </c>
      <c r="F194" s="1347" t="str">
        <f>IFERROR(__xludf.DUMMYFUNCTION("""COMPUTED_VALUE"""),"イムラン")</f>
        <v>イムラン</v>
      </c>
      <c r="G194" s="1348" t="str">
        <f>IFERROR(__xludf.DUMMYFUNCTION("""COMPUTED_VALUE"""),"ドライヤーが部屋になかった。")</f>
        <v>ドライヤーが部屋になかった。</v>
      </c>
      <c r="H194" s="246"/>
      <c r="I194" s="246"/>
      <c r="J194" s="246"/>
      <c r="K194" s="246"/>
      <c r="L194" s="246"/>
      <c r="M194" s="1349"/>
      <c r="O194" s="1293"/>
      <c r="P194" s="1293"/>
      <c r="Q194" s="1293"/>
      <c r="R194" s="1293"/>
      <c r="S194" s="1293"/>
      <c r="T194" s="1293"/>
      <c r="U194" s="1293"/>
      <c r="W194" s="1293" t="str">
        <f>'🔵クレーム'!C185</f>
        <v/>
      </c>
      <c r="X194" s="1293" t="str">
        <f>'🔵クレーム'!D185</f>
        <v/>
      </c>
      <c r="Y194" s="1292" t="str">
        <f>'🔵クレーム'!I185</f>
        <v/>
      </c>
      <c r="Z194" s="1293" t="str">
        <f>'🔵クレーム'!J185</f>
        <v/>
      </c>
      <c r="AA194" s="1293" t="str">
        <f>'🔵クレーム'!K185</f>
        <v/>
      </c>
      <c r="AB194" s="1293" t="str">
        <f>'🔵クレーム'!L185</f>
        <v/>
      </c>
      <c r="AC194" s="1295" t="str">
        <f>'🔵クレーム'!N185</f>
        <v/>
      </c>
    </row>
    <row r="195" hidden="1" outlineLevel="1">
      <c r="B195" s="1352" t="str">
        <f>IFERROR(__xludf.DUMMYFUNCTION("""COMPUTED_VALUE"""),"1月")</f>
        <v>1月</v>
      </c>
      <c r="C195" s="1270" t="str">
        <f>IFERROR(__xludf.DUMMYFUNCTION("""COMPUTED_VALUE"""),"5日")</f>
        <v>5日</v>
      </c>
      <c r="D195" s="1270" t="str">
        <f>IFERROR(__xludf.DUMMYFUNCTION("""COMPUTED_VALUE"""),"口コミ")</f>
        <v>口コミ</v>
      </c>
      <c r="E195" s="1347"/>
      <c r="F195" s="1347"/>
      <c r="G195" s="1348" t="str">
        <f>IFERROR(__xludf.DUMMYFUNCTION("""COMPUTED_VALUE"""),"浴室が汚い カビだらけ")</f>
        <v>浴室が汚い カビだらけ</v>
      </c>
      <c r="H195" s="246"/>
      <c r="I195" s="246"/>
      <c r="J195" s="246"/>
      <c r="K195" s="246"/>
      <c r="L195" s="246"/>
      <c r="M195" s="1349"/>
      <c r="O195" s="1293"/>
      <c r="P195" s="1293"/>
      <c r="Q195" s="1293"/>
      <c r="R195" s="1293"/>
      <c r="S195" s="1293"/>
      <c r="T195" s="1293"/>
      <c r="U195" s="1293"/>
      <c r="W195" s="1293" t="str">
        <f>'🔵クレーム'!C186</f>
        <v/>
      </c>
      <c r="X195" s="1293" t="str">
        <f>'🔵クレーム'!D186</f>
        <v/>
      </c>
      <c r="Y195" s="1292" t="str">
        <f>'🔵クレーム'!I186</f>
        <v/>
      </c>
      <c r="Z195" s="1293" t="str">
        <f>'🔵クレーム'!J186</f>
        <v/>
      </c>
      <c r="AA195" s="1293" t="str">
        <f>'🔵クレーム'!K186</f>
        <v/>
      </c>
      <c r="AB195" s="1293" t="str">
        <f>'🔵クレーム'!L186</f>
        <v/>
      </c>
      <c r="AC195" s="1295" t="str">
        <f>'🔵クレーム'!N186</f>
        <v/>
      </c>
    </row>
    <row r="196" hidden="1" outlineLevel="1">
      <c r="B196" s="1352" t="str">
        <f>IFERROR(__xludf.DUMMYFUNCTION("""COMPUTED_VALUE"""),"1月")</f>
        <v>1月</v>
      </c>
      <c r="C196" s="1270" t="str">
        <f>IFERROR(__xludf.DUMMYFUNCTION("""COMPUTED_VALUE"""),"14日")</f>
        <v>14日</v>
      </c>
      <c r="D196" s="1270" t="str">
        <f>IFERROR(__xludf.DUMMYFUNCTION("""COMPUTED_VALUE"""),"口コミ")</f>
        <v>口コミ</v>
      </c>
      <c r="E196" s="1347"/>
      <c r="F196" s="1347"/>
      <c r="G196" s="1348" t="str">
        <f>IFERROR(__xludf.DUMMYFUNCTION("""COMPUTED_VALUE"""),"古くて臭くて、全然良くない")</f>
        <v>古くて臭くて、全然良くない</v>
      </c>
      <c r="H196" s="246"/>
      <c r="I196" s="246"/>
      <c r="J196" s="246"/>
      <c r="K196" s="246"/>
      <c r="L196" s="246"/>
      <c r="M196" s="1349"/>
      <c r="O196" s="1293"/>
      <c r="P196" s="1293"/>
      <c r="Q196" s="1293"/>
      <c r="R196" s="1293"/>
      <c r="S196" s="1293"/>
      <c r="T196" s="1293"/>
      <c r="U196" s="1293"/>
      <c r="W196" s="1293" t="str">
        <f>'🔵クレーム'!C187</f>
        <v/>
      </c>
      <c r="X196" s="1293" t="str">
        <f>'🔵クレーム'!D187</f>
        <v/>
      </c>
      <c r="Y196" s="1292" t="str">
        <f>'🔵クレーム'!I187</f>
        <v/>
      </c>
      <c r="Z196" s="1293" t="str">
        <f>'🔵クレーム'!J187</f>
        <v/>
      </c>
      <c r="AA196" s="1293" t="str">
        <f>'🔵クレーム'!K187</f>
        <v/>
      </c>
      <c r="AB196" s="1293" t="str">
        <f>'🔵クレーム'!L187</f>
        <v/>
      </c>
      <c r="AC196" s="1295" t="str">
        <f>'🔵クレーム'!N187</f>
        <v/>
      </c>
    </row>
    <row r="197" hidden="1" outlineLevel="1">
      <c r="B197" s="1352" t="str">
        <f>IFERROR(__xludf.DUMMYFUNCTION("""COMPUTED_VALUE"""),"1月")</f>
        <v>1月</v>
      </c>
      <c r="C197" s="1270" t="str">
        <f>IFERROR(__xludf.DUMMYFUNCTION("""COMPUTED_VALUE"""),"16日")</f>
        <v>16日</v>
      </c>
      <c r="D197" s="1270" t="str">
        <f>IFERROR(__xludf.DUMMYFUNCTION("""COMPUTED_VALUE"""),"その他")</f>
        <v>その他</v>
      </c>
      <c r="E197" s="1347" t="str">
        <f>IFERROR(__xludf.DUMMYFUNCTION("""COMPUTED_VALUE"""),"サイトウ")</f>
        <v>サイトウ</v>
      </c>
      <c r="F197" s="1347" t="str">
        <f>IFERROR(__xludf.DUMMYFUNCTION("""COMPUTED_VALUE"""),"サロメ")</f>
        <v>サロメ</v>
      </c>
      <c r="G197" s="1348" t="str">
        <f>IFERROR(__xludf.DUMMYFUNCTION("""COMPUTED_VALUE"""),"ベイシンがオーバーフロー＋
浴室に髪の毛")</f>
        <v>ベイシンがオーバーフロー＋
浴室に髪の毛</v>
      </c>
      <c r="H197" s="246"/>
      <c r="I197" s="246"/>
      <c r="J197" s="246"/>
      <c r="K197" s="246"/>
      <c r="L197" s="246"/>
      <c r="M197" s="1349"/>
      <c r="O197" s="1293"/>
      <c r="P197" s="1293"/>
      <c r="Q197" s="1293"/>
      <c r="R197" s="1293"/>
      <c r="S197" s="1293"/>
      <c r="T197" s="1293"/>
      <c r="U197" s="1293"/>
      <c r="W197" s="1293" t="str">
        <f>'🔵クレーム'!C188</f>
        <v/>
      </c>
      <c r="X197" s="1293" t="str">
        <f>'🔵クレーム'!D188</f>
        <v/>
      </c>
      <c r="Y197" s="1292" t="str">
        <f>'🔵クレーム'!I188</f>
        <v/>
      </c>
      <c r="Z197" s="1293" t="str">
        <f>'🔵クレーム'!J188</f>
        <v/>
      </c>
      <c r="AA197" s="1293" t="str">
        <f>'🔵クレーム'!K188</f>
        <v/>
      </c>
      <c r="AB197" s="1293" t="str">
        <f>'🔵クレーム'!L188</f>
        <v/>
      </c>
      <c r="AC197" s="1295" t="str">
        <f>'🔵クレーム'!N188</f>
        <v/>
      </c>
    </row>
    <row r="198" hidden="1" outlineLevel="1">
      <c r="B198" s="1352" t="str">
        <f>IFERROR(__xludf.DUMMYFUNCTION("""COMPUTED_VALUE"""),"1月")</f>
        <v>1月</v>
      </c>
      <c r="C198" s="1270" t="str">
        <f>IFERROR(__xludf.DUMMYFUNCTION("""COMPUTED_VALUE"""),"19日")</f>
        <v>19日</v>
      </c>
      <c r="D198" s="1270" t="str">
        <f>IFERROR(__xludf.DUMMYFUNCTION("""COMPUTED_VALUE"""),"髪の毛")</f>
        <v>髪の毛</v>
      </c>
      <c r="E198" s="1347" t="str">
        <f>IFERROR(__xludf.DUMMYFUNCTION("""COMPUTED_VALUE"""),"サイトウ")</f>
        <v>サイトウ</v>
      </c>
      <c r="F198" s="1347" t="str">
        <f>IFERROR(__xludf.DUMMYFUNCTION("""COMPUTED_VALUE"""),"サパナ")</f>
        <v>サパナ</v>
      </c>
      <c r="G198" s="1348" t="str">
        <f>IFERROR(__xludf.DUMMYFUNCTION("""COMPUTED_VALUE"""),"トイレに髪の毛がありRC")</f>
        <v>トイレに髪の毛がありRC</v>
      </c>
      <c r="H198" s="246"/>
      <c r="I198" s="246"/>
      <c r="J198" s="246"/>
      <c r="K198" s="246"/>
      <c r="L198" s="246"/>
      <c r="M198" s="1349"/>
      <c r="O198" s="1293"/>
      <c r="P198" s="1293"/>
      <c r="Q198" s="1293"/>
      <c r="R198" s="1293"/>
      <c r="S198" s="1293"/>
      <c r="T198" s="1293"/>
      <c r="U198" s="1293"/>
      <c r="W198" s="1293" t="str">
        <f>'🔵クレーム'!C189</f>
        <v/>
      </c>
      <c r="X198" s="1293" t="str">
        <f>'🔵クレーム'!D189</f>
        <v/>
      </c>
      <c r="Y198" s="1292" t="str">
        <f>'🔵クレーム'!I189</f>
        <v/>
      </c>
      <c r="Z198" s="1293" t="str">
        <f>'🔵クレーム'!J189</f>
        <v/>
      </c>
      <c r="AA198" s="1293" t="str">
        <f>'🔵クレーム'!K189</f>
        <v/>
      </c>
      <c r="AB198" s="1293" t="str">
        <f>'🔵クレーム'!L189</f>
        <v/>
      </c>
      <c r="AC198" s="1295" t="str">
        <f>'🔵クレーム'!N189</f>
        <v/>
      </c>
    </row>
    <row r="199" hidden="1" outlineLevel="1">
      <c r="B199" s="1352" t="str">
        <f>IFERROR(__xludf.DUMMYFUNCTION("""COMPUTED_VALUE"""),"1月")</f>
        <v>1月</v>
      </c>
      <c r="C199" s="1270" t="str">
        <f>IFERROR(__xludf.DUMMYFUNCTION("""COMPUTED_VALUE"""),"19日")</f>
        <v>19日</v>
      </c>
      <c r="D199" s="1270" t="str">
        <f>IFERROR(__xludf.DUMMYFUNCTION("""COMPUTED_VALUE"""),"口コミ")</f>
        <v>口コミ</v>
      </c>
      <c r="E199" s="1347"/>
      <c r="F199" s="1347"/>
      <c r="G199" s="1348"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49"/>
      <c r="O199" s="1293"/>
      <c r="P199" s="1293"/>
      <c r="Q199" s="1293"/>
      <c r="R199" s="1293"/>
      <c r="S199" s="1293"/>
      <c r="T199" s="1293"/>
      <c r="U199" s="1293"/>
      <c r="W199" s="1293" t="str">
        <f>'🔵クレーム'!C190</f>
        <v/>
      </c>
      <c r="X199" s="1293" t="str">
        <f>'🔵クレーム'!D190</f>
        <v/>
      </c>
      <c r="Y199" s="1292" t="str">
        <f>'🔵クレーム'!I190</f>
        <v/>
      </c>
      <c r="Z199" s="1293" t="str">
        <f>'🔵クレーム'!J190</f>
        <v/>
      </c>
      <c r="AA199" s="1293" t="str">
        <f>'🔵クレーム'!K190</f>
        <v/>
      </c>
      <c r="AB199" s="1293" t="str">
        <f>'🔵クレーム'!L190</f>
        <v/>
      </c>
      <c r="AC199" s="1295" t="str">
        <f>'🔵クレーム'!N190</f>
        <v/>
      </c>
    </row>
    <row r="200" hidden="1" outlineLevel="1">
      <c r="B200" s="1352" t="str">
        <f>IFERROR(__xludf.DUMMYFUNCTION("""COMPUTED_VALUE"""),"1月")</f>
        <v>1月</v>
      </c>
      <c r="C200" s="1270" t="str">
        <f>IFERROR(__xludf.DUMMYFUNCTION("""COMPUTED_VALUE"""),"21日")</f>
        <v>21日</v>
      </c>
      <c r="D200" s="1270" t="str">
        <f>IFERROR(__xludf.DUMMYFUNCTION("""COMPUTED_VALUE"""),"口コミ")</f>
        <v>口コミ</v>
      </c>
      <c r="E200" s="1347"/>
      <c r="F200" s="1347"/>
      <c r="G200" s="1348"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49"/>
      <c r="O200" s="1293"/>
      <c r="P200" s="1293"/>
      <c r="Q200" s="1293"/>
      <c r="R200" s="1293"/>
      <c r="S200" s="1293"/>
      <c r="T200" s="1293"/>
      <c r="U200" s="1293"/>
      <c r="W200" s="1293" t="str">
        <f>'🔵クレーム'!C191</f>
        <v/>
      </c>
      <c r="X200" s="1293" t="str">
        <f>'🔵クレーム'!D191</f>
        <v/>
      </c>
      <c r="Y200" s="1292" t="str">
        <f>'🔵クレーム'!I191</f>
        <v/>
      </c>
      <c r="Z200" s="1293" t="str">
        <f>'🔵クレーム'!J191</f>
        <v/>
      </c>
      <c r="AA200" s="1293" t="str">
        <f>'🔵クレーム'!K191</f>
        <v/>
      </c>
      <c r="AB200" s="1293" t="str">
        <f>'🔵クレーム'!L191</f>
        <v/>
      </c>
      <c r="AC200" s="1295" t="str">
        <f>'🔵クレーム'!N191</f>
        <v/>
      </c>
    </row>
    <row r="201" hidden="1" outlineLevel="1">
      <c r="B201" s="1352"/>
      <c r="C201" s="1270"/>
      <c r="D201" s="1270"/>
      <c r="E201" s="1347"/>
      <c r="F201" s="1347"/>
      <c r="G201" s="1348"/>
      <c r="H201" s="246"/>
      <c r="I201" s="246"/>
      <c r="J201" s="246"/>
      <c r="K201" s="246"/>
      <c r="L201" s="246"/>
      <c r="M201" s="1349"/>
      <c r="O201" s="1293"/>
      <c r="P201" s="1293"/>
      <c r="Q201" s="1293"/>
      <c r="R201" s="1293"/>
      <c r="S201" s="1293"/>
      <c r="T201" s="1293"/>
      <c r="U201" s="1293"/>
      <c r="W201" s="1293" t="str">
        <f>'🔵クレーム'!C192</f>
        <v/>
      </c>
      <c r="X201" s="1293" t="str">
        <f>'🔵クレーム'!D192</f>
        <v/>
      </c>
      <c r="Y201" s="1292" t="str">
        <f>'🔵クレーム'!I192</f>
        <v/>
      </c>
      <c r="Z201" s="1293" t="str">
        <f>'🔵クレーム'!J192</f>
        <v/>
      </c>
      <c r="AA201" s="1293" t="str">
        <f>'🔵クレーム'!K192</f>
        <v/>
      </c>
      <c r="AB201" s="1293" t="str">
        <f>'🔵クレーム'!L192</f>
        <v/>
      </c>
      <c r="AC201" s="1295" t="str">
        <f>'🔵クレーム'!N192</f>
        <v/>
      </c>
    </row>
    <row r="202" hidden="1" outlineLevel="1">
      <c r="B202" s="1352"/>
      <c r="C202" s="1270"/>
      <c r="D202" s="1270"/>
      <c r="E202" s="1347"/>
      <c r="F202" s="1347"/>
      <c r="G202" s="1348"/>
      <c r="H202" s="246"/>
      <c r="I202" s="246"/>
      <c r="J202" s="246"/>
      <c r="K202" s="246"/>
      <c r="L202" s="246"/>
      <c r="M202" s="1349"/>
      <c r="O202" s="1293"/>
      <c r="P202" s="1293"/>
      <c r="Q202" s="1293"/>
      <c r="R202" s="1293"/>
      <c r="S202" s="1293"/>
      <c r="T202" s="1293"/>
      <c r="U202" s="1293"/>
      <c r="W202" s="1293" t="str">
        <f>'🔵クレーム'!C193</f>
        <v/>
      </c>
      <c r="X202" s="1293" t="str">
        <f>'🔵クレーム'!D193</f>
        <v/>
      </c>
      <c r="Y202" s="1292" t="str">
        <f>'🔵クレーム'!I193</f>
        <v/>
      </c>
      <c r="Z202" s="1293" t="str">
        <f>'🔵クレーム'!J193</f>
        <v/>
      </c>
      <c r="AA202" s="1293" t="str">
        <f>'🔵クレーム'!K193</f>
        <v/>
      </c>
      <c r="AB202" s="1293" t="str">
        <f>'🔵クレーム'!L193</f>
        <v/>
      </c>
      <c r="AC202" s="1295" t="str">
        <f>'🔵クレーム'!N193</f>
        <v/>
      </c>
    </row>
    <row r="203" hidden="1" outlineLevel="1">
      <c r="B203" s="1352"/>
      <c r="C203" s="1270"/>
      <c r="D203" s="1270"/>
      <c r="E203" s="1347"/>
      <c r="F203" s="1347"/>
      <c r="G203" s="1348"/>
      <c r="H203" s="246"/>
      <c r="I203" s="246"/>
      <c r="J203" s="246"/>
      <c r="K203" s="246"/>
      <c r="L203" s="246"/>
      <c r="M203" s="1349"/>
      <c r="O203" s="1293"/>
      <c r="P203" s="1293"/>
      <c r="Q203" s="1293"/>
      <c r="R203" s="1293"/>
      <c r="S203" s="1293"/>
      <c r="T203" s="1293"/>
      <c r="U203" s="1293"/>
      <c r="W203" s="1293" t="str">
        <f>'🔵クレーム'!C194</f>
        <v/>
      </c>
      <c r="X203" s="1293" t="str">
        <f>'🔵クレーム'!D194</f>
        <v/>
      </c>
      <c r="Y203" s="1292" t="str">
        <f>'🔵クレーム'!I194</f>
        <v/>
      </c>
      <c r="Z203" s="1293" t="str">
        <f>'🔵クレーム'!J194</f>
        <v/>
      </c>
      <c r="AA203" s="1293" t="str">
        <f>'🔵クレーム'!K194</f>
        <v/>
      </c>
      <c r="AB203" s="1293" t="str">
        <f>'🔵クレーム'!L194</f>
        <v/>
      </c>
      <c r="AC203" s="1295" t="str">
        <f>'🔵クレーム'!N194</f>
        <v/>
      </c>
    </row>
    <row r="204" hidden="1" outlineLevel="1">
      <c r="B204" s="1352"/>
      <c r="C204" s="1270"/>
      <c r="D204" s="1270"/>
      <c r="E204" s="1347"/>
      <c r="F204" s="1347"/>
      <c r="G204" s="1348"/>
      <c r="H204" s="246"/>
      <c r="I204" s="246"/>
      <c r="J204" s="246"/>
      <c r="K204" s="246"/>
      <c r="L204" s="246"/>
      <c r="M204" s="1349"/>
      <c r="O204" s="1293"/>
      <c r="P204" s="1293"/>
      <c r="Q204" s="1293"/>
      <c r="R204" s="1293"/>
      <c r="S204" s="1293"/>
      <c r="T204" s="1293"/>
      <c r="U204" s="1293"/>
      <c r="W204" s="1293" t="str">
        <f>'🔵クレーム'!C195</f>
        <v/>
      </c>
      <c r="X204" s="1293" t="str">
        <f>'🔵クレーム'!D195</f>
        <v/>
      </c>
      <c r="Y204" s="1292" t="str">
        <f>'🔵クレーム'!I195</f>
        <v/>
      </c>
      <c r="Z204" s="1293" t="str">
        <f>'🔵クレーム'!J195</f>
        <v/>
      </c>
      <c r="AA204" s="1293" t="str">
        <f>'🔵クレーム'!K195</f>
        <v/>
      </c>
      <c r="AB204" s="1293" t="str">
        <f>'🔵クレーム'!L195</f>
        <v/>
      </c>
      <c r="AC204" s="1295" t="str">
        <f>'🔵クレーム'!N195</f>
        <v/>
      </c>
    </row>
    <row r="205" hidden="1" outlineLevel="1">
      <c r="B205" s="1352"/>
      <c r="C205" s="1270"/>
      <c r="D205" s="1270"/>
      <c r="E205" s="1347"/>
      <c r="F205" s="1347"/>
      <c r="G205" s="1348"/>
      <c r="H205" s="246"/>
      <c r="I205" s="246"/>
      <c r="J205" s="246"/>
      <c r="K205" s="246"/>
      <c r="L205" s="246"/>
      <c r="M205" s="1349"/>
      <c r="O205" s="1293"/>
      <c r="P205" s="1293"/>
      <c r="Q205" s="1293"/>
      <c r="R205" s="1293"/>
      <c r="S205" s="1293"/>
      <c r="T205" s="1293"/>
      <c r="U205" s="1293"/>
      <c r="W205" s="1293" t="str">
        <f>'🔵クレーム'!C196</f>
        <v/>
      </c>
      <c r="X205" s="1293" t="str">
        <f>'🔵クレーム'!D196</f>
        <v/>
      </c>
      <c r="Y205" s="1292" t="str">
        <f>'🔵クレーム'!I196</f>
        <v/>
      </c>
      <c r="Z205" s="1293" t="str">
        <f>'🔵クレーム'!J196</f>
        <v/>
      </c>
      <c r="AA205" s="1293" t="str">
        <f>'🔵クレーム'!K196</f>
        <v/>
      </c>
      <c r="AB205" s="1293" t="str">
        <f>'🔵クレーム'!L196</f>
        <v/>
      </c>
      <c r="AC205" s="1295" t="str">
        <f>'🔵クレーム'!N196</f>
        <v/>
      </c>
    </row>
    <row r="206" hidden="1" outlineLevel="1">
      <c r="B206" s="1352"/>
      <c r="C206" s="1270"/>
      <c r="D206" s="1270"/>
      <c r="E206" s="1347"/>
      <c r="F206" s="1347"/>
      <c r="G206" s="1348"/>
      <c r="H206" s="246"/>
      <c r="I206" s="246"/>
      <c r="J206" s="246"/>
      <c r="K206" s="246"/>
      <c r="L206" s="246"/>
      <c r="M206" s="1349"/>
      <c r="O206" s="1293"/>
      <c r="P206" s="1293"/>
      <c r="Q206" s="1293"/>
      <c r="R206" s="1293"/>
      <c r="S206" s="1293"/>
      <c r="T206" s="1293"/>
      <c r="U206" s="1293"/>
      <c r="W206" s="1293" t="str">
        <f>'🔵クレーム'!C197</f>
        <v/>
      </c>
      <c r="X206" s="1293" t="str">
        <f>'🔵クレーム'!D197</f>
        <v/>
      </c>
      <c r="Y206" s="1292" t="str">
        <f>'🔵クレーム'!I197</f>
        <v/>
      </c>
      <c r="Z206" s="1293" t="str">
        <f>'🔵クレーム'!J197</f>
        <v/>
      </c>
      <c r="AA206" s="1293" t="str">
        <f>'🔵クレーム'!K197</f>
        <v/>
      </c>
      <c r="AB206" s="1293" t="str">
        <f>'🔵クレーム'!L197</f>
        <v/>
      </c>
      <c r="AC206" s="1295" t="str">
        <f>'🔵クレーム'!N197</f>
        <v/>
      </c>
    </row>
    <row r="207" hidden="1" outlineLevel="1">
      <c r="B207" s="1352"/>
      <c r="C207" s="1270"/>
      <c r="D207" s="1270"/>
      <c r="E207" s="1347"/>
      <c r="F207" s="1347"/>
      <c r="G207" s="1348"/>
      <c r="H207" s="246"/>
      <c r="I207" s="246"/>
      <c r="J207" s="246"/>
      <c r="K207" s="246"/>
      <c r="L207" s="246"/>
      <c r="M207" s="1349"/>
      <c r="O207" s="1293"/>
      <c r="P207" s="1293"/>
      <c r="Q207" s="1293"/>
      <c r="R207" s="1293"/>
      <c r="S207" s="1293"/>
      <c r="T207" s="1293"/>
      <c r="U207" s="1293"/>
      <c r="W207" s="1293" t="str">
        <f>'🔵クレーム'!C198</f>
        <v/>
      </c>
      <c r="X207" s="1293" t="str">
        <f>'🔵クレーム'!D198</f>
        <v/>
      </c>
      <c r="Y207" s="1292" t="str">
        <f>'🔵クレーム'!I198</f>
        <v/>
      </c>
      <c r="Z207" s="1293" t="str">
        <f>'🔵クレーム'!J198</f>
        <v/>
      </c>
      <c r="AA207" s="1293" t="str">
        <f>'🔵クレーム'!K198</f>
        <v/>
      </c>
      <c r="AB207" s="1293" t="str">
        <f>'🔵クレーム'!L198</f>
        <v/>
      </c>
      <c r="AC207" s="1295" t="str">
        <f>'🔵クレーム'!N198</f>
        <v/>
      </c>
    </row>
    <row r="208" hidden="1" outlineLevel="1">
      <c r="B208" s="1352"/>
      <c r="C208" s="1270"/>
      <c r="D208" s="1270"/>
      <c r="E208" s="1347"/>
      <c r="F208" s="1347"/>
      <c r="G208" s="1348"/>
      <c r="H208" s="246"/>
      <c r="I208" s="246"/>
      <c r="J208" s="246"/>
      <c r="K208" s="246"/>
      <c r="L208" s="246"/>
      <c r="M208" s="1349"/>
      <c r="O208" s="1293"/>
      <c r="P208" s="1293"/>
      <c r="Q208" s="1293"/>
      <c r="R208" s="1293"/>
      <c r="S208" s="1293"/>
      <c r="T208" s="1293"/>
      <c r="U208" s="1293"/>
      <c r="W208" s="1293" t="str">
        <f>'🔵クレーム'!C199</f>
        <v/>
      </c>
      <c r="X208" s="1293" t="str">
        <f>'🔵クレーム'!D199</f>
        <v/>
      </c>
      <c r="Y208" s="1292" t="str">
        <f>'🔵クレーム'!I199</f>
        <v/>
      </c>
      <c r="Z208" s="1293" t="str">
        <f>'🔵クレーム'!J199</f>
        <v/>
      </c>
      <c r="AA208" s="1293" t="str">
        <f>'🔵クレーム'!K199</f>
        <v/>
      </c>
      <c r="AB208" s="1293" t="str">
        <f>'🔵クレーム'!L199</f>
        <v/>
      </c>
      <c r="AC208" s="1295" t="str">
        <f>'🔵クレーム'!N199</f>
        <v/>
      </c>
    </row>
    <row r="209" hidden="1" outlineLevel="1">
      <c r="B209" s="1352"/>
      <c r="C209" s="1270"/>
      <c r="D209" s="1270"/>
      <c r="E209" s="1347"/>
      <c r="F209" s="1347"/>
      <c r="G209" s="1348"/>
      <c r="H209" s="246"/>
      <c r="I209" s="246"/>
      <c r="J209" s="246"/>
      <c r="K209" s="246"/>
      <c r="L209" s="246"/>
      <c r="M209" s="1349"/>
      <c r="O209" s="1293"/>
      <c r="P209" s="1293"/>
      <c r="Q209" s="1293"/>
      <c r="R209" s="1293"/>
      <c r="S209" s="1293"/>
      <c r="T209" s="1293"/>
      <c r="U209" s="1293"/>
      <c r="W209" s="1293" t="str">
        <f>'🔵クレーム'!C200</f>
        <v/>
      </c>
      <c r="X209" s="1293" t="str">
        <f>'🔵クレーム'!D200</f>
        <v/>
      </c>
      <c r="Y209" s="1292" t="str">
        <f>'🔵クレーム'!I200</f>
        <v/>
      </c>
      <c r="Z209" s="1293" t="str">
        <f>'🔵クレーム'!J200</f>
        <v/>
      </c>
      <c r="AA209" s="1293" t="str">
        <f>'🔵クレーム'!K200</f>
        <v/>
      </c>
      <c r="AB209" s="1293" t="str">
        <f>'🔵クレーム'!L200</f>
        <v/>
      </c>
      <c r="AC209" s="1295" t="str">
        <f>'🔵クレーム'!N200</f>
        <v/>
      </c>
    </row>
    <row r="210" hidden="1" outlineLevel="1">
      <c r="B210" s="1352"/>
      <c r="C210" s="1270"/>
      <c r="D210" s="1270"/>
      <c r="E210" s="1347"/>
      <c r="F210" s="1347"/>
      <c r="G210" s="1348"/>
      <c r="H210" s="246"/>
      <c r="I210" s="246"/>
      <c r="J210" s="246"/>
      <c r="K210" s="246"/>
      <c r="L210" s="246"/>
      <c r="M210" s="1349"/>
      <c r="O210" s="1293"/>
      <c r="P210" s="1293"/>
      <c r="Q210" s="1293"/>
      <c r="R210" s="1293"/>
      <c r="S210" s="1293"/>
      <c r="T210" s="1293"/>
      <c r="U210" s="1293"/>
      <c r="W210" s="1293" t="str">
        <f>'🔵クレーム'!C201</f>
        <v/>
      </c>
      <c r="X210" s="1293" t="str">
        <f>'🔵クレーム'!D201</f>
        <v/>
      </c>
      <c r="Y210" s="1292" t="str">
        <f>'🔵クレーム'!I201</f>
        <v/>
      </c>
      <c r="Z210" s="1293" t="str">
        <f>'🔵クレーム'!J201</f>
        <v/>
      </c>
      <c r="AA210" s="1293" t="str">
        <f>'🔵クレーム'!K201</f>
        <v/>
      </c>
      <c r="AB210" s="1293" t="str">
        <f>'🔵クレーム'!L201</f>
        <v/>
      </c>
      <c r="AC210" s="1295" t="str">
        <f>'🔵クレーム'!N201</f>
        <v/>
      </c>
    </row>
    <row r="211" hidden="1" outlineLevel="1">
      <c r="B211" s="1352"/>
      <c r="C211" s="1270"/>
      <c r="D211" s="1270"/>
      <c r="E211" s="1347"/>
      <c r="F211" s="1347"/>
      <c r="G211" s="1348"/>
      <c r="H211" s="246"/>
      <c r="I211" s="246"/>
      <c r="J211" s="246"/>
      <c r="K211" s="246"/>
      <c r="L211" s="246"/>
      <c r="M211" s="1349"/>
      <c r="O211" s="1293"/>
      <c r="P211" s="1293"/>
      <c r="Q211" s="1293"/>
      <c r="R211" s="1293"/>
      <c r="S211" s="1293"/>
      <c r="T211" s="1293"/>
      <c r="U211" s="1293"/>
      <c r="W211" s="1293" t="str">
        <f>'🔵クレーム'!C202</f>
        <v/>
      </c>
      <c r="X211" s="1293" t="str">
        <f>'🔵クレーム'!D202</f>
        <v/>
      </c>
      <c r="Y211" s="1292" t="str">
        <f>'🔵クレーム'!I202</f>
        <v/>
      </c>
      <c r="Z211" s="1293" t="str">
        <f>'🔵クレーム'!J202</f>
        <v/>
      </c>
      <c r="AA211" s="1293" t="str">
        <f>'🔵クレーム'!K202</f>
        <v/>
      </c>
      <c r="AB211" s="1293" t="str">
        <f>'🔵クレーム'!L202</f>
        <v/>
      </c>
      <c r="AC211" s="1295" t="str">
        <f>'🔵クレーム'!N202</f>
        <v/>
      </c>
    </row>
    <row r="212" hidden="1" outlineLevel="1">
      <c r="B212" s="1352"/>
      <c r="C212" s="1270"/>
      <c r="D212" s="1270"/>
      <c r="E212" s="1347"/>
      <c r="F212" s="1347"/>
      <c r="G212" s="1348"/>
      <c r="H212" s="246"/>
      <c r="I212" s="246"/>
      <c r="J212" s="246"/>
      <c r="K212" s="246"/>
      <c r="L212" s="246"/>
      <c r="M212" s="1349"/>
      <c r="O212" s="1293"/>
      <c r="P212" s="1293"/>
      <c r="Q212" s="1293"/>
      <c r="R212" s="1293"/>
      <c r="S212" s="1293"/>
      <c r="T212" s="1293"/>
      <c r="U212" s="1293"/>
      <c r="W212" s="1293" t="str">
        <f>'🔵クレーム'!C203</f>
        <v/>
      </c>
      <c r="X212" s="1293" t="str">
        <f>'🔵クレーム'!D203</f>
        <v/>
      </c>
      <c r="Y212" s="1292" t="str">
        <f>'🔵クレーム'!I203</f>
        <v/>
      </c>
      <c r="Z212" s="1293" t="str">
        <f>'🔵クレーム'!J203</f>
        <v/>
      </c>
      <c r="AA212" s="1293" t="str">
        <f>'🔵クレーム'!K203</f>
        <v/>
      </c>
      <c r="AB212" s="1293" t="str">
        <f>'🔵クレーム'!L203</f>
        <v/>
      </c>
      <c r="AC212" s="1295" t="str">
        <f>'🔵クレーム'!N203</f>
        <v/>
      </c>
    </row>
    <row r="213" hidden="1" outlineLevel="1">
      <c r="B213" s="1352"/>
      <c r="C213" s="1270"/>
      <c r="D213" s="1270"/>
      <c r="E213" s="1347"/>
      <c r="F213" s="1347"/>
      <c r="G213" s="1348"/>
      <c r="H213" s="246"/>
      <c r="I213" s="246"/>
      <c r="J213" s="246"/>
      <c r="K213" s="246"/>
      <c r="L213" s="246"/>
      <c r="M213" s="1349"/>
      <c r="O213" s="1293"/>
      <c r="P213" s="1293"/>
      <c r="Q213" s="1293"/>
      <c r="R213" s="1293"/>
      <c r="S213" s="1293"/>
      <c r="T213" s="1293"/>
      <c r="U213" s="1293"/>
      <c r="W213" s="1293" t="str">
        <f>'🔵クレーム'!C204</f>
        <v/>
      </c>
      <c r="X213" s="1293" t="str">
        <f>'🔵クレーム'!D204</f>
        <v/>
      </c>
      <c r="Y213" s="1292" t="str">
        <f>'🔵クレーム'!I204</f>
        <v/>
      </c>
      <c r="Z213" s="1293" t="str">
        <f>'🔵クレーム'!J204</f>
        <v/>
      </c>
      <c r="AA213" s="1293" t="str">
        <f>'🔵クレーム'!K204</f>
        <v/>
      </c>
      <c r="AB213" s="1293" t="str">
        <f>'🔵クレーム'!L204</f>
        <v/>
      </c>
      <c r="AC213" s="1295" t="str">
        <f>'🔵クレーム'!N204</f>
        <v/>
      </c>
    </row>
    <row r="214" hidden="1" outlineLevel="1">
      <c r="B214" s="1352"/>
      <c r="C214" s="1270"/>
      <c r="D214" s="1270"/>
      <c r="E214" s="1347"/>
      <c r="F214" s="1347"/>
      <c r="G214" s="1348"/>
      <c r="H214" s="246"/>
      <c r="I214" s="246"/>
      <c r="J214" s="246"/>
      <c r="K214" s="246"/>
      <c r="L214" s="246"/>
      <c r="M214" s="1349"/>
      <c r="O214" s="1293"/>
      <c r="P214" s="1293"/>
      <c r="Q214" s="1293"/>
      <c r="R214" s="1293"/>
      <c r="S214" s="1293"/>
      <c r="T214" s="1293"/>
      <c r="U214" s="1293"/>
      <c r="W214" s="1293" t="str">
        <f>'🔵クレーム'!C205</f>
        <v/>
      </c>
      <c r="X214" s="1293" t="str">
        <f>'🔵クレーム'!D205</f>
        <v/>
      </c>
      <c r="Y214" s="1292" t="str">
        <f>'🔵クレーム'!I205</f>
        <v/>
      </c>
      <c r="Z214" s="1293" t="str">
        <f>'🔵クレーム'!J205</f>
        <v/>
      </c>
      <c r="AA214" s="1293" t="str">
        <f>'🔵クレーム'!K205</f>
        <v/>
      </c>
      <c r="AB214" s="1293" t="str">
        <f>'🔵クレーム'!L205</f>
        <v/>
      </c>
      <c r="AC214" s="1295" t="str">
        <f>'🔵クレーム'!N205</f>
        <v/>
      </c>
    </row>
    <row r="215" hidden="1" outlineLevel="1">
      <c r="B215" s="1352"/>
      <c r="C215" s="1270"/>
      <c r="D215" s="1270"/>
      <c r="E215" s="1347"/>
      <c r="F215" s="1347"/>
      <c r="G215" s="1348"/>
      <c r="H215" s="246"/>
      <c r="I215" s="246"/>
      <c r="J215" s="246"/>
      <c r="K215" s="246"/>
      <c r="L215" s="246"/>
      <c r="M215" s="1349"/>
      <c r="O215" s="1293"/>
      <c r="P215" s="1293"/>
      <c r="Q215" s="1293"/>
      <c r="R215" s="1293"/>
      <c r="S215" s="1293"/>
      <c r="T215" s="1293"/>
      <c r="U215" s="1293"/>
      <c r="W215" s="1293" t="str">
        <f>'🔵クレーム'!C206</f>
        <v/>
      </c>
      <c r="X215" s="1293" t="str">
        <f>'🔵クレーム'!D206</f>
        <v/>
      </c>
      <c r="Y215" s="1292" t="str">
        <f>'🔵クレーム'!I206</f>
        <v/>
      </c>
      <c r="Z215" s="1293" t="str">
        <f>'🔵クレーム'!J206</f>
        <v/>
      </c>
      <c r="AA215" s="1293" t="str">
        <f>'🔵クレーム'!K206</f>
        <v/>
      </c>
      <c r="AB215" s="1293" t="str">
        <f>'🔵クレーム'!L206</f>
        <v/>
      </c>
      <c r="AC215" s="1295" t="str">
        <f>'🔵クレーム'!N206</f>
        <v/>
      </c>
    </row>
    <row r="216" hidden="1" outlineLevel="1">
      <c r="B216" s="1352"/>
      <c r="C216" s="1270"/>
      <c r="D216" s="1270"/>
      <c r="E216" s="1347"/>
      <c r="F216" s="1347"/>
      <c r="G216" s="1348"/>
      <c r="H216" s="246"/>
      <c r="I216" s="246"/>
      <c r="J216" s="246"/>
      <c r="K216" s="246"/>
      <c r="L216" s="246"/>
      <c r="M216" s="1349"/>
      <c r="O216" s="1293"/>
      <c r="P216" s="1293"/>
      <c r="Q216" s="1293"/>
      <c r="R216" s="1293"/>
      <c r="S216" s="1293"/>
      <c r="T216" s="1293"/>
      <c r="U216" s="1293"/>
      <c r="W216" s="1293" t="str">
        <f>'🔵クレーム'!C207</f>
        <v/>
      </c>
      <c r="X216" s="1293" t="str">
        <f>'🔵クレーム'!D207</f>
        <v/>
      </c>
      <c r="Y216" s="1292" t="str">
        <f>'🔵クレーム'!I207</f>
        <v/>
      </c>
      <c r="Z216" s="1293" t="str">
        <f>'🔵クレーム'!J207</f>
        <v/>
      </c>
      <c r="AA216" s="1293" t="str">
        <f>'🔵クレーム'!K207</f>
        <v/>
      </c>
      <c r="AB216" s="1293" t="str">
        <f>'🔵クレーム'!L207</f>
        <v/>
      </c>
      <c r="AC216" s="1295" t="str">
        <f>'🔵クレーム'!N207</f>
        <v/>
      </c>
    </row>
    <row r="217" hidden="1" outlineLevel="1">
      <c r="B217" s="1352"/>
      <c r="C217" s="1270"/>
      <c r="D217" s="1270"/>
      <c r="E217" s="1347"/>
      <c r="F217" s="1347"/>
      <c r="G217" s="1348"/>
      <c r="H217" s="246"/>
      <c r="I217" s="246"/>
      <c r="J217" s="246"/>
      <c r="K217" s="246"/>
      <c r="L217" s="246"/>
      <c r="M217" s="1349"/>
      <c r="O217" s="1293"/>
      <c r="P217" s="1293"/>
      <c r="Q217" s="1293"/>
      <c r="R217" s="1293"/>
      <c r="S217" s="1293"/>
      <c r="T217" s="1293"/>
      <c r="U217" s="1293"/>
      <c r="W217" s="1293" t="str">
        <f>'🔵クレーム'!C208</f>
        <v/>
      </c>
      <c r="X217" s="1293" t="str">
        <f>'🔵クレーム'!D208</f>
        <v/>
      </c>
      <c r="Y217" s="1292" t="str">
        <f>'🔵クレーム'!I208</f>
        <v/>
      </c>
      <c r="Z217" s="1293" t="str">
        <f>'🔵クレーム'!J208</f>
        <v/>
      </c>
      <c r="AA217" s="1293" t="str">
        <f>'🔵クレーム'!K208</f>
        <v/>
      </c>
      <c r="AB217" s="1293" t="str">
        <f>'🔵クレーム'!L208</f>
        <v/>
      </c>
      <c r="AC217" s="1295" t="str">
        <f>'🔵クレーム'!N208</f>
        <v/>
      </c>
    </row>
    <row r="218" hidden="1" outlineLevel="1">
      <c r="B218" s="1352"/>
      <c r="C218" s="1270"/>
      <c r="D218" s="1270"/>
      <c r="E218" s="1347"/>
      <c r="F218" s="1347"/>
      <c r="G218" s="1348"/>
      <c r="H218" s="246"/>
      <c r="I218" s="246"/>
      <c r="J218" s="246"/>
      <c r="K218" s="246"/>
      <c r="L218" s="246"/>
      <c r="M218" s="1349"/>
      <c r="O218" s="1293"/>
      <c r="P218" s="1293"/>
      <c r="Q218" s="1293"/>
      <c r="R218" s="1293"/>
      <c r="S218" s="1293"/>
      <c r="T218" s="1293"/>
      <c r="U218" s="1293"/>
      <c r="W218" s="1293" t="str">
        <f>'🔵クレーム'!C209</f>
        <v/>
      </c>
      <c r="X218" s="1293" t="str">
        <f>'🔵クレーム'!D209</f>
        <v/>
      </c>
      <c r="Y218" s="1292" t="str">
        <f>'🔵クレーム'!I209</f>
        <v/>
      </c>
      <c r="Z218" s="1293" t="str">
        <f>'🔵クレーム'!J209</f>
        <v/>
      </c>
      <c r="AA218" s="1293" t="str">
        <f>'🔵クレーム'!K209</f>
        <v/>
      </c>
      <c r="AB218" s="1293" t="str">
        <f>'🔵クレーム'!L209</f>
        <v/>
      </c>
      <c r="AC218" s="1295" t="str">
        <f>'🔵クレーム'!N209</f>
        <v/>
      </c>
    </row>
    <row r="219" hidden="1" outlineLevel="1">
      <c r="B219" s="1352"/>
      <c r="C219" s="1270"/>
      <c r="D219" s="1270"/>
      <c r="E219" s="1347"/>
      <c r="F219" s="1347"/>
      <c r="G219" s="1348"/>
      <c r="H219" s="246"/>
      <c r="I219" s="246"/>
      <c r="J219" s="246"/>
      <c r="K219" s="246"/>
      <c r="L219" s="246"/>
      <c r="M219" s="1349"/>
      <c r="O219" s="1293"/>
      <c r="P219" s="1293"/>
      <c r="Q219" s="1293"/>
      <c r="R219" s="1293"/>
      <c r="S219" s="1293"/>
      <c r="T219" s="1293"/>
      <c r="U219" s="1293"/>
      <c r="W219" s="1293" t="str">
        <f>'🔵クレーム'!C210</f>
        <v/>
      </c>
      <c r="X219" s="1293" t="str">
        <f>'🔵クレーム'!D210</f>
        <v/>
      </c>
      <c r="Y219" s="1292" t="str">
        <f>'🔵クレーム'!I210</f>
        <v/>
      </c>
      <c r="Z219" s="1293" t="str">
        <f>'🔵クレーム'!J210</f>
        <v/>
      </c>
      <c r="AA219" s="1293" t="str">
        <f>'🔵クレーム'!K210</f>
        <v/>
      </c>
      <c r="AB219" s="1293" t="str">
        <f>'🔵クレーム'!L210</f>
        <v/>
      </c>
      <c r="AC219" s="1295" t="str">
        <f>'🔵クレーム'!N210</f>
        <v/>
      </c>
    </row>
    <row r="220" hidden="1" outlineLevel="1">
      <c r="B220" s="1352"/>
      <c r="C220" s="1270"/>
      <c r="D220" s="1270"/>
      <c r="E220" s="1347"/>
      <c r="F220" s="1347"/>
      <c r="G220" s="1348"/>
      <c r="H220" s="246"/>
      <c r="I220" s="246"/>
      <c r="J220" s="246"/>
      <c r="K220" s="246"/>
      <c r="L220" s="246"/>
      <c r="M220" s="1349"/>
      <c r="O220" s="1293"/>
      <c r="P220" s="1293"/>
      <c r="Q220" s="1293"/>
      <c r="R220" s="1293"/>
      <c r="S220" s="1293"/>
      <c r="T220" s="1293"/>
      <c r="U220" s="1293"/>
      <c r="W220" s="1293" t="str">
        <f>'🔵クレーム'!C211</f>
        <v/>
      </c>
      <c r="X220" s="1293" t="str">
        <f>'🔵クレーム'!D211</f>
        <v/>
      </c>
      <c r="Y220" s="1292" t="str">
        <f>'🔵クレーム'!I211</f>
        <v/>
      </c>
      <c r="Z220" s="1293" t="str">
        <f>'🔵クレーム'!J211</f>
        <v/>
      </c>
      <c r="AA220" s="1293" t="str">
        <f>'🔵クレーム'!K211</f>
        <v/>
      </c>
      <c r="AB220" s="1293" t="str">
        <f>'🔵クレーム'!L211</f>
        <v/>
      </c>
      <c r="AC220" s="1295" t="str">
        <f>'🔵クレーム'!N211</f>
        <v/>
      </c>
    </row>
    <row r="221" hidden="1" outlineLevel="1">
      <c r="B221" s="1352"/>
      <c r="C221" s="1270"/>
      <c r="D221" s="1270"/>
      <c r="E221" s="1347"/>
      <c r="F221" s="1347"/>
      <c r="G221" s="1348"/>
      <c r="H221" s="246"/>
      <c r="I221" s="246"/>
      <c r="J221" s="246"/>
      <c r="K221" s="246"/>
      <c r="L221" s="246"/>
      <c r="M221" s="1349"/>
      <c r="O221" s="1293"/>
      <c r="P221" s="1293"/>
      <c r="Q221" s="1293"/>
      <c r="R221" s="1293"/>
      <c r="S221" s="1293"/>
      <c r="T221" s="1293"/>
      <c r="U221" s="1293"/>
      <c r="W221" s="1293" t="str">
        <f>'🔵クレーム'!C212</f>
        <v/>
      </c>
      <c r="X221" s="1293" t="str">
        <f>'🔵クレーム'!D212</f>
        <v/>
      </c>
      <c r="Y221" s="1292" t="str">
        <f>'🔵クレーム'!I212</f>
        <v/>
      </c>
      <c r="Z221" s="1293" t="str">
        <f>'🔵クレーム'!J212</f>
        <v/>
      </c>
      <c r="AA221" s="1293" t="str">
        <f>'🔵クレーム'!K212</f>
        <v/>
      </c>
      <c r="AB221" s="1293" t="str">
        <f>'🔵クレーム'!L212</f>
        <v/>
      </c>
      <c r="AC221" s="1295" t="str">
        <f>'🔵クレーム'!N212</f>
        <v/>
      </c>
    </row>
    <row r="222" hidden="1" outlineLevel="1">
      <c r="B222" s="1352"/>
      <c r="C222" s="1270"/>
      <c r="D222" s="1270"/>
      <c r="E222" s="1347"/>
      <c r="F222" s="1347"/>
      <c r="G222" s="1348"/>
      <c r="H222" s="246"/>
      <c r="I222" s="246"/>
      <c r="J222" s="246"/>
      <c r="K222" s="246"/>
      <c r="L222" s="246"/>
      <c r="M222" s="1349"/>
      <c r="O222" s="1293"/>
      <c r="P222" s="1293"/>
      <c r="Q222" s="1293"/>
      <c r="R222" s="1293"/>
      <c r="S222" s="1293"/>
      <c r="T222" s="1293"/>
      <c r="U222" s="1293"/>
      <c r="W222" s="1293" t="str">
        <f>'🔵クレーム'!C213</f>
        <v/>
      </c>
      <c r="X222" s="1293" t="str">
        <f>'🔵クレーム'!D213</f>
        <v/>
      </c>
      <c r="Y222" s="1292" t="str">
        <f>'🔵クレーム'!I213</f>
        <v/>
      </c>
      <c r="Z222" s="1293" t="str">
        <f>'🔵クレーム'!J213</f>
        <v/>
      </c>
      <c r="AA222" s="1293" t="str">
        <f>'🔵クレーム'!K213</f>
        <v/>
      </c>
      <c r="AB222" s="1293" t="str">
        <f>'🔵クレーム'!L213</f>
        <v/>
      </c>
      <c r="AC222" s="1295" t="str">
        <f>'🔵クレーム'!N213</f>
        <v/>
      </c>
    </row>
    <row r="223" hidden="1" outlineLevel="1">
      <c r="B223" s="1352"/>
      <c r="C223" s="1270"/>
      <c r="D223" s="1270"/>
      <c r="E223" s="1347"/>
      <c r="F223" s="1347"/>
      <c r="G223" s="1348"/>
      <c r="H223" s="246"/>
      <c r="I223" s="246"/>
      <c r="J223" s="246"/>
      <c r="K223" s="246"/>
      <c r="L223" s="246"/>
      <c r="M223" s="1349"/>
      <c r="O223" s="1293"/>
      <c r="P223" s="1293"/>
      <c r="Q223" s="1293"/>
      <c r="R223" s="1293"/>
      <c r="S223" s="1293"/>
      <c r="T223" s="1293"/>
      <c r="U223" s="1293"/>
      <c r="W223" s="1293" t="str">
        <f>'🔵クレーム'!C214</f>
        <v/>
      </c>
      <c r="X223" s="1293" t="str">
        <f>'🔵クレーム'!D214</f>
        <v/>
      </c>
      <c r="Y223" s="1292" t="str">
        <f>'🔵クレーム'!I214</f>
        <v/>
      </c>
      <c r="Z223" s="1293" t="str">
        <f>'🔵クレーム'!J214</f>
        <v/>
      </c>
      <c r="AA223" s="1293" t="str">
        <f>'🔵クレーム'!K214</f>
        <v/>
      </c>
      <c r="AB223" s="1293" t="str">
        <f>'🔵クレーム'!L214</f>
        <v/>
      </c>
      <c r="AC223" s="1295" t="str">
        <f>'🔵クレーム'!N214</f>
        <v/>
      </c>
    </row>
    <row r="224" hidden="1" outlineLevel="1">
      <c r="B224" s="1352"/>
      <c r="C224" s="1270"/>
      <c r="D224" s="1270"/>
      <c r="E224" s="1347"/>
      <c r="F224" s="1347"/>
      <c r="G224" s="1348"/>
      <c r="H224" s="246"/>
      <c r="I224" s="246"/>
      <c r="J224" s="246"/>
      <c r="K224" s="246"/>
      <c r="L224" s="246"/>
      <c r="M224" s="1349"/>
      <c r="O224" s="1293"/>
      <c r="P224" s="1293"/>
      <c r="Q224" s="1293"/>
      <c r="R224" s="1293"/>
      <c r="S224" s="1293"/>
      <c r="T224" s="1293"/>
      <c r="U224" s="1293"/>
      <c r="W224" s="1293" t="str">
        <f>'🔵クレーム'!C215</f>
        <v/>
      </c>
      <c r="X224" s="1293" t="str">
        <f>'🔵クレーム'!D215</f>
        <v/>
      </c>
      <c r="Y224" s="1292" t="str">
        <f>'🔵クレーム'!I215</f>
        <v/>
      </c>
      <c r="Z224" s="1293" t="str">
        <f>'🔵クレーム'!J215</f>
        <v/>
      </c>
      <c r="AA224" s="1293" t="str">
        <f>'🔵クレーム'!K215</f>
        <v/>
      </c>
      <c r="AB224" s="1293" t="str">
        <f>'🔵クレーム'!L215</f>
        <v/>
      </c>
      <c r="AC224" s="1295" t="str">
        <f>'🔵クレーム'!N215</f>
        <v/>
      </c>
    </row>
    <row r="225" hidden="1" outlineLevel="1">
      <c r="B225" s="1352"/>
      <c r="C225" s="1270"/>
      <c r="D225" s="1270"/>
      <c r="E225" s="1347"/>
      <c r="F225" s="1347"/>
      <c r="G225" s="1348"/>
      <c r="H225" s="246"/>
      <c r="I225" s="246"/>
      <c r="J225" s="246"/>
      <c r="K225" s="246"/>
      <c r="L225" s="246"/>
      <c r="M225" s="1349"/>
      <c r="O225" s="1293"/>
      <c r="P225" s="1293"/>
      <c r="Q225" s="1293"/>
      <c r="R225" s="1293"/>
      <c r="S225" s="1293"/>
      <c r="T225" s="1293"/>
      <c r="U225" s="1293"/>
      <c r="W225" s="1293" t="str">
        <f>'🔵クレーム'!C216</f>
        <v/>
      </c>
      <c r="X225" s="1293" t="str">
        <f>'🔵クレーム'!D216</f>
        <v/>
      </c>
      <c r="Y225" s="1292" t="str">
        <f>'🔵クレーム'!I216</f>
        <v/>
      </c>
      <c r="Z225" s="1293" t="str">
        <f>'🔵クレーム'!J216</f>
        <v/>
      </c>
      <c r="AA225" s="1293" t="str">
        <f>'🔵クレーム'!K216</f>
        <v/>
      </c>
      <c r="AB225" s="1293" t="str">
        <f>'🔵クレーム'!L216</f>
        <v/>
      </c>
      <c r="AC225" s="1295" t="str">
        <f>'🔵クレーム'!N216</f>
        <v/>
      </c>
    </row>
    <row r="226" hidden="1" outlineLevel="1">
      <c r="B226" s="1352"/>
      <c r="C226" s="1270"/>
      <c r="D226" s="1270"/>
      <c r="E226" s="1347"/>
      <c r="F226" s="1347"/>
      <c r="G226" s="1348"/>
      <c r="H226" s="246"/>
      <c r="I226" s="246"/>
      <c r="J226" s="246"/>
      <c r="K226" s="246"/>
      <c r="L226" s="246"/>
      <c r="M226" s="1349"/>
      <c r="O226" s="1293"/>
      <c r="P226" s="1293"/>
      <c r="Q226" s="1293"/>
      <c r="R226" s="1293"/>
      <c r="S226" s="1293"/>
      <c r="T226" s="1293"/>
      <c r="U226" s="1293"/>
      <c r="W226" s="1293" t="str">
        <f>'🔵クレーム'!C217</f>
        <v/>
      </c>
      <c r="X226" s="1293" t="str">
        <f>'🔵クレーム'!D217</f>
        <v/>
      </c>
      <c r="Y226" s="1292" t="str">
        <f>'🔵クレーム'!I217</f>
        <v/>
      </c>
      <c r="Z226" s="1293" t="str">
        <f>'🔵クレーム'!J217</f>
        <v/>
      </c>
      <c r="AA226" s="1293" t="str">
        <f>'🔵クレーム'!K217</f>
        <v/>
      </c>
      <c r="AB226" s="1293" t="str">
        <f>'🔵クレーム'!L217</f>
        <v/>
      </c>
      <c r="AC226" s="1295" t="str">
        <f>'🔵クレーム'!N217</f>
        <v/>
      </c>
    </row>
    <row r="227" hidden="1" outlineLevel="1">
      <c r="B227" s="1352"/>
      <c r="C227" s="1270"/>
      <c r="D227" s="1270"/>
      <c r="E227" s="1347"/>
      <c r="F227" s="1347"/>
      <c r="G227" s="1348"/>
      <c r="H227" s="246"/>
      <c r="I227" s="246"/>
      <c r="J227" s="246"/>
      <c r="K227" s="246"/>
      <c r="L227" s="246"/>
      <c r="M227" s="1349"/>
      <c r="O227" s="1293"/>
      <c r="P227" s="1293"/>
      <c r="Q227" s="1293"/>
      <c r="R227" s="1293"/>
      <c r="S227" s="1293"/>
      <c r="T227" s="1293"/>
      <c r="U227" s="1293"/>
      <c r="W227" s="1293" t="str">
        <f>'🔵クレーム'!C218</f>
        <v/>
      </c>
      <c r="X227" s="1293" t="str">
        <f>'🔵クレーム'!D218</f>
        <v/>
      </c>
      <c r="Y227" s="1292" t="str">
        <f>'🔵クレーム'!I218</f>
        <v/>
      </c>
      <c r="Z227" s="1293" t="str">
        <f>'🔵クレーム'!J218</f>
        <v/>
      </c>
      <c r="AA227" s="1293" t="str">
        <f>'🔵クレーム'!K218</f>
        <v/>
      </c>
      <c r="AB227" s="1293" t="str">
        <f>'🔵クレーム'!L218</f>
        <v/>
      </c>
      <c r="AC227" s="1295" t="str">
        <f>'🔵クレーム'!N218</f>
        <v/>
      </c>
    </row>
    <row r="228" hidden="1" outlineLevel="1">
      <c r="B228" s="1352"/>
      <c r="C228" s="1270"/>
      <c r="D228" s="1270"/>
      <c r="E228" s="1347"/>
      <c r="F228" s="1347"/>
      <c r="G228" s="1348"/>
      <c r="H228" s="246"/>
      <c r="I228" s="246"/>
      <c r="J228" s="246"/>
      <c r="K228" s="246"/>
      <c r="L228" s="246"/>
      <c r="M228" s="1349"/>
      <c r="O228" s="1293"/>
      <c r="P228" s="1293"/>
      <c r="Q228" s="1293"/>
      <c r="R228" s="1293"/>
      <c r="S228" s="1293"/>
      <c r="T228" s="1293"/>
      <c r="U228" s="1293"/>
      <c r="W228" s="1293" t="str">
        <f>'🔵クレーム'!C219</f>
        <v/>
      </c>
      <c r="X228" s="1293" t="str">
        <f>'🔵クレーム'!D219</f>
        <v/>
      </c>
      <c r="Y228" s="1292" t="str">
        <f>'🔵クレーム'!I219</f>
        <v/>
      </c>
      <c r="Z228" s="1293" t="str">
        <f>'🔵クレーム'!J219</f>
        <v/>
      </c>
      <c r="AA228" s="1293" t="str">
        <f>'🔵クレーム'!K219</f>
        <v/>
      </c>
      <c r="AB228" s="1293" t="str">
        <f>'🔵クレーム'!L219</f>
        <v/>
      </c>
      <c r="AC228" s="1295" t="str">
        <f>'🔵クレーム'!N219</f>
        <v/>
      </c>
    </row>
    <row r="229" hidden="1" outlineLevel="1">
      <c r="B229" s="1352"/>
      <c r="C229" s="1270"/>
      <c r="D229" s="1270"/>
      <c r="E229" s="1347"/>
      <c r="F229" s="1347"/>
      <c r="G229" s="1348"/>
      <c r="H229" s="246"/>
      <c r="I229" s="246"/>
      <c r="J229" s="246"/>
      <c r="K229" s="246"/>
      <c r="L229" s="246"/>
      <c r="M229" s="1349"/>
      <c r="O229" s="1293"/>
      <c r="P229" s="1293"/>
      <c r="Q229" s="1293"/>
      <c r="R229" s="1293"/>
      <c r="S229" s="1293"/>
      <c r="T229" s="1293"/>
      <c r="U229" s="1293"/>
      <c r="W229" s="1293" t="str">
        <f>'🔵クレーム'!C220</f>
        <v/>
      </c>
      <c r="X229" s="1293" t="str">
        <f>'🔵クレーム'!D220</f>
        <v/>
      </c>
      <c r="Y229" s="1292" t="str">
        <f>'🔵クレーム'!I220</f>
        <v/>
      </c>
      <c r="Z229" s="1293" t="str">
        <f>'🔵クレーム'!J220</f>
        <v/>
      </c>
      <c r="AA229" s="1293" t="str">
        <f>'🔵クレーム'!K220</f>
        <v/>
      </c>
      <c r="AB229" s="1293" t="str">
        <f>'🔵クレーム'!L220</f>
        <v/>
      </c>
      <c r="AC229" s="1295" t="str">
        <f>'🔵クレーム'!N220</f>
        <v/>
      </c>
    </row>
    <row r="230" hidden="1" outlineLevel="1">
      <c r="B230" s="1352"/>
      <c r="C230" s="1270"/>
      <c r="D230" s="1270"/>
      <c r="E230" s="1347"/>
      <c r="F230" s="1347"/>
      <c r="G230" s="1348"/>
      <c r="H230" s="246"/>
      <c r="I230" s="246"/>
      <c r="J230" s="246"/>
      <c r="K230" s="246"/>
      <c r="L230" s="246"/>
      <c r="M230" s="1349"/>
      <c r="O230" s="1293"/>
      <c r="P230" s="1293"/>
      <c r="Q230" s="1293"/>
      <c r="R230" s="1293"/>
      <c r="S230" s="1293"/>
      <c r="T230" s="1293"/>
      <c r="U230" s="1293"/>
      <c r="W230" s="1293" t="str">
        <f>'🔵クレーム'!C221</f>
        <v/>
      </c>
      <c r="X230" s="1293" t="str">
        <f>'🔵クレーム'!D221</f>
        <v/>
      </c>
      <c r="Y230" s="1292" t="str">
        <f>'🔵クレーム'!I221</f>
        <v/>
      </c>
      <c r="Z230" s="1293" t="str">
        <f>'🔵クレーム'!J221</f>
        <v/>
      </c>
      <c r="AA230" s="1293" t="str">
        <f>'🔵クレーム'!K221</f>
        <v/>
      </c>
      <c r="AB230" s="1293" t="str">
        <f>'🔵クレーム'!L221</f>
        <v/>
      </c>
      <c r="AC230" s="1295" t="str">
        <f>'🔵クレーム'!N221</f>
        <v/>
      </c>
    </row>
    <row r="231" hidden="1" outlineLevel="1">
      <c r="B231" s="1352"/>
      <c r="C231" s="1270"/>
      <c r="D231" s="1270"/>
      <c r="E231" s="1347"/>
      <c r="F231" s="1347"/>
      <c r="G231" s="1348"/>
      <c r="H231" s="246"/>
      <c r="I231" s="246"/>
      <c r="J231" s="246"/>
      <c r="K231" s="246"/>
      <c r="L231" s="246"/>
      <c r="M231" s="1349"/>
      <c r="O231" s="1293"/>
      <c r="P231" s="1293"/>
      <c r="Q231" s="1293"/>
      <c r="R231" s="1293"/>
      <c r="S231" s="1293"/>
      <c r="T231" s="1293"/>
      <c r="U231" s="1293"/>
      <c r="W231" s="1293" t="str">
        <f>'🔵クレーム'!C222</f>
        <v/>
      </c>
      <c r="X231" s="1293" t="str">
        <f>'🔵クレーム'!D222</f>
        <v/>
      </c>
      <c r="Y231" s="1292" t="str">
        <f>'🔵クレーム'!I222</f>
        <v/>
      </c>
      <c r="Z231" s="1293" t="str">
        <f>'🔵クレーム'!J222</f>
        <v/>
      </c>
      <c r="AA231" s="1293" t="str">
        <f>'🔵クレーム'!K222</f>
        <v/>
      </c>
      <c r="AB231" s="1293" t="str">
        <f>'🔵クレーム'!L222</f>
        <v/>
      </c>
      <c r="AC231" s="1295" t="str">
        <f>'🔵クレーム'!N222</f>
        <v/>
      </c>
    </row>
    <row r="232" hidden="1" outlineLevel="1">
      <c r="B232" s="1352"/>
      <c r="C232" s="1270"/>
      <c r="D232" s="1270"/>
      <c r="E232" s="1347"/>
      <c r="F232" s="1347"/>
      <c r="G232" s="1348"/>
      <c r="H232" s="246"/>
      <c r="I232" s="246"/>
      <c r="J232" s="246"/>
      <c r="K232" s="246"/>
      <c r="L232" s="246"/>
      <c r="M232" s="1349"/>
      <c r="O232" s="1293"/>
      <c r="P232" s="1293"/>
      <c r="Q232" s="1293"/>
      <c r="R232" s="1293"/>
      <c r="S232" s="1293"/>
      <c r="T232" s="1293"/>
      <c r="U232" s="1293"/>
      <c r="W232" s="1293" t="str">
        <f>'🔵クレーム'!C223</f>
        <v/>
      </c>
      <c r="X232" s="1293" t="str">
        <f>'🔵クレーム'!D223</f>
        <v/>
      </c>
      <c r="Y232" s="1292" t="str">
        <f>'🔵クレーム'!I223</f>
        <v/>
      </c>
      <c r="Z232" s="1293" t="str">
        <f>'🔵クレーム'!J223</f>
        <v/>
      </c>
      <c r="AA232" s="1293" t="str">
        <f>'🔵クレーム'!K223</f>
        <v/>
      </c>
      <c r="AB232" s="1293" t="str">
        <f>'🔵クレーム'!L223</f>
        <v/>
      </c>
      <c r="AC232" s="1295" t="str">
        <f>'🔵クレーム'!N223</f>
        <v/>
      </c>
    </row>
    <row r="233" hidden="1" outlineLevel="1">
      <c r="B233" s="1352"/>
      <c r="C233" s="1270"/>
      <c r="D233" s="1270"/>
      <c r="E233" s="1347"/>
      <c r="F233" s="1347"/>
      <c r="G233" s="1348"/>
      <c r="H233" s="246"/>
      <c r="I233" s="246"/>
      <c r="J233" s="246"/>
      <c r="K233" s="246"/>
      <c r="L233" s="246"/>
      <c r="M233" s="1349"/>
      <c r="O233" s="1293"/>
      <c r="P233" s="1293"/>
      <c r="Q233" s="1293"/>
      <c r="R233" s="1293"/>
      <c r="S233" s="1293"/>
      <c r="T233" s="1293"/>
      <c r="U233" s="1293"/>
      <c r="W233" s="1293" t="str">
        <f>'🔵クレーム'!C224</f>
        <v/>
      </c>
      <c r="X233" s="1293" t="str">
        <f>'🔵クレーム'!D224</f>
        <v/>
      </c>
      <c r="Y233" s="1292" t="str">
        <f>'🔵クレーム'!I224</f>
        <v/>
      </c>
      <c r="Z233" s="1293" t="str">
        <f>'🔵クレーム'!J224</f>
        <v/>
      </c>
      <c r="AA233" s="1293" t="str">
        <f>'🔵クレーム'!K224</f>
        <v/>
      </c>
      <c r="AB233" s="1293" t="str">
        <f>'🔵クレーム'!L224</f>
        <v/>
      </c>
      <c r="AC233" s="1295" t="str">
        <f>'🔵クレーム'!N224</f>
        <v/>
      </c>
    </row>
    <row r="234" hidden="1" outlineLevel="1">
      <c r="B234" s="1352"/>
      <c r="C234" s="1270"/>
      <c r="D234" s="1270"/>
      <c r="E234" s="1347"/>
      <c r="F234" s="1347"/>
      <c r="G234" s="1348"/>
      <c r="H234" s="246"/>
      <c r="I234" s="246"/>
      <c r="J234" s="246"/>
      <c r="K234" s="246"/>
      <c r="L234" s="246"/>
      <c r="M234" s="1349"/>
      <c r="O234" s="1293"/>
      <c r="P234" s="1293"/>
      <c r="Q234" s="1293"/>
      <c r="R234" s="1293"/>
      <c r="S234" s="1293"/>
      <c r="T234" s="1293"/>
      <c r="U234" s="1293"/>
      <c r="W234" s="1293" t="str">
        <f>'🔵クレーム'!C225</f>
        <v/>
      </c>
      <c r="X234" s="1293" t="str">
        <f>'🔵クレーム'!D225</f>
        <v/>
      </c>
      <c r="Y234" s="1292" t="str">
        <f>'🔵クレーム'!I225</f>
        <v/>
      </c>
      <c r="Z234" s="1293" t="str">
        <f>'🔵クレーム'!J225</f>
        <v/>
      </c>
      <c r="AA234" s="1293" t="str">
        <f>'🔵クレーム'!K225</f>
        <v/>
      </c>
      <c r="AB234" s="1293" t="str">
        <f>'🔵クレーム'!L225</f>
        <v/>
      </c>
      <c r="AC234" s="1295" t="str">
        <f>'🔵クレーム'!N225</f>
        <v/>
      </c>
    </row>
    <row r="235" hidden="1" outlineLevel="1">
      <c r="B235" s="1352"/>
      <c r="C235" s="1270"/>
      <c r="D235" s="1270"/>
      <c r="E235" s="1347"/>
      <c r="F235" s="1347"/>
      <c r="G235" s="1348"/>
      <c r="H235" s="246"/>
      <c r="I235" s="246"/>
      <c r="J235" s="246"/>
      <c r="K235" s="246"/>
      <c r="L235" s="246"/>
      <c r="M235" s="1349"/>
      <c r="O235" s="1293"/>
      <c r="P235" s="1293"/>
      <c r="Q235" s="1293"/>
      <c r="R235" s="1293"/>
      <c r="S235" s="1293"/>
      <c r="T235" s="1293"/>
      <c r="U235" s="1293"/>
      <c r="W235" s="1293" t="str">
        <f>'🔵クレーム'!C226</f>
        <v/>
      </c>
      <c r="X235" s="1293" t="str">
        <f>'🔵クレーム'!D226</f>
        <v/>
      </c>
      <c r="Y235" s="1292" t="str">
        <f>'🔵クレーム'!I226</f>
        <v/>
      </c>
      <c r="Z235" s="1293" t="str">
        <f>'🔵クレーム'!J226</f>
        <v/>
      </c>
      <c r="AA235" s="1293" t="str">
        <f>'🔵クレーム'!K226</f>
        <v/>
      </c>
      <c r="AB235" s="1293" t="str">
        <f>'🔵クレーム'!L226</f>
        <v/>
      </c>
      <c r="AC235" s="1295" t="str">
        <f>'🔵クレーム'!N226</f>
        <v/>
      </c>
    </row>
    <row r="236" hidden="1" outlineLevel="1">
      <c r="B236" s="1352"/>
      <c r="C236" s="1270"/>
      <c r="D236" s="1270"/>
      <c r="E236" s="1347"/>
      <c r="F236" s="1347"/>
      <c r="G236" s="1348"/>
      <c r="H236" s="246"/>
      <c r="I236" s="246"/>
      <c r="J236" s="246"/>
      <c r="K236" s="246"/>
      <c r="L236" s="246"/>
      <c r="M236" s="1349"/>
      <c r="O236" s="1293"/>
      <c r="P236" s="1293"/>
      <c r="Q236" s="1293"/>
      <c r="R236" s="1293"/>
      <c r="S236" s="1293"/>
      <c r="T236" s="1293"/>
      <c r="U236" s="1293"/>
      <c r="W236" s="1293" t="str">
        <f>'🔵クレーム'!C227</f>
        <v/>
      </c>
      <c r="X236" s="1293" t="str">
        <f>'🔵クレーム'!D227</f>
        <v/>
      </c>
      <c r="Y236" s="1292" t="str">
        <f>'🔵クレーム'!I227</f>
        <v/>
      </c>
      <c r="Z236" s="1293" t="str">
        <f>'🔵クレーム'!J227</f>
        <v/>
      </c>
      <c r="AA236" s="1293" t="str">
        <f>'🔵クレーム'!K227</f>
        <v/>
      </c>
      <c r="AB236" s="1293" t="str">
        <f>'🔵クレーム'!L227</f>
        <v/>
      </c>
      <c r="AC236" s="1295" t="str">
        <f>'🔵クレーム'!N227</f>
        <v/>
      </c>
    </row>
    <row r="237" hidden="1" outlineLevel="1">
      <c r="B237" s="1352"/>
      <c r="C237" s="1270"/>
      <c r="D237" s="1270"/>
      <c r="E237" s="1347"/>
      <c r="F237" s="1347"/>
      <c r="G237" s="1348"/>
      <c r="H237" s="246"/>
      <c r="I237" s="246"/>
      <c r="J237" s="246"/>
      <c r="K237" s="246"/>
      <c r="L237" s="246"/>
      <c r="M237" s="1349"/>
      <c r="O237" s="1293"/>
      <c r="P237" s="1293"/>
      <c r="Q237" s="1293"/>
      <c r="R237" s="1293"/>
      <c r="S237" s="1293"/>
      <c r="T237" s="1293"/>
      <c r="U237" s="1293"/>
      <c r="W237" s="1293" t="str">
        <f>'🔵クレーム'!C228</f>
        <v/>
      </c>
      <c r="X237" s="1293" t="str">
        <f>'🔵クレーム'!D228</f>
        <v/>
      </c>
      <c r="Y237" s="1292" t="str">
        <f>'🔵クレーム'!I228</f>
        <v/>
      </c>
      <c r="Z237" s="1293" t="str">
        <f>'🔵クレーム'!J228</f>
        <v/>
      </c>
      <c r="AA237" s="1293" t="str">
        <f>'🔵クレーム'!K228</f>
        <v/>
      </c>
      <c r="AB237" s="1293" t="str">
        <f>'🔵クレーム'!L228</f>
        <v/>
      </c>
      <c r="AC237" s="1295" t="str">
        <f>'🔵クレーム'!N228</f>
        <v/>
      </c>
    </row>
    <row r="238" hidden="1" outlineLevel="1">
      <c r="B238" s="1352"/>
      <c r="C238" s="1270"/>
      <c r="D238" s="1270"/>
      <c r="E238" s="1347"/>
      <c r="F238" s="1347"/>
      <c r="G238" s="1348"/>
      <c r="H238" s="246"/>
      <c r="I238" s="246"/>
      <c r="J238" s="246"/>
      <c r="K238" s="246"/>
      <c r="L238" s="246"/>
      <c r="M238" s="1349"/>
      <c r="O238" s="1293"/>
      <c r="P238" s="1293"/>
      <c r="Q238" s="1293"/>
      <c r="R238" s="1293"/>
      <c r="S238" s="1293"/>
      <c r="T238" s="1293"/>
      <c r="U238" s="1293"/>
      <c r="W238" s="1293" t="str">
        <f>'🔵クレーム'!C229</f>
        <v/>
      </c>
      <c r="X238" s="1293" t="str">
        <f>'🔵クレーム'!D229</f>
        <v/>
      </c>
      <c r="Y238" s="1292" t="str">
        <f>'🔵クレーム'!I229</f>
        <v/>
      </c>
      <c r="Z238" s="1293" t="str">
        <f>'🔵クレーム'!J229</f>
        <v/>
      </c>
      <c r="AA238" s="1293" t="str">
        <f>'🔵クレーム'!K229</f>
        <v/>
      </c>
      <c r="AB238" s="1293" t="str">
        <f>'🔵クレーム'!L229</f>
        <v/>
      </c>
      <c r="AC238" s="1295" t="str">
        <f>'🔵クレーム'!N229</f>
        <v/>
      </c>
    </row>
    <row r="239" hidden="1" outlineLevel="1">
      <c r="B239" s="1352"/>
      <c r="C239" s="1270"/>
      <c r="D239" s="1270"/>
      <c r="E239" s="1347"/>
      <c r="F239" s="1347"/>
      <c r="G239" s="1348"/>
      <c r="H239" s="246"/>
      <c r="I239" s="246"/>
      <c r="J239" s="246"/>
      <c r="K239" s="246"/>
      <c r="L239" s="246"/>
      <c r="M239" s="1349"/>
      <c r="O239" s="1293"/>
      <c r="P239" s="1293"/>
      <c r="Q239" s="1293"/>
      <c r="R239" s="1293"/>
      <c r="S239" s="1293"/>
      <c r="T239" s="1293"/>
      <c r="U239" s="1293"/>
      <c r="W239" s="1293" t="str">
        <f>'🔵クレーム'!C230</f>
        <v/>
      </c>
      <c r="X239" s="1293" t="str">
        <f>'🔵クレーム'!D230</f>
        <v/>
      </c>
      <c r="Y239" s="1292" t="str">
        <f>'🔵クレーム'!I230</f>
        <v/>
      </c>
      <c r="Z239" s="1293" t="str">
        <f>'🔵クレーム'!J230</f>
        <v/>
      </c>
      <c r="AA239" s="1293" t="str">
        <f>'🔵クレーム'!K230</f>
        <v/>
      </c>
      <c r="AB239" s="1293" t="str">
        <f>'🔵クレーム'!L230</f>
        <v/>
      </c>
      <c r="AC239" s="1295" t="str">
        <f>'🔵クレーム'!N230</f>
        <v/>
      </c>
    </row>
    <row r="240" hidden="1" outlineLevel="1">
      <c r="B240" s="1352"/>
      <c r="C240" s="1270"/>
      <c r="D240" s="1270"/>
      <c r="E240" s="1347"/>
      <c r="F240" s="1347"/>
      <c r="G240" s="1348"/>
      <c r="H240" s="246"/>
      <c r="I240" s="246"/>
      <c r="J240" s="246"/>
      <c r="K240" s="246"/>
      <c r="L240" s="246"/>
      <c r="M240" s="1349"/>
      <c r="O240" s="1293"/>
      <c r="P240" s="1293"/>
      <c r="Q240" s="1293"/>
      <c r="R240" s="1293"/>
      <c r="S240" s="1293"/>
      <c r="T240" s="1293"/>
      <c r="U240" s="1293"/>
      <c r="W240" s="1293" t="str">
        <f>'🔵クレーム'!C231</f>
        <v/>
      </c>
      <c r="X240" s="1293" t="str">
        <f>'🔵クレーム'!D231</f>
        <v/>
      </c>
      <c r="Y240" s="1292" t="str">
        <f>'🔵クレーム'!I231</f>
        <v/>
      </c>
      <c r="Z240" s="1293" t="str">
        <f>'🔵クレーム'!J231</f>
        <v/>
      </c>
      <c r="AA240" s="1293" t="str">
        <f>'🔵クレーム'!K231</f>
        <v/>
      </c>
      <c r="AB240" s="1293" t="str">
        <f>'🔵クレーム'!L231</f>
        <v/>
      </c>
      <c r="AC240" s="1295" t="str">
        <f>'🔵クレーム'!N231</f>
        <v/>
      </c>
    </row>
    <row r="241" hidden="1" outlineLevel="1">
      <c r="B241" s="1352"/>
      <c r="C241" s="1270"/>
      <c r="D241" s="1270"/>
      <c r="E241" s="1347"/>
      <c r="F241" s="1347"/>
      <c r="G241" s="1348"/>
      <c r="H241" s="246"/>
      <c r="I241" s="246"/>
      <c r="J241" s="246"/>
      <c r="K241" s="246"/>
      <c r="L241" s="246"/>
      <c r="M241" s="1349"/>
      <c r="O241" s="1293"/>
      <c r="P241" s="1293"/>
      <c r="Q241" s="1293"/>
      <c r="R241" s="1293"/>
      <c r="S241" s="1293"/>
      <c r="T241" s="1293"/>
      <c r="U241" s="1293"/>
      <c r="W241" s="1293" t="str">
        <f>'🔵クレーム'!C232</f>
        <v/>
      </c>
      <c r="X241" s="1293" t="str">
        <f>'🔵クレーム'!D232</f>
        <v/>
      </c>
      <c r="Y241" s="1292" t="str">
        <f>'🔵クレーム'!I232</f>
        <v/>
      </c>
      <c r="Z241" s="1293" t="str">
        <f>'🔵クレーム'!J232</f>
        <v/>
      </c>
      <c r="AA241" s="1293" t="str">
        <f>'🔵クレーム'!K232</f>
        <v/>
      </c>
      <c r="AB241" s="1293" t="str">
        <f>'🔵クレーム'!L232</f>
        <v/>
      </c>
      <c r="AC241" s="1295" t="str">
        <f>'🔵クレーム'!N232</f>
        <v/>
      </c>
    </row>
    <row r="242" hidden="1" outlineLevel="1">
      <c r="B242" s="1352"/>
      <c r="C242" s="1270"/>
      <c r="D242" s="1270"/>
      <c r="E242" s="1347"/>
      <c r="F242" s="1347"/>
      <c r="G242" s="1348"/>
      <c r="H242" s="246"/>
      <c r="I242" s="246"/>
      <c r="J242" s="246"/>
      <c r="K242" s="246"/>
      <c r="L242" s="246"/>
      <c r="M242" s="1349"/>
      <c r="O242" s="1293"/>
      <c r="P242" s="1293"/>
      <c r="Q242" s="1293"/>
      <c r="R242" s="1293"/>
      <c r="S242" s="1293"/>
      <c r="T242" s="1293"/>
      <c r="U242" s="1293"/>
      <c r="W242" s="1293" t="str">
        <f>'🔵クレーム'!C233</f>
        <v/>
      </c>
      <c r="X242" s="1293" t="str">
        <f>'🔵クレーム'!D233</f>
        <v/>
      </c>
      <c r="Y242" s="1292" t="str">
        <f>'🔵クレーム'!I233</f>
        <v/>
      </c>
      <c r="Z242" s="1293" t="str">
        <f>'🔵クレーム'!J233</f>
        <v/>
      </c>
      <c r="AA242" s="1293" t="str">
        <f>'🔵クレーム'!K233</f>
        <v/>
      </c>
      <c r="AB242" s="1293" t="str">
        <f>'🔵クレーム'!L233</f>
        <v/>
      </c>
      <c r="AC242" s="1295" t="str">
        <f>'🔵クレーム'!N233</f>
        <v/>
      </c>
    </row>
    <row r="243" hidden="1" outlineLevel="1">
      <c r="B243" s="1352"/>
      <c r="C243" s="1270"/>
      <c r="D243" s="1270"/>
      <c r="E243" s="1347"/>
      <c r="F243" s="1347"/>
      <c r="G243" s="1348"/>
      <c r="H243" s="246"/>
      <c r="I243" s="246"/>
      <c r="J243" s="246"/>
      <c r="K243" s="246"/>
      <c r="L243" s="246"/>
      <c r="M243" s="1349"/>
      <c r="O243" s="1293"/>
      <c r="P243" s="1293"/>
      <c r="Q243" s="1293"/>
      <c r="R243" s="1293"/>
      <c r="S243" s="1293"/>
      <c r="T243" s="1293"/>
      <c r="U243" s="1293"/>
      <c r="W243" s="1293" t="str">
        <f>'🔵クレーム'!C234</f>
        <v/>
      </c>
      <c r="X243" s="1293" t="str">
        <f>'🔵クレーム'!D234</f>
        <v/>
      </c>
      <c r="Y243" s="1292" t="str">
        <f>'🔵クレーム'!I234</f>
        <v/>
      </c>
      <c r="Z243" s="1293" t="str">
        <f>'🔵クレーム'!J234</f>
        <v/>
      </c>
      <c r="AA243" s="1293" t="str">
        <f>'🔵クレーム'!K234</f>
        <v/>
      </c>
      <c r="AB243" s="1293" t="str">
        <f>'🔵クレーム'!L234</f>
        <v/>
      </c>
      <c r="AC243" s="1295" t="str">
        <f>'🔵クレーム'!N234</f>
        <v/>
      </c>
    </row>
    <row r="244" hidden="1" outlineLevel="1">
      <c r="B244" s="1352"/>
      <c r="C244" s="1270"/>
      <c r="D244" s="1270"/>
      <c r="E244" s="1347"/>
      <c r="F244" s="1347"/>
      <c r="G244" s="1348"/>
      <c r="H244" s="246"/>
      <c r="I244" s="246"/>
      <c r="J244" s="246"/>
      <c r="K244" s="246"/>
      <c r="L244" s="246"/>
      <c r="M244" s="1349"/>
      <c r="O244" s="1293"/>
      <c r="P244" s="1293"/>
      <c r="Q244" s="1293"/>
      <c r="R244" s="1293"/>
      <c r="S244" s="1293"/>
      <c r="T244" s="1293"/>
      <c r="U244" s="1293"/>
      <c r="W244" s="1293" t="str">
        <f>'🔵クレーム'!C235</f>
        <v/>
      </c>
      <c r="X244" s="1293" t="str">
        <f>'🔵クレーム'!D235</f>
        <v/>
      </c>
      <c r="Y244" s="1292" t="str">
        <f>'🔵クレーム'!I235</f>
        <v/>
      </c>
      <c r="Z244" s="1293" t="str">
        <f>'🔵クレーム'!J235</f>
        <v/>
      </c>
      <c r="AA244" s="1293" t="str">
        <f>'🔵クレーム'!K235</f>
        <v/>
      </c>
      <c r="AB244" s="1293" t="str">
        <f>'🔵クレーム'!L235</f>
        <v/>
      </c>
      <c r="AC244" s="1295" t="str">
        <f>'🔵クレーム'!N235</f>
        <v/>
      </c>
    </row>
    <row r="245" hidden="1" outlineLevel="1">
      <c r="B245" s="1352"/>
      <c r="C245" s="1270"/>
      <c r="D245" s="1270"/>
      <c r="E245" s="1347"/>
      <c r="F245" s="1347"/>
      <c r="G245" s="1348"/>
      <c r="H245" s="246"/>
      <c r="I245" s="246"/>
      <c r="J245" s="246"/>
      <c r="K245" s="246"/>
      <c r="L245" s="246"/>
      <c r="M245" s="1349"/>
      <c r="O245" s="1293"/>
      <c r="P245" s="1293"/>
      <c r="Q245" s="1293"/>
      <c r="R245" s="1293"/>
      <c r="S245" s="1293"/>
      <c r="T245" s="1293"/>
      <c r="U245" s="1293"/>
      <c r="W245" s="1293" t="str">
        <f>'🔵クレーム'!C236</f>
        <v/>
      </c>
      <c r="X245" s="1293" t="str">
        <f>'🔵クレーム'!D236</f>
        <v/>
      </c>
      <c r="Y245" s="1292" t="str">
        <f>'🔵クレーム'!I236</f>
        <v/>
      </c>
      <c r="Z245" s="1293" t="str">
        <f>'🔵クレーム'!J236</f>
        <v/>
      </c>
      <c r="AA245" s="1293" t="str">
        <f>'🔵クレーム'!K236</f>
        <v/>
      </c>
      <c r="AB245" s="1293" t="str">
        <f>'🔵クレーム'!L236</f>
        <v/>
      </c>
      <c r="AC245" s="1295" t="str">
        <f>'🔵クレーム'!N236</f>
        <v/>
      </c>
    </row>
    <row r="246" hidden="1" outlineLevel="1">
      <c r="B246" s="1352"/>
      <c r="C246" s="1270"/>
      <c r="D246" s="1270"/>
      <c r="E246" s="1347"/>
      <c r="F246" s="1347"/>
      <c r="G246" s="1348"/>
      <c r="H246" s="246"/>
      <c r="I246" s="246"/>
      <c r="J246" s="246"/>
      <c r="K246" s="246"/>
      <c r="L246" s="246"/>
      <c r="M246" s="1349"/>
      <c r="O246" s="1293"/>
      <c r="P246" s="1293"/>
      <c r="Q246" s="1293"/>
      <c r="R246" s="1293"/>
      <c r="S246" s="1293"/>
      <c r="T246" s="1293"/>
      <c r="U246" s="1293"/>
      <c r="W246" s="1293" t="str">
        <f>'🔵クレーム'!C237</f>
        <v/>
      </c>
      <c r="X246" s="1293" t="str">
        <f>'🔵クレーム'!D237</f>
        <v/>
      </c>
      <c r="Y246" s="1292" t="str">
        <f>'🔵クレーム'!I237</f>
        <v/>
      </c>
      <c r="Z246" s="1293" t="str">
        <f>'🔵クレーム'!J237</f>
        <v/>
      </c>
      <c r="AA246" s="1293" t="str">
        <f>'🔵クレーム'!K237</f>
        <v/>
      </c>
      <c r="AB246" s="1293" t="str">
        <f>'🔵クレーム'!L237</f>
        <v/>
      </c>
      <c r="AC246" s="1295" t="str">
        <f>'🔵クレーム'!N237</f>
        <v/>
      </c>
    </row>
    <row r="247" hidden="1" outlineLevel="1">
      <c r="B247" s="1352"/>
      <c r="C247" s="1270"/>
      <c r="D247" s="1270"/>
      <c r="E247" s="1347"/>
      <c r="F247" s="1347"/>
      <c r="G247" s="1348"/>
      <c r="H247" s="246"/>
      <c r="I247" s="246"/>
      <c r="J247" s="246"/>
      <c r="K247" s="246"/>
      <c r="L247" s="246"/>
      <c r="M247" s="1349"/>
      <c r="O247" s="1293"/>
      <c r="P247" s="1293"/>
      <c r="Q247" s="1293"/>
      <c r="R247" s="1293"/>
      <c r="S247" s="1293"/>
      <c r="T247" s="1293"/>
      <c r="U247" s="1293"/>
      <c r="W247" s="1293" t="str">
        <f>'🔵クレーム'!C238</f>
        <v/>
      </c>
      <c r="X247" s="1293" t="str">
        <f>'🔵クレーム'!D238</f>
        <v/>
      </c>
      <c r="Y247" s="1292" t="str">
        <f>'🔵クレーム'!I238</f>
        <v/>
      </c>
      <c r="Z247" s="1293" t="str">
        <f>'🔵クレーム'!J238</f>
        <v/>
      </c>
      <c r="AA247" s="1293" t="str">
        <f>'🔵クレーム'!K238</f>
        <v/>
      </c>
      <c r="AB247" s="1293" t="str">
        <f>'🔵クレーム'!L238</f>
        <v/>
      </c>
      <c r="AC247" s="1295" t="str">
        <f>'🔵クレーム'!N238</f>
        <v/>
      </c>
    </row>
    <row r="248" hidden="1" outlineLevel="1">
      <c r="B248" s="1352"/>
      <c r="C248" s="1270"/>
      <c r="D248" s="1270"/>
      <c r="E248" s="1347"/>
      <c r="F248" s="1347"/>
      <c r="G248" s="1348"/>
      <c r="H248" s="246"/>
      <c r="I248" s="246"/>
      <c r="J248" s="246"/>
      <c r="K248" s="246"/>
      <c r="L248" s="246"/>
      <c r="M248" s="1349"/>
      <c r="O248" s="1293"/>
      <c r="P248" s="1293"/>
      <c r="Q248" s="1293"/>
      <c r="R248" s="1293"/>
      <c r="S248" s="1293"/>
      <c r="T248" s="1293"/>
      <c r="U248" s="1293"/>
      <c r="W248" s="1293" t="str">
        <f>'🔵クレーム'!C239</f>
        <v/>
      </c>
      <c r="X248" s="1293" t="str">
        <f>'🔵クレーム'!D239</f>
        <v/>
      </c>
      <c r="Y248" s="1292" t="str">
        <f>'🔵クレーム'!I239</f>
        <v/>
      </c>
      <c r="Z248" s="1293" t="str">
        <f>'🔵クレーム'!J239</f>
        <v/>
      </c>
      <c r="AA248" s="1293" t="str">
        <f>'🔵クレーム'!K239</f>
        <v/>
      </c>
      <c r="AB248" s="1293" t="str">
        <f>'🔵クレーム'!L239</f>
        <v/>
      </c>
      <c r="AC248" s="1295" t="str">
        <f>'🔵クレーム'!N239</f>
        <v/>
      </c>
    </row>
    <row r="249" hidden="1" outlineLevel="1">
      <c r="B249" s="1352"/>
      <c r="C249" s="1270"/>
      <c r="D249" s="1270"/>
      <c r="E249" s="1347"/>
      <c r="F249" s="1347"/>
      <c r="G249" s="1348"/>
      <c r="H249" s="246"/>
      <c r="I249" s="246"/>
      <c r="J249" s="246"/>
      <c r="K249" s="246"/>
      <c r="L249" s="246"/>
      <c r="M249" s="1349"/>
      <c r="O249" s="1293"/>
      <c r="P249" s="1293"/>
      <c r="Q249" s="1293"/>
      <c r="R249" s="1293"/>
      <c r="S249" s="1293"/>
      <c r="T249" s="1293"/>
      <c r="U249" s="1293"/>
      <c r="W249" s="1293" t="str">
        <f>'🔵クレーム'!C240</f>
        <v/>
      </c>
      <c r="X249" s="1293" t="str">
        <f>'🔵クレーム'!D240</f>
        <v/>
      </c>
      <c r="Y249" s="1292" t="str">
        <f>'🔵クレーム'!I240</f>
        <v/>
      </c>
      <c r="Z249" s="1293" t="str">
        <f>'🔵クレーム'!J240</f>
        <v/>
      </c>
      <c r="AA249" s="1293" t="str">
        <f>'🔵クレーム'!K240</f>
        <v/>
      </c>
      <c r="AB249" s="1293" t="str">
        <f>'🔵クレーム'!L240</f>
        <v/>
      </c>
      <c r="AC249" s="1295" t="str">
        <f>'🔵クレーム'!N240</f>
        <v/>
      </c>
    </row>
    <row r="250" hidden="1" outlineLevel="1">
      <c r="B250" s="1352"/>
      <c r="C250" s="1270"/>
      <c r="D250" s="1270"/>
      <c r="E250" s="1347"/>
      <c r="F250" s="1347"/>
      <c r="G250" s="1348"/>
      <c r="H250" s="246"/>
      <c r="I250" s="246"/>
      <c r="J250" s="246"/>
      <c r="K250" s="246"/>
      <c r="L250" s="246"/>
      <c r="M250" s="1349"/>
      <c r="O250" s="1293"/>
      <c r="P250" s="1293"/>
      <c r="Q250" s="1293"/>
      <c r="R250" s="1293"/>
      <c r="S250" s="1293"/>
      <c r="T250" s="1293"/>
      <c r="U250" s="1293"/>
      <c r="W250" s="1293" t="str">
        <f>'🔵クレーム'!C241</f>
        <v/>
      </c>
      <c r="X250" s="1293" t="str">
        <f>'🔵クレーム'!D241</f>
        <v/>
      </c>
      <c r="Y250" s="1292" t="str">
        <f>'🔵クレーム'!I241</f>
        <v/>
      </c>
      <c r="Z250" s="1293" t="str">
        <f>'🔵クレーム'!J241</f>
        <v/>
      </c>
      <c r="AA250" s="1293" t="str">
        <f>'🔵クレーム'!K241</f>
        <v/>
      </c>
      <c r="AB250" s="1293" t="str">
        <f>'🔵クレーム'!L241</f>
        <v/>
      </c>
      <c r="AC250" s="1295" t="str">
        <f>'🔵クレーム'!N241</f>
        <v/>
      </c>
    </row>
    <row r="251" hidden="1" outlineLevel="1">
      <c r="B251" s="1352"/>
      <c r="C251" s="1270"/>
      <c r="D251" s="1270"/>
      <c r="E251" s="1347"/>
      <c r="F251" s="1347"/>
      <c r="G251" s="1348"/>
      <c r="H251" s="246"/>
      <c r="I251" s="246"/>
      <c r="J251" s="246"/>
      <c r="K251" s="246"/>
      <c r="L251" s="246"/>
      <c r="M251" s="1349"/>
      <c r="O251" s="1293"/>
      <c r="P251" s="1293"/>
      <c r="Q251" s="1293"/>
      <c r="R251" s="1293"/>
      <c r="S251" s="1293"/>
      <c r="T251" s="1293"/>
      <c r="U251" s="1293"/>
      <c r="W251" s="1293" t="str">
        <f>'🔵クレーム'!C242</f>
        <v/>
      </c>
      <c r="X251" s="1293" t="str">
        <f>'🔵クレーム'!D242</f>
        <v/>
      </c>
      <c r="Y251" s="1292" t="str">
        <f>'🔵クレーム'!I242</f>
        <v/>
      </c>
      <c r="Z251" s="1293" t="str">
        <f>'🔵クレーム'!J242</f>
        <v/>
      </c>
      <c r="AA251" s="1293" t="str">
        <f>'🔵クレーム'!K242</f>
        <v/>
      </c>
      <c r="AB251" s="1293" t="str">
        <f>'🔵クレーム'!L242</f>
        <v/>
      </c>
      <c r="AC251" s="1295" t="str">
        <f>'🔵クレーム'!N242</f>
        <v/>
      </c>
    </row>
    <row r="252" hidden="1" outlineLevel="1">
      <c r="B252" s="1352"/>
      <c r="C252" s="1270"/>
      <c r="D252" s="1270"/>
      <c r="E252" s="1347"/>
      <c r="F252" s="1347"/>
      <c r="G252" s="1348"/>
      <c r="H252" s="246"/>
      <c r="I252" s="246"/>
      <c r="J252" s="246"/>
      <c r="K252" s="246"/>
      <c r="L252" s="246"/>
      <c r="M252" s="1349"/>
      <c r="O252" s="1293"/>
      <c r="P252" s="1293"/>
      <c r="Q252" s="1293"/>
      <c r="R252" s="1293"/>
      <c r="S252" s="1293"/>
      <c r="T252" s="1293"/>
      <c r="U252" s="1293"/>
      <c r="W252" s="1293" t="str">
        <f>'🔵クレーム'!C243</f>
        <v/>
      </c>
      <c r="X252" s="1293" t="str">
        <f>'🔵クレーム'!D243</f>
        <v/>
      </c>
      <c r="Y252" s="1292" t="str">
        <f>'🔵クレーム'!I243</f>
        <v/>
      </c>
      <c r="Z252" s="1293" t="str">
        <f>'🔵クレーム'!J243</f>
        <v/>
      </c>
      <c r="AA252" s="1293" t="str">
        <f>'🔵クレーム'!K243</f>
        <v/>
      </c>
      <c r="AB252" s="1293" t="str">
        <f>'🔵クレーム'!L243</f>
        <v/>
      </c>
      <c r="AC252" s="1295" t="str">
        <f>'🔵クレーム'!N243</f>
        <v/>
      </c>
    </row>
    <row r="253" hidden="1" outlineLevel="1">
      <c r="B253" s="1352"/>
      <c r="C253" s="1270"/>
      <c r="D253" s="1270"/>
      <c r="E253" s="1347"/>
      <c r="F253" s="1347"/>
      <c r="G253" s="1348"/>
      <c r="H253" s="246"/>
      <c r="I253" s="246"/>
      <c r="J253" s="246"/>
      <c r="K253" s="246"/>
      <c r="L253" s="246"/>
      <c r="M253" s="1349"/>
      <c r="O253" s="1293"/>
      <c r="P253" s="1293"/>
      <c r="Q253" s="1293"/>
      <c r="R253" s="1293"/>
      <c r="S253" s="1293"/>
      <c r="T253" s="1293"/>
      <c r="U253" s="1293"/>
      <c r="W253" s="1293" t="str">
        <f>'🔵クレーム'!C244</f>
        <v/>
      </c>
      <c r="X253" s="1293" t="str">
        <f>'🔵クレーム'!D244</f>
        <v/>
      </c>
      <c r="Y253" s="1292" t="str">
        <f>'🔵クレーム'!I244</f>
        <v/>
      </c>
      <c r="Z253" s="1293" t="str">
        <f>'🔵クレーム'!J244</f>
        <v/>
      </c>
      <c r="AA253" s="1293" t="str">
        <f>'🔵クレーム'!K244</f>
        <v/>
      </c>
      <c r="AB253" s="1293" t="str">
        <f>'🔵クレーム'!L244</f>
        <v/>
      </c>
      <c r="AC253" s="1295" t="str">
        <f>'🔵クレーム'!N244</f>
        <v/>
      </c>
    </row>
    <row r="254" hidden="1" outlineLevel="1">
      <c r="B254" s="1352"/>
      <c r="C254" s="1270"/>
      <c r="D254" s="1270"/>
      <c r="E254" s="1347"/>
      <c r="F254" s="1347"/>
      <c r="G254" s="1348"/>
      <c r="H254" s="246"/>
      <c r="I254" s="246"/>
      <c r="J254" s="246"/>
      <c r="K254" s="246"/>
      <c r="L254" s="246"/>
      <c r="M254" s="1349"/>
      <c r="O254" s="1293"/>
      <c r="P254" s="1293"/>
      <c r="Q254" s="1293"/>
      <c r="R254" s="1293"/>
      <c r="S254" s="1293"/>
      <c r="T254" s="1293"/>
      <c r="U254" s="1293"/>
      <c r="W254" s="1293" t="str">
        <f>'🔵クレーム'!C245</f>
        <v/>
      </c>
      <c r="X254" s="1293" t="str">
        <f>'🔵クレーム'!D245</f>
        <v/>
      </c>
      <c r="Y254" s="1292" t="str">
        <f>'🔵クレーム'!I245</f>
        <v/>
      </c>
      <c r="Z254" s="1293" t="str">
        <f>'🔵クレーム'!J245</f>
        <v/>
      </c>
      <c r="AA254" s="1293" t="str">
        <f>'🔵クレーム'!K245</f>
        <v/>
      </c>
      <c r="AB254" s="1293" t="str">
        <f>'🔵クレーム'!L245</f>
        <v/>
      </c>
      <c r="AC254" s="1295" t="str">
        <f>'🔵クレーム'!N245</f>
        <v/>
      </c>
    </row>
    <row r="255" hidden="1" outlineLevel="1">
      <c r="B255" s="1352"/>
      <c r="C255" s="1270"/>
      <c r="D255" s="1270"/>
      <c r="E255" s="1347"/>
      <c r="F255" s="1347"/>
      <c r="G255" s="1348"/>
      <c r="H255" s="246"/>
      <c r="I255" s="246"/>
      <c r="J255" s="246"/>
      <c r="K255" s="246"/>
      <c r="L255" s="246"/>
      <c r="M255" s="1349"/>
      <c r="O255" s="1293"/>
      <c r="P255" s="1293"/>
      <c r="Q255" s="1293"/>
      <c r="R255" s="1293"/>
      <c r="S255" s="1293"/>
      <c r="T255" s="1293"/>
      <c r="U255" s="1293"/>
      <c r="W255" s="1293" t="str">
        <f>'🔵クレーム'!C246</f>
        <v/>
      </c>
      <c r="X255" s="1293" t="str">
        <f>'🔵クレーム'!D246</f>
        <v/>
      </c>
      <c r="Y255" s="1292" t="str">
        <f>'🔵クレーム'!I246</f>
        <v/>
      </c>
      <c r="Z255" s="1293" t="str">
        <f>'🔵クレーム'!J246</f>
        <v/>
      </c>
      <c r="AA255" s="1293" t="str">
        <f>'🔵クレーム'!K246</f>
        <v/>
      </c>
      <c r="AB255" s="1293" t="str">
        <f>'🔵クレーム'!L246</f>
        <v/>
      </c>
      <c r="AC255" s="1295" t="str">
        <f>'🔵クレーム'!N246</f>
        <v/>
      </c>
    </row>
    <row r="256" hidden="1" outlineLevel="1">
      <c r="B256" s="1352"/>
      <c r="C256" s="1270"/>
      <c r="D256" s="1270"/>
      <c r="E256" s="1347"/>
      <c r="F256" s="1347"/>
      <c r="G256" s="1348"/>
      <c r="H256" s="246"/>
      <c r="I256" s="246"/>
      <c r="J256" s="246"/>
      <c r="K256" s="246"/>
      <c r="L256" s="246"/>
      <c r="M256" s="1349"/>
      <c r="O256" s="1293"/>
      <c r="P256" s="1293"/>
      <c r="Q256" s="1293"/>
      <c r="R256" s="1293"/>
      <c r="S256" s="1293"/>
      <c r="T256" s="1293"/>
      <c r="U256" s="1293"/>
      <c r="W256" s="1293" t="str">
        <f>'🔵クレーム'!C247</f>
        <v/>
      </c>
      <c r="X256" s="1293" t="str">
        <f>'🔵クレーム'!D247</f>
        <v/>
      </c>
      <c r="Y256" s="1292" t="str">
        <f>'🔵クレーム'!I247</f>
        <v/>
      </c>
      <c r="Z256" s="1293" t="str">
        <f>'🔵クレーム'!J247</f>
        <v/>
      </c>
      <c r="AA256" s="1293" t="str">
        <f>'🔵クレーム'!K247</f>
        <v/>
      </c>
      <c r="AB256" s="1293" t="str">
        <f>'🔵クレーム'!L247</f>
        <v/>
      </c>
      <c r="AC256" s="1295" t="str">
        <f>'🔵クレーム'!N247</f>
        <v/>
      </c>
    </row>
    <row r="257" hidden="1" outlineLevel="1">
      <c r="B257" s="1352"/>
      <c r="C257" s="1270"/>
      <c r="D257" s="1270"/>
      <c r="E257" s="1347"/>
      <c r="F257" s="1347"/>
      <c r="G257" s="1348"/>
      <c r="H257" s="246"/>
      <c r="I257" s="246"/>
      <c r="J257" s="246"/>
      <c r="K257" s="246"/>
      <c r="L257" s="246"/>
      <c r="M257" s="1349"/>
      <c r="O257" s="1293"/>
      <c r="P257" s="1293"/>
      <c r="Q257" s="1293"/>
      <c r="R257" s="1293"/>
      <c r="S257" s="1293"/>
      <c r="T257" s="1293"/>
      <c r="U257" s="1293"/>
      <c r="W257" s="1293" t="str">
        <f>'🔵クレーム'!C248</f>
        <v/>
      </c>
      <c r="X257" s="1293" t="str">
        <f>'🔵クレーム'!D248</f>
        <v/>
      </c>
      <c r="Y257" s="1292" t="str">
        <f>'🔵クレーム'!I248</f>
        <v/>
      </c>
      <c r="Z257" s="1293" t="str">
        <f>'🔵クレーム'!J248</f>
        <v/>
      </c>
      <c r="AA257" s="1293" t="str">
        <f>'🔵クレーム'!K248</f>
        <v/>
      </c>
      <c r="AB257" s="1293" t="str">
        <f>'🔵クレーム'!L248</f>
        <v/>
      </c>
      <c r="AC257" s="1295" t="str">
        <f>'🔵クレーム'!N248</f>
        <v/>
      </c>
    </row>
    <row r="258" hidden="1" outlineLevel="1">
      <c r="B258" s="1352"/>
      <c r="C258" s="1270"/>
      <c r="D258" s="1270"/>
      <c r="E258" s="1347"/>
      <c r="F258" s="1347"/>
      <c r="G258" s="1348"/>
      <c r="H258" s="246"/>
      <c r="I258" s="246"/>
      <c r="J258" s="246"/>
      <c r="K258" s="246"/>
      <c r="L258" s="246"/>
      <c r="M258" s="1349"/>
      <c r="O258" s="1293"/>
      <c r="P258" s="1293"/>
      <c r="Q258" s="1293"/>
      <c r="R258" s="1293"/>
      <c r="S258" s="1293"/>
      <c r="T258" s="1293"/>
      <c r="U258" s="1293"/>
      <c r="W258" s="1293" t="str">
        <f>'🔵クレーム'!C249</f>
        <v/>
      </c>
      <c r="X258" s="1293" t="str">
        <f>'🔵クレーム'!D249</f>
        <v/>
      </c>
      <c r="Y258" s="1292" t="str">
        <f>'🔵クレーム'!I249</f>
        <v/>
      </c>
      <c r="Z258" s="1293" t="str">
        <f>'🔵クレーム'!J249</f>
        <v/>
      </c>
      <c r="AA258" s="1293" t="str">
        <f>'🔵クレーム'!K249</f>
        <v/>
      </c>
      <c r="AB258" s="1293" t="str">
        <f>'🔵クレーム'!L249</f>
        <v/>
      </c>
      <c r="AC258" s="1295" t="str">
        <f>'🔵クレーム'!N249</f>
        <v/>
      </c>
    </row>
    <row r="259" hidden="1" outlineLevel="1">
      <c r="B259" s="1352"/>
      <c r="C259" s="1270"/>
      <c r="D259" s="1270"/>
      <c r="E259" s="1347"/>
      <c r="F259" s="1347"/>
      <c r="G259" s="1348"/>
      <c r="H259" s="246"/>
      <c r="I259" s="246"/>
      <c r="J259" s="246"/>
      <c r="K259" s="246"/>
      <c r="L259" s="246"/>
      <c r="M259" s="1349"/>
      <c r="O259" s="1293"/>
      <c r="P259" s="1293"/>
      <c r="Q259" s="1293"/>
      <c r="R259" s="1293"/>
      <c r="S259" s="1293"/>
      <c r="T259" s="1293"/>
      <c r="U259" s="1293"/>
      <c r="W259" s="1293" t="str">
        <f>'🔵クレーム'!C250</f>
        <v/>
      </c>
      <c r="X259" s="1293" t="str">
        <f>'🔵クレーム'!D250</f>
        <v/>
      </c>
      <c r="Y259" s="1292" t="str">
        <f>'🔵クレーム'!I250</f>
        <v/>
      </c>
      <c r="Z259" s="1293" t="str">
        <f>'🔵クレーム'!J250</f>
        <v/>
      </c>
      <c r="AA259" s="1293" t="str">
        <f>'🔵クレーム'!K250</f>
        <v/>
      </c>
      <c r="AB259" s="1293" t="str">
        <f>'🔵クレーム'!L250</f>
        <v/>
      </c>
      <c r="AC259" s="1295" t="str">
        <f>'🔵クレーム'!N250</f>
        <v/>
      </c>
    </row>
    <row r="260" hidden="1" outlineLevel="1">
      <c r="B260" s="1352"/>
      <c r="C260" s="1270"/>
      <c r="D260" s="1270"/>
      <c r="E260" s="1347"/>
      <c r="F260" s="1347"/>
      <c r="G260" s="1348"/>
      <c r="H260" s="246"/>
      <c r="I260" s="246"/>
      <c r="J260" s="246"/>
      <c r="K260" s="246"/>
      <c r="L260" s="246"/>
      <c r="M260" s="1349"/>
      <c r="O260" s="1293"/>
      <c r="P260" s="1293"/>
      <c r="Q260" s="1293"/>
      <c r="R260" s="1293"/>
      <c r="S260" s="1293"/>
      <c r="T260" s="1293"/>
      <c r="U260" s="1293"/>
      <c r="W260" s="1293" t="str">
        <f>'🔵クレーム'!C251</f>
        <v/>
      </c>
      <c r="X260" s="1293" t="str">
        <f>'🔵クレーム'!D251</f>
        <v/>
      </c>
      <c r="Y260" s="1292" t="str">
        <f>'🔵クレーム'!I251</f>
        <v/>
      </c>
      <c r="Z260" s="1293" t="str">
        <f>'🔵クレーム'!J251</f>
        <v/>
      </c>
      <c r="AA260" s="1293" t="str">
        <f>'🔵クレーム'!K251</f>
        <v/>
      </c>
      <c r="AB260" s="1293" t="str">
        <f>'🔵クレーム'!L251</f>
        <v/>
      </c>
      <c r="AC260" s="1295" t="str">
        <f>'🔵クレーム'!N251</f>
        <v/>
      </c>
    </row>
    <row r="261" hidden="1" outlineLevel="1">
      <c r="B261" s="1352"/>
      <c r="C261" s="1270"/>
      <c r="D261" s="1270"/>
      <c r="E261" s="1347"/>
      <c r="F261" s="1347"/>
      <c r="G261" s="1348"/>
      <c r="H261" s="246"/>
      <c r="I261" s="246"/>
      <c r="J261" s="246"/>
      <c r="K261" s="246"/>
      <c r="L261" s="246"/>
      <c r="M261" s="1349"/>
      <c r="O261" s="1293"/>
      <c r="P261" s="1293"/>
      <c r="Q261" s="1293"/>
      <c r="R261" s="1293"/>
      <c r="S261" s="1293"/>
      <c r="T261" s="1293"/>
      <c r="U261" s="1293"/>
      <c r="W261" s="1293" t="str">
        <f>'🔵クレーム'!C252</f>
        <v/>
      </c>
      <c r="X261" s="1293" t="str">
        <f>'🔵クレーム'!D252</f>
        <v/>
      </c>
      <c r="Y261" s="1292" t="str">
        <f>'🔵クレーム'!I252</f>
        <v/>
      </c>
      <c r="Z261" s="1293" t="str">
        <f>'🔵クレーム'!J252</f>
        <v/>
      </c>
      <c r="AA261" s="1293" t="str">
        <f>'🔵クレーム'!K252</f>
        <v/>
      </c>
      <c r="AB261" s="1293" t="str">
        <f>'🔵クレーム'!L252</f>
        <v/>
      </c>
      <c r="AC261" s="1295" t="str">
        <f>'🔵クレーム'!N252</f>
        <v/>
      </c>
    </row>
    <row r="262" hidden="1" outlineLevel="1">
      <c r="B262" s="1352"/>
      <c r="C262" s="1270"/>
      <c r="D262" s="1270"/>
      <c r="E262" s="1347"/>
      <c r="F262" s="1347"/>
      <c r="G262" s="1348"/>
      <c r="H262" s="246"/>
      <c r="I262" s="246"/>
      <c r="J262" s="246"/>
      <c r="K262" s="246"/>
      <c r="L262" s="246"/>
      <c r="M262" s="1349"/>
      <c r="O262" s="1293"/>
      <c r="P262" s="1293"/>
      <c r="Q262" s="1293"/>
      <c r="R262" s="1293"/>
      <c r="S262" s="1293"/>
      <c r="T262" s="1293"/>
      <c r="U262" s="1293"/>
      <c r="W262" s="1293" t="str">
        <f>'🔵クレーム'!C253</f>
        <v/>
      </c>
      <c r="X262" s="1293" t="str">
        <f>'🔵クレーム'!D253</f>
        <v/>
      </c>
      <c r="Y262" s="1292" t="str">
        <f>'🔵クレーム'!I253</f>
        <v/>
      </c>
      <c r="Z262" s="1293" t="str">
        <f>'🔵クレーム'!J253</f>
        <v/>
      </c>
      <c r="AA262" s="1293" t="str">
        <f>'🔵クレーム'!K253</f>
        <v/>
      </c>
      <c r="AB262" s="1293" t="str">
        <f>'🔵クレーム'!L253</f>
        <v/>
      </c>
      <c r="AC262" s="1295" t="str">
        <f>'🔵クレーム'!N253</f>
        <v/>
      </c>
    </row>
    <row r="263" hidden="1" outlineLevel="1">
      <c r="B263" s="1352"/>
      <c r="C263" s="1270"/>
      <c r="D263" s="1270"/>
      <c r="E263" s="1347"/>
      <c r="F263" s="1347"/>
      <c r="G263" s="1348"/>
      <c r="H263" s="246"/>
      <c r="I263" s="246"/>
      <c r="J263" s="246"/>
      <c r="K263" s="246"/>
      <c r="L263" s="246"/>
      <c r="M263" s="1349"/>
      <c r="O263" s="1293"/>
      <c r="P263" s="1293"/>
      <c r="Q263" s="1293"/>
      <c r="R263" s="1293"/>
      <c r="S263" s="1293"/>
      <c r="T263" s="1293"/>
      <c r="U263" s="1293"/>
      <c r="W263" s="1293" t="str">
        <f>'🔵クレーム'!C254</f>
        <v/>
      </c>
      <c r="X263" s="1293" t="str">
        <f>'🔵クレーム'!D254</f>
        <v/>
      </c>
      <c r="Y263" s="1292" t="str">
        <f>'🔵クレーム'!I254</f>
        <v/>
      </c>
      <c r="Z263" s="1293" t="str">
        <f>'🔵クレーム'!J254</f>
        <v/>
      </c>
      <c r="AA263" s="1293" t="str">
        <f>'🔵クレーム'!K254</f>
        <v/>
      </c>
      <c r="AB263" s="1293" t="str">
        <f>'🔵クレーム'!L254</f>
        <v/>
      </c>
      <c r="AC263" s="1295" t="str">
        <f>'🔵クレーム'!N254</f>
        <v/>
      </c>
    </row>
    <row r="264" hidden="1" outlineLevel="1">
      <c r="B264" s="1352"/>
      <c r="C264" s="1270"/>
      <c r="D264" s="1270"/>
      <c r="E264" s="1347"/>
      <c r="F264" s="1347"/>
      <c r="G264" s="1348"/>
      <c r="H264" s="246"/>
      <c r="I264" s="246"/>
      <c r="J264" s="246"/>
      <c r="K264" s="246"/>
      <c r="L264" s="246"/>
      <c r="M264" s="1349"/>
      <c r="O264" s="1293"/>
      <c r="P264" s="1293"/>
      <c r="Q264" s="1293"/>
      <c r="R264" s="1293"/>
      <c r="S264" s="1293"/>
      <c r="T264" s="1293"/>
      <c r="U264" s="1293"/>
      <c r="W264" s="1293" t="str">
        <f>'🔵クレーム'!C255</f>
        <v/>
      </c>
      <c r="X264" s="1293" t="str">
        <f>'🔵クレーム'!D255</f>
        <v/>
      </c>
      <c r="Y264" s="1292" t="str">
        <f>'🔵クレーム'!I255</f>
        <v/>
      </c>
      <c r="Z264" s="1293" t="str">
        <f>'🔵クレーム'!J255</f>
        <v/>
      </c>
      <c r="AA264" s="1293" t="str">
        <f>'🔵クレーム'!K255</f>
        <v/>
      </c>
      <c r="AB264" s="1293" t="str">
        <f>'🔵クレーム'!L255</f>
        <v/>
      </c>
      <c r="AC264" s="1295" t="str">
        <f>'🔵クレーム'!N255</f>
        <v/>
      </c>
    </row>
    <row r="265" hidden="1" outlineLevel="1">
      <c r="B265" s="1352"/>
      <c r="C265" s="1270"/>
      <c r="D265" s="1270"/>
      <c r="E265" s="1347"/>
      <c r="F265" s="1347"/>
      <c r="G265" s="1348"/>
      <c r="H265" s="246"/>
      <c r="I265" s="246"/>
      <c r="J265" s="246"/>
      <c r="K265" s="246"/>
      <c r="L265" s="246"/>
      <c r="M265" s="1349"/>
      <c r="O265" s="1293"/>
      <c r="P265" s="1293"/>
      <c r="Q265" s="1293"/>
      <c r="R265" s="1293"/>
      <c r="S265" s="1293"/>
      <c r="T265" s="1293"/>
      <c r="U265" s="1293"/>
      <c r="W265" s="1293" t="str">
        <f>'🔵クレーム'!C256</f>
        <v/>
      </c>
      <c r="X265" s="1293" t="str">
        <f>'🔵クレーム'!D256</f>
        <v/>
      </c>
      <c r="Y265" s="1292" t="str">
        <f>'🔵クレーム'!I256</f>
        <v/>
      </c>
      <c r="Z265" s="1293" t="str">
        <f>'🔵クレーム'!J256</f>
        <v/>
      </c>
      <c r="AA265" s="1293" t="str">
        <f>'🔵クレーム'!K256</f>
        <v/>
      </c>
      <c r="AB265" s="1293" t="str">
        <f>'🔵クレーム'!L256</f>
        <v/>
      </c>
      <c r="AC265" s="1295" t="str">
        <f>'🔵クレーム'!N256</f>
        <v/>
      </c>
    </row>
    <row r="266" hidden="1" outlineLevel="1">
      <c r="B266" s="1352"/>
      <c r="C266" s="1270"/>
      <c r="D266" s="1270"/>
      <c r="E266" s="1347"/>
      <c r="F266" s="1347"/>
      <c r="G266" s="1348"/>
      <c r="H266" s="246"/>
      <c r="I266" s="246"/>
      <c r="J266" s="246"/>
      <c r="K266" s="246"/>
      <c r="L266" s="246"/>
      <c r="M266" s="1349"/>
      <c r="O266" s="1293"/>
      <c r="P266" s="1293"/>
      <c r="Q266" s="1293"/>
      <c r="R266" s="1293"/>
      <c r="S266" s="1293"/>
      <c r="T266" s="1293"/>
      <c r="U266" s="1293"/>
      <c r="W266" s="1293" t="str">
        <f>'🔵クレーム'!C257</f>
        <v/>
      </c>
      <c r="X266" s="1293" t="str">
        <f>'🔵クレーム'!D257</f>
        <v/>
      </c>
      <c r="Y266" s="1292" t="str">
        <f>'🔵クレーム'!I257</f>
        <v/>
      </c>
      <c r="Z266" s="1293" t="str">
        <f>'🔵クレーム'!J257</f>
        <v/>
      </c>
      <c r="AA266" s="1293" t="str">
        <f>'🔵クレーム'!K257</f>
        <v/>
      </c>
      <c r="AB266" s="1293" t="str">
        <f>'🔵クレーム'!L257</f>
        <v/>
      </c>
      <c r="AC266" s="1295" t="str">
        <f>'🔵クレーム'!N257</f>
        <v/>
      </c>
    </row>
    <row r="267" hidden="1" outlineLevel="1">
      <c r="B267" s="1352"/>
      <c r="C267" s="1270"/>
      <c r="D267" s="1270"/>
      <c r="E267" s="1347"/>
      <c r="F267" s="1347"/>
      <c r="G267" s="1348"/>
      <c r="H267" s="246"/>
      <c r="I267" s="246"/>
      <c r="J267" s="246"/>
      <c r="K267" s="246"/>
      <c r="L267" s="246"/>
      <c r="M267" s="1349"/>
      <c r="O267" s="1293"/>
      <c r="P267" s="1293"/>
      <c r="Q267" s="1293"/>
      <c r="R267" s="1293"/>
      <c r="S267" s="1293"/>
      <c r="T267" s="1293"/>
      <c r="U267" s="1293"/>
      <c r="W267" s="1293" t="str">
        <f>'🔵クレーム'!C258</f>
        <v/>
      </c>
      <c r="X267" s="1293" t="str">
        <f>'🔵クレーム'!D258</f>
        <v/>
      </c>
      <c r="Y267" s="1292" t="str">
        <f>'🔵クレーム'!I258</f>
        <v/>
      </c>
      <c r="Z267" s="1293" t="str">
        <f>'🔵クレーム'!J258</f>
        <v/>
      </c>
      <c r="AA267" s="1293" t="str">
        <f>'🔵クレーム'!K258</f>
        <v/>
      </c>
      <c r="AB267" s="1293" t="str">
        <f>'🔵クレーム'!L258</f>
        <v/>
      </c>
      <c r="AC267" s="1295" t="str">
        <f>'🔵クレーム'!N258</f>
        <v/>
      </c>
    </row>
    <row r="268" hidden="1" outlineLevel="1">
      <c r="B268" s="1352"/>
      <c r="C268" s="1270"/>
      <c r="D268" s="1270"/>
      <c r="E268" s="1347"/>
      <c r="F268" s="1347"/>
      <c r="G268" s="1348"/>
      <c r="H268" s="246"/>
      <c r="I268" s="246"/>
      <c r="J268" s="246"/>
      <c r="K268" s="246"/>
      <c r="L268" s="246"/>
      <c r="M268" s="1349"/>
      <c r="O268" s="1293"/>
      <c r="P268" s="1293"/>
      <c r="Q268" s="1293"/>
      <c r="R268" s="1293"/>
      <c r="S268" s="1293"/>
      <c r="T268" s="1293"/>
      <c r="U268" s="1293"/>
      <c r="W268" s="1293" t="str">
        <f>'🔵クレーム'!C259</f>
        <v/>
      </c>
      <c r="X268" s="1293" t="str">
        <f>'🔵クレーム'!D259</f>
        <v/>
      </c>
      <c r="Y268" s="1292" t="str">
        <f>'🔵クレーム'!I259</f>
        <v/>
      </c>
      <c r="Z268" s="1293" t="str">
        <f>'🔵クレーム'!J259</f>
        <v/>
      </c>
      <c r="AA268" s="1293" t="str">
        <f>'🔵クレーム'!K259</f>
        <v/>
      </c>
      <c r="AB268" s="1293" t="str">
        <f>'🔵クレーム'!L259</f>
        <v/>
      </c>
      <c r="AC268" s="1295" t="str">
        <f>'🔵クレーム'!N259</f>
        <v/>
      </c>
    </row>
    <row r="269" hidden="1" outlineLevel="1">
      <c r="B269" s="1352"/>
      <c r="C269" s="1270"/>
      <c r="D269" s="1270"/>
      <c r="E269" s="1347"/>
      <c r="F269" s="1347"/>
      <c r="G269" s="1348"/>
      <c r="H269" s="246"/>
      <c r="I269" s="246"/>
      <c r="J269" s="246"/>
      <c r="K269" s="246"/>
      <c r="L269" s="246"/>
      <c r="M269" s="1349"/>
      <c r="O269" s="1293"/>
      <c r="P269" s="1293"/>
      <c r="Q269" s="1293"/>
      <c r="R269" s="1293"/>
      <c r="S269" s="1293"/>
      <c r="T269" s="1293"/>
      <c r="U269" s="1293"/>
      <c r="W269" s="1293" t="str">
        <f>'🔵クレーム'!C260</f>
        <v/>
      </c>
      <c r="X269" s="1293" t="str">
        <f>'🔵クレーム'!D260</f>
        <v/>
      </c>
      <c r="Y269" s="1292" t="str">
        <f>'🔵クレーム'!I260</f>
        <v/>
      </c>
      <c r="Z269" s="1293" t="str">
        <f>'🔵クレーム'!J260</f>
        <v/>
      </c>
      <c r="AA269" s="1293" t="str">
        <f>'🔵クレーム'!K260</f>
        <v/>
      </c>
      <c r="AB269" s="1293" t="str">
        <f>'🔵クレーム'!L260</f>
        <v/>
      </c>
      <c r="AC269" s="1295" t="str">
        <f>'🔵クレーム'!N260</f>
        <v/>
      </c>
    </row>
    <row r="270" hidden="1" outlineLevel="1">
      <c r="B270" s="1352"/>
      <c r="C270" s="1270"/>
      <c r="D270" s="1270"/>
      <c r="E270" s="1347"/>
      <c r="F270" s="1347"/>
      <c r="G270" s="1348"/>
      <c r="H270" s="246"/>
      <c r="I270" s="246"/>
      <c r="J270" s="246"/>
      <c r="K270" s="246"/>
      <c r="L270" s="246"/>
      <c r="M270" s="1349"/>
      <c r="O270" s="1293"/>
      <c r="P270" s="1293"/>
      <c r="Q270" s="1293"/>
      <c r="R270" s="1293"/>
      <c r="S270" s="1293"/>
      <c r="T270" s="1293"/>
      <c r="U270" s="1293"/>
      <c r="W270" s="1293" t="str">
        <f>'🔵クレーム'!C261</f>
        <v/>
      </c>
      <c r="X270" s="1293" t="str">
        <f>'🔵クレーム'!D261</f>
        <v/>
      </c>
      <c r="Y270" s="1292" t="str">
        <f>'🔵クレーム'!I261</f>
        <v/>
      </c>
      <c r="Z270" s="1293" t="str">
        <f>'🔵クレーム'!J261</f>
        <v/>
      </c>
      <c r="AA270" s="1293" t="str">
        <f>'🔵クレーム'!K261</f>
        <v/>
      </c>
      <c r="AB270" s="1293" t="str">
        <f>'🔵クレーム'!L261</f>
        <v/>
      </c>
      <c r="AC270" s="1295" t="str">
        <f>'🔵クレーム'!N261</f>
        <v/>
      </c>
    </row>
    <row r="271" hidden="1" outlineLevel="1">
      <c r="B271" s="1352"/>
      <c r="C271" s="1270"/>
      <c r="D271" s="1270"/>
      <c r="E271" s="1347"/>
      <c r="F271" s="1347"/>
      <c r="G271" s="1348"/>
      <c r="H271" s="246"/>
      <c r="I271" s="246"/>
      <c r="J271" s="246"/>
      <c r="K271" s="246"/>
      <c r="L271" s="246"/>
      <c r="M271" s="1349"/>
      <c r="O271" s="1293"/>
      <c r="P271" s="1293"/>
      <c r="Q271" s="1293"/>
      <c r="R271" s="1293"/>
      <c r="S271" s="1293"/>
      <c r="T271" s="1293"/>
      <c r="U271" s="1293"/>
      <c r="W271" s="1293" t="str">
        <f>'🔵クレーム'!C262</f>
        <v/>
      </c>
      <c r="X271" s="1293" t="str">
        <f>'🔵クレーム'!D262</f>
        <v/>
      </c>
      <c r="Y271" s="1292" t="str">
        <f>'🔵クレーム'!I262</f>
        <v/>
      </c>
      <c r="Z271" s="1293" t="str">
        <f>'🔵クレーム'!J262</f>
        <v/>
      </c>
      <c r="AA271" s="1293" t="str">
        <f>'🔵クレーム'!K262</f>
        <v/>
      </c>
      <c r="AB271" s="1293" t="str">
        <f>'🔵クレーム'!L262</f>
        <v/>
      </c>
      <c r="AC271" s="1295" t="str">
        <f>'🔵クレーム'!N262</f>
        <v/>
      </c>
    </row>
    <row r="272" hidden="1" outlineLevel="1">
      <c r="B272" s="1352"/>
      <c r="C272" s="1270"/>
      <c r="D272" s="1270"/>
      <c r="E272" s="1347"/>
      <c r="F272" s="1347"/>
      <c r="G272" s="1348"/>
      <c r="H272" s="246"/>
      <c r="I272" s="246"/>
      <c r="J272" s="246"/>
      <c r="K272" s="246"/>
      <c r="L272" s="246"/>
      <c r="M272" s="1349"/>
      <c r="O272" s="1293"/>
      <c r="P272" s="1293"/>
      <c r="Q272" s="1293"/>
      <c r="R272" s="1293"/>
      <c r="S272" s="1293"/>
      <c r="T272" s="1293"/>
      <c r="U272" s="1293"/>
      <c r="W272" s="1293" t="str">
        <f>'🔵クレーム'!C263</f>
        <v/>
      </c>
      <c r="X272" s="1293" t="str">
        <f>'🔵クレーム'!D263</f>
        <v/>
      </c>
      <c r="Y272" s="1292" t="str">
        <f>'🔵クレーム'!I263</f>
        <v/>
      </c>
      <c r="Z272" s="1293" t="str">
        <f>'🔵クレーム'!J263</f>
        <v/>
      </c>
      <c r="AA272" s="1293" t="str">
        <f>'🔵クレーム'!K263</f>
        <v/>
      </c>
      <c r="AB272" s="1293" t="str">
        <f>'🔵クレーム'!L263</f>
        <v/>
      </c>
      <c r="AC272" s="1295" t="str">
        <f>'🔵クレーム'!N263</f>
        <v/>
      </c>
    </row>
    <row r="273" hidden="1" outlineLevel="1">
      <c r="B273" s="1352"/>
      <c r="C273" s="1270"/>
      <c r="D273" s="1270"/>
      <c r="E273" s="1347"/>
      <c r="F273" s="1347"/>
      <c r="G273" s="1348"/>
      <c r="H273" s="246"/>
      <c r="I273" s="246"/>
      <c r="J273" s="246"/>
      <c r="K273" s="246"/>
      <c r="L273" s="246"/>
      <c r="M273" s="1349"/>
      <c r="O273" s="1293"/>
      <c r="P273" s="1293"/>
      <c r="Q273" s="1293"/>
      <c r="R273" s="1293"/>
      <c r="S273" s="1293"/>
      <c r="T273" s="1293"/>
      <c r="U273" s="1293"/>
      <c r="W273" s="1293" t="str">
        <f>'🔵クレーム'!C264</f>
        <v/>
      </c>
      <c r="X273" s="1293" t="str">
        <f>'🔵クレーム'!D264</f>
        <v/>
      </c>
      <c r="Y273" s="1292" t="str">
        <f>'🔵クレーム'!I264</f>
        <v/>
      </c>
      <c r="Z273" s="1293" t="str">
        <f>'🔵クレーム'!J264</f>
        <v/>
      </c>
      <c r="AA273" s="1293" t="str">
        <f>'🔵クレーム'!K264</f>
        <v/>
      </c>
      <c r="AB273" s="1293" t="str">
        <f>'🔵クレーム'!L264</f>
        <v/>
      </c>
      <c r="AC273" s="1295" t="str">
        <f>'🔵クレーム'!N264</f>
        <v/>
      </c>
    </row>
    <row r="274" hidden="1" outlineLevel="1">
      <c r="B274" s="1352"/>
      <c r="C274" s="1270"/>
      <c r="D274" s="1270"/>
      <c r="E274" s="1347"/>
      <c r="F274" s="1347"/>
      <c r="G274" s="1348"/>
      <c r="H274" s="246"/>
      <c r="I274" s="246"/>
      <c r="J274" s="246"/>
      <c r="K274" s="246"/>
      <c r="L274" s="246"/>
      <c r="M274" s="1349"/>
      <c r="O274" s="1293"/>
      <c r="P274" s="1293"/>
      <c r="Q274" s="1293"/>
      <c r="R274" s="1293"/>
      <c r="S274" s="1293"/>
      <c r="T274" s="1293"/>
      <c r="U274" s="1293"/>
      <c r="W274" s="1293" t="str">
        <f>'🔵クレーム'!C265</f>
        <v/>
      </c>
      <c r="X274" s="1293" t="str">
        <f>'🔵クレーム'!D265</f>
        <v/>
      </c>
      <c r="Y274" s="1292" t="str">
        <f>'🔵クレーム'!I265</f>
        <v/>
      </c>
      <c r="Z274" s="1293" t="str">
        <f>'🔵クレーム'!J265</f>
        <v/>
      </c>
      <c r="AA274" s="1293" t="str">
        <f>'🔵クレーム'!K265</f>
        <v/>
      </c>
      <c r="AB274" s="1293" t="str">
        <f>'🔵クレーム'!L265</f>
        <v/>
      </c>
      <c r="AC274" s="1295" t="str">
        <f>'🔵クレーム'!N265</f>
        <v/>
      </c>
    </row>
    <row r="275" hidden="1" outlineLevel="1">
      <c r="B275" s="1352"/>
      <c r="C275" s="1270"/>
      <c r="D275" s="1270"/>
      <c r="E275" s="1347"/>
      <c r="F275" s="1347"/>
      <c r="G275" s="1348"/>
      <c r="H275" s="246"/>
      <c r="I275" s="246"/>
      <c r="J275" s="246"/>
      <c r="K275" s="246"/>
      <c r="L275" s="246"/>
      <c r="M275" s="1349"/>
      <c r="O275" s="1293"/>
      <c r="P275" s="1293"/>
      <c r="Q275" s="1293"/>
      <c r="R275" s="1293"/>
      <c r="S275" s="1293"/>
      <c r="T275" s="1293"/>
      <c r="U275" s="1293"/>
      <c r="W275" s="1293" t="str">
        <f>'🔵クレーム'!C266</f>
        <v/>
      </c>
      <c r="X275" s="1293" t="str">
        <f>'🔵クレーム'!D266</f>
        <v/>
      </c>
      <c r="Y275" s="1292" t="str">
        <f>'🔵クレーム'!I266</f>
        <v/>
      </c>
      <c r="Z275" s="1293" t="str">
        <f>'🔵クレーム'!J266</f>
        <v/>
      </c>
      <c r="AA275" s="1293" t="str">
        <f>'🔵クレーム'!K266</f>
        <v/>
      </c>
      <c r="AB275" s="1293" t="str">
        <f>'🔵クレーム'!L266</f>
        <v/>
      </c>
      <c r="AC275" s="1295" t="str">
        <f>'🔵クレーム'!N266</f>
        <v/>
      </c>
    </row>
    <row r="276" hidden="1" outlineLevel="1">
      <c r="B276" s="1352"/>
      <c r="C276" s="1270"/>
      <c r="D276" s="1270"/>
      <c r="E276" s="1347"/>
      <c r="F276" s="1347"/>
      <c r="G276" s="1348"/>
      <c r="H276" s="246"/>
      <c r="I276" s="246"/>
      <c r="J276" s="246"/>
      <c r="K276" s="246"/>
      <c r="L276" s="246"/>
      <c r="M276" s="1349"/>
      <c r="O276" s="1293"/>
      <c r="P276" s="1293"/>
      <c r="Q276" s="1293"/>
      <c r="R276" s="1293"/>
      <c r="S276" s="1293"/>
      <c r="T276" s="1293"/>
      <c r="U276" s="1293"/>
      <c r="W276" s="1293" t="str">
        <f>'🔵クレーム'!C267</f>
        <v/>
      </c>
      <c r="X276" s="1293" t="str">
        <f>'🔵クレーム'!D267</f>
        <v/>
      </c>
      <c r="Y276" s="1292" t="str">
        <f>'🔵クレーム'!I267</f>
        <v/>
      </c>
      <c r="Z276" s="1293" t="str">
        <f>'🔵クレーム'!J267</f>
        <v/>
      </c>
      <c r="AA276" s="1293" t="str">
        <f>'🔵クレーム'!K267</f>
        <v/>
      </c>
      <c r="AB276" s="1293" t="str">
        <f>'🔵クレーム'!L267</f>
        <v/>
      </c>
      <c r="AC276" s="1295" t="str">
        <f>'🔵クレーム'!N267</f>
        <v/>
      </c>
    </row>
    <row r="277" hidden="1" outlineLevel="1">
      <c r="B277" s="1352"/>
      <c r="C277" s="1270"/>
      <c r="D277" s="1270"/>
      <c r="E277" s="1347"/>
      <c r="F277" s="1347"/>
      <c r="G277" s="1348"/>
      <c r="H277" s="246"/>
      <c r="I277" s="246"/>
      <c r="J277" s="246"/>
      <c r="K277" s="246"/>
      <c r="L277" s="246"/>
      <c r="M277" s="1349"/>
      <c r="O277" s="1293"/>
      <c r="P277" s="1293"/>
      <c r="Q277" s="1293"/>
      <c r="R277" s="1293"/>
      <c r="S277" s="1293"/>
      <c r="T277" s="1293"/>
      <c r="U277" s="1293"/>
      <c r="W277" s="1293" t="str">
        <f>'🔵クレーム'!C268</f>
        <v/>
      </c>
      <c r="X277" s="1293" t="str">
        <f>'🔵クレーム'!D268</f>
        <v/>
      </c>
      <c r="Y277" s="1292" t="str">
        <f>'🔵クレーム'!I268</f>
        <v/>
      </c>
      <c r="Z277" s="1293" t="str">
        <f>'🔵クレーム'!J268</f>
        <v/>
      </c>
      <c r="AA277" s="1293" t="str">
        <f>'🔵クレーム'!K268</f>
        <v/>
      </c>
      <c r="AB277" s="1293" t="str">
        <f>'🔵クレーム'!L268</f>
        <v/>
      </c>
      <c r="AC277" s="1295" t="str">
        <f>'🔵クレーム'!N268</f>
        <v/>
      </c>
    </row>
    <row r="278" hidden="1" outlineLevel="1">
      <c r="B278" s="1352"/>
      <c r="C278" s="1270"/>
      <c r="D278" s="1270"/>
      <c r="E278" s="1347"/>
      <c r="F278" s="1347"/>
      <c r="G278" s="1348"/>
      <c r="H278" s="246"/>
      <c r="I278" s="246"/>
      <c r="J278" s="246"/>
      <c r="K278" s="246"/>
      <c r="L278" s="246"/>
      <c r="M278" s="1349"/>
      <c r="O278" s="1293"/>
      <c r="P278" s="1293"/>
      <c r="Q278" s="1293"/>
      <c r="R278" s="1293"/>
      <c r="S278" s="1293"/>
      <c r="T278" s="1293"/>
      <c r="U278" s="1293"/>
      <c r="W278" s="1293" t="str">
        <f>'🔵クレーム'!C269</f>
        <v/>
      </c>
      <c r="X278" s="1293" t="str">
        <f>'🔵クレーム'!D269</f>
        <v/>
      </c>
      <c r="Y278" s="1292" t="str">
        <f>'🔵クレーム'!I269</f>
        <v/>
      </c>
      <c r="Z278" s="1293" t="str">
        <f>'🔵クレーム'!J269</f>
        <v/>
      </c>
      <c r="AA278" s="1293" t="str">
        <f>'🔵クレーム'!K269</f>
        <v/>
      </c>
      <c r="AB278" s="1293" t="str">
        <f>'🔵クレーム'!L269</f>
        <v/>
      </c>
      <c r="AC278" s="1295" t="str">
        <f>'🔵クレーム'!N269</f>
        <v/>
      </c>
    </row>
    <row r="279" hidden="1" outlineLevel="1">
      <c r="B279" s="1352"/>
      <c r="C279" s="1270"/>
      <c r="D279" s="1270"/>
      <c r="E279" s="1347"/>
      <c r="F279" s="1347"/>
      <c r="G279" s="1348"/>
      <c r="H279" s="246"/>
      <c r="I279" s="246"/>
      <c r="J279" s="246"/>
      <c r="K279" s="246"/>
      <c r="L279" s="246"/>
      <c r="M279" s="1349"/>
      <c r="O279" s="1293"/>
      <c r="P279" s="1293"/>
      <c r="Q279" s="1293"/>
      <c r="R279" s="1293"/>
      <c r="S279" s="1293"/>
      <c r="T279" s="1293"/>
      <c r="U279" s="1293"/>
      <c r="W279" s="1293" t="str">
        <f>'🔵クレーム'!C270</f>
        <v/>
      </c>
      <c r="X279" s="1293" t="str">
        <f>'🔵クレーム'!D270</f>
        <v/>
      </c>
      <c r="Y279" s="1292" t="str">
        <f>'🔵クレーム'!I270</f>
        <v/>
      </c>
      <c r="Z279" s="1293" t="str">
        <f>'🔵クレーム'!J270</f>
        <v/>
      </c>
      <c r="AA279" s="1293" t="str">
        <f>'🔵クレーム'!K270</f>
        <v/>
      </c>
      <c r="AB279" s="1293" t="str">
        <f>'🔵クレーム'!L270</f>
        <v/>
      </c>
      <c r="AC279" s="1295" t="str">
        <f>'🔵クレーム'!N270</f>
        <v/>
      </c>
    </row>
    <row r="280" hidden="1" outlineLevel="1">
      <c r="B280" s="1352"/>
      <c r="C280" s="1270"/>
      <c r="D280" s="1270"/>
      <c r="E280" s="1347"/>
      <c r="F280" s="1347"/>
      <c r="G280" s="1348"/>
      <c r="H280" s="246"/>
      <c r="I280" s="246"/>
      <c r="J280" s="246"/>
      <c r="K280" s="246"/>
      <c r="L280" s="246"/>
      <c r="M280" s="1349"/>
      <c r="O280" s="1293"/>
      <c r="P280" s="1293"/>
      <c r="Q280" s="1293"/>
      <c r="R280" s="1293"/>
      <c r="S280" s="1293"/>
      <c r="T280" s="1293"/>
      <c r="U280" s="1293"/>
      <c r="W280" s="1293" t="str">
        <f>'🔵クレーム'!C271</f>
        <v/>
      </c>
      <c r="X280" s="1293" t="str">
        <f>'🔵クレーム'!D271</f>
        <v/>
      </c>
      <c r="Y280" s="1292" t="str">
        <f>'🔵クレーム'!I271</f>
        <v/>
      </c>
      <c r="Z280" s="1293" t="str">
        <f>'🔵クレーム'!J271</f>
        <v/>
      </c>
      <c r="AA280" s="1293" t="str">
        <f>'🔵クレーム'!K271</f>
        <v/>
      </c>
      <c r="AB280" s="1293" t="str">
        <f>'🔵クレーム'!L271</f>
        <v/>
      </c>
      <c r="AC280" s="1295" t="str">
        <f>'🔵クレーム'!N271</f>
        <v/>
      </c>
    </row>
    <row r="281" hidden="1" outlineLevel="1">
      <c r="B281" s="1352"/>
      <c r="C281" s="1270"/>
      <c r="D281" s="1270"/>
      <c r="E281" s="1347"/>
      <c r="F281" s="1347"/>
      <c r="G281" s="1348"/>
      <c r="H281" s="246"/>
      <c r="I281" s="246"/>
      <c r="J281" s="246"/>
      <c r="K281" s="246"/>
      <c r="L281" s="246"/>
      <c r="M281" s="1349"/>
      <c r="O281" s="1293"/>
      <c r="P281" s="1293"/>
      <c r="Q281" s="1293"/>
      <c r="R281" s="1293"/>
      <c r="S281" s="1293"/>
      <c r="T281" s="1293"/>
      <c r="U281" s="1293"/>
      <c r="W281" s="1293" t="str">
        <f>'🔵クレーム'!C272</f>
        <v/>
      </c>
      <c r="X281" s="1293" t="str">
        <f>'🔵クレーム'!D272</f>
        <v/>
      </c>
      <c r="Y281" s="1292" t="str">
        <f>'🔵クレーム'!I272</f>
        <v/>
      </c>
      <c r="Z281" s="1293" t="str">
        <f>'🔵クレーム'!J272</f>
        <v/>
      </c>
      <c r="AA281" s="1293" t="str">
        <f>'🔵クレーム'!K272</f>
        <v/>
      </c>
      <c r="AB281" s="1293" t="str">
        <f>'🔵クレーム'!L272</f>
        <v/>
      </c>
      <c r="AC281" s="1295" t="str">
        <f>'🔵クレーム'!N272</f>
        <v/>
      </c>
    </row>
    <row r="282" hidden="1" outlineLevel="1">
      <c r="B282" s="1352"/>
      <c r="C282" s="1270"/>
      <c r="D282" s="1270"/>
      <c r="E282" s="1347"/>
      <c r="F282" s="1347"/>
      <c r="G282" s="1348"/>
      <c r="H282" s="246"/>
      <c r="I282" s="246"/>
      <c r="J282" s="246"/>
      <c r="K282" s="246"/>
      <c r="L282" s="246"/>
      <c r="M282" s="1349"/>
      <c r="O282" s="1293"/>
      <c r="P282" s="1293"/>
      <c r="Q282" s="1293"/>
      <c r="R282" s="1293"/>
      <c r="S282" s="1293"/>
      <c r="T282" s="1293"/>
      <c r="U282" s="1293"/>
      <c r="W282" s="1293" t="str">
        <f>'🔵クレーム'!C273</f>
        <v/>
      </c>
      <c r="X282" s="1293" t="str">
        <f>'🔵クレーム'!D273</f>
        <v/>
      </c>
      <c r="Y282" s="1292" t="str">
        <f>'🔵クレーム'!I273</f>
        <v/>
      </c>
      <c r="Z282" s="1293" t="str">
        <f>'🔵クレーム'!J273</f>
        <v/>
      </c>
      <c r="AA282" s="1293" t="str">
        <f>'🔵クレーム'!K273</f>
        <v/>
      </c>
      <c r="AB282" s="1293" t="str">
        <f>'🔵クレーム'!L273</f>
        <v/>
      </c>
      <c r="AC282" s="1295" t="str">
        <f>'🔵クレーム'!N273</f>
        <v/>
      </c>
    </row>
    <row r="283" hidden="1" outlineLevel="1">
      <c r="B283" s="1352"/>
      <c r="C283" s="1270"/>
      <c r="D283" s="1270"/>
      <c r="E283" s="1347"/>
      <c r="F283" s="1347"/>
      <c r="G283" s="1348"/>
      <c r="H283" s="246"/>
      <c r="I283" s="246"/>
      <c r="J283" s="246"/>
      <c r="K283" s="246"/>
      <c r="L283" s="246"/>
      <c r="M283" s="1349"/>
      <c r="O283" s="1293"/>
      <c r="P283" s="1293"/>
      <c r="Q283" s="1293"/>
      <c r="R283" s="1293"/>
      <c r="S283" s="1293"/>
      <c r="T283" s="1293"/>
      <c r="U283" s="1293"/>
      <c r="W283" s="1293" t="str">
        <f>'🔵クレーム'!C274</f>
        <v/>
      </c>
      <c r="X283" s="1293" t="str">
        <f>'🔵クレーム'!D274</f>
        <v/>
      </c>
      <c r="Y283" s="1292" t="str">
        <f>'🔵クレーム'!I274</f>
        <v/>
      </c>
      <c r="Z283" s="1293" t="str">
        <f>'🔵クレーム'!J274</f>
        <v/>
      </c>
      <c r="AA283" s="1293" t="str">
        <f>'🔵クレーム'!K274</f>
        <v/>
      </c>
      <c r="AB283" s="1293" t="str">
        <f>'🔵クレーム'!L274</f>
        <v/>
      </c>
      <c r="AC283" s="1295" t="str">
        <f>'🔵クレーム'!N274</f>
        <v/>
      </c>
    </row>
    <row r="284" hidden="1" outlineLevel="1">
      <c r="B284" s="1352"/>
      <c r="C284" s="1270"/>
      <c r="D284" s="1270"/>
      <c r="E284" s="1347"/>
      <c r="F284" s="1347"/>
      <c r="G284" s="1348"/>
      <c r="H284" s="246"/>
      <c r="I284" s="246"/>
      <c r="J284" s="246"/>
      <c r="K284" s="246"/>
      <c r="L284" s="246"/>
      <c r="M284" s="1349"/>
      <c r="O284" s="1293"/>
      <c r="P284" s="1293"/>
      <c r="Q284" s="1293"/>
      <c r="R284" s="1293"/>
      <c r="S284" s="1293"/>
      <c r="T284" s="1293"/>
      <c r="U284" s="1293"/>
      <c r="W284" s="1293" t="str">
        <f>'🔵クレーム'!C275</f>
        <v/>
      </c>
      <c r="X284" s="1293" t="str">
        <f>'🔵クレーム'!D275</f>
        <v/>
      </c>
      <c r="Y284" s="1292" t="str">
        <f>'🔵クレーム'!I275</f>
        <v/>
      </c>
      <c r="Z284" s="1293" t="str">
        <f>'🔵クレーム'!J275</f>
        <v/>
      </c>
      <c r="AA284" s="1293" t="str">
        <f>'🔵クレーム'!K275</f>
        <v/>
      </c>
      <c r="AB284" s="1293" t="str">
        <f>'🔵クレーム'!L275</f>
        <v/>
      </c>
      <c r="AC284" s="1295" t="str">
        <f>'🔵クレーム'!N275</f>
        <v/>
      </c>
    </row>
    <row r="285" hidden="1" outlineLevel="1">
      <c r="B285" s="1352"/>
      <c r="C285" s="1270"/>
      <c r="D285" s="1270"/>
      <c r="E285" s="1347"/>
      <c r="F285" s="1347"/>
      <c r="G285" s="1348"/>
      <c r="H285" s="246"/>
      <c r="I285" s="246"/>
      <c r="J285" s="246"/>
      <c r="K285" s="246"/>
      <c r="L285" s="246"/>
      <c r="M285" s="1349"/>
      <c r="O285" s="1293"/>
      <c r="P285" s="1293"/>
      <c r="Q285" s="1293"/>
      <c r="R285" s="1293"/>
      <c r="S285" s="1293"/>
      <c r="T285" s="1293"/>
      <c r="U285" s="1293"/>
      <c r="W285" s="1293" t="str">
        <f>'🔵クレーム'!C276</f>
        <v/>
      </c>
      <c r="X285" s="1293" t="str">
        <f>'🔵クレーム'!D276</f>
        <v/>
      </c>
      <c r="Y285" s="1292" t="str">
        <f>'🔵クレーム'!I276</f>
        <v/>
      </c>
      <c r="Z285" s="1293" t="str">
        <f>'🔵クレーム'!J276</f>
        <v/>
      </c>
      <c r="AA285" s="1293" t="str">
        <f>'🔵クレーム'!K276</f>
        <v/>
      </c>
      <c r="AB285" s="1293" t="str">
        <f>'🔵クレーム'!L276</f>
        <v/>
      </c>
      <c r="AC285" s="1295" t="str">
        <f>'🔵クレーム'!N276</f>
        <v/>
      </c>
    </row>
    <row r="286" hidden="1" outlineLevel="1">
      <c r="B286" s="1352"/>
      <c r="C286" s="1270"/>
      <c r="D286" s="1270"/>
      <c r="E286" s="1347"/>
      <c r="F286" s="1347"/>
      <c r="G286" s="1348"/>
      <c r="H286" s="246"/>
      <c r="I286" s="246"/>
      <c r="J286" s="246"/>
      <c r="K286" s="246"/>
      <c r="L286" s="246"/>
      <c r="M286" s="1349"/>
      <c r="O286" s="1293"/>
      <c r="P286" s="1293"/>
      <c r="Q286" s="1293"/>
      <c r="R286" s="1293"/>
      <c r="S286" s="1293"/>
      <c r="T286" s="1293"/>
      <c r="U286" s="1293"/>
      <c r="W286" s="1293" t="str">
        <f>'🔵クレーム'!C277</f>
        <v/>
      </c>
      <c r="X286" s="1293" t="str">
        <f>'🔵クレーム'!D277</f>
        <v/>
      </c>
      <c r="Y286" s="1292" t="str">
        <f>'🔵クレーム'!I277</f>
        <v/>
      </c>
      <c r="Z286" s="1293" t="str">
        <f>'🔵クレーム'!J277</f>
        <v/>
      </c>
      <c r="AA286" s="1293" t="str">
        <f>'🔵クレーム'!K277</f>
        <v/>
      </c>
      <c r="AB286" s="1293" t="str">
        <f>'🔵クレーム'!L277</f>
        <v/>
      </c>
      <c r="AC286" s="1295" t="str">
        <f>'🔵クレーム'!N277</f>
        <v/>
      </c>
    </row>
    <row r="287" hidden="1" outlineLevel="1">
      <c r="B287" s="1352"/>
      <c r="C287" s="1270"/>
      <c r="D287" s="1270"/>
      <c r="E287" s="1347"/>
      <c r="F287" s="1347"/>
      <c r="G287" s="1348"/>
      <c r="H287" s="246"/>
      <c r="I287" s="246"/>
      <c r="J287" s="246"/>
      <c r="K287" s="246"/>
      <c r="L287" s="246"/>
      <c r="M287" s="1349"/>
      <c r="O287" s="1293"/>
      <c r="P287" s="1293"/>
      <c r="Q287" s="1293"/>
      <c r="R287" s="1293"/>
      <c r="S287" s="1293"/>
      <c r="T287" s="1293"/>
      <c r="U287" s="1293"/>
      <c r="W287" s="1293" t="str">
        <f>'🔵クレーム'!C278</f>
        <v/>
      </c>
      <c r="X287" s="1293" t="str">
        <f>'🔵クレーム'!D278</f>
        <v/>
      </c>
      <c r="Y287" s="1292" t="str">
        <f>'🔵クレーム'!I278</f>
        <v/>
      </c>
      <c r="Z287" s="1293" t="str">
        <f>'🔵クレーム'!J278</f>
        <v/>
      </c>
      <c r="AA287" s="1293" t="str">
        <f>'🔵クレーム'!K278</f>
        <v/>
      </c>
      <c r="AB287" s="1293" t="str">
        <f>'🔵クレーム'!L278</f>
        <v/>
      </c>
      <c r="AC287" s="1295" t="str">
        <f>'🔵クレーム'!N278</f>
        <v/>
      </c>
    </row>
    <row r="288" hidden="1" outlineLevel="1">
      <c r="B288" s="1352"/>
      <c r="C288" s="1270"/>
      <c r="D288" s="1270"/>
      <c r="E288" s="1347"/>
      <c r="F288" s="1347"/>
      <c r="G288" s="1348"/>
      <c r="H288" s="246"/>
      <c r="I288" s="246"/>
      <c r="J288" s="246"/>
      <c r="K288" s="246"/>
      <c r="L288" s="246"/>
      <c r="M288" s="1349"/>
      <c r="O288" s="1293"/>
      <c r="P288" s="1293"/>
      <c r="Q288" s="1293"/>
      <c r="R288" s="1293"/>
      <c r="S288" s="1293"/>
      <c r="T288" s="1293"/>
      <c r="U288" s="1293"/>
      <c r="W288" s="1293" t="str">
        <f>'🔵クレーム'!C279</f>
        <v/>
      </c>
      <c r="X288" s="1293" t="str">
        <f>'🔵クレーム'!D279</f>
        <v/>
      </c>
      <c r="Y288" s="1292" t="str">
        <f>'🔵クレーム'!I279</f>
        <v/>
      </c>
      <c r="Z288" s="1293" t="str">
        <f>'🔵クレーム'!J279</f>
        <v/>
      </c>
      <c r="AA288" s="1293" t="str">
        <f>'🔵クレーム'!K279</f>
        <v/>
      </c>
      <c r="AB288" s="1293" t="str">
        <f>'🔵クレーム'!L279</f>
        <v/>
      </c>
      <c r="AC288" s="1295" t="str">
        <f>'🔵クレーム'!N279</f>
        <v/>
      </c>
    </row>
    <row r="289" hidden="1" outlineLevel="1">
      <c r="B289" s="1352"/>
      <c r="C289" s="1270"/>
      <c r="D289" s="1270"/>
      <c r="E289" s="1347"/>
      <c r="F289" s="1347"/>
      <c r="G289" s="1348"/>
      <c r="H289" s="246"/>
      <c r="I289" s="246"/>
      <c r="J289" s="246"/>
      <c r="K289" s="246"/>
      <c r="L289" s="246"/>
      <c r="M289" s="1349"/>
      <c r="O289" s="1293"/>
      <c r="P289" s="1293"/>
      <c r="Q289" s="1293"/>
      <c r="R289" s="1293"/>
      <c r="S289" s="1293"/>
      <c r="T289" s="1293"/>
      <c r="U289" s="1293"/>
      <c r="W289" s="1293" t="str">
        <f>'🔵クレーム'!C280</f>
        <v/>
      </c>
      <c r="X289" s="1293" t="str">
        <f>'🔵クレーム'!D280</f>
        <v/>
      </c>
      <c r="Y289" s="1292" t="str">
        <f>'🔵クレーム'!I280</f>
        <v/>
      </c>
      <c r="Z289" s="1293" t="str">
        <f>'🔵クレーム'!J280</f>
        <v/>
      </c>
      <c r="AA289" s="1293" t="str">
        <f>'🔵クレーム'!K280</f>
        <v/>
      </c>
      <c r="AB289" s="1293" t="str">
        <f>'🔵クレーム'!L280</f>
        <v/>
      </c>
      <c r="AC289" s="1295" t="str">
        <f>'🔵クレーム'!N280</f>
        <v/>
      </c>
    </row>
    <row r="290" hidden="1" outlineLevel="1">
      <c r="B290" s="1352"/>
      <c r="C290" s="1270"/>
      <c r="D290" s="1270"/>
      <c r="E290" s="1347"/>
      <c r="F290" s="1347"/>
      <c r="G290" s="1348"/>
      <c r="H290" s="246"/>
      <c r="I290" s="246"/>
      <c r="J290" s="246"/>
      <c r="K290" s="246"/>
      <c r="L290" s="246"/>
      <c r="M290" s="1349"/>
      <c r="O290" s="1293"/>
      <c r="P290" s="1293"/>
      <c r="Q290" s="1293"/>
      <c r="R290" s="1293"/>
      <c r="S290" s="1293"/>
      <c r="T290" s="1293"/>
      <c r="U290" s="1293"/>
      <c r="W290" s="1293" t="str">
        <f>'🔵クレーム'!C281</f>
        <v/>
      </c>
      <c r="X290" s="1293" t="str">
        <f>'🔵クレーム'!D281</f>
        <v/>
      </c>
      <c r="Y290" s="1292" t="str">
        <f>'🔵クレーム'!I281</f>
        <v/>
      </c>
      <c r="Z290" s="1293" t="str">
        <f>'🔵クレーム'!J281</f>
        <v/>
      </c>
      <c r="AA290" s="1293" t="str">
        <f>'🔵クレーム'!K281</f>
        <v/>
      </c>
      <c r="AB290" s="1293" t="str">
        <f>'🔵クレーム'!L281</f>
        <v/>
      </c>
      <c r="AC290" s="1295" t="str">
        <f>'🔵クレーム'!N281</f>
        <v/>
      </c>
    </row>
    <row r="291" hidden="1" outlineLevel="1">
      <c r="B291" s="1352"/>
      <c r="C291" s="1270"/>
      <c r="D291" s="1270"/>
      <c r="E291" s="1347"/>
      <c r="F291" s="1347"/>
      <c r="G291" s="1348"/>
      <c r="H291" s="246"/>
      <c r="I291" s="246"/>
      <c r="J291" s="246"/>
      <c r="K291" s="246"/>
      <c r="L291" s="246"/>
      <c r="M291" s="1349"/>
      <c r="O291" s="1293"/>
      <c r="P291" s="1293"/>
      <c r="Q291" s="1293"/>
      <c r="R291" s="1293"/>
      <c r="S291" s="1293"/>
      <c r="T291" s="1293"/>
      <c r="U291" s="1293"/>
      <c r="W291" s="1293" t="str">
        <f>'🔵クレーム'!C282</f>
        <v/>
      </c>
      <c r="X291" s="1293" t="str">
        <f>'🔵クレーム'!D282</f>
        <v/>
      </c>
      <c r="Y291" s="1292" t="str">
        <f>'🔵クレーム'!I282</f>
        <v/>
      </c>
      <c r="Z291" s="1293" t="str">
        <f>'🔵クレーム'!J282</f>
        <v/>
      </c>
      <c r="AA291" s="1293" t="str">
        <f>'🔵クレーム'!K282</f>
        <v/>
      </c>
      <c r="AB291" s="1293" t="str">
        <f>'🔵クレーム'!L282</f>
        <v/>
      </c>
      <c r="AC291" s="1295" t="str">
        <f>'🔵クレーム'!N282</f>
        <v/>
      </c>
    </row>
    <row r="292" hidden="1" outlineLevel="1">
      <c r="B292" s="1352"/>
      <c r="C292" s="1270"/>
      <c r="D292" s="1270"/>
      <c r="E292" s="1347"/>
      <c r="F292" s="1347"/>
      <c r="G292" s="1348"/>
      <c r="H292" s="246"/>
      <c r="I292" s="246"/>
      <c r="J292" s="246"/>
      <c r="K292" s="246"/>
      <c r="L292" s="246"/>
      <c r="M292" s="1349"/>
      <c r="O292" s="1293"/>
      <c r="P292" s="1293"/>
      <c r="Q292" s="1293"/>
      <c r="R292" s="1293"/>
      <c r="S292" s="1293"/>
      <c r="T292" s="1293"/>
      <c r="U292" s="1293"/>
      <c r="W292" s="1293" t="str">
        <f>'🔵クレーム'!C283</f>
        <v/>
      </c>
      <c r="X292" s="1293" t="str">
        <f>'🔵クレーム'!D283</f>
        <v/>
      </c>
      <c r="Y292" s="1292" t="str">
        <f>'🔵クレーム'!I283</f>
        <v/>
      </c>
      <c r="Z292" s="1293" t="str">
        <f>'🔵クレーム'!J283</f>
        <v/>
      </c>
      <c r="AA292" s="1293" t="str">
        <f>'🔵クレーム'!K283</f>
        <v/>
      </c>
      <c r="AB292" s="1293" t="str">
        <f>'🔵クレーム'!L283</f>
        <v/>
      </c>
      <c r="AC292" s="1295" t="str">
        <f>'🔵クレーム'!N283</f>
        <v/>
      </c>
    </row>
    <row r="293" hidden="1" outlineLevel="1">
      <c r="B293" s="1352"/>
      <c r="C293" s="1270"/>
      <c r="D293" s="1270"/>
      <c r="E293" s="1347"/>
      <c r="F293" s="1347"/>
      <c r="G293" s="1348"/>
      <c r="H293" s="246"/>
      <c r="I293" s="246"/>
      <c r="J293" s="246"/>
      <c r="K293" s="246"/>
      <c r="L293" s="246"/>
      <c r="M293" s="1349"/>
      <c r="O293" s="1293"/>
      <c r="P293" s="1293"/>
      <c r="Q293" s="1293"/>
      <c r="R293" s="1293"/>
      <c r="S293" s="1293"/>
      <c r="T293" s="1293"/>
      <c r="U293" s="1293"/>
      <c r="W293" s="1293" t="str">
        <f>'🔵クレーム'!C284</f>
        <v/>
      </c>
      <c r="X293" s="1293" t="str">
        <f>'🔵クレーム'!D284</f>
        <v/>
      </c>
      <c r="Y293" s="1292" t="str">
        <f>'🔵クレーム'!I284</f>
        <v/>
      </c>
      <c r="Z293" s="1293" t="str">
        <f>'🔵クレーム'!J284</f>
        <v/>
      </c>
      <c r="AA293" s="1293" t="str">
        <f>'🔵クレーム'!K284</f>
        <v/>
      </c>
      <c r="AB293" s="1293" t="str">
        <f>'🔵クレーム'!L284</f>
        <v/>
      </c>
      <c r="AC293" s="1295" t="str">
        <f>'🔵クレーム'!N284</f>
        <v/>
      </c>
    </row>
    <row r="294" hidden="1" outlineLevel="1">
      <c r="B294" s="1352"/>
      <c r="C294" s="1270"/>
      <c r="D294" s="1270"/>
      <c r="E294" s="1347"/>
      <c r="F294" s="1347"/>
      <c r="G294" s="1348"/>
      <c r="H294" s="246"/>
      <c r="I294" s="246"/>
      <c r="J294" s="246"/>
      <c r="K294" s="246"/>
      <c r="L294" s="246"/>
      <c r="M294" s="1349"/>
      <c r="O294" s="1293"/>
      <c r="P294" s="1293"/>
      <c r="Q294" s="1293"/>
      <c r="R294" s="1293"/>
      <c r="S294" s="1293"/>
      <c r="T294" s="1293"/>
      <c r="U294" s="1293"/>
      <c r="W294" s="1293" t="str">
        <f>'🔵クレーム'!C285</f>
        <v/>
      </c>
      <c r="X294" s="1293" t="str">
        <f>'🔵クレーム'!D285</f>
        <v/>
      </c>
      <c r="Y294" s="1292" t="str">
        <f>'🔵クレーム'!I285</f>
        <v/>
      </c>
      <c r="Z294" s="1293" t="str">
        <f>'🔵クレーム'!J285</f>
        <v/>
      </c>
      <c r="AA294" s="1293" t="str">
        <f>'🔵クレーム'!K285</f>
        <v/>
      </c>
      <c r="AB294" s="1293" t="str">
        <f>'🔵クレーム'!L285</f>
        <v/>
      </c>
      <c r="AC294" s="1295" t="str">
        <f>'🔵クレーム'!N285</f>
        <v/>
      </c>
    </row>
    <row r="295" hidden="1" outlineLevel="1">
      <c r="B295" s="1352"/>
      <c r="C295" s="1270"/>
      <c r="D295" s="1270"/>
      <c r="E295" s="1347"/>
      <c r="F295" s="1347"/>
      <c r="G295" s="1348"/>
      <c r="H295" s="246"/>
      <c r="I295" s="246"/>
      <c r="J295" s="246"/>
      <c r="K295" s="246"/>
      <c r="L295" s="246"/>
      <c r="M295" s="1349"/>
      <c r="O295" s="1293"/>
      <c r="P295" s="1293"/>
      <c r="Q295" s="1293"/>
      <c r="R295" s="1293"/>
      <c r="S295" s="1293"/>
      <c r="T295" s="1293"/>
      <c r="U295" s="1293"/>
      <c r="W295" s="1293" t="str">
        <f>'🔵クレーム'!C286</f>
        <v/>
      </c>
      <c r="X295" s="1293" t="str">
        <f>'🔵クレーム'!D286</f>
        <v/>
      </c>
      <c r="Y295" s="1292" t="str">
        <f>'🔵クレーム'!I286</f>
        <v/>
      </c>
      <c r="Z295" s="1293" t="str">
        <f>'🔵クレーム'!J286</f>
        <v/>
      </c>
      <c r="AA295" s="1293" t="str">
        <f>'🔵クレーム'!K286</f>
        <v/>
      </c>
      <c r="AB295" s="1293" t="str">
        <f>'🔵クレーム'!L286</f>
        <v/>
      </c>
      <c r="AC295" s="1295" t="str">
        <f>'🔵クレーム'!N286</f>
        <v/>
      </c>
    </row>
    <row r="296" hidden="1" outlineLevel="1">
      <c r="B296" s="1352"/>
      <c r="C296" s="1270"/>
      <c r="D296" s="1270"/>
      <c r="E296" s="1347"/>
      <c r="F296" s="1347"/>
      <c r="G296" s="1348"/>
      <c r="H296" s="246"/>
      <c r="I296" s="246"/>
      <c r="J296" s="246"/>
      <c r="K296" s="246"/>
      <c r="L296" s="246"/>
      <c r="M296" s="1349"/>
      <c r="O296" s="1293"/>
      <c r="P296" s="1293"/>
      <c r="Q296" s="1293"/>
      <c r="R296" s="1293"/>
      <c r="S296" s="1293"/>
      <c r="T296" s="1293"/>
      <c r="U296" s="1293"/>
      <c r="W296" s="1293" t="str">
        <f>'🔵クレーム'!C287</f>
        <v/>
      </c>
      <c r="X296" s="1293" t="str">
        <f>'🔵クレーム'!D287</f>
        <v/>
      </c>
      <c r="Y296" s="1292" t="str">
        <f>'🔵クレーム'!I287</f>
        <v/>
      </c>
      <c r="Z296" s="1293" t="str">
        <f>'🔵クレーム'!J287</f>
        <v/>
      </c>
      <c r="AA296" s="1293" t="str">
        <f>'🔵クレーム'!K287</f>
        <v/>
      </c>
      <c r="AB296" s="1293" t="str">
        <f>'🔵クレーム'!L287</f>
        <v/>
      </c>
      <c r="AC296" s="1295" t="str">
        <f>'🔵クレーム'!N287</f>
        <v/>
      </c>
    </row>
    <row r="297" hidden="1" outlineLevel="1">
      <c r="B297" s="1352"/>
      <c r="C297" s="1270"/>
      <c r="D297" s="1270"/>
      <c r="E297" s="1347"/>
      <c r="F297" s="1347"/>
      <c r="G297" s="1348"/>
      <c r="H297" s="246"/>
      <c r="I297" s="246"/>
      <c r="J297" s="246"/>
      <c r="K297" s="246"/>
      <c r="L297" s="246"/>
      <c r="M297" s="1349"/>
      <c r="O297" s="1293"/>
      <c r="P297" s="1293"/>
      <c r="Q297" s="1293"/>
      <c r="R297" s="1293"/>
      <c r="S297" s="1293"/>
      <c r="T297" s="1293"/>
      <c r="U297" s="1293"/>
      <c r="W297" s="1293" t="str">
        <f>'🔵クレーム'!C288</f>
        <v/>
      </c>
      <c r="X297" s="1293" t="str">
        <f>'🔵クレーム'!D288</f>
        <v/>
      </c>
      <c r="Y297" s="1292" t="str">
        <f>'🔵クレーム'!I288</f>
        <v/>
      </c>
      <c r="Z297" s="1293" t="str">
        <f>'🔵クレーム'!J288</f>
        <v/>
      </c>
      <c r="AA297" s="1293" t="str">
        <f>'🔵クレーム'!K288</f>
        <v/>
      </c>
      <c r="AB297" s="1293" t="str">
        <f>'🔵クレーム'!L288</f>
        <v/>
      </c>
      <c r="AC297" s="1295" t="str">
        <f>'🔵クレーム'!N288</f>
        <v/>
      </c>
    </row>
    <row r="298" hidden="1" outlineLevel="1">
      <c r="B298" s="1352"/>
      <c r="C298" s="1270"/>
      <c r="D298" s="1270"/>
      <c r="E298" s="1347"/>
      <c r="F298" s="1347"/>
      <c r="G298" s="1348"/>
      <c r="H298" s="246"/>
      <c r="I298" s="246"/>
      <c r="J298" s="246"/>
      <c r="K298" s="246"/>
      <c r="L298" s="246"/>
      <c r="M298" s="1349"/>
      <c r="O298" s="1293"/>
      <c r="P298" s="1293"/>
      <c r="Q298" s="1293"/>
      <c r="R298" s="1293"/>
      <c r="S298" s="1293"/>
      <c r="T298" s="1293"/>
      <c r="U298" s="1293"/>
      <c r="W298" s="1293" t="str">
        <f>'🔵クレーム'!C289</f>
        <v/>
      </c>
      <c r="X298" s="1293" t="str">
        <f>'🔵クレーム'!D289</f>
        <v/>
      </c>
      <c r="Y298" s="1292" t="str">
        <f>'🔵クレーム'!I289</f>
        <v/>
      </c>
      <c r="Z298" s="1293" t="str">
        <f>'🔵クレーム'!J289</f>
        <v/>
      </c>
      <c r="AA298" s="1293" t="str">
        <f>'🔵クレーム'!K289</f>
        <v/>
      </c>
      <c r="AB298" s="1293" t="str">
        <f>'🔵クレーム'!L289</f>
        <v/>
      </c>
      <c r="AC298" s="1295" t="str">
        <f>'🔵クレーム'!N289</f>
        <v/>
      </c>
    </row>
    <row r="299" hidden="1" outlineLevel="1">
      <c r="B299" s="1352"/>
      <c r="C299" s="1270"/>
      <c r="D299" s="1270"/>
      <c r="E299" s="1347"/>
      <c r="F299" s="1347"/>
      <c r="G299" s="1348"/>
      <c r="H299" s="246"/>
      <c r="I299" s="246"/>
      <c r="J299" s="246"/>
      <c r="K299" s="246"/>
      <c r="L299" s="246"/>
      <c r="M299" s="1349"/>
      <c r="O299" s="1293"/>
      <c r="P299" s="1293"/>
      <c r="Q299" s="1293"/>
      <c r="R299" s="1293"/>
      <c r="S299" s="1293"/>
      <c r="T299" s="1293"/>
      <c r="U299" s="1293"/>
      <c r="W299" s="1293" t="str">
        <f>'🔵クレーム'!C290</f>
        <v/>
      </c>
      <c r="X299" s="1293" t="str">
        <f>'🔵クレーム'!D290</f>
        <v/>
      </c>
      <c r="Y299" s="1292" t="str">
        <f>'🔵クレーム'!I290</f>
        <v/>
      </c>
      <c r="Z299" s="1293" t="str">
        <f>'🔵クレーム'!J290</f>
        <v/>
      </c>
      <c r="AA299" s="1293" t="str">
        <f>'🔵クレーム'!K290</f>
        <v/>
      </c>
      <c r="AB299" s="1293" t="str">
        <f>'🔵クレーム'!L290</f>
        <v/>
      </c>
      <c r="AC299" s="1295" t="str">
        <f>'🔵クレーム'!N290</f>
        <v/>
      </c>
    </row>
    <row r="300" hidden="1" outlineLevel="1">
      <c r="B300" s="1354"/>
      <c r="C300" s="1355"/>
      <c r="D300" s="1355"/>
      <c r="E300" s="1356"/>
      <c r="F300" s="1356"/>
      <c r="G300" s="1348"/>
      <c r="H300" s="246"/>
      <c r="I300" s="246"/>
      <c r="J300" s="246"/>
      <c r="K300" s="246"/>
      <c r="L300" s="246"/>
      <c r="M300" s="1349"/>
      <c r="O300" s="1293"/>
      <c r="P300" s="1293"/>
      <c r="Q300" s="1293"/>
      <c r="R300" s="1293"/>
      <c r="S300" s="1293"/>
      <c r="T300" s="1293"/>
      <c r="U300" s="1293"/>
      <c r="W300" s="1293" t="str">
        <f>'🔵クレーム'!C291</f>
        <v/>
      </c>
      <c r="X300" s="1293" t="str">
        <f>'🔵クレーム'!D291</f>
        <v/>
      </c>
      <c r="Y300" s="1292" t="str">
        <f>'🔵クレーム'!I291</f>
        <v/>
      </c>
      <c r="Z300" s="1293" t="str">
        <f>'🔵クレーム'!J291</f>
        <v/>
      </c>
      <c r="AA300" s="1293" t="str">
        <f>'🔵クレーム'!K291</f>
        <v/>
      </c>
      <c r="AB300" s="1293" t="str">
        <f>'🔵クレーム'!L291</f>
        <v/>
      </c>
      <c r="AC300" s="1295" t="str">
        <f>'🔵クレーム'!N291</f>
        <v/>
      </c>
    </row>
    <row r="301">
      <c r="B301" s="20"/>
      <c r="C301" s="20"/>
      <c r="D301" s="20"/>
      <c r="E301" s="338"/>
      <c r="J301" s="23" t="s">
        <v>1061</v>
      </c>
    </row>
    <row r="302">
      <c r="B302" s="20"/>
      <c r="C302" s="20"/>
      <c r="D302" s="20"/>
      <c r="E302" s="338"/>
      <c r="F302" s="20"/>
      <c r="G302" s="20"/>
      <c r="H302" s="20"/>
      <c r="I302" s="20"/>
      <c r="J302" s="20" t="s">
        <v>1061</v>
      </c>
      <c r="K302" s="20"/>
      <c r="L302" s="20"/>
      <c r="O302" s="1293"/>
      <c r="P302" s="1293"/>
      <c r="Q302" s="1293"/>
      <c r="R302" s="1293"/>
      <c r="S302" s="1293"/>
      <c r="T302" s="1293"/>
      <c r="U302" s="1293"/>
      <c r="W302" s="1293" t="str">
        <f>'🔵クレーム'!C293</f>
        <v/>
      </c>
      <c r="X302" s="1293" t="str">
        <f>'🔵クレーム'!D293</f>
        <v/>
      </c>
      <c r="Y302" s="1292" t="str">
        <f>'🔵クレーム'!I293</f>
        <v/>
      </c>
      <c r="Z302" s="1293" t="str">
        <f>'🔵クレーム'!J293</f>
        <v/>
      </c>
      <c r="AA302" s="1293" t="str">
        <f>'🔵クレーム'!K293</f>
        <v/>
      </c>
      <c r="AB302" s="1293" t="str">
        <f>'🔵クレーム'!L293</f>
        <v/>
      </c>
      <c r="AC302" s="1295" t="str">
        <f>'🔵クレーム'!N293</f>
        <v/>
      </c>
    </row>
    <row r="303">
      <c r="B303" s="20"/>
      <c r="C303" s="20"/>
      <c r="D303" s="20"/>
      <c r="E303" s="338"/>
      <c r="F303" s="20"/>
      <c r="G303" s="20"/>
      <c r="H303" s="20"/>
      <c r="I303" s="20"/>
      <c r="J303" s="20" t="s">
        <v>1061</v>
      </c>
      <c r="K303" s="20"/>
      <c r="L303" s="20"/>
      <c r="O303" s="1293"/>
      <c r="P303" s="1293"/>
      <c r="Q303" s="1293"/>
      <c r="R303" s="1293"/>
      <c r="S303" s="1293"/>
      <c r="T303" s="1293"/>
      <c r="U303" s="1293"/>
      <c r="W303" s="1293" t="str">
        <f>'🔵クレーム'!C294</f>
        <v/>
      </c>
      <c r="X303" s="1293" t="str">
        <f>'🔵クレーム'!D294</f>
        <v/>
      </c>
      <c r="Y303" s="1292" t="str">
        <f>'🔵クレーム'!I294</f>
        <v/>
      </c>
      <c r="Z303" s="1293" t="str">
        <f>'🔵クレーム'!J294</f>
        <v/>
      </c>
      <c r="AA303" s="1293" t="str">
        <f>'🔵クレーム'!K294</f>
        <v/>
      </c>
      <c r="AB303" s="1293" t="str">
        <f>'🔵クレーム'!L294</f>
        <v/>
      </c>
      <c r="AC303" s="1295" t="str">
        <f>'🔵クレーム'!N294</f>
        <v/>
      </c>
    </row>
    <row r="304">
      <c r="B304" s="20"/>
      <c r="C304" s="20"/>
      <c r="D304" s="20"/>
      <c r="E304" s="338"/>
      <c r="F304" s="20"/>
      <c r="G304" s="20"/>
      <c r="H304" s="20"/>
      <c r="I304" s="20"/>
      <c r="J304" s="20" t="s">
        <v>1061</v>
      </c>
      <c r="K304" s="20"/>
      <c r="L304" s="20"/>
      <c r="O304" s="1293"/>
      <c r="P304" s="1293"/>
      <c r="Q304" s="1293"/>
      <c r="R304" s="1293"/>
      <c r="S304" s="1293"/>
      <c r="T304" s="1293"/>
      <c r="U304" s="1293"/>
      <c r="W304" s="1293" t="str">
        <f>'🔵クレーム'!C295</f>
        <v/>
      </c>
      <c r="X304" s="1293" t="str">
        <f>'🔵クレーム'!D295</f>
        <v/>
      </c>
      <c r="Y304" s="1292" t="str">
        <f>'🔵クレーム'!I295</f>
        <v/>
      </c>
      <c r="Z304" s="1293" t="str">
        <f>'🔵クレーム'!J295</f>
        <v/>
      </c>
      <c r="AA304" s="1293" t="str">
        <f>'🔵クレーム'!K295</f>
        <v/>
      </c>
      <c r="AB304" s="1293" t="str">
        <f>'🔵クレーム'!L295</f>
        <v/>
      </c>
      <c r="AC304" s="1295" t="str">
        <f>'🔵クレーム'!N295</f>
        <v/>
      </c>
    </row>
    <row r="305">
      <c r="B305" s="20"/>
      <c r="C305" s="20"/>
      <c r="D305" s="20"/>
      <c r="E305" s="338"/>
      <c r="F305" s="20"/>
      <c r="G305" s="20"/>
      <c r="H305" s="20"/>
      <c r="I305" s="20"/>
      <c r="J305" s="20" t="s">
        <v>1061</v>
      </c>
      <c r="K305" s="20"/>
      <c r="L305" s="20"/>
      <c r="O305" s="1293"/>
      <c r="P305" s="1293"/>
      <c r="Q305" s="1293"/>
      <c r="R305" s="1293"/>
      <c r="S305" s="1293"/>
      <c r="T305" s="1293"/>
      <c r="U305" s="1293"/>
      <c r="W305" s="1293" t="str">
        <f>'🔵クレーム'!C296</f>
        <v/>
      </c>
      <c r="X305" s="1293" t="str">
        <f>'🔵クレーム'!D296</f>
        <v/>
      </c>
      <c r="Y305" s="1292" t="str">
        <f>'🔵クレーム'!I296</f>
        <v/>
      </c>
      <c r="Z305" s="1293" t="str">
        <f>'🔵クレーム'!J296</f>
        <v/>
      </c>
      <c r="AA305" s="1293" t="str">
        <f>'🔵クレーム'!K296</f>
        <v/>
      </c>
      <c r="AB305" s="1293" t="str">
        <f>'🔵クレーム'!L296</f>
        <v/>
      </c>
      <c r="AC305" s="1295" t="str">
        <f>'🔵クレーム'!N296</f>
        <v/>
      </c>
    </row>
    <row r="306">
      <c r="B306" s="20"/>
      <c r="C306" s="20"/>
      <c r="D306" s="20"/>
      <c r="E306" s="338"/>
      <c r="F306" s="20"/>
      <c r="G306" s="20"/>
      <c r="H306" s="20"/>
      <c r="I306" s="20"/>
      <c r="J306" s="20" t="s">
        <v>1061</v>
      </c>
      <c r="K306" s="20"/>
      <c r="L306" s="20"/>
      <c r="O306" s="1293"/>
      <c r="P306" s="1293"/>
      <c r="Q306" s="1293"/>
      <c r="R306" s="1293"/>
      <c r="S306" s="1293"/>
      <c r="T306" s="1293"/>
      <c r="U306" s="1293"/>
      <c r="W306" s="1293" t="str">
        <f>'🔵クレーム'!C297</f>
        <v/>
      </c>
      <c r="X306" s="1293" t="str">
        <f>'🔵クレーム'!D297</f>
        <v/>
      </c>
      <c r="Y306" s="1292" t="str">
        <f>'🔵クレーム'!I297</f>
        <v/>
      </c>
      <c r="Z306" s="1293" t="str">
        <f>'🔵クレーム'!J297</f>
        <v/>
      </c>
      <c r="AA306" s="1293" t="str">
        <f>'🔵クレーム'!K297</f>
        <v/>
      </c>
      <c r="AB306" s="1293" t="str">
        <f>'🔵クレーム'!L297</f>
        <v/>
      </c>
      <c r="AC306" s="1295" t="str">
        <f>'🔵クレーム'!N297</f>
        <v/>
      </c>
    </row>
    <row r="307">
      <c r="B307" s="20"/>
      <c r="C307" s="20"/>
      <c r="D307" s="20"/>
      <c r="E307" s="338"/>
      <c r="F307" s="20"/>
      <c r="G307" s="20"/>
      <c r="H307" s="20"/>
      <c r="I307" s="20"/>
      <c r="J307" s="20" t="s">
        <v>1061</v>
      </c>
      <c r="K307" s="20"/>
      <c r="L307" s="20"/>
      <c r="O307" s="1293"/>
      <c r="P307" s="1293"/>
      <c r="Q307" s="1293"/>
      <c r="R307" s="1293"/>
      <c r="S307" s="1293"/>
      <c r="T307" s="1293"/>
      <c r="U307" s="1293"/>
      <c r="W307" s="1293" t="str">
        <f>'🔵クレーム'!C298</f>
        <v/>
      </c>
      <c r="X307" s="1293" t="str">
        <f>'🔵クレーム'!D298</f>
        <v/>
      </c>
      <c r="Y307" s="1292" t="str">
        <f>'🔵クレーム'!I298</f>
        <v/>
      </c>
      <c r="Z307" s="1293" t="str">
        <f>'🔵クレーム'!J298</f>
        <v/>
      </c>
      <c r="AA307" s="1293" t="str">
        <f>'🔵クレーム'!K298</f>
        <v/>
      </c>
      <c r="AB307" s="1293" t="str">
        <f>'🔵クレーム'!L298</f>
        <v/>
      </c>
      <c r="AC307" s="1295" t="str">
        <f>'🔵クレーム'!N298</f>
        <v/>
      </c>
    </row>
    <row r="308">
      <c r="B308" s="20"/>
      <c r="C308" s="20"/>
      <c r="D308" s="20"/>
      <c r="E308" s="338"/>
      <c r="F308" s="20"/>
      <c r="G308" s="20"/>
      <c r="H308" s="20"/>
      <c r="I308" s="20"/>
      <c r="J308" s="20" t="s">
        <v>1061</v>
      </c>
      <c r="K308" s="20"/>
      <c r="L308" s="20"/>
      <c r="O308" s="1293"/>
      <c r="P308" s="1293"/>
      <c r="Q308" s="1293"/>
      <c r="R308" s="1293"/>
      <c r="S308" s="1293"/>
      <c r="T308" s="1293"/>
      <c r="U308" s="1293"/>
      <c r="W308" s="1293" t="str">
        <f>'🔵クレーム'!C299</f>
        <v/>
      </c>
      <c r="X308" s="1293" t="str">
        <f>'🔵クレーム'!D299</f>
        <v/>
      </c>
      <c r="Y308" s="1292" t="str">
        <f>'🔵クレーム'!I299</f>
        <v/>
      </c>
      <c r="Z308" s="1293" t="str">
        <f>'🔵クレーム'!J299</f>
        <v/>
      </c>
      <c r="AA308" s="1293" t="str">
        <f>'🔵クレーム'!K299</f>
        <v/>
      </c>
      <c r="AB308" s="1293" t="str">
        <f>'🔵クレーム'!L299</f>
        <v/>
      </c>
      <c r="AC308" s="1295" t="str">
        <f>'🔵クレーム'!N299</f>
        <v/>
      </c>
    </row>
    <row r="309">
      <c r="B309" s="20"/>
      <c r="C309" s="20"/>
      <c r="D309" s="20"/>
      <c r="E309" s="338"/>
      <c r="F309" s="20"/>
      <c r="G309" s="20"/>
      <c r="H309" s="20"/>
      <c r="I309" s="20"/>
      <c r="J309" s="20" t="s">
        <v>1061</v>
      </c>
      <c r="K309" s="20"/>
      <c r="L309" s="20"/>
      <c r="O309" s="1293"/>
      <c r="P309" s="1293"/>
      <c r="Q309" s="1293"/>
      <c r="R309" s="1293"/>
      <c r="S309" s="1293"/>
      <c r="T309" s="1293"/>
      <c r="U309" s="1293"/>
      <c r="W309" s="1293" t="str">
        <f>'🔵クレーム'!C300</f>
        <v/>
      </c>
      <c r="X309" s="1293" t="str">
        <f>'🔵クレーム'!D300</f>
        <v/>
      </c>
      <c r="Y309" s="1292" t="str">
        <f>'🔵クレーム'!I300</f>
        <v/>
      </c>
      <c r="Z309" s="1293" t="str">
        <f>'🔵クレーム'!J300</f>
        <v/>
      </c>
      <c r="AA309" s="1293" t="str">
        <f>'🔵クレーム'!K300</f>
        <v/>
      </c>
      <c r="AB309" s="1293" t="str">
        <f>'🔵クレーム'!L300</f>
        <v/>
      </c>
      <c r="AC309" s="1295" t="str">
        <f>'🔵クレーム'!N300</f>
        <v/>
      </c>
    </row>
    <row r="310">
      <c r="B310" s="20"/>
      <c r="C310" s="20"/>
      <c r="D310" s="20"/>
      <c r="E310" s="338"/>
      <c r="F310" s="20"/>
      <c r="G310" s="20"/>
      <c r="H310" s="20"/>
      <c r="I310" s="20"/>
      <c r="J310" s="20" t="s">
        <v>1061</v>
      </c>
      <c r="K310" s="20"/>
      <c r="L310" s="20"/>
      <c r="O310" s="1293"/>
      <c r="P310" s="1293"/>
      <c r="Q310" s="1293"/>
      <c r="R310" s="1293"/>
      <c r="S310" s="1293"/>
      <c r="T310" s="1293"/>
      <c r="U310" s="1293"/>
      <c r="W310" s="1293" t="str">
        <f>'🔵クレーム'!C301</f>
        <v/>
      </c>
      <c r="X310" s="1293" t="str">
        <f>'🔵クレーム'!D301</f>
        <v/>
      </c>
      <c r="Y310" s="1292" t="str">
        <f>'🔵クレーム'!I301</f>
        <v/>
      </c>
      <c r="Z310" s="1293" t="str">
        <f>'🔵クレーム'!J301</f>
        <v/>
      </c>
      <c r="AA310" s="1293" t="str">
        <f>'🔵クレーム'!K301</f>
        <v/>
      </c>
      <c r="AB310" s="1293" t="str">
        <f>'🔵クレーム'!L301</f>
        <v/>
      </c>
      <c r="AC310" s="1295" t="str">
        <f>'🔵クレーム'!N301</f>
        <v/>
      </c>
    </row>
    <row r="311">
      <c r="B311" s="20"/>
      <c r="C311" s="20"/>
      <c r="D311" s="20"/>
      <c r="E311" s="338"/>
      <c r="F311" s="20"/>
      <c r="G311" s="20"/>
      <c r="H311" s="20"/>
      <c r="I311" s="20"/>
      <c r="J311" s="20" t="s">
        <v>1061</v>
      </c>
      <c r="K311" s="20"/>
      <c r="L311" s="20"/>
      <c r="O311" s="1293"/>
      <c r="P311" s="1293"/>
      <c r="Q311" s="1293"/>
      <c r="R311" s="1293"/>
      <c r="S311" s="1293"/>
      <c r="T311" s="1293"/>
      <c r="U311" s="1293"/>
      <c r="W311" s="1293" t="str">
        <f>'🔵クレーム'!C302</f>
        <v/>
      </c>
      <c r="X311" s="1293" t="str">
        <f>'🔵クレーム'!D302</f>
        <v/>
      </c>
      <c r="Y311" s="1292" t="str">
        <f>'🔵クレーム'!I302</f>
        <v/>
      </c>
      <c r="Z311" s="1293" t="str">
        <f>'🔵クレーム'!J302</f>
        <v/>
      </c>
      <c r="AA311" s="1293" t="str">
        <f>'🔵クレーム'!K302</f>
        <v/>
      </c>
      <c r="AB311" s="1293" t="str">
        <f>'🔵クレーム'!L302</f>
        <v/>
      </c>
      <c r="AC311" s="1295" t="str">
        <f>'🔵クレーム'!N302</f>
        <v/>
      </c>
    </row>
    <row r="312">
      <c r="B312" s="20"/>
      <c r="C312" s="20"/>
      <c r="D312" s="20"/>
      <c r="E312" s="338"/>
      <c r="F312" s="20"/>
      <c r="G312" s="20"/>
      <c r="H312" s="20"/>
      <c r="I312" s="20"/>
      <c r="J312" s="20" t="s">
        <v>1061</v>
      </c>
      <c r="K312" s="20"/>
      <c r="L312" s="20"/>
      <c r="O312" s="1293"/>
      <c r="P312" s="1293"/>
      <c r="Q312" s="1293"/>
      <c r="R312" s="1293"/>
      <c r="S312" s="1293"/>
      <c r="T312" s="1293"/>
      <c r="U312" s="1293"/>
      <c r="W312" s="1293" t="str">
        <f>'🔵クレーム'!C303</f>
        <v/>
      </c>
      <c r="X312" s="1293" t="str">
        <f>'🔵クレーム'!D303</f>
        <v/>
      </c>
      <c r="Y312" s="1292" t="str">
        <f>'🔵クレーム'!I303</f>
        <v/>
      </c>
      <c r="Z312" s="1293" t="str">
        <f>'🔵クレーム'!J303</f>
        <v/>
      </c>
      <c r="AA312" s="1293" t="str">
        <f>'🔵クレーム'!K303</f>
        <v/>
      </c>
      <c r="AB312" s="1293" t="str">
        <f>'🔵クレーム'!L303</f>
        <v/>
      </c>
      <c r="AC312" s="1295" t="str">
        <f>'🔵クレーム'!N303</f>
        <v/>
      </c>
    </row>
    <row r="313">
      <c r="B313" s="20"/>
      <c r="C313" s="20"/>
      <c r="D313" s="20"/>
      <c r="E313" s="338"/>
      <c r="F313" s="20"/>
      <c r="G313" s="20"/>
      <c r="H313" s="20"/>
      <c r="I313" s="20"/>
      <c r="J313" s="20" t="s">
        <v>1061</v>
      </c>
      <c r="K313" s="20"/>
      <c r="L313" s="20"/>
      <c r="O313" s="1293"/>
      <c r="P313" s="1293"/>
      <c r="Q313" s="1293"/>
      <c r="R313" s="1293"/>
      <c r="S313" s="1293"/>
      <c r="T313" s="1293"/>
      <c r="U313" s="1293"/>
      <c r="W313" s="1293" t="str">
        <f>'🔵クレーム'!C304</f>
        <v/>
      </c>
      <c r="X313" s="1293" t="str">
        <f>'🔵クレーム'!D304</f>
        <v/>
      </c>
      <c r="Y313" s="1292" t="str">
        <f>'🔵クレーム'!I304</f>
        <v/>
      </c>
      <c r="Z313" s="1293" t="str">
        <f>'🔵クレーム'!J304</f>
        <v/>
      </c>
      <c r="AA313" s="1293" t="str">
        <f>'🔵クレーム'!K304</f>
        <v/>
      </c>
      <c r="AB313" s="1293" t="str">
        <f>'🔵クレーム'!L304</f>
        <v/>
      </c>
      <c r="AC313" s="1295" t="str">
        <f>'🔵クレーム'!N304</f>
        <v/>
      </c>
    </row>
    <row r="314">
      <c r="B314" s="20"/>
      <c r="C314" s="20"/>
      <c r="D314" s="20"/>
      <c r="E314" s="338"/>
      <c r="F314" s="20"/>
      <c r="G314" s="20"/>
      <c r="H314" s="20"/>
      <c r="I314" s="20"/>
      <c r="J314" s="20" t="s">
        <v>1061</v>
      </c>
      <c r="K314" s="20"/>
      <c r="L314" s="20"/>
      <c r="O314" s="1293"/>
      <c r="P314" s="1293"/>
      <c r="Q314" s="1293"/>
      <c r="R314" s="1293"/>
      <c r="S314" s="1293"/>
      <c r="T314" s="1293"/>
      <c r="U314" s="1293"/>
      <c r="W314" s="1293" t="str">
        <f>'🔵クレーム'!C305</f>
        <v/>
      </c>
      <c r="X314" s="1293" t="str">
        <f>'🔵クレーム'!D305</f>
        <v/>
      </c>
      <c r="Y314" s="1292" t="str">
        <f>'🔵クレーム'!I305</f>
        <v/>
      </c>
      <c r="Z314" s="1293" t="str">
        <f>'🔵クレーム'!J305</f>
        <v/>
      </c>
      <c r="AA314" s="1293" t="str">
        <f>'🔵クレーム'!K305</f>
        <v/>
      </c>
      <c r="AB314" s="1293" t="str">
        <f>'🔵クレーム'!L305</f>
        <v/>
      </c>
      <c r="AC314" s="1295" t="str">
        <f>'🔵クレーム'!N305</f>
        <v/>
      </c>
    </row>
    <row r="315">
      <c r="B315" s="20"/>
      <c r="C315" s="20"/>
      <c r="D315" s="20"/>
      <c r="E315" s="338"/>
      <c r="F315" s="20"/>
      <c r="G315" s="20"/>
      <c r="H315" s="20"/>
      <c r="I315" s="20"/>
      <c r="J315" s="20" t="s">
        <v>1061</v>
      </c>
      <c r="K315" s="20"/>
      <c r="L315" s="20"/>
      <c r="O315" s="1293"/>
      <c r="P315" s="1293"/>
      <c r="Q315" s="1293"/>
      <c r="R315" s="1293"/>
      <c r="S315" s="1293"/>
      <c r="T315" s="1293"/>
      <c r="U315" s="1293"/>
      <c r="W315" s="1293" t="str">
        <f>'🔵クレーム'!C306</f>
        <v/>
      </c>
      <c r="X315" s="1293" t="str">
        <f>'🔵クレーム'!D306</f>
        <v/>
      </c>
      <c r="Y315" s="1292" t="str">
        <f>'🔵クレーム'!I306</f>
        <v/>
      </c>
      <c r="Z315" s="1293" t="str">
        <f>'🔵クレーム'!J306</f>
        <v/>
      </c>
      <c r="AA315" s="1293" t="str">
        <f>'🔵クレーム'!K306</f>
        <v/>
      </c>
      <c r="AB315" s="1293" t="str">
        <f>'🔵クレーム'!L306</f>
        <v/>
      </c>
      <c r="AC315" s="1295" t="str">
        <f>'🔵クレーム'!N306</f>
        <v/>
      </c>
    </row>
    <row r="316">
      <c r="B316" s="20"/>
      <c r="C316" s="20"/>
      <c r="D316" s="20"/>
      <c r="E316" s="338"/>
      <c r="F316" s="20"/>
      <c r="G316" s="20"/>
      <c r="H316" s="20"/>
      <c r="I316" s="20"/>
      <c r="J316" s="20" t="s">
        <v>1061</v>
      </c>
      <c r="K316" s="20"/>
      <c r="L316" s="20"/>
      <c r="O316" s="1293"/>
      <c r="P316" s="1293"/>
      <c r="Q316" s="1293"/>
      <c r="R316" s="1293"/>
      <c r="S316" s="1293"/>
      <c r="T316" s="1293"/>
      <c r="U316" s="1293"/>
      <c r="W316" s="1293" t="str">
        <f>'🔵クレーム'!C307</f>
        <v/>
      </c>
      <c r="X316" s="1293" t="str">
        <f>'🔵クレーム'!D307</f>
        <v/>
      </c>
      <c r="Y316" s="1292" t="str">
        <f>'🔵クレーム'!I307</f>
        <v/>
      </c>
      <c r="Z316" s="1293" t="str">
        <f>'🔵クレーム'!J307</f>
        <v/>
      </c>
      <c r="AA316" s="1293" t="str">
        <f>'🔵クレーム'!K307</f>
        <v/>
      </c>
      <c r="AB316" s="1293" t="str">
        <f>'🔵クレーム'!L307</f>
        <v/>
      </c>
      <c r="AC316" s="1295" t="str">
        <f>'🔵クレーム'!N307</f>
        <v/>
      </c>
    </row>
    <row r="317">
      <c r="B317" s="20"/>
      <c r="C317" s="20"/>
      <c r="D317" s="20"/>
      <c r="E317" s="338"/>
      <c r="F317" s="20"/>
      <c r="G317" s="20"/>
      <c r="H317" s="20"/>
      <c r="I317" s="20"/>
      <c r="J317" s="20" t="s">
        <v>1061</v>
      </c>
      <c r="K317" s="20"/>
      <c r="L317" s="20"/>
      <c r="O317" s="1293"/>
      <c r="P317" s="1293"/>
      <c r="Q317" s="1293"/>
      <c r="R317" s="1293"/>
      <c r="S317" s="1293"/>
      <c r="T317" s="1293"/>
      <c r="U317" s="1293"/>
      <c r="W317" s="1293" t="str">
        <f>'🔵クレーム'!C308</f>
        <v/>
      </c>
      <c r="X317" s="1293" t="str">
        <f>'🔵クレーム'!D308</f>
        <v/>
      </c>
      <c r="Y317" s="1292" t="str">
        <f>'🔵クレーム'!I308</f>
        <v/>
      </c>
      <c r="Z317" s="1293" t="str">
        <f>'🔵クレーム'!J308</f>
        <v/>
      </c>
      <c r="AA317" s="1293" t="str">
        <f>'🔵クレーム'!K308</f>
        <v/>
      </c>
      <c r="AB317" s="1293" t="str">
        <f>'🔵クレーム'!L308</f>
        <v/>
      </c>
      <c r="AC317" s="1295" t="str">
        <f>'🔵クレーム'!N308</f>
        <v/>
      </c>
    </row>
    <row r="318">
      <c r="B318" s="20"/>
      <c r="C318" s="20"/>
      <c r="D318" s="20"/>
      <c r="E318" s="338"/>
      <c r="F318" s="20"/>
      <c r="G318" s="20"/>
      <c r="H318" s="20"/>
      <c r="I318" s="20"/>
      <c r="J318" s="20" t="s">
        <v>1061</v>
      </c>
      <c r="K318" s="20"/>
      <c r="L318" s="20"/>
      <c r="O318" s="1293"/>
      <c r="P318" s="1293"/>
      <c r="Q318" s="1293"/>
      <c r="R318" s="1293"/>
      <c r="S318" s="1293"/>
      <c r="T318" s="1293"/>
      <c r="U318" s="1293"/>
      <c r="W318" s="1293" t="str">
        <f>'🔵クレーム'!C309</f>
        <v/>
      </c>
      <c r="X318" s="1293" t="str">
        <f>'🔵クレーム'!D309</f>
        <v/>
      </c>
      <c r="Y318" s="1292" t="str">
        <f>'🔵クレーム'!I309</f>
        <v/>
      </c>
      <c r="Z318" s="1293" t="str">
        <f>'🔵クレーム'!J309</f>
        <v/>
      </c>
      <c r="AA318" s="1293" t="str">
        <f>'🔵クレーム'!K309</f>
        <v/>
      </c>
      <c r="AB318" s="1293" t="str">
        <f>'🔵クレーム'!L309</f>
        <v/>
      </c>
      <c r="AC318" s="1295" t="str">
        <f>'🔵クレーム'!N309</f>
        <v/>
      </c>
    </row>
    <row r="319">
      <c r="B319" s="20"/>
      <c r="C319" s="20"/>
      <c r="D319" s="20"/>
      <c r="E319" s="338"/>
      <c r="F319" s="20"/>
      <c r="G319" s="20"/>
      <c r="H319" s="20"/>
      <c r="I319" s="20"/>
      <c r="J319" s="20" t="s">
        <v>1061</v>
      </c>
      <c r="K319" s="20"/>
      <c r="L319" s="20"/>
      <c r="O319" s="1293"/>
      <c r="P319" s="1293"/>
      <c r="Q319" s="1293"/>
      <c r="R319" s="1293"/>
      <c r="S319" s="1293"/>
      <c r="T319" s="1293"/>
      <c r="U319" s="1293"/>
      <c r="W319" s="1293" t="str">
        <f>'🔵クレーム'!C310</f>
        <v/>
      </c>
      <c r="X319" s="1293" t="str">
        <f>'🔵クレーム'!D310</f>
        <v/>
      </c>
      <c r="Y319" s="1292" t="str">
        <f>'🔵クレーム'!I310</f>
        <v/>
      </c>
      <c r="Z319" s="1293" t="str">
        <f>'🔵クレーム'!J310</f>
        <v/>
      </c>
      <c r="AA319" s="1293" t="str">
        <f>'🔵クレーム'!K310</f>
        <v/>
      </c>
      <c r="AB319" s="1293" t="str">
        <f>'🔵クレーム'!L310</f>
        <v/>
      </c>
      <c r="AC319" s="1295" t="str">
        <f>'🔵クレーム'!N310</f>
        <v/>
      </c>
    </row>
    <row r="320">
      <c r="B320" s="20"/>
      <c r="C320" s="20"/>
      <c r="D320" s="20"/>
      <c r="E320" s="338"/>
      <c r="F320" s="20"/>
      <c r="G320" s="20"/>
      <c r="H320" s="20"/>
      <c r="I320" s="20"/>
      <c r="J320" s="20" t="s">
        <v>1061</v>
      </c>
      <c r="K320" s="20"/>
      <c r="L320" s="20"/>
      <c r="O320" s="1293"/>
      <c r="P320" s="1293"/>
      <c r="Q320" s="1293"/>
      <c r="R320" s="1293"/>
      <c r="S320" s="1293"/>
      <c r="T320" s="1293"/>
      <c r="U320" s="1293"/>
      <c r="W320" s="1293" t="str">
        <f>'🔵クレーム'!C311</f>
        <v/>
      </c>
      <c r="X320" s="1293" t="str">
        <f>'🔵クレーム'!D311</f>
        <v/>
      </c>
      <c r="Y320" s="1292" t="str">
        <f>'🔵クレーム'!I311</f>
        <v/>
      </c>
      <c r="Z320" s="1293" t="str">
        <f>'🔵クレーム'!J311</f>
        <v/>
      </c>
      <c r="AA320" s="1293" t="str">
        <f>'🔵クレーム'!K311</f>
        <v/>
      </c>
      <c r="AB320" s="1293" t="str">
        <f>'🔵クレーム'!L311</f>
        <v/>
      </c>
      <c r="AC320" s="1295" t="str">
        <f>'🔵クレーム'!N311</f>
        <v/>
      </c>
    </row>
    <row r="321">
      <c r="B321" s="20"/>
      <c r="C321" s="20"/>
      <c r="D321" s="20"/>
      <c r="E321" s="338"/>
      <c r="F321" s="20"/>
      <c r="G321" s="20"/>
      <c r="H321" s="20"/>
      <c r="I321" s="20"/>
      <c r="J321" s="20" t="s">
        <v>1061</v>
      </c>
      <c r="K321" s="20"/>
      <c r="L321" s="20"/>
      <c r="O321" s="1293"/>
      <c r="P321" s="1293"/>
      <c r="Q321" s="1293"/>
      <c r="R321" s="1293"/>
      <c r="S321" s="1293"/>
      <c r="T321" s="1293"/>
      <c r="U321" s="1293"/>
      <c r="W321" s="1293" t="str">
        <f>'🔵クレーム'!C312</f>
        <v/>
      </c>
      <c r="X321" s="1293" t="str">
        <f>'🔵クレーム'!D312</f>
        <v/>
      </c>
      <c r="Y321" s="1292" t="str">
        <f>'🔵クレーム'!I312</f>
        <v/>
      </c>
      <c r="Z321" s="1293" t="str">
        <f>'🔵クレーム'!J312</f>
        <v/>
      </c>
      <c r="AA321" s="1293" t="str">
        <f>'🔵クレーム'!K312</f>
        <v/>
      </c>
      <c r="AB321" s="1293" t="str">
        <f>'🔵クレーム'!L312</f>
        <v/>
      </c>
      <c r="AC321" s="1295" t="str">
        <f>'🔵クレーム'!N312</f>
        <v/>
      </c>
    </row>
    <row r="322">
      <c r="B322" s="20"/>
      <c r="C322" s="20"/>
      <c r="D322" s="20"/>
      <c r="E322" s="338"/>
      <c r="F322" s="20"/>
      <c r="G322" s="20"/>
      <c r="H322" s="20"/>
      <c r="I322" s="20"/>
      <c r="J322" s="20" t="s">
        <v>1061</v>
      </c>
      <c r="K322" s="20"/>
      <c r="L322" s="20"/>
      <c r="O322" s="1293"/>
      <c r="P322" s="1293"/>
      <c r="Q322" s="1293"/>
      <c r="R322" s="1293"/>
      <c r="S322" s="1293"/>
      <c r="T322" s="1293"/>
      <c r="U322" s="1293"/>
      <c r="W322" s="1293" t="str">
        <f>'🔵クレーム'!C313</f>
        <v/>
      </c>
      <c r="X322" s="1293" t="str">
        <f>'🔵クレーム'!D313</f>
        <v/>
      </c>
      <c r="Y322" s="1292" t="str">
        <f>'🔵クレーム'!I313</f>
        <v/>
      </c>
      <c r="Z322" s="1293" t="str">
        <f>'🔵クレーム'!J313</f>
        <v/>
      </c>
      <c r="AA322" s="1293" t="str">
        <f>'🔵クレーム'!K313</f>
        <v/>
      </c>
      <c r="AB322" s="1293" t="str">
        <f>'🔵クレーム'!L313</f>
        <v/>
      </c>
      <c r="AC322" s="1295" t="str">
        <f>'🔵クレーム'!N313</f>
        <v/>
      </c>
    </row>
    <row r="323">
      <c r="B323" s="20"/>
      <c r="C323" s="20"/>
      <c r="D323" s="20"/>
      <c r="E323" s="338"/>
      <c r="F323" s="20"/>
      <c r="G323" s="20"/>
      <c r="H323" s="20"/>
      <c r="I323" s="20"/>
      <c r="J323" s="20" t="s">
        <v>1061</v>
      </c>
      <c r="K323" s="20"/>
      <c r="L323" s="20"/>
      <c r="O323" s="1293"/>
      <c r="P323" s="1293"/>
      <c r="Q323" s="1293"/>
      <c r="R323" s="1293"/>
      <c r="S323" s="1293"/>
      <c r="T323" s="1293"/>
      <c r="U323" s="1293"/>
      <c r="W323" s="1293" t="str">
        <f>'🔵クレーム'!C314</f>
        <v/>
      </c>
      <c r="X323" s="1293" t="str">
        <f>'🔵クレーム'!D314</f>
        <v/>
      </c>
      <c r="Y323" s="1292" t="str">
        <f>'🔵クレーム'!I314</f>
        <v/>
      </c>
      <c r="Z323" s="1293" t="str">
        <f>'🔵クレーム'!J314</f>
        <v/>
      </c>
      <c r="AA323" s="1293" t="str">
        <f>'🔵クレーム'!K314</f>
        <v/>
      </c>
      <c r="AB323" s="1293" t="str">
        <f>'🔵クレーム'!L314</f>
        <v/>
      </c>
      <c r="AC323" s="1295" t="str">
        <f>'🔵クレーム'!N314</f>
        <v/>
      </c>
    </row>
    <row r="324">
      <c r="B324" s="20"/>
      <c r="C324" s="20"/>
      <c r="D324" s="20"/>
      <c r="E324" s="338"/>
      <c r="F324" s="20"/>
      <c r="G324" s="20"/>
      <c r="H324" s="20"/>
      <c r="I324" s="20"/>
      <c r="J324" s="20" t="s">
        <v>1061</v>
      </c>
      <c r="K324" s="20"/>
      <c r="L324" s="20"/>
      <c r="O324" s="1293"/>
      <c r="P324" s="1293"/>
      <c r="Q324" s="1293"/>
      <c r="R324" s="1293"/>
      <c r="S324" s="1293"/>
      <c r="T324" s="1293"/>
      <c r="U324" s="1293"/>
      <c r="W324" s="1293" t="str">
        <f>'🔵クレーム'!C315</f>
        <v/>
      </c>
      <c r="X324" s="1293" t="str">
        <f>'🔵クレーム'!D315</f>
        <v/>
      </c>
      <c r="Y324" s="1292" t="str">
        <f>'🔵クレーム'!I315</f>
        <v/>
      </c>
      <c r="Z324" s="1293" t="str">
        <f>'🔵クレーム'!J315</f>
        <v/>
      </c>
      <c r="AA324" s="1293" t="str">
        <f>'🔵クレーム'!K315</f>
        <v/>
      </c>
      <c r="AB324" s="1293" t="str">
        <f>'🔵クレーム'!L315</f>
        <v/>
      </c>
      <c r="AC324" s="1295" t="str">
        <f>'🔵クレーム'!N315</f>
        <v/>
      </c>
    </row>
    <row r="325">
      <c r="B325" s="20"/>
      <c r="C325" s="20"/>
      <c r="D325" s="20"/>
      <c r="E325" s="338"/>
      <c r="F325" s="20"/>
      <c r="G325" s="20"/>
      <c r="H325" s="20"/>
      <c r="I325" s="20"/>
      <c r="J325" s="20" t="s">
        <v>1061</v>
      </c>
      <c r="K325" s="20"/>
      <c r="L325" s="20"/>
      <c r="O325" s="1293"/>
      <c r="P325" s="1293"/>
      <c r="Q325" s="1293"/>
      <c r="R325" s="1293"/>
      <c r="S325" s="1293"/>
      <c r="T325" s="1293"/>
      <c r="U325" s="1293"/>
      <c r="W325" s="1293" t="str">
        <f>'🔵クレーム'!C316</f>
        <v/>
      </c>
      <c r="X325" s="1293" t="str">
        <f>'🔵クレーム'!D316</f>
        <v/>
      </c>
      <c r="Y325" s="1292" t="str">
        <f>'🔵クレーム'!I316</f>
        <v/>
      </c>
      <c r="Z325" s="1293" t="str">
        <f>'🔵クレーム'!J316</f>
        <v/>
      </c>
      <c r="AA325" s="1293" t="str">
        <f>'🔵クレーム'!K316</f>
        <v/>
      </c>
      <c r="AB325" s="1293" t="str">
        <f>'🔵クレーム'!L316</f>
        <v/>
      </c>
      <c r="AC325" s="1295" t="str">
        <f>'🔵クレーム'!N316</f>
        <v/>
      </c>
    </row>
    <row r="326">
      <c r="B326" s="20"/>
      <c r="C326" s="20"/>
      <c r="D326" s="20"/>
      <c r="E326" s="338"/>
      <c r="F326" s="20"/>
      <c r="G326" s="20"/>
      <c r="H326" s="20"/>
      <c r="I326" s="20"/>
      <c r="J326" s="20" t="s">
        <v>1061</v>
      </c>
      <c r="K326" s="20"/>
      <c r="L326" s="20"/>
      <c r="O326" s="1293"/>
      <c r="P326" s="1293"/>
      <c r="Q326" s="1293"/>
      <c r="R326" s="1293"/>
      <c r="S326" s="1293"/>
      <c r="T326" s="1293"/>
      <c r="U326" s="1293"/>
      <c r="W326" s="1293" t="str">
        <f>'🔵クレーム'!C317</f>
        <v/>
      </c>
      <c r="X326" s="1293" t="str">
        <f>'🔵クレーム'!D317</f>
        <v/>
      </c>
      <c r="Y326" s="1292" t="str">
        <f>'🔵クレーム'!I317</f>
        <v/>
      </c>
      <c r="Z326" s="1293" t="str">
        <f>'🔵クレーム'!J317</f>
        <v/>
      </c>
      <c r="AA326" s="1293" t="str">
        <f>'🔵クレーム'!K317</f>
        <v/>
      </c>
      <c r="AB326" s="1293" t="str">
        <f>'🔵クレーム'!L317</f>
        <v/>
      </c>
      <c r="AC326" s="1295" t="str">
        <f>'🔵クレーム'!N317</f>
        <v/>
      </c>
    </row>
    <row r="327">
      <c r="B327" s="20"/>
      <c r="C327" s="20"/>
      <c r="D327" s="20"/>
      <c r="E327" s="338"/>
      <c r="F327" s="20"/>
      <c r="G327" s="20"/>
      <c r="H327" s="20"/>
      <c r="I327" s="20"/>
      <c r="J327" s="20" t="s">
        <v>1061</v>
      </c>
      <c r="K327" s="20"/>
      <c r="L327" s="20"/>
      <c r="O327" s="1293"/>
      <c r="P327" s="1293"/>
      <c r="Q327" s="1293"/>
      <c r="R327" s="1293"/>
      <c r="S327" s="1293"/>
      <c r="T327" s="1293"/>
      <c r="U327" s="1293"/>
      <c r="W327" s="1293" t="str">
        <f>'🔵クレーム'!C318</f>
        <v/>
      </c>
      <c r="X327" s="1293" t="str">
        <f>'🔵クレーム'!D318</f>
        <v/>
      </c>
      <c r="Y327" s="1292" t="str">
        <f>'🔵クレーム'!I318</f>
        <v/>
      </c>
      <c r="Z327" s="1293" t="str">
        <f>'🔵クレーム'!J318</f>
        <v/>
      </c>
      <c r="AA327" s="1293" t="str">
        <f>'🔵クレーム'!K318</f>
        <v/>
      </c>
      <c r="AB327" s="1293" t="str">
        <f>'🔵クレーム'!L318</f>
        <v/>
      </c>
      <c r="AC327" s="1295" t="str">
        <f>'🔵クレーム'!N318</f>
        <v/>
      </c>
    </row>
    <row r="328">
      <c r="B328" s="20"/>
      <c r="C328" s="20"/>
      <c r="D328" s="20"/>
      <c r="E328" s="338"/>
      <c r="F328" s="20"/>
      <c r="G328" s="20"/>
      <c r="H328" s="20"/>
      <c r="I328" s="20"/>
      <c r="J328" s="20" t="s">
        <v>1061</v>
      </c>
      <c r="K328" s="20"/>
      <c r="L328" s="20"/>
      <c r="O328" s="1293"/>
      <c r="P328" s="1293"/>
      <c r="Q328" s="1293"/>
      <c r="R328" s="1293"/>
      <c r="S328" s="1293"/>
      <c r="T328" s="1293"/>
      <c r="U328" s="1293"/>
      <c r="W328" s="1293" t="str">
        <f>'🔵クレーム'!C319</f>
        <v/>
      </c>
      <c r="X328" s="1293" t="str">
        <f>'🔵クレーム'!D319</f>
        <v/>
      </c>
      <c r="Y328" s="1292" t="str">
        <f>'🔵クレーム'!I319</f>
        <v/>
      </c>
      <c r="Z328" s="1293" t="str">
        <f>'🔵クレーム'!J319</f>
        <v/>
      </c>
      <c r="AA328" s="1293" t="str">
        <f>'🔵クレーム'!K319</f>
        <v/>
      </c>
      <c r="AB328" s="1293" t="str">
        <f>'🔵クレーム'!L319</f>
        <v/>
      </c>
      <c r="AC328" s="1295" t="str">
        <f>'🔵クレーム'!N319</f>
        <v/>
      </c>
    </row>
    <row r="329">
      <c r="B329" s="20"/>
      <c r="C329" s="20"/>
      <c r="D329" s="20"/>
      <c r="E329" s="338"/>
      <c r="F329" s="20"/>
      <c r="G329" s="20"/>
      <c r="H329" s="20"/>
      <c r="I329" s="20"/>
      <c r="J329" s="20" t="s">
        <v>1061</v>
      </c>
      <c r="K329" s="20"/>
      <c r="L329" s="20"/>
      <c r="O329" s="1293"/>
      <c r="P329" s="1293"/>
      <c r="Q329" s="1293"/>
      <c r="R329" s="1293"/>
      <c r="S329" s="1293"/>
      <c r="T329" s="1293"/>
      <c r="U329" s="1293"/>
      <c r="W329" s="1293" t="str">
        <f>'🔵クレーム'!C320</f>
        <v/>
      </c>
      <c r="X329" s="1293" t="str">
        <f>'🔵クレーム'!D320</f>
        <v/>
      </c>
      <c r="Y329" s="1292" t="str">
        <f>'🔵クレーム'!I320</f>
        <v/>
      </c>
      <c r="Z329" s="1293" t="str">
        <f>'🔵クレーム'!J320</f>
        <v/>
      </c>
      <c r="AA329" s="1293" t="str">
        <f>'🔵クレーム'!K320</f>
        <v/>
      </c>
      <c r="AB329" s="1293" t="str">
        <f>'🔵クレーム'!L320</f>
        <v/>
      </c>
      <c r="AC329" s="1295" t="str">
        <f>'🔵クレーム'!N320</f>
        <v/>
      </c>
    </row>
    <row r="330">
      <c r="B330" s="20"/>
      <c r="C330" s="20"/>
      <c r="D330" s="20"/>
      <c r="E330" s="338"/>
      <c r="F330" s="20"/>
      <c r="G330" s="20"/>
      <c r="H330" s="20"/>
      <c r="I330" s="20"/>
      <c r="J330" s="20" t="s">
        <v>1061</v>
      </c>
      <c r="K330" s="20"/>
      <c r="L330" s="20"/>
      <c r="O330" s="1293"/>
      <c r="P330" s="1293"/>
      <c r="Q330" s="1293"/>
      <c r="R330" s="1293"/>
      <c r="S330" s="1293"/>
      <c r="T330" s="1293"/>
      <c r="U330" s="1293"/>
      <c r="W330" s="1293" t="str">
        <f>'🔵クレーム'!C321</f>
        <v/>
      </c>
      <c r="X330" s="1293" t="str">
        <f>'🔵クレーム'!D321</f>
        <v/>
      </c>
      <c r="Y330" s="1292" t="str">
        <f>'🔵クレーム'!I321</f>
        <v/>
      </c>
      <c r="Z330" s="1293" t="str">
        <f>'🔵クレーム'!J321</f>
        <v/>
      </c>
      <c r="AA330" s="1293" t="str">
        <f>'🔵クレーム'!K321</f>
        <v/>
      </c>
      <c r="AB330" s="1293" t="str">
        <f>'🔵クレーム'!L321</f>
        <v/>
      </c>
      <c r="AC330" s="1295" t="str">
        <f>'🔵クレーム'!N321</f>
        <v/>
      </c>
    </row>
    <row r="331">
      <c r="B331" s="20"/>
      <c r="C331" s="20"/>
      <c r="D331" s="20"/>
      <c r="E331" s="338"/>
      <c r="F331" s="20"/>
      <c r="G331" s="20"/>
      <c r="H331" s="20"/>
      <c r="I331" s="20"/>
      <c r="J331" s="20" t="s">
        <v>1061</v>
      </c>
      <c r="K331" s="20"/>
      <c r="L331" s="20"/>
      <c r="O331" s="1293"/>
      <c r="P331" s="1293"/>
      <c r="Q331" s="1293"/>
      <c r="R331" s="1293"/>
      <c r="S331" s="1293"/>
      <c r="T331" s="1293"/>
      <c r="U331" s="1293"/>
      <c r="W331" s="1293" t="str">
        <f>'🔵クレーム'!C322</f>
        <v/>
      </c>
      <c r="X331" s="1293" t="str">
        <f>'🔵クレーム'!D322</f>
        <v/>
      </c>
      <c r="Y331" s="1292" t="str">
        <f>'🔵クレーム'!I322</f>
        <v/>
      </c>
      <c r="Z331" s="1293" t="str">
        <f>'🔵クレーム'!J322</f>
        <v/>
      </c>
      <c r="AA331" s="1293" t="str">
        <f>'🔵クレーム'!K322</f>
        <v/>
      </c>
      <c r="AB331" s="1293" t="str">
        <f>'🔵クレーム'!L322</f>
        <v/>
      </c>
      <c r="AC331" s="1295" t="str">
        <f>'🔵クレーム'!N322</f>
        <v/>
      </c>
    </row>
    <row r="332">
      <c r="B332" s="20"/>
      <c r="C332" s="20"/>
      <c r="D332" s="20"/>
      <c r="E332" s="338"/>
      <c r="F332" s="20"/>
      <c r="G332" s="20"/>
      <c r="H332" s="20"/>
      <c r="I332" s="20"/>
      <c r="J332" s="20" t="s">
        <v>1061</v>
      </c>
      <c r="K332" s="20"/>
      <c r="L332" s="20"/>
      <c r="O332" s="1293"/>
      <c r="P332" s="1293"/>
      <c r="Q332" s="1293"/>
      <c r="R332" s="1293"/>
      <c r="S332" s="1293"/>
      <c r="T332" s="1293"/>
      <c r="U332" s="1293"/>
      <c r="W332" s="1293" t="str">
        <f>'🔵クレーム'!C323</f>
        <v/>
      </c>
      <c r="X332" s="1293" t="str">
        <f>'🔵クレーム'!D323</f>
        <v/>
      </c>
      <c r="Y332" s="1292" t="str">
        <f>'🔵クレーム'!I323</f>
        <v/>
      </c>
      <c r="Z332" s="1293" t="str">
        <f>'🔵クレーム'!J323</f>
        <v/>
      </c>
      <c r="AA332" s="1293" t="str">
        <f>'🔵クレーム'!K323</f>
        <v/>
      </c>
      <c r="AB332" s="1293" t="str">
        <f>'🔵クレーム'!L323</f>
        <v/>
      </c>
      <c r="AC332" s="1295" t="str">
        <f>'🔵クレーム'!N323</f>
        <v/>
      </c>
    </row>
    <row r="333">
      <c r="B333" s="20"/>
      <c r="C333" s="20"/>
      <c r="D333" s="20"/>
      <c r="E333" s="338"/>
      <c r="F333" s="20"/>
      <c r="G333" s="20"/>
      <c r="H333" s="20"/>
      <c r="I333" s="20"/>
      <c r="J333" s="20" t="s">
        <v>1061</v>
      </c>
      <c r="K333" s="20"/>
      <c r="L333" s="20"/>
      <c r="O333" s="1293"/>
      <c r="P333" s="1293"/>
      <c r="Q333" s="1293"/>
      <c r="R333" s="1293"/>
      <c r="S333" s="1293"/>
      <c r="T333" s="1293"/>
      <c r="U333" s="1293"/>
      <c r="W333" s="1293" t="str">
        <f>'🔵クレーム'!C324</f>
        <v/>
      </c>
      <c r="X333" s="1293" t="str">
        <f>'🔵クレーム'!D324</f>
        <v/>
      </c>
      <c r="Y333" s="1292" t="str">
        <f>'🔵クレーム'!I324</f>
        <v/>
      </c>
      <c r="Z333" s="1293" t="str">
        <f>'🔵クレーム'!J324</f>
        <v/>
      </c>
      <c r="AA333" s="1293" t="str">
        <f>'🔵クレーム'!K324</f>
        <v/>
      </c>
      <c r="AB333" s="1293" t="str">
        <f>'🔵クレーム'!L324</f>
        <v/>
      </c>
      <c r="AC333" s="1295" t="str">
        <f>'🔵クレーム'!N324</f>
        <v/>
      </c>
    </row>
    <row r="334">
      <c r="B334" s="20"/>
      <c r="C334" s="20"/>
      <c r="D334" s="20"/>
      <c r="E334" s="338"/>
      <c r="F334" s="20"/>
      <c r="G334" s="20"/>
      <c r="H334" s="20"/>
      <c r="I334" s="20"/>
      <c r="J334" s="20" t="s">
        <v>1061</v>
      </c>
      <c r="K334" s="20"/>
      <c r="L334" s="20"/>
      <c r="O334" s="1293"/>
      <c r="P334" s="1293"/>
      <c r="Q334" s="1293"/>
      <c r="R334" s="1293"/>
      <c r="S334" s="1293"/>
      <c r="T334" s="1293"/>
      <c r="U334" s="1293"/>
      <c r="W334" s="1293" t="str">
        <f>'🔵クレーム'!C325</f>
        <v/>
      </c>
      <c r="X334" s="1293" t="str">
        <f>'🔵クレーム'!D325</f>
        <v/>
      </c>
      <c r="Y334" s="1292" t="str">
        <f>'🔵クレーム'!I325</f>
        <v/>
      </c>
      <c r="Z334" s="1293" t="str">
        <f>'🔵クレーム'!J325</f>
        <v/>
      </c>
      <c r="AA334" s="1293" t="str">
        <f>'🔵クレーム'!K325</f>
        <v/>
      </c>
      <c r="AB334" s="1293" t="str">
        <f>'🔵クレーム'!L325</f>
        <v/>
      </c>
      <c r="AC334" s="1295" t="str">
        <f>'🔵クレーム'!N325</f>
        <v/>
      </c>
    </row>
    <row r="335">
      <c r="B335" s="20"/>
      <c r="C335" s="20"/>
      <c r="D335" s="20"/>
      <c r="E335" s="338"/>
      <c r="F335" s="20"/>
      <c r="G335" s="20"/>
      <c r="H335" s="20"/>
      <c r="I335" s="20"/>
      <c r="J335" s="20" t="s">
        <v>1061</v>
      </c>
      <c r="K335" s="20"/>
      <c r="L335" s="20"/>
      <c r="O335" s="1293"/>
      <c r="P335" s="1293"/>
      <c r="Q335" s="1293"/>
      <c r="R335" s="1293"/>
      <c r="S335" s="1293"/>
      <c r="T335" s="1293"/>
      <c r="U335" s="1293"/>
      <c r="W335" s="1293" t="str">
        <f>'🔵クレーム'!C326</f>
        <v/>
      </c>
      <c r="X335" s="1293" t="str">
        <f>'🔵クレーム'!D326</f>
        <v/>
      </c>
      <c r="Y335" s="1292" t="str">
        <f>'🔵クレーム'!I326</f>
        <v/>
      </c>
      <c r="Z335" s="1293" t="str">
        <f>'🔵クレーム'!J326</f>
        <v/>
      </c>
      <c r="AA335" s="1293" t="str">
        <f>'🔵クレーム'!K326</f>
        <v/>
      </c>
      <c r="AB335" s="1293" t="str">
        <f>'🔵クレーム'!L326</f>
        <v/>
      </c>
      <c r="AC335" s="1295" t="str">
        <f>'🔵クレーム'!N326</f>
        <v/>
      </c>
    </row>
    <row r="336">
      <c r="B336" s="20"/>
      <c r="C336" s="20"/>
      <c r="D336" s="20"/>
      <c r="E336" s="338"/>
      <c r="F336" s="20"/>
      <c r="G336" s="20"/>
      <c r="H336" s="20"/>
      <c r="I336" s="20"/>
      <c r="J336" s="20" t="s">
        <v>1061</v>
      </c>
      <c r="K336" s="20"/>
      <c r="L336" s="20"/>
      <c r="O336" s="1293"/>
      <c r="P336" s="1293"/>
      <c r="Q336" s="1293"/>
      <c r="R336" s="1293"/>
      <c r="S336" s="1293"/>
      <c r="T336" s="1293"/>
      <c r="U336" s="1293"/>
      <c r="W336" s="1293" t="str">
        <f>'🔵クレーム'!C327</f>
        <v/>
      </c>
      <c r="X336" s="1293" t="str">
        <f>'🔵クレーム'!D327</f>
        <v/>
      </c>
      <c r="Y336" s="1292" t="str">
        <f>'🔵クレーム'!I327</f>
        <v/>
      </c>
      <c r="Z336" s="1293" t="str">
        <f>'🔵クレーム'!J327</f>
        <v/>
      </c>
      <c r="AA336" s="1293" t="str">
        <f>'🔵クレーム'!K327</f>
        <v/>
      </c>
      <c r="AB336" s="1293" t="str">
        <f>'🔵クレーム'!L327</f>
        <v/>
      </c>
      <c r="AC336" s="1295" t="str">
        <f>'🔵クレーム'!N327</f>
        <v/>
      </c>
    </row>
    <row r="337">
      <c r="B337" s="20"/>
      <c r="C337" s="20"/>
      <c r="D337" s="20"/>
      <c r="E337" s="338"/>
      <c r="F337" s="20"/>
      <c r="G337" s="20"/>
      <c r="H337" s="20"/>
      <c r="I337" s="20"/>
      <c r="J337" s="20" t="s">
        <v>1061</v>
      </c>
      <c r="K337" s="20"/>
      <c r="L337" s="20"/>
      <c r="O337" s="1293"/>
      <c r="P337" s="1293"/>
      <c r="Q337" s="1293"/>
      <c r="R337" s="1293"/>
      <c r="S337" s="1293"/>
      <c r="T337" s="1293"/>
      <c r="U337" s="1293"/>
      <c r="W337" s="1293" t="str">
        <f>'🔵クレーム'!C328</f>
        <v/>
      </c>
      <c r="X337" s="1293" t="str">
        <f>'🔵クレーム'!D328</f>
        <v/>
      </c>
      <c r="Y337" s="1292" t="str">
        <f>'🔵クレーム'!I328</f>
        <v/>
      </c>
      <c r="Z337" s="1293" t="str">
        <f>'🔵クレーム'!J328</f>
        <v/>
      </c>
      <c r="AA337" s="1293" t="str">
        <f>'🔵クレーム'!K328</f>
        <v/>
      </c>
      <c r="AB337" s="1293" t="str">
        <f>'🔵クレーム'!L328</f>
        <v/>
      </c>
      <c r="AC337" s="1295" t="str">
        <f>'🔵クレーム'!N328</f>
        <v/>
      </c>
    </row>
    <row r="338">
      <c r="B338" s="20"/>
      <c r="C338" s="20"/>
      <c r="D338" s="20"/>
      <c r="E338" s="338"/>
      <c r="F338" s="20"/>
      <c r="G338" s="20"/>
      <c r="H338" s="20"/>
      <c r="I338" s="20"/>
      <c r="J338" s="20" t="s">
        <v>1061</v>
      </c>
      <c r="K338" s="20"/>
      <c r="L338" s="20"/>
      <c r="O338" s="1293"/>
      <c r="P338" s="1293"/>
      <c r="Q338" s="1293"/>
      <c r="R338" s="1293"/>
      <c r="S338" s="1293"/>
      <c r="T338" s="1293"/>
      <c r="U338" s="1293"/>
      <c r="W338" s="1293" t="str">
        <f>'🔵クレーム'!C329</f>
        <v/>
      </c>
      <c r="X338" s="1293" t="str">
        <f>'🔵クレーム'!D329</f>
        <v/>
      </c>
      <c r="Y338" s="1292" t="str">
        <f>'🔵クレーム'!I329</f>
        <v/>
      </c>
      <c r="Z338" s="1293" t="str">
        <f>'🔵クレーム'!J329</f>
        <v/>
      </c>
      <c r="AA338" s="1293" t="str">
        <f>'🔵クレーム'!K329</f>
        <v/>
      </c>
      <c r="AB338" s="1293" t="str">
        <f>'🔵クレーム'!L329</f>
        <v/>
      </c>
      <c r="AC338" s="1295" t="str">
        <f>'🔵クレーム'!N329</f>
        <v/>
      </c>
    </row>
    <row r="339">
      <c r="B339" s="20"/>
      <c r="C339" s="20"/>
      <c r="D339" s="20"/>
      <c r="E339" s="338"/>
      <c r="F339" s="20"/>
      <c r="G339" s="20"/>
      <c r="H339" s="20"/>
      <c r="I339" s="20"/>
      <c r="J339" s="20" t="s">
        <v>1061</v>
      </c>
      <c r="K339" s="20"/>
      <c r="L339" s="20"/>
      <c r="O339" s="1293"/>
      <c r="P339" s="1293"/>
      <c r="Q339" s="1293"/>
      <c r="R339" s="1293"/>
      <c r="S339" s="1293"/>
      <c r="T339" s="1293"/>
      <c r="U339" s="1293"/>
      <c r="W339" s="1293" t="str">
        <f>'🔵クレーム'!C330</f>
        <v/>
      </c>
      <c r="X339" s="1293" t="str">
        <f>'🔵クレーム'!D330</f>
        <v/>
      </c>
      <c r="Y339" s="1292" t="str">
        <f>'🔵クレーム'!I330</f>
        <v/>
      </c>
      <c r="Z339" s="1293" t="str">
        <f>'🔵クレーム'!J330</f>
        <v/>
      </c>
      <c r="AA339" s="1293" t="str">
        <f>'🔵クレーム'!K330</f>
        <v/>
      </c>
      <c r="AB339" s="1293" t="str">
        <f>'🔵クレーム'!L330</f>
        <v/>
      </c>
      <c r="AC339" s="1295" t="str">
        <f>'🔵クレーム'!N330</f>
        <v/>
      </c>
    </row>
    <row r="340">
      <c r="B340" s="20"/>
      <c r="C340" s="20"/>
      <c r="D340" s="20"/>
      <c r="E340" s="338"/>
      <c r="F340" s="20"/>
      <c r="G340" s="20"/>
      <c r="H340" s="20"/>
      <c r="I340" s="20"/>
      <c r="J340" s="20" t="s">
        <v>1061</v>
      </c>
      <c r="K340" s="20"/>
      <c r="L340" s="20"/>
      <c r="O340" s="1293"/>
      <c r="P340" s="1293"/>
      <c r="Q340" s="1293"/>
      <c r="R340" s="1293"/>
      <c r="S340" s="1293"/>
      <c r="T340" s="1293"/>
      <c r="U340" s="1293"/>
      <c r="W340" s="1293" t="str">
        <f>'🔵クレーム'!C331</f>
        <v/>
      </c>
      <c r="X340" s="1293" t="str">
        <f>'🔵クレーム'!D331</f>
        <v/>
      </c>
      <c r="Y340" s="1292" t="str">
        <f>'🔵クレーム'!I331</f>
        <v/>
      </c>
      <c r="Z340" s="1293" t="str">
        <f>'🔵クレーム'!J331</f>
        <v/>
      </c>
      <c r="AA340" s="1293" t="str">
        <f>'🔵クレーム'!K331</f>
        <v/>
      </c>
      <c r="AB340" s="1293" t="str">
        <f>'🔵クレーム'!L331</f>
        <v/>
      </c>
      <c r="AC340" s="1295" t="str">
        <f>'🔵クレーム'!N331</f>
        <v/>
      </c>
    </row>
    <row r="341">
      <c r="B341" s="20"/>
      <c r="C341" s="20"/>
      <c r="D341" s="20"/>
      <c r="E341" s="338"/>
      <c r="F341" s="20"/>
      <c r="G341" s="20"/>
      <c r="H341" s="20"/>
      <c r="I341" s="20"/>
      <c r="J341" s="20" t="s">
        <v>1061</v>
      </c>
      <c r="K341" s="20"/>
      <c r="L341" s="20"/>
      <c r="O341" s="1293"/>
      <c r="P341" s="1293"/>
      <c r="Q341" s="1293"/>
      <c r="R341" s="1293"/>
      <c r="S341" s="1293"/>
      <c r="T341" s="1293"/>
      <c r="U341" s="1293"/>
      <c r="W341" s="1293" t="str">
        <f>'🔵クレーム'!C332</f>
        <v/>
      </c>
      <c r="X341" s="1293" t="str">
        <f>'🔵クレーム'!D332</f>
        <v/>
      </c>
      <c r="Y341" s="1292" t="str">
        <f>'🔵クレーム'!I332</f>
        <v/>
      </c>
      <c r="Z341" s="1293" t="str">
        <f>'🔵クレーム'!J332</f>
        <v/>
      </c>
      <c r="AA341" s="1293" t="str">
        <f>'🔵クレーム'!K332</f>
        <v/>
      </c>
      <c r="AB341" s="1293" t="str">
        <f>'🔵クレーム'!L332</f>
        <v/>
      </c>
      <c r="AC341" s="1295" t="str">
        <f>'🔵クレーム'!N332</f>
        <v/>
      </c>
    </row>
    <row r="342">
      <c r="B342" s="20"/>
      <c r="C342" s="20"/>
      <c r="D342" s="20"/>
      <c r="E342" s="338"/>
      <c r="F342" s="20"/>
      <c r="G342" s="20"/>
      <c r="H342" s="20"/>
      <c r="I342" s="20"/>
      <c r="J342" s="20" t="s">
        <v>1061</v>
      </c>
      <c r="K342" s="20"/>
      <c r="L342" s="20"/>
      <c r="O342" s="1293"/>
      <c r="P342" s="1293"/>
      <c r="Q342" s="1293"/>
      <c r="R342" s="1293"/>
      <c r="S342" s="1293"/>
      <c r="T342" s="1293"/>
      <c r="U342" s="1293"/>
      <c r="W342" s="1293" t="str">
        <f>'🔵クレーム'!C333</f>
        <v/>
      </c>
      <c r="X342" s="1293" t="str">
        <f>'🔵クレーム'!D333</f>
        <v/>
      </c>
      <c r="Y342" s="1292" t="str">
        <f>'🔵クレーム'!I333</f>
        <v/>
      </c>
      <c r="Z342" s="1293" t="str">
        <f>'🔵クレーム'!J333</f>
        <v/>
      </c>
      <c r="AA342" s="1293" t="str">
        <f>'🔵クレーム'!K333</f>
        <v/>
      </c>
      <c r="AB342" s="1293" t="str">
        <f>'🔵クレーム'!L333</f>
        <v/>
      </c>
      <c r="AC342" s="1295" t="str">
        <f>'🔵クレーム'!N333</f>
        <v/>
      </c>
    </row>
    <row r="343">
      <c r="B343" s="20"/>
      <c r="C343" s="20"/>
      <c r="D343" s="20"/>
      <c r="E343" s="338"/>
      <c r="F343" s="20"/>
      <c r="G343" s="20"/>
      <c r="H343" s="20"/>
      <c r="I343" s="20"/>
      <c r="J343" s="20" t="s">
        <v>1061</v>
      </c>
      <c r="K343" s="20"/>
      <c r="L343" s="20"/>
      <c r="O343" s="1293"/>
      <c r="P343" s="1293"/>
      <c r="Q343" s="1293"/>
      <c r="R343" s="1293"/>
      <c r="S343" s="1293"/>
      <c r="T343" s="1293"/>
      <c r="U343" s="1293"/>
      <c r="W343" s="1293" t="str">
        <f>'🔵クレーム'!C334</f>
        <v/>
      </c>
      <c r="X343" s="1293" t="str">
        <f>'🔵クレーム'!D334</f>
        <v/>
      </c>
      <c r="Y343" s="1292" t="str">
        <f>'🔵クレーム'!I334</f>
        <v/>
      </c>
      <c r="Z343" s="1293" t="str">
        <f>'🔵クレーム'!J334</f>
        <v/>
      </c>
      <c r="AA343" s="1293" t="str">
        <f>'🔵クレーム'!K334</f>
        <v/>
      </c>
      <c r="AB343" s="1293" t="str">
        <f>'🔵クレーム'!L334</f>
        <v/>
      </c>
      <c r="AC343" s="1295" t="str">
        <f>'🔵クレーム'!N334</f>
        <v/>
      </c>
    </row>
    <row r="344">
      <c r="B344" s="20"/>
      <c r="C344" s="20"/>
      <c r="D344" s="20"/>
      <c r="E344" s="338"/>
      <c r="F344" s="20"/>
      <c r="G344" s="20"/>
      <c r="H344" s="20"/>
      <c r="I344" s="20"/>
      <c r="J344" s="20" t="s">
        <v>1061</v>
      </c>
      <c r="K344" s="20"/>
      <c r="L344" s="20"/>
      <c r="O344" s="1293"/>
      <c r="P344" s="1293"/>
      <c r="Q344" s="1293"/>
      <c r="R344" s="1293"/>
      <c r="S344" s="1293"/>
      <c r="T344" s="1293"/>
      <c r="U344" s="1293"/>
      <c r="W344" s="1293" t="str">
        <f>'🔵クレーム'!C335</f>
        <v/>
      </c>
      <c r="X344" s="1293" t="str">
        <f>'🔵クレーム'!D335</f>
        <v/>
      </c>
      <c r="Y344" s="1292" t="str">
        <f>'🔵クレーム'!I335</f>
        <v/>
      </c>
      <c r="Z344" s="1293" t="str">
        <f>'🔵クレーム'!J335</f>
        <v/>
      </c>
      <c r="AA344" s="1293" t="str">
        <f>'🔵クレーム'!K335</f>
        <v/>
      </c>
      <c r="AB344" s="1293" t="str">
        <f>'🔵クレーム'!L335</f>
        <v/>
      </c>
      <c r="AC344" s="1295" t="str">
        <f>'🔵クレーム'!N335</f>
        <v/>
      </c>
    </row>
    <row r="345">
      <c r="B345" s="20"/>
      <c r="C345" s="20"/>
      <c r="D345" s="20"/>
      <c r="E345" s="338"/>
      <c r="F345" s="20"/>
      <c r="G345" s="20"/>
      <c r="H345" s="20"/>
      <c r="I345" s="20"/>
      <c r="J345" s="20" t="s">
        <v>1061</v>
      </c>
      <c r="K345" s="20"/>
      <c r="L345" s="20"/>
      <c r="O345" s="1293"/>
      <c r="P345" s="1293"/>
      <c r="Q345" s="1293"/>
      <c r="R345" s="1293"/>
      <c r="S345" s="1293"/>
      <c r="T345" s="1293"/>
      <c r="U345" s="1293"/>
      <c r="W345" s="1293" t="str">
        <f>'🔵クレーム'!C336</f>
        <v/>
      </c>
      <c r="X345" s="1293" t="str">
        <f>'🔵クレーム'!D336</f>
        <v/>
      </c>
      <c r="Y345" s="1292" t="str">
        <f>'🔵クレーム'!I336</f>
        <v/>
      </c>
      <c r="Z345" s="1293" t="str">
        <f>'🔵クレーム'!J336</f>
        <v/>
      </c>
      <c r="AA345" s="1293" t="str">
        <f>'🔵クレーム'!K336</f>
        <v/>
      </c>
      <c r="AB345" s="1293" t="str">
        <f>'🔵クレーム'!L336</f>
        <v/>
      </c>
      <c r="AC345" s="1295" t="str">
        <f>'🔵クレーム'!N336</f>
        <v/>
      </c>
    </row>
    <row r="346">
      <c r="B346" s="20"/>
      <c r="C346" s="20"/>
      <c r="D346" s="20"/>
      <c r="E346" s="338"/>
      <c r="F346" s="20"/>
      <c r="G346" s="20"/>
      <c r="H346" s="20"/>
      <c r="I346" s="20"/>
      <c r="J346" s="20" t="s">
        <v>1061</v>
      </c>
      <c r="K346" s="20"/>
      <c r="L346" s="20"/>
      <c r="O346" s="1293"/>
      <c r="P346" s="1293"/>
      <c r="Q346" s="1293"/>
      <c r="R346" s="1293"/>
      <c r="S346" s="1293"/>
      <c r="T346" s="1293"/>
      <c r="U346" s="1293"/>
      <c r="W346" s="1293" t="str">
        <f>'🔵クレーム'!C337</f>
        <v/>
      </c>
      <c r="X346" s="1293" t="str">
        <f>'🔵クレーム'!D337</f>
        <v/>
      </c>
      <c r="Y346" s="1292" t="str">
        <f>'🔵クレーム'!I337</f>
        <v/>
      </c>
      <c r="Z346" s="1293" t="str">
        <f>'🔵クレーム'!J337</f>
        <v/>
      </c>
      <c r="AA346" s="1293" t="str">
        <f>'🔵クレーム'!K337</f>
        <v/>
      </c>
      <c r="AB346" s="1293" t="str">
        <f>'🔵クレーム'!L337</f>
        <v/>
      </c>
      <c r="AC346" s="1295" t="str">
        <f>'🔵クレーム'!N337</f>
        <v/>
      </c>
    </row>
    <row r="347">
      <c r="B347" s="20"/>
      <c r="C347" s="20"/>
      <c r="D347" s="20"/>
      <c r="E347" s="338"/>
      <c r="F347" s="20"/>
      <c r="G347" s="20"/>
      <c r="H347" s="20"/>
      <c r="I347" s="20"/>
      <c r="J347" s="20" t="s">
        <v>1061</v>
      </c>
      <c r="K347" s="20"/>
      <c r="L347" s="20"/>
      <c r="O347" s="1293"/>
      <c r="P347" s="1293"/>
      <c r="Q347" s="1293"/>
      <c r="R347" s="1293"/>
      <c r="S347" s="1293"/>
      <c r="T347" s="1293"/>
      <c r="U347" s="1293"/>
      <c r="W347" s="1293" t="str">
        <f>'🔵クレーム'!C338</f>
        <v/>
      </c>
      <c r="X347" s="1293" t="str">
        <f>'🔵クレーム'!D338</f>
        <v/>
      </c>
      <c r="Y347" s="1292" t="str">
        <f>'🔵クレーム'!I338</f>
        <v/>
      </c>
      <c r="Z347" s="1293" t="str">
        <f>'🔵クレーム'!J338</f>
        <v/>
      </c>
      <c r="AA347" s="1293" t="str">
        <f>'🔵クレーム'!K338</f>
        <v/>
      </c>
      <c r="AB347" s="1293" t="str">
        <f>'🔵クレーム'!L338</f>
        <v/>
      </c>
      <c r="AC347" s="1295" t="str">
        <f>'🔵クレーム'!N338</f>
        <v/>
      </c>
    </row>
    <row r="348">
      <c r="B348" s="20"/>
      <c r="C348" s="20"/>
      <c r="D348" s="20"/>
      <c r="E348" s="338"/>
      <c r="F348" s="20"/>
      <c r="G348" s="20"/>
      <c r="H348" s="20"/>
      <c r="I348" s="20"/>
      <c r="J348" s="20" t="s">
        <v>1061</v>
      </c>
      <c r="K348" s="20"/>
      <c r="L348" s="20"/>
      <c r="O348" s="1293"/>
      <c r="P348" s="1293"/>
      <c r="Q348" s="1293"/>
      <c r="R348" s="1293"/>
      <c r="S348" s="1293"/>
      <c r="T348" s="1293"/>
      <c r="U348" s="1293"/>
      <c r="W348" s="1293" t="str">
        <f>'🔵クレーム'!C339</f>
        <v/>
      </c>
      <c r="X348" s="1293" t="str">
        <f>'🔵クレーム'!D339</f>
        <v/>
      </c>
      <c r="Y348" s="1292" t="str">
        <f>'🔵クレーム'!I339</f>
        <v/>
      </c>
      <c r="Z348" s="1293" t="str">
        <f>'🔵クレーム'!J339</f>
        <v/>
      </c>
      <c r="AA348" s="1293" t="str">
        <f>'🔵クレーム'!K339</f>
        <v/>
      </c>
      <c r="AB348" s="1293" t="str">
        <f>'🔵クレーム'!L339</f>
        <v/>
      </c>
      <c r="AC348" s="1295" t="str">
        <f>'🔵クレーム'!N339</f>
        <v/>
      </c>
    </row>
    <row r="349">
      <c r="B349" s="20"/>
      <c r="C349" s="20"/>
      <c r="D349" s="20"/>
      <c r="E349" s="338"/>
      <c r="F349" s="20"/>
      <c r="G349" s="20"/>
      <c r="H349" s="20"/>
      <c r="I349" s="20"/>
      <c r="J349" s="20" t="s">
        <v>1061</v>
      </c>
      <c r="K349" s="20"/>
      <c r="L349" s="20"/>
      <c r="O349" s="1293"/>
      <c r="P349" s="1293"/>
      <c r="Q349" s="1293"/>
      <c r="R349" s="1293"/>
      <c r="S349" s="1293"/>
      <c r="T349" s="1293"/>
      <c r="U349" s="1293"/>
      <c r="W349" s="1293" t="str">
        <f>'🔵クレーム'!C340</f>
        <v/>
      </c>
      <c r="X349" s="1293" t="str">
        <f>'🔵クレーム'!D340</f>
        <v/>
      </c>
      <c r="Y349" s="1292" t="str">
        <f>'🔵クレーム'!I340</f>
        <v/>
      </c>
      <c r="Z349" s="1293" t="str">
        <f>'🔵クレーム'!J340</f>
        <v/>
      </c>
      <c r="AA349" s="1293" t="str">
        <f>'🔵クレーム'!K340</f>
        <v/>
      </c>
      <c r="AB349" s="1293" t="str">
        <f>'🔵クレーム'!L340</f>
        <v/>
      </c>
      <c r="AC349" s="1295" t="str">
        <f>'🔵クレーム'!N340</f>
        <v/>
      </c>
    </row>
    <row r="350">
      <c r="B350" s="20"/>
      <c r="C350" s="20"/>
      <c r="D350" s="20"/>
      <c r="E350" s="338"/>
      <c r="F350" s="20"/>
      <c r="G350" s="20"/>
      <c r="H350" s="20"/>
      <c r="I350" s="20"/>
      <c r="J350" s="20" t="s">
        <v>1061</v>
      </c>
      <c r="K350" s="20"/>
      <c r="L350" s="20"/>
      <c r="O350" s="1293"/>
      <c r="P350" s="1293"/>
      <c r="Q350" s="1293"/>
      <c r="R350" s="1293"/>
      <c r="S350" s="1293"/>
      <c r="T350" s="1293"/>
      <c r="U350" s="1293"/>
      <c r="W350" s="1293" t="str">
        <f>'🔵クレーム'!C341</f>
        <v/>
      </c>
      <c r="X350" s="1293" t="str">
        <f>'🔵クレーム'!D341</f>
        <v/>
      </c>
      <c r="Y350" s="1292" t="str">
        <f>'🔵クレーム'!I341</f>
        <v/>
      </c>
      <c r="Z350" s="1293" t="str">
        <f>'🔵クレーム'!J341</f>
        <v/>
      </c>
      <c r="AA350" s="1293" t="str">
        <f>'🔵クレーム'!K341</f>
        <v/>
      </c>
      <c r="AB350" s="1293" t="str">
        <f>'🔵クレーム'!L341</f>
        <v/>
      </c>
      <c r="AC350" s="1295" t="str">
        <f>'🔵クレーム'!N341</f>
        <v/>
      </c>
    </row>
    <row r="351">
      <c r="B351" s="20"/>
      <c r="C351" s="20"/>
      <c r="D351" s="20"/>
      <c r="E351" s="338"/>
      <c r="F351" s="20"/>
      <c r="G351" s="20"/>
      <c r="H351" s="20"/>
      <c r="I351" s="20"/>
      <c r="J351" s="20" t="s">
        <v>1061</v>
      </c>
      <c r="K351" s="20"/>
      <c r="L351" s="20"/>
      <c r="O351" s="1293"/>
      <c r="P351" s="1293"/>
      <c r="Q351" s="1293"/>
      <c r="R351" s="1293"/>
      <c r="S351" s="1293"/>
      <c r="T351" s="1293"/>
      <c r="U351" s="1293"/>
      <c r="W351" s="1293" t="str">
        <f>'🔵クレーム'!C342</f>
        <v/>
      </c>
      <c r="X351" s="1293" t="str">
        <f>'🔵クレーム'!D342</f>
        <v/>
      </c>
      <c r="Y351" s="1292" t="str">
        <f>'🔵クレーム'!I342</f>
        <v/>
      </c>
      <c r="Z351" s="1293" t="str">
        <f>'🔵クレーム'!J342</f>
        <v/>
      </c>
      <c r="AA351" s="1293" t="str">
        <f>'🔵クレーム'!K342</f>
        <v/>
      </c>
      <c r="AB351" s="1293" t="str">
        <f>'🔵クレーム'!L342</f>
        <v/>
      </c>
      <c r="AC351" s="1295" t="str">
        <f>'🔵クレーム'!N342</f>
        <v/>
      </c>
    </row>
    <row r="352">
      <c r="B352" s="20"/>
      <c r="C352" s="20"/>
      <c r="D352" s="20"/>
      <c r="E352" s="338"/>
      <c r="F352" s="20"/>
      <c r="G352" s="20"/>
      <c r="H352" s="20"/>
      <c r="I352" s="20"/>
      <c r="J352" s="20" t="s">
        <v>1061</v>
      </c>
      <c r="K352" s="20"/>
      <c r="L352" s="20"/>
      <c r="O352" s="1293"/>
      <c r="P352" s="1293"/>
      <c r="Q352" s="1293"/>
      <c r="R352" s="1293"/>
      <c r="S352" s="1293"/>
      <c r="T352" s="1293"/>
      <c r="U352" s="1293"/>
      <c r="W352" s="1293" t="str">
        <f>'🔵クレーム'!C343</f>
        <v/>
      </c>
      <c r="X352" s="1293" t="str">
        <f>'🔵クレーム'!D343</f>
        <v/>
      </c>
      <c r="Y352" s="1292" t="str">
        <f>'🔵クレーム'!I343</f>
        <v/>
      </c>
      <c r="Z352" s="1293" t="str">
        <f>'🔵クレーム'!J343</f>
        <v/>
      </c>
      <c r="AA352" s="1293" t="str">
        <f>'🔵クレーム'!K343</f>
        <v/>
      </c>
      <c r="AB352" s="1293" t="str">
        <f>'🔵クレーム'!L343</f>
        <v/>
      </c>
      <c r="AC352" s="1295" t="str">
        <f>'🔵クレーム'!N343</f>
        <v/>
      </c>
    </row>
    <row r="353">
      <c r="B353" s="20"/>
      <c r="C353" s="20"/>
      <c r="D353" s="20"/>
      <c r="E353" s="338"/>
      <c r="F353" s="20"/>
      <c r="G353" s="20"/>
      <c r="H353" s="20"/>
      <c r="I353" s="20"/>
      <c r="J353" s="20" t="s">
        <v>1061</v>
      </c>
      <c r="K353" s="20"/>
      <c r="L353" s="20"/>
      <c r="O353" s="1293"/>
      <c r="P353" s="1293"/>
      <c r="Q353" s="1293"/>
      <c r="R353" s="1293"/>
      <c r="S353" s="1293"/>
      <c r="T353" s="1293"/>
      <c r="U353" s="1293"/>
      <c r="W353" s="1293" t="str">
        <f>'🔵クレーム'!C344</f>
        <v/>
      </c>
      <c r="X353" s="1293" t="str">
        <f>'🔵クレーム'!D344</f>
        <v/>
      </c>
      <c r="Y353" s="1292" t="str">
        <f>'🔵クレーム'!I344</f>
        <v/>
      </c>
      <c r="Z353" s="1293" t="str">
        <f>'🔵クレーム'!J344</f>
        <v/>
      </c>
      <c r="AA353" s="1293" t="str">
        <f>'🔵クレーム'!K344</f>
        <v/>
      </c>
      <c r="AB353" s="1293" t="str">
        <f>'🔵クレーム'!L344</f>
        <v/>
      </c>
      <c r="AC353" s="1295" t="str">
        <f>'🔵クレーム'!N344</f>
        <v/>
      </c>
    </row>
    <row r="354">
      <c r="B354" s="20"/>
      <c r="C354" s="20"/>
      <c r="D354" s="20"/>
      <c r="E354" s="338"/>
      <c r="F354" s="20"/>
      <c r="G354" s="20"/>
      <c r="H354" s="20"/>
      <c r="I354" s="20"/>
      <c r="J354" s="20" t="s">
        <v>1061</v>
      </c>
      <c r="K354" s="20"/>
      <c r="L354" s="20"/>
      <c r="O354" s="1293"/>
      <c r="P354" s="1293"/>
      <c r="Q354" s="1293"/>
      <c r="R354" s="1293"/>
      <c r="S354" s="1293"/>
      <c r="T354" s="1293"/>
      <c r="U354" s="1293"/>
      <c r="W354" s="1293" t="str">
        <f>'🔵クレーム'!C345</f>
        <v/>
      </c>
      <c r="X354" s="1293" t="str">
        <f>'🔵クレーム'!D345</f>
        <v/>
      </c>
      <c r="Y354" s="1292" t="str">
        <f>'🔵クレーム'!I345</f>
        <v/>
      </c>
      <c r="Z354" s="1293" t="str">
        <f>'🔵クレーム'!J345</f>
        <v/>
      </c>
      <c r="AA354" s="1293" t="str">
        <f>'🔵クレーム'!K345</f>
        <v/>
      </c>
      <c r="AB354" s="1293" t="str">
        <f>'🔵クレーム'!L345</f>
        <v/>
      </c>
      <c r="AC354" s="1295" t="str">
        <f>'🔵クレーム'!N345</f>
        <v/>
      </c>
    </row>
    <row r="355">
      <c r="B355" s="20"/>
      <c r="C355" s="20"/>
      <c r="D355" s="20"/>
      <c r="E355" s="338"/>
      <c r="F355" s="20"/>
      <c r="G355" s="20"/>
      <c r="H355" s="20"/>
      <c r="I355" s="20"/>
      <c r="J355" s="20" t="s">
        <v>1061</v>
      </c>
      <c r="K355" s="20"/>
      <c r="L355" s="20"/>
      <c r="O355" s="1293"/>
      <c r="P355" s="1293"/>
      <c r="Q355" s="1293"/>
      <c r="R355" s="1293"/>
      <c r="S355" s="1293"/>
      <c r="T355" s="1293"/>
      <c r="U355" s="1293"/>
      <c r="W355" s="1293" t="str">
        <f>'🔵クレーム'!C346</f>
        <v/>
      </c>
      <c r="X355" s="1293" t="str">
        <f>'🔵クレーム'!D346</f>
        <v/>
      </c>
      <c r="Y355" s="1292" t="str">
        <f>'🔵クレーム'!I346</f>
        <v/>
      </c>
      <c r="Z355" s="1293" t="str">
        <f>'🔵クレーム'!J346</f>
        <v/>
      </c>
      <c r="AA355" s="1293" t="str">
        <f>'🔵クレーム'!K346</f>
        <v/>
      </c>
      <c r="AB355" s="1293" t="str">
        <f>'🔵クレーム'!L346</f>
        <v/>
      </c>
      <c r="AC355" s="1295" t="str">
        <f>'🔵クレーム'!N346</f>
        <v/>
      </c>
    </row>
    <row r="356">
      <c r="B356" s="20"/>
      <c r="C356" s="20"/>
      <c r="D356" s="20"/>
      <c r="E356" s="338"/>
      <c r="F356" s="20"/>
      <c r="G356" s="20"/>
      <c r="H356" s="20"/>
      <c r="I356" s="20"/>
      <c r="J356" s="20" t="s">
        <v>1061</v>
      </c>
      <c r="K356" s="20"/>
      <c r="L356" s="20"/>
      <c r="O356" s="1293"/>
      <c r="P356" s="1293"/>
      <c r="Q356" s="1293"/>
      <c r="R356" s="1293"/>
      <c r="S356" s="1293"/>
      <c r="T356" s="1293"/>
      <c r="U356" s="1293"/>
      <c r="W356" s="1293" t="str">
        <f>'🔵クレーム'!C347</f>
        <v/>
      </c>
      <c r="X356" s="1293" t="str">
        <f>'🔵クレーム'!D347</f>
        <v/>
      </c>
      <c r="Y356" s="1292" t="str">
        <f>'🔵クレーム'!I347</f>
        <v/>
      </c>
      <c r="Z356" s="1293" t="str">
        <f>'🔵クレーム'!J347</f>
        <v/>
      </c>
      <c r="AA356" s="1293" t="str">
        <f>'🔵クレーム'!K347</f>
        <v/>
      </c>
      <c r="AB356" s="1293" t="str">
        <f>'🔵クレーム'!L347</f>
        <v/>
      </c>
      <c r="AC356" s="1295" t="str">
        <f>'🔵クレーム'!N347</f>
        <v/>
      </c>
    </row>
    <row r="357">
      <c r="B357" s="20"/>
      <c r="C357" s="20"/>
      <c r="D357" s="20"/>
      <c r="E357" s="338"/>
      <c r="F357" s="20"/>
      <c r="G357" s="20"/>
      <c r="H357" s="20"/>
      <c r="I357" s="20"/>
      <c r="J357" s="20" t="s">
        <v>1061</v>
      </c>
      <c r="K357" s="20"/>
      <c r="L357" s="20"/>
      <c r="O357" s="1293"/>
      <c r="P357" s="1293"/>
      <c r="Q357" s="1293"/>
      <c r="R357" s="1293"/>
      <c r="S357" s="1293"/>
      <c r="T357" s="1293"/>
      <c r="U357" s="1293"/>
      <c r="W357" s="1293" t="str">
        <f>'🔵クレーム'!C348</f>
        <v/>
      </c>
      <c r="X357" s="1293" t="str">
        <f>'🔵クレーム'!D348</f>
        <v/>
      </c>
      <c r="Y357" s="1292" t="str">
        <f>'🔵クレーム'!I348</f>
        <v/>
      </c>
      <c r="Z357" s="1293" t="str">
        <f>'🔵クレーム'!J348</f>
        <v/>
      </c>
      <c r="AA357" s="1293" t="str">
        <f>'🔵クレーム'!K348</f>
        <v/>
      </c>
      <c r="AB357" s="1293" t="str">
        <f>'🔵クレーム'!L348</f>
        <v/>
      </c>
      <c r="AC357" s="1295" t="str">
        <f>'🔵クレーム'!N348</f>
        <v/>
      </c>
    </row>
    <row r="358">
      <c r="B358" s="20"/>
      <c r="C358" s="20"/>
      <c r="D358" s="20"/>
      <c r="E358" s="338"/>
      <c r="F358" s="20"/>
      <c r="G358" s="20"/>
      <c r="H358" s="20"/>
      <c r="I358" s="20"/>
      <c r="J358" s="20" t="s">
        <v>1061</v>
      </c>
      <c r="K358" s="20"/>
      <c r="L358" s="20"/>
      <c r="O358" s="1293"/>
      <c r="P358" s="1293"/>
      <c r="Q358" s="1293"/>
      <c r="R358" s="1293"/>
      <c r="S358" s="1293"/>
      <c r="T358" s="1293"/>
      <c r="U358" s="1293"/>
      <c r="W358" s="1293" t="str">
        <f>'🔵クレーム'!C349</f>
        <v/>
      </c>
      <c r="X358" s="1293" t="str">
        <f>'🔵クレーム'!D349</f>
        <v/>
      </c>
      <c r="Y358" s="1292" t="str">
        <f>'🔵クレーム'!I349</f>
        <v/>
      </c>
      <c r="Z358" s="1293" t="str">
        <f>'🔵クレーム'!J349</f>
        <v/>
      </c>
      <c r="AA358" s="1293" t="str">
        <f>'🔵クレーム'!K349</f>
        <v/>
      </c>
      <c r="AB358" s="1293" t="str">
        <f>'🔵クレーム'!L349</f>
        <v/>
      </c>
      <c r="AC358" s="1295" t="str">
        <f>'🔵クレーム'!N349</f>
        <v/>
      </c>
    </row>
    <row r="359">
      <c r="B359" s="20"/>
      <c r="C359" s="20"/>
      <c r="D359" s="20"/>
      <c r="E359" s="338"/>
      <c r="F359" s="20"/>
      <c r="G359" s="20"/>
      <c r="H359" s="20"/>
      <c r="I359" s="20"/>
      <c r="J359" s="20" t="s">
        <v>1061</v>
      </c>
      <c r="K359" s="20"/>
      <c r="L359" s="20"/>
      <c r="O359" s="1293"/>
      <c r="P359" s="1293"/>
      <c r="Q359" s="1293"/>
      <c r="R359" s="1293"/>
      <c r="S359" s="1293"/>
      <c r="T359" s="1293"/>
      <c r="U359" s="1293"/>
      <c r="W359" s="1293" t="str">
        <f>'🔵クレーム'!C350</f>
        <v/>
      </c>
      <c r="X359" s="1293" t="str">
        <f>'🔵クレーム'!D350</f>
        <v/>
      </c>
      <c r="Y359" s="1292" t="str">
        <f>'🔵クレーム'!I350</f>
        <v/>
      </c>
      <c r="Z359" s="1293" t="str">
        <f>'🔵クレーム'!J350</f>
        <v/>
      </c>
      <c r="AA359" s="1293" t="str">
        <f>'🔵クレーム'!K350</f>
        <v/>
      </c>
      <c r="AB359" s="1293" t="str">
        <f>'🔵クレーム'!L350</f>
        <v/>
      </c>
      <c r="AC359" s="1295" t="str">
        <f>'🔵クレーム'!N350</f>
        <v/>
      </c>
    </row>
    <row r="360">
      <c r="B360" s="20"/>
      <c r="C360" s="20"/>
      <c r="D360" s="20"/>
      <c r="E360" s="338"/>
      <c r="F360" s="20"/>
      <c r="G360" s="20"/>
      <c r="H360" s="20"/>
      <c r="I360" s="20"/>
      <c r="J360" s="20" t="s">
        <v>1061</v>
      </c>
      <c r="K360" s="20"/>
      <c r="L360" s="20"/>
      <c r="O360" s="1293"/>
      <c r="P360" s="1293"/>
      <c r="Q360" s="1293"/>
      <c r="R360" s="1293"/>
      <c r="S360" s="1293"/>
      <c r="T360" s="1293"/>
      <c r="U360" s="1293"/>
      <c r="W360" s="1293" t="str">
        <f>'🔵クレーム'!C351</f>
        <v/>
      </c>
      <c r="X360" s="1293" t="str">
        <f>'🔵クレーム'!D351</f>
        <v/>
      </c>
      <c r="Y360" s="1292" t="str">
        <f>'🔵クレーム'!I351</f>
        <v/>
      </c>
      <c r="Z360" s="1293" t="str">
        <f>'🔵クレーム'!J351</f>
        <v/>
      </c>
      <c r="AA360" s="1293" t="str">
        <f>'🔵クレーム'!K351</f>
        <v/>
      </c>
      <c r="AB360" s="1293" t="str">
        <f>'🔵クレーム'!L351</f>
        <v/>
      </c>
      <c r="AC360" s="1295" t="str">
        <f>'🔵クレーム'!N351</f>
        <v/>
      </c>
    </row>
    <row r="361">
      <c r="B361" s="20"/>
      <c r="C361" s="20"/>
      <c r="D361" s="20"/>
      <c r="E361" s="338"/>
      <c r="F361" s="20"/>
      <c r="G361" s="20"/>
      <c r="H361" s="20"/>
      <c r="I361" s="20"/>
      <c r="J361" s="20" t="s">
        <v>1061</v>
      </c>
      <c r="K361" s="20"/>
      <c r="L361" s="20"/>
      <c r="O361" s="1293"/>
      <c r="P361" s="1293"/>
      <c r="Q361" s="1293"/>
      <c r="R361" s="1293"/>
      <c r="S361" s="1293"/>
      <c r="T361" s="1293"/>
      <c r="U361" s="1293"/>
      <c r="W361" s="1293" t="str">
        <f>'🔵クレーム'!C352</f>
        <v/>
      </c>
      <c r="X361" s="1293" t="str">
        <f>'🔵クレーム'!D352</f>
        <v/>
      </c>
      <c r="Y361" s="1292" t="str">
        <f>'🔵クレーム'!I352</f>
        <v/>
      </c>
      <c r="Z361" s="1293" t="str">
        <f>'🔵クレーム'!J352</f>
        <v/>
      </c>
      <c r="AA361" s="1293" t="str">
        <f>'🔵クレーム'!K352</f>
        <v/>
      </c>
      <c r="AB361" s="1293" t="str">
        <f>'🔵クレーム'!L352</f>
        <v/>
      </c>
      <c r="AC361" s="1295" t="str">
        <f>'🔵クレーム'!N352</f>
        <v/>
      </c>
    </row>
    <row r="362">
      <c r="B362" s="20"/>
      <c r="C362" s="20"/>
      <c r="D362" s="20"/>
      <c r="E362" s="338"/>
      <c r="F362" s="20"/>
      <c r="G362" s="20"/>
      <c r="H362" s="20"/>
      <c r="I362" s="20"/>
      <c r="J362" s="20" t="s">
        <v>1061</v>
      </c>
      <c r="K362" s="20"/>
      <c r="L362" s="20"/>
      <c r="O362" s="1293"/>
      <c r="P362" s="1293"/>
      <c r="Q362" s="1293"/>
      <c r="R362" s="1293"/>
      <c r="S362" s="1293"/>
      <c r="T362" s="1293"/>
      <c r="U362" s="1293"/>
      <c r="W362" s="1293" t="str">
        <f>'🔵クレーム'!C353</f>
        <v/>
      </c>
      <c r="X362" s="1293" t="str">
        <f>'🔵クレーム'!D353</f>
        <v/>
      </c>
      <c r="Y362" s="1292" t="str">
        <f>'🔵クレーム'!I353</f>
        <v/>
      </c>
      <c r="Z362" s="1293" t="str">
        <f>'🔵クレーム'!J353</f>
        <v/>
      </c>
      <c r="AA362" s="1293" t="str">
        <f>'🔵クレーム'!K353</f>
        <v/>
      </c>
      <c r="AB362" s="1293" t="str">
        <f>'🔵クレーム'!L353</f>
        <v/>
      </c>
      <c r="AC362" s="1295" t="str">
        <f>'🔵クレーム'!N353</f>
        <v/>
      </c>
    </row>
    <row r="363">
      <c r="B363" s="20"/>
      <c r="C363" s="20"/>
      <c r="D363" s="20"/>
      <c r="E363" s="338"/>
      <c r="F363" s="20"/>
      <c r="G363" s="20"/>
      <c r="H363" s="20"/>
      <c r="I363" s="20"/>
      <c r="J363" s="20" t="s">
        <v>1061</v>
      </c>
      <c r="K363" s="20"/>
      <c r="L363" s="20"/>
      <c r="O363" s="1293"/>
      <c r="P363" s="1293"/>
      <c r="Q363" s="1293"/>
      <c r="R363" s="1293"/>
      <c r="S363" s="1293"/>
      <c r="T363" s="1293"/>
      <c r="U363" s="1293"/>
      <c r="W363" s="1293" t="str">
        <f>'🔵クレーム'!C354</f>
        <v/>
      </c>
      <c r="X363" s="1293" t="str">
        <f>'🔵クレーム'!D354</f>
        <v/>
      </c>
      <c r="Y363" s="1292" t="str">
        <f>'🔵クレーム'!I354</f>
        <v/>
      </c>
      <c r="Z363" s="1293" t="str">
        <f>'🔵クレーム'!J354</f>
        <v/>
      </c>
      <c r="AA363" s="1293" t="str">
        <f>'🔵クレーム'!K354</f>
        <v/>
      </c>
      <c r="AB363" s="1293" t="str">
        <f>'🔵クレーム'!L354</f>
        <v/>
      </c>
      <c r="AC363" s="1295" t="str">
        <f>'🔵クレーム'!N354</f>
        <v/>
      </c>
    </row>
    <row r="364">
      <c r="B364" s="20"/>
      <c r="C364" s="20"/>
      <c r="D364" s="20"/>
      <c r="E364" s="338"/>
      <c r="F364" s="20"/>
      <c r="G364" s="20"/>
      <c r="H364" s="20"/>
      <c r="I364" s="20"/>
      <c r="J364" s="20" t="s">
        <v>1061</v>
      </c>
      <c r="K364" s="20"/>
      <c r="L364" s="20"/>
      <c r="O364" s="1293"/>
      <c r="P364" s="1293"/>
      <c r="Q364" s="1293"/>
      <c r="R364" s="1293"/>
      <c r="S364" s="1293"/>
      <c r="T364" s="1293"/>
      <c r="U364" s="1293"/>
      <c r="W364" s="1293" t="str">
        <f>'🔵クレーム'!C355</f>
        <v/>
      </c>
      <c r="X364" s="1293" t="str">
        <f>'🔵クレーム'!D355</f>
        <v/>
      </c>
      <c r="Y364" s="1292" t="str">
        <f>'🔵クレーム'!I355</f>
        <v/>
      </c>
      <c r="Z364" s="1293" t="str">
        <f>'🔵クレーム'!J355</f>
        <v/>
      </c>
      <c r="AA364" s="1293" t="str">
        <f>'🔵クレーム'!K355</f>
        <v/>
      </c>
      <c r="AB364" s="1293" t="str">
        <f>'🔵クレーム'!L355</f>
        <v/>
      </c>
      <c r="AC364" s="1295" t="str">
        <f>'🔵クレーム'!N355</f>
        <v/>
      </c>
    </row>
    <row r="365">
      <c r="B365" s="20"/>
      <c r="C365" s="20"/>
      <c r="D365" s="20"/>
      <c r="E365" s="338"/>
      <c r="F365" s="20"/>
      <c r="G365" s="20"/>
      <c r="H365" s="20"/>
      <c r="I365" s="20"/>
      <c r="J365" s="20" t="s">
        <v>1061</v>
      </c>
      <c r="K365" s="20"/>
      <c r="L365" s="20"/>
      <c r="O365" s="1293"/>
      <c r="P365" s="1293"/>
      <c r="Q365" s="1293"/>
      <c r="R365" s="1293"/>
      <c r="S365" s="1293"/>
      <c r="T365" s="1293"/>
      <c r="U365" s="1293"/>
      <c r="W365" s="1293" t="str">
        <f>'🔵クレーム'!C356</f>
        <v/>
      </c>
      <c r="X365" s="1293" t="str">
        <f>'🔵クレーム'!D356</f>
        <v/>
      </c>
      <c r="Y365" s="1292" t="str">
        <f>'🔵クレーム'!I356</f>
        <v/>
      </c>
      <c r="Z365" s="1293" t="str">
        <f>'🔵クレーム'!J356</f>
        <v/>
      </c>
      <c r="AA365" s="1293" t="str">
        <f>'🔵クレーム'!K356</f>
        <v/>
      </c>
      <c r="AB365" s="1293" t="str">
        <f>'🔵クレーム'!L356</f>
        <v/>
      </c>
      <c r="AC365" s="1295" t="str">
        <f>'🔵クレーム'!N356</f>
        <v/>
      </c>
    </row>
    <row r="366">
      <c r="B366" s="20"/>
      <c r="C366" s="20"/>
      <c r="D366" s="20"/>
      <c r="E366" s="338"/>
      <c r="F366" s="20"/>
      <c r="G366" s="20"/>
      <c r="H366" s="20"/>
      <c r="I366" s="20"/>
      <c r="J366" s="20" t="s">
        <v>1061</v>
      </c>
      <c r="K366" s="20"/>
      <c r="L366" s="20"/>
      <c r="O366" s="1293"/>
      <c r="P366" s="1293"/>
      <c r="Q366" s="1293"/>
      <c r="R366" s="1293"/>
      <c r="S366" s="1293"/>
      <c r="T366" s="1293"/>
      <c r="U366" s="1293"/>
      <c r="W366" s="1293" t="str">
        <f>'🔵クレーム'!C357</f>
        <v/>
      </c>
      <c r="X366" s="1293" t="str">
        <f>'🔵クレーム'!D357</f>
        <v/>
      </c>
      <c r="Y366" s="1292" t="str">
        <f>'🔵クレーム'!I357</f>
        <v/>
      </c>
      <c r="Z366" s="1293" t="str">
        <f>'🔵クレーム'!J357</f>
        <v/>
      </c>
      <c r="AA366" s="1293" t="str">
        <f>'🔵クレーム'!K357</f>
        <v/>
      </c>
      <c r="AB366" s="1293" t="str">
        <f>'🔵クレーム'!L357</f>
        <v/>
      </c>
      <c r="AC366" s="1295" t="str">
        <f>'🔵クレーム'!N357</f>
        <v/>
      </c>
    </row>
    <row r="367">
      <c r="B367" s="20"/>
      <c r="C367" s="20"/>
      <c r="D367" s="20"/>
      <c r="E367" s="338"/>
      <c r="F367" s="20"/>
      <c r="G367" s="20"/>
      <c r="H367" s="20"/>
      <c r="I367" s="20"/>
      <c r="J367" s="20" t="s">
        <v>1061</v>
      </c>
      <c r="K367" s="20"/>
      <c r="L367" s="20"/>
      <c r="O367" s="1293"/>
      <c r="P367" s="1293"/>
      <c r="Q367" s="1293"/>
      <c r="R367" s="1293"/>
      <c r="S367" s="1293"/>
      <c r="T367" s="1293"/>
      <c r="U367" s="1293"/>
      <c r="W367" s="1293" t="str">
        <f>'🔵クレーム'!C358</f>
        <v/>
      </c>
      <c r="X367" s="1293" t="str">
        <f>'🔵クレーム'!D358</f>
        <v/>
      </c>
      <c r="Y367" s="1292" t="str">
        <f>'🔵クレーム'!I358</f>
        <v/>
      </c>
      <c r="Z367" s="1293" t="str">
        <f>'🔵クレーム'!J358</f>
        <v/>
      </c>
      <c r="AA367" s="1293" t="str">
        <f>'🔵クレーム'!K358</f>
        <v/>
      </c>
      <c r="AB367" s="1293" t="str">
        <f>'🔵クレーム'!L358</f>
        <v/>
      </c>
      <c r="AC367" s="1295" t="str">
        <f>'🔵クレーム'!N358</f>
        <v/>
      </c>
    </row>
    <row r="368">
      <c r="B368" s="20"/>
      <c r="C368" s="20"/>
      <c r="D368" s="20"/>
      <c r="E368" s="338"/>
      <c r="F368" s="20"/>
      <c r="G368" s="20"/>
      <c r="H368" s="20"/>
      <c r="I368" s="20"/>
      <c r="J368" s="20" t="s">
        <v>1061</v>
      </c>
      <c r="K368" s="20"/>
      <c r="L368" s="20"/>
      <c r="O368" s="1293"/>
      <c r="P368" s="1293"/>
      <c r="Q368" s="1293"/>
      <c r="R368" s="1293"/>
      <c r="S368" s="1293"/>
      <c r="T368" s="1293"/>
      <c r="U368" s="1293"/>
      <c r="W368" s="1293" t="str">
        <f>'🔵クレーム'!C359</f>
        <v/>
      </c>
      <c r="X368" s="1293" t="str">
        <f>'🔵クレーム'!D359</f>
        <v/>
      </c>
      <c r="Y368" s="1292" t="str">
        <f>'🔵クレーム'!I359</f>
        <v/>
      </c>
      <c r="Z368" s="1293" t="str">
        <f>'🔵クレーム'!J359</f>
        <v/>
      </c>
      <c r="AA368" s="1293" t="str">
        <f>'🔵クレーム'!K359</f>
        <v/>
      </c>
      <c r="AB368" s="1293" t="str">
        <f>'🔵クレーム'!L359</f>
        <v/>
      </c>
      <c r="AC368" s="1295" t="str">
        <f>'🔵クレーム'!N359</f>
        <v/>
      </c>
    </row>
    <row r="369">
      <c r="B369" s="20"/>
      <c r="C369" s="20"/>
      <c r="D369" s="20"/>
      <c r="E369" s="338"/>
      <c r="F369" s="20"/>
      <c r="G369" s="20"/>
      <c r="H369" s="20"/>
      <c r="I369" s="20"/>
      <c r="J369" s="20" t="s">
        <v>1061</v>
      </c>
      <c r="K369" s="20"/>
      <c r="L369" s="20"/>
      <c r="O369" s="1293"/>
      <c r="P369" s="1293"/>
      <c r="Q369" s="1293"/>
      <c r="R369" s="1293"/>
      <c r="S369" s="1293"/>
      <c r="T369" s="1293"/>
      <c r="U369" s="1293"/>
      <c r="W369" s="1293" t="str">
        <f>'🔵クレーム'!C360</f>
        <v/>
      </c>
      <c r="X369" s="1293" t="str">
        <f>'🔵クレーム'!D360</f>
        <v/>
      </c>
      <c r="Y369" s="1292" t="str">
        <f>'🔵クレーム'!I360</f>
        <v/>
      </c>
      <c r="Z369" s="1293" t="str">
        <f>'🔵クレーム'!J360</f>
        <v/>
      </c>
      <c r="AA369" s="1293" t="str">
        <f>'🔵クレーム'!K360</f>
        <v/>
      </c>
      <c r="AB369" s="1293" t="str">
        <f>'🔵クレーム'!L360</f>
        <v/>
      </c>
      <c r="AC369" s="1295" t="str">
        <f>'🔵クレーム'!N360</f>
        <v/>
      </c>
    </row>
    <row r="370">
      <c r="B370" s="20"/>
      <c r="C370" s="20"/>
      <c r="D370" s="20"/>
      <c r="E370" s="338"/>
      <c r="F370" s="20"/>
      <c r="G370" s="20"/>
      <c r="H370" s="20"/>
      <c r="I370" s="20"/>
      <c r="J370" s="20" t="s">
        <v>1061</v>
      </c>
      <c r="K370" s="20"/>
      <c r="L370" s="20"/>
      <c r="O370" s="1293"/>
      <c r="P370" s="1293"/>
      <c r="Q370" s="1293"/>
      <c r="R370" s="1293"/>
      <c r="S370" s="1293"/>
      <c r="T370" s="1293"/>
      <c r="U370" s="1293"/>
      <c r="W370" s="1293" t="str">
        <f>'🔵クレーム'!C361</f>
        <v/>
      </c>
      <c r="X370" s="1293" t="str">
        <f>'🔵クレーム'!D361</f>
        <v/>
      </c>
      <c r="Y370" s="1292" t="str">
        <f>'🔵クレーム'!I361</f>
        <v/>
      </c>
      <c r="Z370" s="1293" t="str">
        <f>'🔵クレーム'!J361</f>
        <v/>
      </c>
      <c r="AA370" s="1293" t="str">
        <f>'🔵クレーム'!K361</f>
        <v/>
      </c>
      <c r="AB370" s="1293" t="str">
        <f>'🔵クレーム'!L361</f>
        <v/>
      </c>
      <c r="AC370" s="1295" t="str">
        <f>'🔵クレーム'!N361</f>
        <v/>
      </c>
    </row>
    <row r="371">
      <c r="B371" s="20"/>
      <c r="C371" s="20"/>
      <c r="D371" s="20"/>
      <c r="E371" s="338"/>
      <c r="F371" s="20"/>
      <c r="G371" s="20"/>
      <c r="H371" s="20"/>
      <c r="I371" s="20"/>
      <c r="J371" s="20" t="s">
        <v>1061</v>
      </c>
      <c r="K371" s="20"/>
      <c r="L371" s="20"/>
      <c r="O371" s="1293"/>
      <c r="P371" s="1293"/>
      <c r="Q371" s="1293"/>
      <c r="R371" s="1293"/>
      <c r="S371" s="1293"/>
      <c r="T371" s="1293"/>
      <c r="U371" s="1293"/>
      <c r="W371" s="1293" t="str">
        <f>'🔵クレーム'!C362</f>
        <v/>
      </c>
      <c r="X371" s="1293" t="str">
        <f>'🔵クレーム'!D362</f>
        <v/>
      </c>
      <c r="Y371" s="1292" t="str">
        <f>'🔵クレーム'!I362</f>
        <v/>
      </c>
      <c r="Z371" s="1293" t="str">
        <f>'🔵クレーム'!J362</f>
        <v/>
      </c>
      <c r="AA371" s="1293" t="str">
        <f>'🔵クレーム'!K362</f>
        <v/>
      </c>
      <c r="AB371" s="1293" t="str">
        <f>'🔵クレーム'!L362</f>
        <v/>
      </c>
      <c r="AC371" s="1295" t="str">
        <f>'🔵クレーム'!N362</f>
        <v/>
      </c>
    </row>
    <row r="372">
      <c r="B372" s="20"/>
      <c r="C372" s="20"/>
      <c r="D372" s="20"/>
      <c r="E372" s="338"/>
      <c r="F372" s="20"/>
      <c r="G372" s="20"/>
      <c r="H372" s="20"/>
      <c r="I372" s="20"/>
      <c r="J372" s="20" t="s">
        <v>1061</v>
      </c>
      <c r="K372" s="20"/>
      <c r="L372" s="20"/>
      <c r="O372" s="1293"/>
      <c r="P372" s="1293"/>
      <c r="Q372" s="1293"/>
      <c r="R372" s="1293"/>
      <c r="S372" s="1293"/>
      <c r="T372" s="1293"/>
      <c r="U372" s="1293"/>
      <c r="W372" s="1293" t="str">
        <f>'🔵クレーム'!C363</f>
        <v/>
      </c>
      <c r="X372" s="1293" t="str">
        <f>'🔵クレーム'!D363</f>
        <v/>
      </c>
      <c r="Y372" s="1292" t="str">
        <f>'🔵クレーム'!I363</f>
        <v/>
      </c>
      <c r="Z372" s="1293" t="str">
        <f>'🔵クレーム'!J363</f>
        <v/>
      </c>
      <c r="AA372" s="1293" t="str">
        <f>'🔵クレーム'!K363</f>
        <v/>
      </c>
      <c r="AB372" s="1293" t="str">
        <f>'🔵クレーム'!L363</f>
        <v/>
      </c>
      <c r="AC372" s="1295" t="str">
        <f>'🔵クレーム'!N363</f>
        <v/>
      </c>
    </row>
    <row r="373">
      <c r="B373" s="20"/>
      <c r="C373" s="20"/>
      <c r="D373" s="20"/>
      <c r="E373" s="338"/>
      <c r="F373" s="20"/>
      <c r="G373" s="20"/>
      <c r="H373" s="20"/>
      <c r="I373" s="20"/>
      <c r="J373" s="20" t="s">
        <v>1061</v>
      </c>
      <c r="K373" s="20"/>
      <c r="L373" s="20"/>
      <c r="O373" s="1293"/>
      <c r="P373" s="1293"/>
      <c r="Q373" s="1293"/>
      <c r="R373" s="1293"/>
      <c r="S373" s="1293"/>
      <c r="T373" s="1293"/>
      <c r="U373" s="1293"/>
      <c r="W373" s="1293" t="str">
        <f>'🔵クレーム'!C364</f>
        <v/>
      </c>
      <c r="X373" s="1293" t="str">
        <f>'🔵クレーム'!D364</f>
        <v/>
      </c>
      <c r="Y373" s="1292" t="str">
        <f>'🔵クレーム'!I364</f>
        <v/>
      </c>
      <c r="Z373" s="1293" t="str">
        <f>'🔵クレーム'!J364</f>
        <v/>
      </c>
      <c r="AA373" s="1293" t="str">
        <f>'🔵クレーム'!K364</f>
        <v/>
      </c>
      <c r="AB373" s="1293" t="str">
        <f>'🔵クレーム'!L364</f>
        <v/>
      </c>
      <c r="AC373" s="1295" t="str">
        <f>'🔵クレーム'!N364</f>
        <v/>
      </c>
    </row>
    <row r="374">
      <c r="B374" s="20"/>
      <c r="C374" s="20"/>
      <c r="D374" s="20"/>
      <c r="E374" s="338"/>
      <c r="F374" s="20"/>
      <c r="G374" s="20"/>
      <c r="H374" s="20"/>
      <c r="I374" s="20"/>
      <c r="J374" s="20" t="s">
        <v>1061</v>
      </c>
      <c r="K374" s="20"/>
      <c r="L374" s="20"/>
      <c r="O374" s="1293"/>
      <c r="P374" s="1293"/>
      <c r="Q374" s="1293"/>
      <c r="R374" s="1293"/>
      <c r="S374" s="1293"/>
      <c r="T374" s="1293"/>
      <c r="U374" s="1293"/>
      <c r="W374" s="1293" t="str">
        <f>'🔵クレーム'!C365</f>
        <v/>
      </c>
      <c r="X374" s="1293" t="str">
        <f>'🔵クレーム'!D365</f>
        <v/>
      </c>
      <c r="Y374" s="1292" t="str">
        <f>'🔵クレーム'!I365</f>
        <v/>
      </c>
      <c r="Z374" s="1293" t="str">
        <f>'🔵クレーム'!J365</f>
        <v/>
      </c>
      <c r="AA374" s="1293" t="str">
        <f>'🔵クレーム'!K365</f>
        <v/>
      </c>
      <c r="AB374" s="1293" t="str">
        <f>'🔵クレーム'!L365</f>
        <v/>
      </c>
      <c r="AC374" s="1295" t="str">
        <f>'🔵クレーム'!N365</f>
        <v/>
      </c>
    </row>
    <row r="375">
      <c r="B375" s="20"/>
      <c r="C375" s="20"/>
      <c r="D375" s="20"/>
      <c r="E375" s="338"/>
      <c r="F375" s="20"/>
      <c r="G375" s="20"/>
      <c r="H375" s="20"/>
      <c r="I375" s="20"/>
      <c r="J375" s="20" t="s">
        <v>1061</v>
      </c>
      <c r="K375" s="20"/>
      <c r="L375" s="20"/>
      <c r="O375" s="1293"/>
      <c r="P375" s="1293"/>
      <c r="Q375" s="1293"/>
      <c r="R375" s="1293"/>
      <c r="S375" s="1293"/>
      <c r="T375" s="1293"/>
      <c r="U375" s="1293"/>
      <c r="W375" s="1293" t="str">
        <f>'🔵クレーム'!C366</f>
        <v/>
      </c>
      <c r="X375" s="1293" t="str">
        <f>'🔵クレーム'!D366</f>
        <v/>
      </c>
      <c r="Y375" s="1292" t="str">
        <f>'🔵クレーム'!I366</f>
        <v/>
      </c>
      <c r="Z375" s="1293" t="str">
        <f>'🔵クレーム'!J366</f>
        <v/>
      </c>
      <c r="AA375" s="1293" t="str">
        <f>'🔵クレーム'!K366</f>
        <v/>
      </c>
      <c r="AB375" s="1293" t="str">
        <f>'🔵クレーム'!L366</f>
        <v/>
      </c>
      <c r="AC375" s="1295" t="str">
        <f>'🔵クレーム'!N366</f>
        <v/>
      </c>
    </row>
    <row r="376">
      <c r="B376" s="20"/>
      <c r="C376" s="20"/>
      <c r="D376" s="20"/>
      <c r="E376" s="338"/>
      <c r="F376" s="20"/>
      <c r="G376" s="20"/>
      <c r="H376" s="20"/>
      <c r="I376" s="20"/>
      <c r="J376" s="20" t="s">
        <v>1061</v>
      </c>
      <c r="K376" s="20"/>
      <c r="L376" s="20"/>
      <c r="O376" s="1293"/>
      <c r="P376" s="1293"/>
      <c r="Q376" s="1293"/>
      <c r="R376" s="1293"/>
      <c r="S376" s="1293"/>
      <c r="T376" s="1293"/>
      <c r="U376" s="1293"/>
      <c r="W376" s="1293" t="str">
        <f>'🔵クレーム'!C367</f>
        <v/>
      </c>
      <c r="X376" s="1293" t="str">
        <f>'🔵クレーム'!D367</f>
        <v/>
      </c>
      <c r="Y376" s="1292" t="str">
        <f>'🔵クレーム'!I367</f>
        <v/>
      </c>
      <c r="Z376" s="1293" t="str">
        <f>'🔵クレーム'!J367</f>
        <v/>
      </c>
      <c r="AA376" s="1293" t="str">
        <f>'🔵クレーム'!K367</f>
        <v/>
      </c>
      <c r="AB376" s="1293" t="str">
        <f>'🔵クレーム'!L367</f>
        <v/>
      </c>
      <c r="AC376" s="1295" t="str">
        <f>'🔵クレーム'!N367</f>
        <v/>
      </c>
    </row>
    <row r="377">
      <c r="B377" s="20"/>
      <c r="C377" s="20"/>
      <c r="D377" s="20"/>
      <c r="E377" s="338"/>
      <c r="F377" s="20"/>
      <c r="G377" s="20"/>
      <c r="H377" s="20"/>
      <c r="I377" s="20"/>
      <c r="J377" s="20" t="s">
        <v>1061</v>
      </c>
      <c r="K377" s="20"/>
      <c r="L377" s="20"/>
      <c r="O377" s="1293"/>
      <c r="P377" s="1293"/>
      <c r="Q377" s="1293"/>
      <c r="R377" s="1293"/>
      <c r="S377" s="1293"/>
      <c r="T377" s="1293"/>
      <c r="U377" s="1293"/>
      <c r="W377" s="1293" t="str">
        <f>'🔵クレーム'!C368</f>
        <v/>
      </c>
      <c r="X377" s="1293" t="str">
        <f>'🔵クレーム'!D368</f>
        <v/>
      </c>
      <c r="Y377" s="1292" t="str">
        <f>'🔵クレーム'!I368</f>
        <v/>
      </c>
      <c r="Z377" s="1293" t="str">
        <f>'🔵クレーム'!J368</f>
        <v/>
      </c>
      <c r="AA377" s="1293" t="str">
        <f>'🔵クレーム'!K368</f>
        <v/>
      </c>
      <c r="AB377" s="1293" t="str">
        <f>'🔵クレーム'!L368</f>
        <v/>
      </c>
      <c r="AC377" s="1295" t="str">
        <f>'🔵クレーム'!N368</f>
        <v/>
      </c>
    </row>
    <row r="378">
      <c r="B378" s="20"/>
      <c r="C378" s="20"/>
      <c r="D378" s="20"/>
      <c r="E378" s="338"/>
      <c r="F378" s="20"/>
      <c r="G378" s="20"/>
      <c r="H378" s="20"/>
      <c r="I378" s="20"/>
      <c r="J378" s="20" t="s">
        <v>1061</v>
      </c>
      <c r="K378" s="20"/>
      <c r="L378" s="20"/>
      <c r="O378" s="1293"/>
      <c r="P378" s="1293"/>
      <c r="Q378" s="1293"/>
      <c r="R378" s="1293"/>
      <c r="S378" s="1293"/>
      <c r="T378" s="1293"/>
      <c r="U378" s="1293"/>
      <c r="W378" s="1293" t="str">
        <f>'🔵クレーム'!C369</f>
        <v/>
      </c>
      <c r="X378" s="1293" t="str">
        <f>'🔵クレーム'!D369</f>
        <v/>
      </c>
      <c r="Y378" s="1292" t="str">
        <f>'🔵クレーム'!I369</f>
        <v/>
      </c>
      <c r="Z378" s="1293" t="str">
        <f>'🔵クレーム'!J369</f>
        <v/>
      </c>
      <c r="AA378" s="1293" t="str">
        <f>'🔵クレーム'!K369</f>
        <v/>
      </c>
      <c r="AB378" s="1293" t="str">
        <f>'🔵クレーム'!L369</f>
        <v/>
      </c>
      <c r="AC378" s="1295" t="str">
        <f>'🔵クレーム'!N369</f>
        <v/>
      </c>
    </row>
    <row r="379">
      <c r="B379" s="20"/>
      <c r="C379" s="20"/>
      <c r="D379" s="20"/>
      <c r="E379" s="338"/>
      <c r="F379" s="20"/>
      <c r="G379" s="20"/>
      <c r="H379" s="20"/>
      <c r="I379" s="20"/>
      <c r="J379" s="20" t="s">
        <v>1061</v>
      </c>
      <c r="K379" s="20"/>
      <c r="L379" s="20"/>
      <c r="O379" s="1293"/>
      <c r="P379" s="1293"/>
      <c r="Q379" s="1293"/>
      <c r="R379" s="1293"/>
      <c r="S379" s="1293"/>
      <c r="T379" s="1293"/>
      <c r="U379" s="1293"/>
      <c r="W379" s="1293" t="str">
        <f>'🔵クレーム'!C370</f>
        <v/>
      </c>
      <c r="X379" s="1293" t="str">
        <f>'🔵クレーム'!D370</f>
        <v/>
      </c>
      <c r="Y379" s="1292" t="str">
        <f>'🔵クレーム'!I370</f>
        <v/>
      </c>
      <c r="Z379" s="1293" t="str">
        <f>'🔵クレーム'!J370</f>
        <v/>
      </c>
      <c r="AA379" s="1293" t="str">
        <f>'🔵クレーム'!K370</f>
        <v/>
      </c>
      <c r="AB379" s="1293" t="str">
        <f>'🔵クレーム'!L370</f>
        <v/>
      </c>
      <c r="AC379" s="1295" t="str">
        <f>'🔵クレーム'!N370</f>
        <v/>
      </c>
    </row>
    <row r="380">
      <c r="B380" s="20"/>
      <c r="C380" s="20"/>
      <c r="D380" s="20"/>
      <c r="E380" s="338"/>
      <c r="F380" s="20"/>
      <c r="G380" s="20"/>
      <c r="H380" s="20"/>
      <c r="I380" s="20"/>
      <c r="J380" s="20" t="s">
        <v>1061</v>
      </c>
      <c r="K380" s="20"/>
      <c r="L380" s="20"/>
      <c r="O380" s="1293"/>
      <c r="P380" s="1293"/>
      <c r="Q380" s="1293"/>
      <c r="R380" s="1293"/>
      <c r="S380" s="1293"/>
      <c r="T380" s="1293"/>
      <c r="U380" s="1293"/>
      <c r="W380" s="1293" t="str">
        <f>'🔵クレーム'!C371</f>
        <v/>
      </c>
      <c r="X380" s="1293" t="str">
        <f>'🔵クレーム'!D371</f>
        <v/>
      </c>
      <c r="Y380" s="1292" t="str">
        <f>'🔵クレーム'!I371</f>
        <v/>
      </c>
      <c r="Z380" s="1293" t="str">
        <f>'🔵クレーム'!J371</f>
        <v/>
      </c>
      <c r="AA380" s="1293" t="str">
        <f>'🔵クレーム'!K371</f>
        <v/>
      </c>
      <c r="AB380" s="1293" t="str">
        <f>'🔵クレーム'!L371</f>
        <v/>
      </c>
      <c r="AC380" s="1295" t="str">
        <f>'🔵クレーム'!N371</f>
        <v/>
      </c>
    </row>
    <row r="381">
      <c r="B381" s="20"/>
      <c r="C381" s="20"/>
      <c r="D381" s="20"/>
      <c r="E381" s="338"/>
      <c r="F381" s="20"/>
      <c r="G381" s="20"/>
      <c r="H381" s="20"/>
      <c r="I381" s="20"/>
      <c r="J381" s="20" t="s">
        <v>1061</v>
      </c>
      <c r="K381" s="20"/>
      <c r="L381" s="20"/>
      <c r="O381" s="1293"/>
      <c r="P381" s="1293"/>
      <c r="Q381" s="1293"/>
      <c r="R381" s="1293"/>
      <c r="S381" s="1293"/>
      <c r="T381" s="1293"/>
      <c r="U381" s="1293"/>
      <c r="W381" s="1293" t="str">
        <f>'🔵クレーム'!C372</f>
        <v/>
      </c>
      <c r="X381" s="1293" t="str">
        <f>'🔵クレーム'!D372</f>
        <v/>
      </c>
      <c r="Y381" s="1292" t="str">
        <f>'🔵クレーム'!I372</f>
        <v/>
      </c>
      <c r="Z381" s="1293" t="str">
        <f>'🔵クレーム'!J372</f>
        <v/>
      </c>
      <c r="AA381" s="1293" t="str">
        <f>'🔵クレーム'!K372</f>
        <v/>
      </c>
      <c r="AB381" s="1293" t="str">
        <f>'🔵クレーム'!L372</f>
        <v/>
      </c>
      <c r="AC381" s="1295" t="str">
        <f>'🔵クレーム'!N372</f>
        <v/>
      </c>
    </row>
    <row r="382">
      <c r="B382" s="20"/>
      <c r="C382" s="20"/>
      <c r="D382" s="20"/>
      <c r="E382" s="338"/>
      <c r="F382" s="20"/>
      <c r="G382" s="20"/>
      <c r="H382" s="20"/>
      <c r="I382" s="20"/>
      <c r="J382" s="20" t="s">
        <v>1061</v>
      </c>
      <c r="K382" s="20"/>
      <c r="L382" s="20"/>
      <c r="O382" s="1293"/>
      <c r="P382" s="1293"/>
      <c r="Q382" s="1293"/>
      <c r="R382" s="1293"/>
      <c r="S382" s="1293"/>
      <c r="T382" s="1293"/>
      <c r="U382" s="1293"/>
      <c r="W382" s="1293" t="str">
        <f>'🔵クレーム'!C373</f>
        <v/>
      </c>
      <c r="X382" s="1293" t="str">
        <f>'🔵クレーム'!D373</f>
        <v/>
      </c>
      <c r="Y382" s="1292" t="str">
        <f>'🔵クレーム'!I373</f>
        <v/>
      </c>
      <c r="Z382" s="1293" t="str">
        <f>'🔵クレーム'!J373</f>
        <v/>
      </c>
      <c r="AA382" s="1293" t="str">
        <f>'🔵クレーム'!K373</f>
        <v/>
      </c>
      <c r="AB382" s="1293" t="str">
        <f>'🔵クレーム'!L373</f>
        <v/>
      </c>
      <c r="AC382" s="1295" t="str">
        <f>'🔵クレーム'!N373</f>
        <v/>
      </c>
    </row>
    <row r="383">
      <c r="B383" s="20"/>
      <c r="C383" s="20"/>
      <c r="D383" s="20"/>
      <c r="E383" s="338"/>
      <c r="F383" s="20"/>
      <c r="G383" s="20"/>
      <c r="H383" s="20"/>
      <c r="I383" s="20"/>
      <c r="J383" s="20" t="s">
        <v>1061</v>
      </c>
      <c r="K383" s="20"/>
      <c r="L383" s="20"/>
      <c r="O383" s="1293"/>
      <c r="P383" s="1293"/>
      <c r="Q383" s="1293"/>
      <c r="R383" s="1293"/>
      <c r="S383" s="1293"/>
      <c r="T383" s="1293"/>
      <c r="U383" s="1293"/>
      <c r="W383" s="1293" t="str">
        <f>'🔵クレーム'!C374</f>
        <v/>
      </c>
      <c r="X383" s="1293" t="str">
        <f>'🔵クレーム'!D374</f>
        <v/>
      </c>
      <c r="Y383" s="1292" t="str">
        <f>'🔵クレーム'!I374</f>
        <v/>
      </c>
      <c r="Z383" s="1293" t="str">
        <f>'🔵クレーム'!J374</f>
        <v/>
      </c>
      <c r="AA383" s="1293" t="str">
        <f>'🔵クレーム'!K374</f>
        <v/>
      </c>
      <c r="AB383" s="1293" t="str">
        <f>'🔵クレーム'!L374</f>
        <v/>
      </c>
      <c r="AC383" s="1295" t="str">
        <f>'🔵クレーム'!N374</f>
        <v/>
      </c>
    </row>
    <row r="384">
      <c r="B384" s="20"/>
      <c r="C384" s="20"/>
      <c r="D384" s="20"/>
      <c r="E384" s="338"/>
      <c r="F384" s="20"/>
      <c r="G384" s="20"/>
      <c r="H384" s="20"/>
      <c r="I384" s="20"/>
      <c r="J384" s="20" t="s">
        <v>1061</v>
      </c>
      <c r="K384" s="20"/>
      <c r="L384" s="20"/>
      <c r="O384" s="1293"/>
      <c r="P384" s="1293"/>
      <c r="Q384" s="1293"/>
      <c r="R384" s="1293"/>
      <c r="S384" s="1293"/>
      <c r="T384" s="1293"/>
      <c r="U384" s="1293"/>
      <c r="W384" s="1293" t="str">
        <f>'🔵クレーム'!C375</f>
        <v/>
      </c>
      <c r="X384" s="1293" t="str">
        <f>'🔵クレーム'!D375</f>
        <v/>
      </c>
      <c r="Y384" s="1292" t="str">
        <f>'🔵クレーム'!I375</f>
        <v/>
      </c>
      <c r="Z384" s="1293" t="str">
        <f>'🔵クレーム'!J375</f>
        <v/>
      </c>
      <c r="AA384" s="1293" t="str">
        <f>'🔵クレーム'!K375</f>
        <v/>
      </c>
      <c r="AB384" s="1293" t="str">
        <f>'🔵クレーム'!L375</f>
        <v/>
      </c>
      <c r="AC384" s="1295" t="str">
        <f>'🔵クレーム'!N375</f>
        <v/>
      </c>
    </row>
    <row r="385">
      <c r="B385" s="20"/>
      <c r="C385" s="20"/>
      <c r="D385" s="20"/>
      <c r="E385" s="338"/>
      <c r="F385" s="20"/>
      <c r="G385" s="20"/>
      <c r="H385" s="20"/>
      <c r="I385" s="20"/>
      <c r="J385" s="20" t="s">
        <v>1061</v>
      </c>
      <c r="K385" s="20"/>
      <c r="L385" s="20"/>
      <c r="O385" s="1293"/>
      <c r="P385" s="1293"/>
      <c r="Q385" s="1293"/>
      <c r="R385" s="1293"/>
      <c r="S385" s="1293"/>
      <c r="T385" s="1293"/>
      <c r="U385" s="1293"/>
      <c r="W385" s="1293" t="str">
        <f>'🔵クレーム'!C376</f>
        <v/>
      </c>
      <c r="X385" s="1293" t="str">
        <f>'🔵クレーム'!D376</f>
        <v/>
      </c>
      <c r="Y385" s="1292" t="str">
        <f>'🔵クレーム'!I376</f>
        <v/>
      </c>
      <c r="Z385" s="1293" t="str">
        <f>'🔵クレーム'!J376</f>
        <v/>
      </c>
      <c r="AA385" s="1293" t="str">
        <f>'🔵クレーム'!K376</f>
        <v/>
      </c>
      <c r="AB385" s="1293" t="str">
        <f>'🔵クレーム'!L376</f>
        <v/>
      </c>
      <c r="AC385" s="1295" t="str">
        <f>'🔵クレーム'!N376</f>
        <v/>
      </c>
    </row>
    <row r="386">
      <c r="B386" s="20"/>
      <c r="C386" s="20"/>
      <c r="D386" s="20"/>
      <c r="E386" s="338"/>
      <c r="F386" s="20"/>
      <c r="G386" s="20"/>
      <c r="H386" s="20"/>
      <c r="I386" s="20"/>
      <c r="J386" s="20" t="s">
        <v>1061</v>
      </c>
      <c r="K386" s="20"/>
      <c r="L386" s="20"/>
      <c r="O386" s="1293"/>
      <c r="P386" s="1293"/>
      <c r="Q386" s="1293"/>
      <c r="R386" s="1293"/>
      <c r="S386" s="1293"/>
      <c r="T386" s="1293"/>
      <c r="U386" s="1293"/>
      <c r="W386" s="1293" t="str">
        <f>'🔵クレーム'!C377</f>
        <v/>
      </c>
      <c r="X386" s="1293" t="str">
        <f>'🔵クレーム'!D377</f>
        <v/>
      </c>
      <c r="Y386" s="1292" t="str">
        <f>'🔵クレーム'!I377</f>
        <v/>
      </c>
      <c r="Z386" s="1293" t="str">
        <f>'🔵クレーム'!J377</f>
        <v/>
      </c>
      <c r="AA386" s="1293" t="str">
        <f>'🔵クレーム'!K377</f>
        <v/>
      </c>
      <c r="AB386" s="1293" t="str">
        <f>'🔵クレーム'!L377</f>
        <v/>
      </c>
      <c r="AC386" s="1295" t="str">
        <f>'🔵クレーム'!N377</f>
        <v/>
      </c>
    </row>
    <row r="387">
      <c r="B387" s="20"/>
      <c r="C387" s="20"/>
      <c r="D387" s="20"/>
      <c r="E387" s="338"/>
      <c r="F387" s="20"/>
      <c r="G387" s="20"/>
      <c r="H387" s="20"/>
      <c r="I387" s="20"/>
      <c r="J387" s="20" t="s">
        <v>1061</v>
      </c>
      <c r="K387" s="20"/>
      <c r="L387" s="20"/>
      <c r="O387" s="1293"/>
      <c r="P387" s="1293"/>
      <c r="Q387" s="1293"/>
      <c r="R387" s="1293"/>
      <c r="S387" s="1293"/>
      <c r="T387" s="1293"/>
      <c r="U387" s="1293"/>
      <c r="W387" s="1293" t="str">
        <f>'🔵クレーム'!C378</f>
        <v/>
      </c>
      <c r="X387" s="1293" t="str">
        <f>'🔵クレーム'!D378</f>
        <v/>
      </c>
      <c r="Y387" s="1292" t="str">
        <f>'🔵クレーム'!I378</f>
        <v/>
      </c>
      <c r="Z387" s="1293" t="str">
        <f>'🔵クレーム'!J378</f>
        <v/>
      </c>
      <c r="AA387" s="1293" t="str">
        <f>'🔵クレーム'!K378</f>
        <v/>
      </c>
      <c r="AB387" s="1293" t="str">
        <f>'🔵クレーム'!L378</f>
        <v/>
      </c>
      <c r="AC387" s="1295" t="str">
        <f>'🔵クレーム'!N378</f>
        <v/>
      </c>
    </row>
    <row r="388">
      <c r="B388" s="20"/>
      <c r="C388" s="20"/>
      <c r="D388" s="20"/>
      <c r="E388" s="338"/>
      <c r="F388" s="20"/>
      <c r="G388" s="20"/>
      <c r="H388" s="20"/>
      <c r="I388" s="20"/>
      <c r="J388" s="20" t="s">
        <v>1061</v>
      </c>
      <c r="K388" s="20"/>
      <c r="L388" s="20"/>
      <c r="O388" s="1293"/>
      <c r="P388" s="1293"/>
      <c r="Q388" s="1293"/>
      <c r="R388" s="1293"/>
      <c r="S388" s="1293"/>
      <c r="T388" s="1293"/>
      <c r="U388" s="1293"/>
      <c r="W388" s="1293" t="str">
        <f>'🔵クレーム'!C379</f>
        <v/>
      </c>
      <c r="X388" s="1293" t="str">
        <f>'🔵クレーム'!D379</f>
        <v/>
      </c>
      <c r="Y388" s="1292" t="str">
        <f>'🔵クレーム'!I379</f>
        <v/>
      </c>
      <c r="Z388" s="1293" t="str">
        <f>'🔵クレーム'!J379</f>
        <v/>
      </c>
      <c r="AA388" s="1293" t="str">
        <f>'🔵クレーム'!K379</f>
        <v/>
      </c>
      <c r="AB388" s="1293" t="str">
        <f>'🔵クレーム'!L379</f>
        <v/>
      </c>
      <c r="AC388" s="1295" t="str">
        <f>'🔵クレーム'!N379</f>
        <v/>
      </c>
    </row>
    <row r="389">
      <c r="B389" s="20"/>
      <c r="C389" s="20"/>
      <c r="D389" s="20"/>
      <c r="E389" s="338"/>
      <c r="F389" s="20"/>
      <c r="G389" s="20"/>
      <c r="H389" s="20"/>
      <c r="I389" s="20"/>
      <c r="J389" s="20" t="s">
        <v>1061</v>
      </c>
      <c r="K389" s="20"/>
      <c r="L389" s="20"/>
      <c r="O389" s="1293"/>
      <c r="P389" s="1293"/>
      <c r="Q389" s="1293"/>
      <c r="R389" s="1293"/>
      <c r="S389" s="1293"/>
      <c r="T389" s="1293"/>
      <c r="U389" s="1293"/>
      <c r="W389" s="1293" t="str">
        <f>'🔵クレーム'!C380</f>
        <v/>
      </c>
      <c r="X389" s="1293" t="str">
        <f>'🔵クレーム'!D380</f>
        <v/>
      </c>
      <c r="Y389" s="1292" t="str">
        <f>'🔵クレーム'!I380</f>
        <v/>
      </c>
      <c r="Z389" s="1293" t="str">
        <f>'🔵クレーム'!J380</f>
        <v/>
      </c>
      <c r="AA389" s="1293" t="str">
        <f>'🔵クレーム'!K380</f>
        <v/>
      </c>
      <c r="AB389" s="1293" t="str">
        <f>'🔵クレーム'!L380</f>
        <v/>
      </c>
      <c r="AC389" s="1295" t="str">
        <f>'🔵クレーム'!N380</f>
        <v/>
      </c>
    </row>
    <row r="390">
      <c r="B390" s="20"/>
      <c r="C390" s="20"/>
      <c r="D390" s="20"/>
      <c r="E390" s="338"/>
      <c r="F390" s="20"/>
      <c r="G390" s="20"/>
      <c r="H390" s="20"/>
      <c r="I390" s="20"/>
      <c r="J390" s="20" t="s">
        <v>1061</v>
      </c>
      <c r="K390" s="20"/>
      <c r="L390" s="20"/>
      <c r="O390" s="1293"/>
      <c r="P390" s="1293"/>
      <c r="Q390" s="1293"/>
      <c r="R390" s="1293"/>
      <c r="S390" s="1293"/>
      <c r="T390" s="1293"/>
      <c r="U390" s="1293"/>
      <c r="W390" s="1293" t="str">
        <f>'🔵クレーム'!C381</f>
        <v/>
      </c>
      <c r="X390" s="1293" t="str">
        <f>'🔵クレーム'!D381</f>
        <v/>
      </c>
      <c r="Y390" s="1292" t="str">
        <f>'🔵クレーム'!I381</f>
        <v/>
      </c>
      <c r="Z390" s="1293" t="str">
        <f>'🔵クレーム'!J381</f>
        <v/>
      </c>
      <c r="AA390" s="1293" t="str">
        <f>'🔵クレーム'!K381</f>
        <v/>
      </c>
      <c r="AB390" s="1293" t="str">
        <f>'🔵クレーム'!L381</f>
        <v/>
      </c>
      <c r="AC390" s="1295" t="str">
        <f>'🔵クレーム'!N381</f>
        <v/>
      </c>
    </row>
    <row r="391">
      <c r="B391" s="20"/>
      <c r="C391" s="20"/>
      <c r="D391" s="20"/>
      <c r="E391" s="338"/>
      <c r="F391" s="20"/>
      <c r="G391" s="20"/>
      <c r="H391" s="20"/>
      <c r="I391" s="20"/>
      <c r="J391" s="20" t="s">
        <v>1061</v>
      </c>
      <c r="K391" s="20"/>
      <c r="L391" s="20"/>
      <c r="O391" s="1293"/>
      <c r="P391" s="1293"/>
      <c r="Q391" s="1293"/>
      <c r="R391" s="1293"/>
      <c r="S391" s="1293"/>
      <c r="T391" s="1293"/>
      <c r="U391" s="1293"/>
      <c r="W391" s="1293" t="str">
        <f>'🔵クレーム'!C382</f>
        <v/>
      </c>
      <c r="X391" s="1293" t="str">
        <f>'🔵クレーム'!D382</f>
        <v/>
      </c>
      <c r="Y391" s="1292" t="str">
        <f>'🔵クレーム'!I382</f>
        <v/>
      </c>
      <c r="Z391" s="1293" t="str">
        <f>'🔵クレーム'!J382</f>
        <v/>
      </c>
      <c r="AA391" s="1293" t="str">
        <f>'🔵クレーム'!K382</f>
        <v/>
      </c>
      <c r="AB391" s="1293" t="str">
        <f>'🔵クレーム'!L382</f>
        <v/>
      </c>
      <c r="AC391" s="1295" t="str">
        <f>'🔵クレーム'!N382</f>
        <v/>
      </c>
    </row>
    <row r="392">
      <c r="B392" s="20"/>
      <c r="C392" s="20"/>
      <c r="D392" s="20"/>
      <c r="E392" s="338"/>
      <c r="F392" s="20"/>
      <c r="G392" s="20"/>
      <c r="H392" s="20"/>
      <c r="I392" s="20"/>
      <c r="J392" s="20" t="s">
        <v>1061</v>
      </c>
      <c r="K392" s="20"/>
      <c r="L392" s="20"/>
      <c r="O392" s="1293"/>
      <c r="P392" s="1293"/>
      <c r="Q392" s="1293"/>
      <c r="R392" s="1293"/>
      <c r="S392" s="1293"/>
      <c r="T392" s="1293"/>
      <c r="U392" s="1293"/>
      <c r="W392" s="1293" t="str">
        <f>'🔵クレーム'!C383</f>
        <v/>
      </c>
      <c r="X392" s="1293" t="str">
        <f>'🔵クレーム'!D383</f>
        <v/>
      </c>
      <c r="Y392" s="1292" t="str">
        <f>'🔵クレーム'!I383</f>
        <v/>
      </c>
      <c r="Z392" s="1293" t="str">
        <f>'🔵クレーム'!J383</f>
        <v/>
      </c>
      <c r="AA392" s="1293" t="str">
        <f>'🔵クレーム'!K383</f>
        <v/>
      </c>
      <c r="AB392" s="1293" t="str">
        <f>'🔵クレーム'!L383</f>
        <v/>
      </c>
      <c r="AC392" s="1295" t="str">
        <f>'🔵クレーム'!N383</f>
        <v/>
      </c>
    </row>
    <row r="393">
      <c r="B393" s="20"/>
      <c r="C393" s="20"/>
      <c r="D393" s="20"/>
      <c r="E393" s="338"/>
      <c r="F393" s="20"/>
      <c r="G393" s="20"/>
      <c r="H393" s="20"/>
      <c r="I393" s="20"/>
      <c r="J393" s="20" t="s">
        <v>1061</v>
      </c>
      <c r="K393" s="20"/>
      <c r="L393" s="20"/>
      <c r="O393" s="1293"/>
      <c r="P393" s="1293"/>
      <c r="Q393" s="1293"/>
      <c r="R393" s="1293"/>
      <c r="S393" s="1293"/>
      <c r="T393" s="1293"/>
      <c r="U393" s="1293"/>
      <c r="W393" s="1293" t="str">
        <f>'🔵クレーム'!C384</f>
        <v/>
      </c>
      <c r="X393" s="1293" t="str">
        <f>'🔵クレーム'!D384</f>
        <v/>
      </c>
      <c r="Y393" s="1292" t="str">
        <f>'🔵クレーム'!I384</f>
        <v/>
      </c>
      <c r="Z393" s="1293" t="str">
        <f>'🔵クレーム'!J384</f>
        <v/>
      </c>
      <c r="AA393" s="1293" t="str">
        <f>'🔵クレーム'!K384</f>
        <v/>
      </c>
      <c r="AB393" s="1293" t="str">
        <f>'🔵クレーム'!L384</f>
        <v/>
      </c>
      <c r="AC393" s="1295" t="str">
        <f>'🔵クレーム'!N384</f>
        <v/>
      </c>
    </row>
    <row r="394">
      <c r="B394" s="20"/>
      <c r="C394" s="20"/>
      <c r="D394" s="20"/>
      <c r="E394" s="338"/>
      <c r="F394" s="20"/>
      <c r="G394" s="20"/>
      <c r="H394" s="20"/>
      <c r="I394" s="20"/>
      <c r="J394" s="20" t="s">
        <v>1061</v>
      </c>
      <c r="K394" s="20"/>
      <c r="L394" s="20"/>
      <c r="O394" s="1293"/>
      <c r="P394" s="1293"/>
      <c r="Q394" s="1293"/>
      <c r="R394" s="1293"/>
      <c r="S394" s="1293"/>
      <c r="T394" s="1293"/>
      <c r="U394" s="1293"/>
      <c r="W394" s="1293" t="str">
        <f>'🔵クレーム'!C385</f>
        <v/>
      </c>
      <c r="X394" s="1293" t="str">
        <f>'🔵クレーム'!D385</f>
        <v/>
      </c>
      <c r="Y394" s="1292" t="str">
        <f>'🔵クレーム'!I385</f>
        <v/>
      </c>
      <c r="Z394" s="1293" t="str">
        <f>'🔵クレーム'!J385</f>
        <v/>
      </c>
      <c r="AA394" s="1293" t="str">
        <f>'🔵クレーム'!K385</f>
        <v/>
      </c>
      <c r="AB394" s="1293" t="str">
        <f>'🔵クレーム'!L385</f>
        <v/>
      </c>
      <c r="AC394" s="1295" t="str">
        <f>'🔵クレーム'!N385</f>
        <v/>
      </c>
    </row>
    <row r="395">
      <c r="B395" s="20"/>
      <c r="C395" s="20"/>
      <c r="D395" s="20"/>
      <c r="E395" s="338"/>
      <c r="F395" s="20"/>
      <c r="G395" s="20"/>
      <c r="H395" s="20"/>
      <c r="I395" s="20"/>
      <c r="J395" s="20" t="s">
        <v>1061</v>
      </c>
      <c r="K395" s="20"/>
      <c r="L395" s="20"/>
      <c r="O395" s="1293"/>
      <c r="P395" s="1293"/>
      <c r="Q395" s="1293"/>
      <c r="R395" s="1293"/>
      <c r="S395" s="1293"/>
      <c r="T395" s="1293"/>
      <c r="U395" s="1293"/>
      <c r="W395" s="1293" t="str">
        <f>'🔵クレーム'!C386</f>
        <v/>
      </c>
      <c r="X395" s="1293" t="str">
        <f>'🔵クレーム'!D386</f>
        <v/>
      </c>
      <c r="Y395" s="1292" t="str">
        <f>'🔵クレーム'!I386</f>
        <v/>
      </c>
      <c r="Z395" s="1293" t="str">
        <f>'🔵クレーム'!J386</f>
        <v/>
      </c>
      <c r="AA395" s="1293" t="str">
        <f>'🔵クレーム'!K386</f>
        <v/>
      </c>
      <c r="AB395" s="1293" t="str">
        <f>'🔵クレーム'!L386</f>
        <v/>
      </c>
      <c r="AC395" s="1295" t="str">
        <f>'🔵クレーム'!N386</f>
        <v/>
      </c>
    </row>
    <row r="396">
      <c r="B396" s="20"/>
      <c r="C396" s="20"/>
      <c r="D396" s="20"/>
      <c r="E396" s="338"/>
      <c r="F396" s="20"/>
      <c r="G396" s="20"/>
      <c r="H396" s="20"/>
      <c r="I396" s="20"/>
      <c r="J396" s="20" t="s">
        <v>1061</v>
      </c>
      <c r="K396" s="20"/>
      <c r="L396" s="20"/>
      <c r="O396" s="1293"/>
      <c r="P396" s="1293"/>
      <c r="Q396" s="1293"/>
      <c r="R396" s="1293"/>
      <c r="S396" s="1293"/>
      <c r="T396" s="1293"/>
      <c r="U396" s="1293"/>
      <c r="W396" s="1293" t="str">
        <f>'🔵クレーム'!C387</f>
        <v/>
      </c>
      <c r="X396" s="1293" t="str">
        <f>'🔵クレーム'!D387</f>
        <v/>
      </c>
      <c r="Y396" s="1292" t="str">
        <f>'🔵クレーム'!I387</f>
        <v/>
      </c>
      <c r="Z396" s="1293" t="str">
        <f>'🔵クレーム'!J387</f>
        <v/>
      </c>
      <c r="AA396" s="1293" t="str">
        <f>'🔵クレーム'!K387</f>
        <v/>
      </c>
      <c r="AB396" s="1293" t="str">
        <f>'🔵クレーム'!L387</f>
        <v/>
      </c>
      <c r="AC396" s="1295" t="str">
        <f>'🔵クレーム'!N387</f>
        <v/>
      </c>
    </row>
    <row r="397">
      <c r="B397" s="20"/>
      <c r="C397" s="20"/>
      <c r="D397" s="20"/>
      <c r="E397" s="338"/>
      <c r="F397" s="20"/>
      <c r="G397" s="20"/>
      <c r="H397" s="20"/>
      <c r="I397" s="20"/>
      <c r="J397" s="20" t="s">
        <v>1061</v>
      </c>
      <c r="K397" s="20"/>
      <c r="L397" s="20"/>
      <c r="O397" s="1293"/>
      <c r="P397" s="1293"/>
      <c r="Q397" s="1293"/>
      <c r="R397" s="1293"/>
      <c r="S397" s="1293"/>
      <c r="T397" s="1293"/>
      <c r="U397" s="1293"/>
      <c r="W397" s="1293" t="str">
        <f>'🔵クレーム'!C388</f>
        <v/>
      </c>
      <c r="X397" s="1293" t="str">
        <f>'🔵クレーム'!D388</f>
        <v/>
      </c>
      <c r="Y397" s="1292" t="str">
        <f>'🔵クレーム'!I388</f>
        <v/>
      </c>
      <c r="Z397" s="1293" t="str">
        <f>'🔵クレーム'!J388</f>
        <v/>
      </c>
      <c r="AA397" s="1293" t="str">
        <f>'🔵クレーム'!K388</f>
        <v/>
      </c>
      <c r="AB397" s="1293" t="str">
        <f>'🔵クレーム'!L388</f>
        <v/>
      </c>
      <c r="AC397" s="1295" t="str">
        <f>'🔵クレーム'!N388</f>
        <v/>
      </c>
    </row>
    <row r="398">
      <c r="B398" s="20"/>
      <c r="C398" s="20"/>
      <c r="D398" s="20"/>
      <c r="E398" s="338"/>
      <c r="F398" s="20"/>
      <c r="G398" s="20"/>
      <c r="H398" s="20"/>
      <c r="I398" s="20"/>
      <c r="J398" s="20" t="s">
        <v>1061</v>
      </c>
      <c r="K398" s="20"/>
      <c r="L398" s="20"/>
      <c r="O398" s="1293"/>
      <c r="P398" s="1293"/>
      <c r="Q398" s="1293"/>
      <c r="R398" s="1293"/>
      <c r="S398" s="1293"/>
      <c r="T398" s="1293"/>
      <c r="U398" s="1293"/>
      <c r="W398" s="1293" t="str">
        <f>'🔵クレーム'!C389</f>
        <v/>
      </c>
      <c r="X398" s="1293" t="str">
        <f>'🔵クレーム'!D389</f>
        <v/>
      </c>
      <c r="Y398" s="1292" t="str">
        <f>'🔵クレーム'!I389</f>
        <v/>
      </c>
      <c r="Z398" s="1293" t="str">
        <f>'🔵クレーム'!J389</f>
        <v/>
      </c>
      <c r="AA398" s="1293" t="str">
        <f>'🔵クレーム'!K389</f>
        <v/>
      </c>
      <c r="AB398" s="1293" t="str">
        <f>'🔵クレーム'!L389</f>
        <v/>
      </c>
      <c r="AC398" s="1295" t="str">
        <f>'🔵クレーム'!N389</f>
        <v/>
      </c>
    </row>
    <row r="399">
      <c r="B399" s="20"/>
      <c r="C399" s="20"/>
      <c r="D399" s="20"/>
      <c r="E399" s="338"/>
      <c r="F399" s="20"/>
      <c r="G399" s="20"/>
      <c r="H399" s="20"/>
      <c r="I399" s="20"/>
      <c r="J399" s="20" t="s">
        <v>1061</v>
      </c>
      <c r="K399" s="20"/>
      <c r="L399" s="20"/>
      <c r="O399" s="1293"/>
      <c r="P399" s="1293"/>
      <c r="Q399" s="1293"/>
      <c r="R399" s="1293"/>
      <c r="S399" s="1293"/>
      <c r="T399" s="1293"/>
      <c r="U399" s="1293"/>
      <c r="W399" s="1293" t="str">
        <f>'🔵クレーム'!C390</f>
        <v/>
      </c>
      <c r="X399" s="1293" t="str">
        <f>'🔵クレーム'!D390</f>
        <v/>
      </c>
      <c r="Y399" s="1292" t="str">
        <f>'🔵クレーム'!I390</f>
        <v/>
      </c>
      <c r="Z399" s="1293" t="str">
        <f>'🔵クレーム'!J390</f>
        <v/>
      </c>
      <c r="AA399" s="1293" t="str">
        <f>'🔵クレーム'!K390</f>
        <v/>
      </c>
      <c r="AB399" s="1293" t="str">
        <f>'🔵クレーム'!L390</f>
        <v/>
      </c>
      <c r="AC399" s="1295" t="str">
        <f>'🔵クレーム'!N390</f>
        <v/>
      </c>
    </row>
    <row r="400">
      <c r="B400" s="20"/>
      <c r="C400" s="20"/>
      <c r="D400" s="20"/>
      <c r="E400" s="338"/>
      <c r="F400" s="20"/>
      <c r="G400" s="20"/>
      <c r="H400" s="20"/>
      <c r="I400" s="20"/>
      <c r="J400" s="20" t="s">
        <v>1061</v>
      </c>
      <c r="K400" s="20"/>
      <c r="L400" s="20"/>
      <c r="O400" s="1293"/>
      <c r="P400" s="1293"/>
      <c r="Q400" s="1293"/>
      <c r="R400" s="1293"/>
      <c r="S400" s="1293"/>
      <c r="T400" s="1293"/>
      <c r="U400" s="1293"/>
      <c r="W400" s="1293" t="str">
        <f>'🔵クレーム'!C391</f>
        <v/>
      </c>
      <c r="X400" s="1293" t="str">
        <f>'🔵クレーム'!D391</f>
        <v/>
      </c>
      <c r="Y400" s="1292" t="str">
        <f>'🔵クレーム'!I391</f>
        <v/>
      </c>
      <c r="Z400" s="1293" t="str">
        <f>'🔵クレーム'!J391</f>
        <v/>
      </c>
      <c r="AA400" s="1293" t="str">
        <f>'🔵クレーム'!K391</f>
        <v/>
      </c>
      <c r="AB400" s="1293" t="str">
        <f>'🔵クレーム'!L391</f>
        <v/>
      </c>
      <c r="AC400" s="1295" t="str">
        <f>'🔵クレーム'!N391</f>
        <v/>
      </c>
    </row>
    <row r="401">
      <c r="B401" s="20"/>
      <c r="C401" s="20"/>
      <c r="D401" s="20"/>
      <c r="E401" s="338"/>
      <c r="F401" s="20"/>
      <c r="G401" s="20"/>
      <c r="H401" s="20"/>
      <c r="I401" s="20"/>
      <c r="J401" s="20" t="s">
        <v>1061</v>
      </c>
      <c r="K401" s="20"/>
      <c r="L401" s="20"/>
      <c r="O401" s="1293"/>
      <c r="P401" s="1293"/>
      <c r="Q401" s="1293"/>
      <c r="R401" s="1293"/>
      <c r="S401" s="1293"/>
      <c r="T401" s="1293"/>
      <c r="U401" s="1293"/>
      <c r="W401" s="1293" t="str">
        <f>'🔵クレーム'!C392</f>
        <v/>
      </c>
      <c r="X401" s="1293" t="str">
        <f>'🔵クレーム'!D392</f>
        <v/>
      </c>
      <c r="Y401" s="1292" t="str">
        <f>'🔵クレーム'!I392</f>
        <v/>
      </c>
      <c r="Z401" s="1293" t="str">
        <f>'🔵クレーム'!J392</f>
        <v/>
      </c>
      <c r="AA401" s="1293" t="str">
        <f>'🔵クレーム'!K392</f>
        <v/>
      </c>
      <c r="AB401" s="1293" t="str">
        <f>'🔵クレーム'!L392</f>
        <v/>
      </c>
      <c r="AC401" s="1295" t="str">
        <f>'🔵クレーム'!N392</f>
        <v/>
      </c>
    </row>
    <row r="402">
      <c r="B402" s="20"/>
      <c r="C402" s="20"/>
      <c r="D402" s="20"/>
      <c r="E402" s="338"/>
      <c r="F402" s="20"/>
      <c r="G402" s="20"/>
      <c r="H402" s="20"/>
      <c r="I402" s="20"/>
      <c r="J402" s="20" t="s">
        <v>1061</v>
      </c>
      <c r="K402" s="20"/>
      <c r="L402" s="20"/>
      <c r="O402" s="1293"/>
      <c r="P402" s="1293"/>
      <c r="Q402" s="1293"/>
      <c r="R402" s="1293"/>
      <c r="S402" s="1293"/>
      <c r="T402" s="1293"/>
      <c r="U402" s="1293"/>
      <c r="W402" s="1293" t="str">
        <f>'🔵クレーム'!C393</f>
        <v/>
      </c>
      <c r="X402" s="1293" t="str">
        <f>'🔵クレーム'!D393</f>
        <v/>
      </c>
      <c r="Y402" s="1292" t="str">
        <f>'🔵クレーム'!I393</f>
        <v/>
      </c>
      <c r="Z402" s="1293" t="str">
        <f>'🔵クレーム'!J393</f>
        <v/>
      </c>
      <c r="AA402" s="1293" t="str">
        <f>'🔵クレーム'!K393</f>
        <v/>
      </c>
      <c r="AB402" s="1293" t="str">
        <f>'🔵クレーム'!L393</f>
        <v/>
      </c>
      <c r="AC402" s="1295" t="str">
        <f>'🔵クレーム'!N393</f>
        <v/>
      </c>
    </row>
    <row r="403">
      <c r="B403" s="20"/>
      <c r="C403" s="20"/>
      <c r="D403" s="20"/>
      <c r="E403" s="338"/>
      <c r="F403" s="20"/>
      <c r="G403" s="20"/>
      <c r="H403" s="20"/>
      <c r="I403" s="20"/>
      <c r="J403" s="20" t="s">
        <v>1061</v>
      </c>
      <c r="K403" s="20"/>
      <c r="L403" s="20"/>
      <c r="O403" s="1293"/>
      <c r="P403" s="1293"/>
      <c r="Q403" s="1293"/>
      <c r="R403" s="1293"/>
      <c r="S403" s="1293"/>
      <c r="T403" s="1293"/>
      <c r="U403" s="1293"/>
      <c r="W403" s="1293" t="str">
        <f>'🔵クレーム'!C394</f>
        <v/>
      </c>
      <c r="X403" s="1293" t="str">
        <f>'🔵クレーム'!D394</f>
        <v/>
      </c>
      <c r="Y403" s="1292" t="str">
        <f>'🔵クレーム'!I394</f>
        <v/>
      </c>
      <c r="Z403" s="1293" t="str">
        <f>'🔵クレーム'!J394</f>
        <v/>
      </c>
      <c r="AA403" s="1293" t="str">
        <f>'🔵クレーム'!K394</f>
        <v/>
      </c>
      <c r="AB403" s="1293" t="str">
        <f>'🔵クレーム'!L394</f>
        <v/>
      </c>
      <c r="AC403" s="1295" t="str">
        <f>'🔵クレーム'!N394</f>
        <v/>
      </c>
    </row>
    <row r="404">
      <c r="B404" s="20"/>
      <c r="C404" s="20"/>
      <c r="D404" s="20"/>
      <c r="E404" s="338"/>
      <c r="F404" s="20"/>
      <c r="G404" s="20"/>
      <c r="H404" s="20"/>
      <c r="I404" s="20"/>
      <c r="J404" s="20" t="s">
        <v>1061</v>
      </c>
      <c r="K404" s="20"/>
      <c r="L404" s="20"/>
      <c r="O404" s="1293"/>
      <c r="P404" s="1293"/>
      <c r="Q404" s="1293"/>
      <c r="R404" s="1293"/>
      <c r="S404" s="1293"/>
      <c r="T404" s="1293"/>
      <c r="U404" s="1293"/>
      <c r="W404" s="1293" t="str">
        <f>'🔵クレーム'!C395</f>
        <v/>
      </c>
      <c r="X404" s="1293" t="str">
        <f>'🔵クレーム'!D395</f>
        <v/>
      </c>
      <c r="Y404" s="1292" t="str">
        <f>'🔵クレーム'!I395</f>
        <v/>
      </c>
      <c r="Z404" s="1293" t="str">
        <f>'🔵クレーム'!J395</f>
        <v/>
      </c>
      <c r="AA404" s="1293" t="str">
        <f>'🔵クレーム'!K395</f>
        <v/>
      </c>
      <c r="AB404" s="1293" t="str">
        <f>'🔵クレーム'!L395</f>
        <v/>
      </c>
      <c r="AC404" s="1295" t="str">
        <f>'🔵クレーム'!N395</f>
        <v/>
      </c>
    </row>
    <row r="405">
      <c r="B405" s="20"/>
      <c r="C405" s="20"/>
      <c r="D405" s="20"/>
      <c r="E405" s="338"/>
      <c r="F405" s="20"/>
      <c r="G405" s="20"/>
      <c r="H405" s="20"/>
      <c r="I405" s="20"/>
      <c r="J405" s="20" t="s">
        <v>1061</v>
      </c>
      <c r="K405" s="20"/>
      <c r="L405" s="20"/>
      <c r="O405" s="1293"/>
      <c r="P405" s="1293"/>
      <c r="Q405" s="1293"/>
      <c r="R405" s="1293"/>
      <c r="S405" s="1293"/>
      <c r="T405" s="1293"/>
      <c r="U405" s="1293"/>
      <c r="W405" s="1293" t="str">
        <f>'🔵クレーム'!C396</f>
        <v/>
      </c>
      <c r="X405" s="1293" t="str">
        <f>'🔵クレーム'!D396</f>
        <v/>
      </c>
      <c r="Y405" s="1292" t="str">
        <f>'🔵クレーム'!I396</f>
        <v/>
      </c>
      <c r="Z405" s="1293" t="str">
        <f>'🔵クレーム'!J396</f>
        <v/>
      </c>
      <c r="AA405" s="1293" t="str">
        <f>'🔵クレーム'!K396</f>
        <v/>
      </c>
      <c r="AB405" s="1293" t="str">
        <f>'🔵クレーム'!L396</f>
        <v/>
      </c>
      <c r="AC405" s="1295" t="str">
        <f>'🔵クレーム'!N396</f>
        <v/>
      </c>
    </row>
    <row r="406">
      <c r="B406" s="20"/>
      <c r="C406" s="20"/>
      <c r="D406" s="20"/>
      <c r="E406" s="338"/>
      <c r="F406" s="20"/>
      <c r="G406" s="20"/>
      <c r="H406" s="20"/>
      <c r="I406" s="20"/>
      <c r="J406" s="20" t="s">
        <v>1061</v>
      </c>
      <c r="K406" s="20"/>
      <c r="L406" s="20"/>
      <c r="O406" s="1293"/>
      <c r="P406" s="1293"/>
      <c r="Q406" s="1293"/>
      <c r="R406" s="1293"/>
      <c r="S406" s="1293"/>
      <c r="T406" s="1293"/>
      <c r="U406" s="1293"/>
      <c r="W406" s="1293" t="str">
        <f>'🔵クレーム'!C397</f>
        <v/>
      </c>
      <c r="X406" s="1293" t="str">
        <f>'🔵クレーム'!D397</f>
        <v/>
      </c>
      <c r="Y406" s="1292" t="str">
        <f>'🔵クレーム'!I397</f>
        <v/>
      </c>
      <c r="Z406" s="1293" t="str">
        <f>'🔵クレーム'!J397</f>
        <v/>
      </c>
      <c r="AA406" s="1293" t="str">
        <f>'🔵クレーム'!K397</f>
        <v/>
      </c>
      <c r="AB406" s="1293" t="str">
        <f>'🔵クレーム'!L397</f>
        <v/>
      </c>
      <c r="AC406" s="1295" t="str">
        <f>'🔵クレーム'!N397</f>
        <v/>
      </c>
    </row>
    <row r="407">
      <c r="B407" s="20"/>
      <c r="C407" s="20"/>
      <c r="D407" s="20"/>
      <c r="E407" s="338"/>
      <c r="F407" s="20"/>
      <c r="G407" s="20"/>
      <c r="H407" s="20"/>
      <c r="I407" s="20"/>
      <c r="J407" s="20" t="s">
        <v>1061</v>
      </c>
      <c r="K407" s="20"/>
      <c r="L407" s="20"/>
      <c r="O407" s="1293"/>
      <c r="P407" s="1293"/>
      <c r="Q407" s="1293"/>
      <c r="R407" s="1293"/>
      <c r="S407" s="1293"/>
      <c r="T407" s="1293"/>
      <c r="U407" s="1293"/>
      <c r="W407" s="1293" t="str">
        <f>'🔵クレーム'!C398</f>
        <v/>
      </c>
      <c r="X407" s="1293" t="str">
        <f>'🔵クレーム'!D398</f>
        <v/>
      </c>
      <c r="Y407" s="1292" t="str">
        <f>'🔵クレーム'!I398</f>
        <v/>
      </c>
      <c r="Z407" s="1293" t="str">
        <f>'🔵クレーム'!J398</f>
        <v/>
      </c>
      <c r="AA407" s="1293" t="str">
        <f>'🔵クレーム'!K398</f>
        <v/>
      </c>
      <c r="AB407" s="1293" t="str">
        <f>'🔵クレーム'!L398</f>
        <v/>
      </c>
      <c r="AC407" s="1295" t="str">
        <f>'🔵クレーム'!N398</f>
        <v/>
      </c>
    </row>
    <row r="408">
      <c r="B408" s="20"/>
      <c r="C408" s="20"/>
      <c r="D408" s="20"/>
      <c r="E408" s="338"/>
      <c r="F408" s="20"/>
      <c r="G408" s="20"/>
      <c r="H408" s="20"/>
      <c r="I408" s="20"/>
      <c r="J408" s="20" t="s">
        <v>1061</v>
      </c>
      <c r="K408" s="20"/>
      <c r="L408" s="20"/>
      <c r="O408" s="1293"/>
      <c r="P408" s="1293"/>
      <c r="Q408" s="1293"/>
      <c r="R408" s="1293"/>
      <c r="S408" s="1293"/>
      <c r="T408" s="1293"/>
      <c r="U408" s="1293"/>
      <c r="W408" s="1293" t="str">
        <f>'🔵クレーム'!C399</f>
        <v/>
      </c>
      <c r="X408" s="1293" t="str">
        <f>'🔵クレーム'!D399</f>
        <v/>
      </c>
      <c r="Y408" s="1292" t="str">
        <f>'🔵クレーム'!I399</f>
        <v/>
      </c>
      <c r="Z408" s="1293" t="str">
        <f>'🔵クレーム'!J399</f>
        <v/>
      </c>
      <c r="AA408" s="1293" t="str">
        <f>'🔵クレーム'!K399</f>
        <v/>
      </c>
      <c r="AB408" s="1293" t="str">
        <f>'🔵クレーム'!L399</f>
        <v/>
      </c>
      <c r="AC408" s="1295" t="str">
        <f>'🔵クレーム'!N399</f>
        <v/>
      </c>
    </row>
    <row r="409">
      <c r="B409" s="20"/>
      <c r="C409" s="20"/>
      <c r="D409" s="20"/>
      <c r="E409" s="338"/>
      <c r="F409" s="20"/>
      <c r="G409" s="20"/>
      <c r="H409" s="20"/>
      <c r="I409" s="20"/>
      <c r="J409" s="20" t="s">
        <v>1061</v>
      </c>
      <c r="K409" s="20"/>
      <c r="L409" s="20"/>
      <c r="O409" s="1293"/>
      <c r="P409" s="1293"/>
      <c r="Q409" s="1293"/>
      <c r="R409" s="1293"/>
      <c r="S409" s="1293"/>
      <c r="T409" s="1293"/>
      <c r="U409" s="1293"/>
      <c r="W409" s="1293" t="str">
        <f>'🔵クレーム'!C400</f>
        <v/>
      </c>
      <c r="X409" s="1293" t="str">
        <f>'🔵クレーム'!D400</f>
        <v/>
      </c>
      <c r="Y409" s="1292" t="str">
        <f>'🔵クレーム'!I400</f>
        <v/>
      </c>
      <c r="Z409" s="1293" t="str">
        <f>'🔵クレーム'!J400</f>
        <v/>
      </c>
      <c r="AA409" s="1293" t="str">
        <f>'🔵クレーム'!K400</f>
        <v/>
      </c>
      <c r="AB409" s="1293" t="str">
        <f>'🔵クレーム'!L400</f>
        <v/>
      </c>
      <c r="AC409" s="1295" t="str">
        <f>'🔵クレーム'!N400</f>
        <v/>
      </c>
    </row>
    <row r="410">
      <c r="B410" s="20"/>
      <c r="C410" s="20"/>
      <c r="D410" s="20"/>
      <c r="E410" s="338"/>
      <c r="F410" s="20"/>
      <c r="G410" s="20"/>
      <c r="H410" s="20"/>
      <c r="I410" s="20"/>
      <c r="J410" s="20" t="s">
        <v>1061</v>
      </c>
      <c r="K410" s="20"/>
      <c r="L410" s="20"/>
      <c r="O410" s="1293"/>
      <c r="P410" s="1293"/>
      <c r="Q410" s="1293"/>
      <c r="R410" s="1293"/>
      <c r="S410" s="1293"/>
      <c r="T410" s="1293"/>
      <c r="U410" s="1293"/>
      <c r="W410" s="1293" t="str">
        <f>'🔵クレーム'!C401</f>
        <v/>
      </c>
      <c r="X410" s="1293" t="str">
        <f>'🔵クレーム'!D401</f>
        <v/>
      </c>
      <c r="Y410" s="1292" t="str">
        <f>'🔵クレーム'!I401</f>
        <v/>
      </c>
      <c r="Z410" s="1293" t="str">
        <f>'🔵クレーム'!J401</f>
        <v/>
      </c>
      <c r="AA410" s="1293" t="str">
        <f>'🔵クレーム'!K401</f>
        <v/>
      </c>
      <c r="AB410" s="1293" t="str">
        <f>'🔵クレーム'!L401</f>
        <v/>
      </c>
      <c r="AC410" s="1295" t="str">
        <f>'🔵クレーム'!N401</f>
        <v/>
      </c>
    </row>
    <row r="411">
      <c r="B411" s="20"/>
      <c r="C411" s="20"/>
      <c r="D411" s="20"/>
      <c r="E411" s="338"/>
      <c r="F411" s="20"/>
      <c r="G411" s="20"/>
      <c r="H411" s="20"/>
      <c r="I411" s="20"/>
      <c r="J411" s="20" t="s">
        <v>1061</v>
      </c>
      <c r="K411" s="20"/>
      <c r="L411" s="20"/>
      <c r="O411" s="1293"/>
      <c r="P411" s="1293"/>
      <c r="Q411" s="1293"/>
      <c r="R411" s="1293"/>
      <c r="S411" s="1293"/>
      <c r="T411" s="1293"/>
      <c r="U411" s="1293"/>
      <c r="W411" s="1293" t="str">
        <f>'🔵クレーム'!C402</f>
        <v/>
      </c>
      <c r="X411" s="1293" t="str">
        <f>'🔵クレーム'!D402</f>
        <v/>
      </c>
      <c r="Y411" s="1292" t="str">
        <f>'🔵クレーム'!I402</f>
        <v/>
      </c>
      <c r="Z411" s="1293" t="str">
        <f>'🔵クレーム'!J402</f>
        <v/>
      </c>
      <c r="AA411" s="1293" t="str">
        <f>'🔵クレーム'!K402</f>
        <v/>
      </c>
      <c r="AB411" s="1293" t="str">
        <f>'🔵クレーム'!L402</f>
        <v/>
      </c>
      <c r="AC411" s="1295" t="str">
        <f>'🔵クレーム'!N402</f>
        <v/>
      </c>
    </row>
    <row r="412">
      <c r="B412" s="20"/>
      <c r="C412" s="20"/>
      <c r="D412" s="20"/>
      <c r="E412" s="338"/>
      <c r="F412" s="20"/>
      <c r="G412" s="20"/>
      <c r="H412" s="20"/>
      <c r="I412" s="20"/>
      <c r="J412" s="20" t="s">
        <v>1061</v>
      </c>
      <c r="K412" s="20"/>
      <c r="L412" s="20"/>
      <c r="O412" s="1293"/>
      <c r="P412" s="1293"/>
      <c r="Q412" s="1293"/>
      <c r="R412" s="1293"/>
      <c r="S412" s="1293"/>
      <c r="T412" s="1293"/>
      <c r="U412" s="1293"/>
      <c r="W412" s="1293" t="str">
        <f>'🔵クレーム'!C403</f>
        <v/>
      </c>
      <c r="X412" s="1293" t="str">
        <f>'🔵クレーム'!D403</f>
        <v/>
      </c>
      <c r="Y412" s="1292" t="str">
        <f>'🔵クレーム'!I403</f>
        <v/>
      </c>
      <c r="Z412" s="1293" t="str">
        <f>'🔵クレーム'!J403</f>
        <v/>
      </c>
      <c r="AA412" s="1293" t="str">
        <f>'🔵クレーム'!K403</f>
        <v/>
      </c>
      <c r="AB412" s="1293" t="str">
        <f>'🔵クレーム'!L403</f>
        <v/>
      </c>
      <c r="AC412" s="1295" t="str">
        <f>'🔵クレーム'!N403</f>
        <v/>
      </c>
    </row>
    <row r="413">
      <c r="B413" s="20"/>
      <c r="C413" s="20"/>
      <c r="D413" s="20"/>
      <c r="E413" s="338"/>
      <c r="F413" s="20"/>
      <c r="G413" s="20"/>
      <c r="H413" s="20"/>
      <c r="I413" s="20"/>
      <c r="J413" s="20" t="s">
        <v>1061</v>
      </c>
      <c r="K413" s="20"/>
      <c r="L413" s="20"/>
      <c r="O413" s="1293"/>
      <c r="P413" s="1293"/>
      <c r="Q413" s="1293"/>
      <c r="R413" s="1293"/>
      <c r="S413" s="1293"/>
      <c r="T413" s="1293"/>
      <c r="U413" s="1293"/>
      <c r="W413" s="1293" t="str">
        <f>'🔵クレーム'!C404</f>
        <v/>
      </c>
      <c r="X413" s="1293" t="str">
        <f>'🔵クレーム'!D404</f>
        <v/>
      </c>
      <c r="Y413" s="1292" t="str">
        <f>'🔵クレーム'!I404</f>
        <v/>
      </c>
      <c r="Z413" s="1293" t="str">
        <f>'🔵クレーム'!J404</f>
        <v/>
      </c>
      <c r="AA413" s="1293" t="str">
        <f>'🔵クレーム'!K404</f>
        <v/>
      </c>
      <c r="AB413" s="1293" t="str">
        <f>'🔵クレーム'!L404</f>
        <v/>
      </c>
      <c r="AC413" s="1295" t="str">
        <f>'🔵クレーム'!N404</f>
        <v/>
      </c>
    </row>
    <row r="414">
      <c r="B414" s="20"/>
      <c r="C414" s="20"/>
      <c r="D414" s="20"/>
      <c r="E414" s="338"/>
      <c r="F414" s="20"/>
      <c r="G414" s="20"/>
      <c r="H414" s="20"/>
      <c r="I414" s="20"/>
      <c r="J414" s="20" t="s">
        <v>1061</v>
      </c>
      <c r="K414" s="20"/>
      <c r="L414" s="20"/>
      <c r="O414" s="1293"/>
      <c r="P414" s="1293"/>
      <c r="Q414" s="1293"/>
      <c r="R414" s="1293"/>
      <c r="S414" s="1293"/>
      <c r="T414" s="1293"/>
      <c r="U414" s="1293"/>
      <c r="W414" s="1293" t="str">
        <f>'🔵クレーム'!C405</f>
        <v/>
      </c>
      <c r="X414" s="1293" t="str">
        <f>'🔵クレーム'!D405</f>
        <v/>
      </c>
      <c r="Y414" s="1292" t="str">
        <f>'🔵クレーム'!I405</f>
        <v/>
      </c>
      <c r="Z414" s="1293" t="str">
        <f>'🔵クレーム'!J405</f>
        <v/>
      </c>
      <c r="AA414" s="1293" t="str">
        <f>'🔵クレーム'!K405</f>
        <v/>
      </c>
      <c r="AB414" s="1293" t="str">
        <f>'🔵クレーム'!L405</f>
        <v/>
      </c>
      <c r="AC414" s="1295" t="str">
        <f>'🔵クレーム'!N405</f>
        <v/>
      </c>
    </row>
    <row r="415">
      <c r="B415" s="20"/>
      <c r="C415" s="20"/>
      <c r="D415" s="20"/>
      <c r="E415" s="338"/>
      <c r="F415" s="20"/>
      <c r="G415" s="20"/>
      <c r="H415" s="20"/>
      <c r="I415" s="20"/>
      <c r="J415" s="20" t="s">
        <v>1061</v>
      </c>
      <c r="K415" s="20"/>
      <c r="L415" s="20"/>
      <c r="O415" s="1293"/>
      <c r="P415" s="1293"/>
      <c r="Q415" s="1293"/>
      <c r="R415" s="1293"/>
      <c r="S415" s="1293"/>
      <c r="T415" s="1293"/>
      <c r="U415" s="1293"/>
      <c r="W415" s="1293" t="str">
        <f>'🔵クレーム'!C406</f>
        <v/>
      </c>
      <c r="X415" s="1293" t="str">
        <f>'🔵クレーム'!D406</f>
        <v/>
      </c>
      <c r="Y415" s="1292" t="str">
        <f>'🔵クレーム'!I406</f>
        <v/>
      </c>
      <c r="Z415" s="1293" t="str">
        <f>'🔵クレーム'!J406</f>
        <v/>
      </c>
      <c r="AA415" s="1293" t="str">
        <f>'🔵クレーム'!K406</f>
        <v/>
      </c>
      <c r="AB415" s="1293" t="str">
        <f>'🔵クレーム'!L406</f>
        <v/>
      </c>
      <c r="AC415" s="1295" t="str">
        <f>'🔵クレーム'!N406</f>
        <v/>
      </c>
    </row>
    <row r="416">
      <c r="B416" s="20"/>
      <c r="C416" s="20"/>
      <c r="D416" s="20"/>
      <c r="E416" s="338"/>
      <c r="F416" s="20"/>
      <c r="G416" s="20"/>
      <c r="H416" s="20"/>
      <c r="I416" s="20"/>
      <c r="J416" s="20" t="s">
        <v>1061</v>
      </c>
      <c r="K416" s="20"/>
      <c r="L416" s="20"/>
      <c r="O416" s="1293"/>
      <c r="P416" s="1293"/>
      <c r="Q416" s="1293"/>
      <c r="R416" s="1293"/>
      <c r="S416" s="1293"/>
      <c r="T416" s="1293"/>
      <c r="U416" s="1293"/>
      <c r="W416" s="1293" t="str">
        <f>'🔵クレーム'!C407</f>
        <v/>
      </c>
      <c r="X416" s="1293" t="str">
        <f>'🔵クレーム'!D407</f>
        <v/>
      </c>
      <c r="Y416" s="1292" t="str">
        <f>'🔵クレーム'!I407</f>
        <v/>
      </c>
      <c r="Z416" s="1293" t="str">
        <f>'🔵クレーム'!J407</f>
        <v/>
      </c>
      <c r="AA416" s="1293" t="str">
        <f>'🔵クレーム'!K407</f>
        <v/>
      </c>
      <c r="AB416" s="1293" t="str">
        <f>'🔵クレーム'!L407</f>
        <v/>
      </c>
      <c r="AC416" s="1295" t="str">
        <f>'🔵クレーム'!N407</f>
        <v/>
      </c>
    </row>
    <row r="417">
      <c r="B417" s="20"/>
      <c r="C417" s="20"/>
      <c r="D417" s="20"/>
      <c r="E417" s="338"/>
      <c r="F417" s="20"/>
      <c r="G417" s="20"/>
      <c r="H417" s="20"/>
      <c r="I417" s="20"/>
      <c r="J417" s="20" t="s">
        <v>1061</v>
      </c>
      <c r="K417" s="20"/>
      <c r="L417" s="20"/>
      <c r="AC417" s="1357"/>
    </row>
    <row r="418">
      <c r="B418" s="20"/>
      <c r="C418" s="20"/>
      <c r="D418" s="20"/>
      <c r="E418" s="338"/>
      <c r="F418" s="20"/>
      <c r="G418" s="20"/>
      <c r="H418" s="20"/>
      <c r="I418" s="20"/>
      <c r="J418" s="20" t="s">
        <v>1061</v>
      </c>
      <c r="K418" s="20"/>
      <c r="L418" s="20"/>
      <c r="AC418" s="1357"/>
    </row>
    <row r="419">
      <c r="B419" s="20"/>
      <c r="C419" s="20"/>
      <c r="D419" s="20"/>
      <c r="E419" s="338"/>
      <c r="F419" s="20"/>
      <c r="G419" s="20"/>
      <c r="H419" s="20"/>
      <c r="I419" s="20"/>
      <c r="J419" s="20" t="s">
        <v>1061</v>
      </c>
      <c r="K419" s="20"/>
      <c r="L419" s="20"/>
      <c r="AC419" s="1357"/>
    </row>
    <row r="420">
      <c r="B420" s="20"/>
      <c r="C420" s="20"/>
      <c r="D420" s="20"/>
      <c r="E420" s="338"/>
      <c r="F420" s="20"/>
      <c r="G420" s="20"/>
      <c r="H420" s="20"/>
      <c r="I420" s="20"/>
      <c r="J420" s="20" t="s">
        <v>1061</v>
      </c>
      <c r="K420" s="20"/>
      <c r="L420" s="20"/>
      <c r="AC420" s="1357"/>
    </row>
    <row r="421">
      <c r="B421" s="20"/>
      <c r="C421" s="20"/>
      <c r="D421" s="20"/>
      <c r="E421" s="338"/>
      <c r="F421" s="20"/>
      <c r="G421" s="20"/>
      <c r="H421" s="20"/>
      <c r="I421" s="20"/>
      <c r="J421" s="20" t="s">
        <v>1061</v>
      </c>
      <c r="K421" s="20"/>
      <c r="L421" s="20"/>
      <c r="AC421" s="1357"/>
    </row>
    <row r="422">
      <c r="B422" s="20"/>
      <c r="C422" s="20"/>
      <c r="D422" s="20"/>
      <c r="E422" s="338"/>
      <c r="F422" s="20"/>
      <c r="G422" s="20"/>
      <c r="H422" s="20"/>
      <c r="I422" s="20"/>
      <c r="J422" s="20" t="s">
        <v>1061</v>
      </c>
      <c r="K422" s="20"/>
      <c r="L422" s="20"/>
      <c r="AC422" s="1357"/>
    </row>
    <row r="423">
      <c r="B423" s="20"/>
      <c r="C423" s="20"/>
      <c r="D423" s="20"/>
      <c r="E423" s="338"/>
      <c r="F423" s="20"/>
      <c r="G423" s="20"/>
      <c r="H423" s="20"/>
      <c r="I423" s="20"/>
      <c r="J423" s="20" t="s">
        <v>1061</v>
      </c>
      <c r="K423" s="20"/>
      <c r="L423" s="20"/>
      <c r="AC423" s="1357"/>
    </row>
    <row r="424">
      <c r="B424" s="20"/>
      <c r="C424" s="20"/>
      <c r="D424" s="20"/>
      <c r="E424" s="338"/>
      <c r="F424" s="20"/>
      <c r="G424" s="20"/>
      <c r="H424" s="20"/>
      <c r="I424" s="20"/>
      <c r="J424" s="20" t="s">
        <v>1061</v>
      </c>
      <c r="K424" s="20"/>
      <c r="L424" s="20"/>
      <c r="AC424" s="1357"/>
    </row>
    <row r="425">
      <c r="B425" s="20"/>
      <c r="C425" s="20"/>
      <c r="D425" s="20"/>
      <c r="E425" s="338"/>
      <c r="F425" s="20"/>
      <c r="G425" s="20"/>
      <c r="H425" s="20"/>
      <c r="I425" s="20"/>
      <c r="J425" s="20" t="s">
        <v>1061</v>
      </c>
      <c r="K425" s="20"/>
      <c r="L425" s="20"/>
      <c r="AC425" s="1357"/>
    </row>
    <row r="426">
      <c r="B426" s="20"/>
      <c r="C426" s="20"/>
      <c r="D426" s="20"/>
      <c r="E426" s="338"/>
      <c r="F426" s="20"/>
      <c r="G426" s="20"/>
      <c r="H426" s="20"/>
      <c r="I426" s="20"/>
      <c r="J426" s="20" t="s">
        <v>1061</v>
      </c>
      <c r="K426" s="20"/>
      <c r="L426" s="20"/>
      <c r="AC426" s="1357"/>
    </row>
    <row r="427">
      <c r="B427" s="20"/>
      <c r="C427" s="20"/>
      <c r="D427" s="20"/>
      <c r="E427" s="338"/>
      <c r="F427" s="20"/>
      <c r="G427" s="20"/>
      <c r="H427" s="20"/>
      <c r="I427" s="20"/>
      <c r="J427" s="20" t="s">
        <v>1061</v>
      </c>
      <c r="K427" s="20"/>
      <c r="L427" s="20"/>
      <c r="AC427" s="1357"/>
    </row>
    <row r="428">
      <c r="B428" s="20"/>
      <c r="C428" s="20"/>
      <c r="D428" s="20"/>
      <c r="E428" s="338"/>
      <c r="F428" s="20"/>
      <c r="G428" s="20"/>
      <c r="H428" s="20"/>
      <c r="I428" s="20"/>
      <c r="J428" s="20" t="s">
        <v>1061</v>
      </c>
      <c r="K428" s="20"/>
      <c r="L428" s="20"/>
      <c r="AC428" s="1357"/>
    </row>
    <row r="429">
      <c r="B429" s="20"/>
      <c r="C429" s="20"/>
      <c r="D429" s="20"/>
      <c r="E429" s="338"/>
      <c r="F429" s="20"/>
      <c r="G429" s="20"/>
      <c r="H429" s="20"/>
      <c r="I429" s="20"/>
      <c r="J429" s="20" t="s">
        <v>1061</v>
      </c>
      <c r="K429" s="20"/>
      <c r="L429" s="20"/>
      <c r="AC429" s="1357"/>
    </row>
    <row r="430">
      <c r="B430" s="20"/>
      <c r="C430" s="20"/>
      <c r="D430" s="20"/>
      <c r="E430" s="338"/>
      <c r="F430" s="20"/>
      <c r="G430" s="20"/>
      <c r="H430" s="20"/>
      <c r="I430" s="20"/>
      <c r="J430" s="20" t="s">
        <v>1061</v>
      </c>
      <c r="K430" s="20"/>
      <c r="L430" s="20"/>
      <c r="AC430" s="1357"/>
    </row>
    <row r="431">
      <c r="B431" s="20"/>
      <c r="C431" s="20"/>
      <c r="D431" s="20"/>
      <c r="E431" s="338"/>
      <c r="F431" s="20"/>
      <c r="G431" s="20"/>
      <c r="H431" s="20"/>
      <c r="I431" s="20"/>
      <c r="J431" s="20" t="s">
        <v>1061</v>
      </c>
      <c r="K431" s="20"/>
      <c r="L431" s="20"/>
      <c r="AC431" s="1357"/>
    </row>
    <row r="432">
      <c r="B432" s="20"/>
      <c r="C432" s="20"/>
      <c r="D432" s="20"/>
      <c r="E432" s="338"/>
      <c r="F432" s="20"/>
      <c r="G432" s="20"/>
      <c r="H432" s="20"/>
      <c r="I432" s="20"/>
      <c r="J432" s="20" t="s">
        <v>1061</v>
      </c>
      <c r="K432" s="20"/>
      <c r="L432" s="20"/>
      <c r="AC432" s="1357"/>
    </row>
    <row r="433">
      <c r="B433" s="20"/>
      <c r="C433" s="20"/>
      <c r="D433" s="20"/>
      <c r="E433" s="338"/>
      <c r="F433" s="20"/>
      <c r="G433" s="20"/>
      <c r="H433" s="20"/>
      <c r="I433" s="20"/>
      <c r="J433" s="20" t="s">
        <v>1061</v>
      </c>
      <c r="K433" s="20"/>
      <c r="L433" s="20"/>
      <c r="AC433" s="1357"/>
    </row>
    <row r="434">
      <c r="B434" s="20"/>
      <c r="C434" s="20"/>
      <c r="D434" s="20"/>
      <c r="E434" s="338"/>
      <c r="F434" s="20"/>
      <c r="G434" s="20"/>
      <c r="H434" s="20"/>
      <c r="I434" s="20"/>
      <c r="J434" s="20" t="s">
        <v>1061</v>
      </c>
      <c r="K434" s="20"/>
      <c r="L434" s="20"/>
      <c r="AC434" s="1357"/>
    </row>
    <row r="435">
      <c r="B435" s="20"/>
      <c r="C435" s="20"/>
      <c r="D435" s="20"/>
      <c r="E435" s="338"/>
      <c r="F435" s="20"/>
      <c r="G435" s="20"/>
      <c r="H435" s="20"/>
      <c r="I435" s="20"/>
      <c r="J435" s="20" t="s">
        <v>1061</v>
      </c>
      <c r="K435" s="20"/>
      <c r="L435" s="20"/>
      <c r="AC435" s="1357"/>
    </row>
    <row r="436">
      <c r="B436" s="20"/>
      <c r="C436" s="20"/>
      <c r="D436" s="20"/>
      <c r="E436" s="338"/>
      <c r="F436" s="20"/>
      <c r="G436" s="20"/>
      <c r="H436" s="20"/>
      <c r="I436" s="20"/>
      <c r="J436" s="20" t="s">
        <v>1061</v>
      </c>
      <c r="K436" s="20"/>
      <c r="L436" s="20"/>
      <c r="AC436" s="1357"/>
    </row>
    <row r="437">
      <c r="B437" s="20"/>
      <c r="C437" s="20"/>
      <c r="D437" s="20"/>
      <c r="E437" s="338"/>
      <c r="F437" s="20"/>
      <c r="G437" s="20"/>
      <c r="H437" s="20"/>
      <c r="I437" s="20"/>
      <c r="J437" s="20" t="s">
        <v>1061</v>
      </c>
      <c r="K437" s="20"/>
      <c r="L437" s="20"/>
      <c r="AC437" s="1357"/>
    </row>
    <row r="438">
      <c r="B438" s="20"/>
      <c r="C438" s="20"/>
      <c r="D438" s="20"/>
      <c r="E438" s="338"/>
      <c r="F438" s="20"/>
      <c r="G438" s="20"/>
      <c r="H438" s="20"/>
      <c r="I438" s="20"/>
      <c r="J438" s="20" t="s">
        <v>1061</v>
      </c>
      <c r="K438" s="20"/>
      <c r="L438" s="20"/>
      <c r="AC438" s="1357"/>
    </row>
    <row r="439">
      <c r="B439" s="20"/>
      <c r="C439" s="20"/>
      <c r="D439" s="20"/>
      <c r="E439" s="338"/>
      <c r="F439" s="20"/>
      <c r="G439" s="20"/>
      <c r="H439" s="20"/>
      <c r="I439" s="20"/>
      <c r="J439" s="20" t="s">
        <v>1061</v>
      </c>
      <c r="K439" s="20"/>
      <c r="L439" s="20"/>
      <c r="AC439" s="1357"/>
    </row>
    <row r="440">
      <c r="B440" s="20"/>
      <c r="C440" s="20"/>
      <c r="D440" s="20"/>
      <c r="E440" s="338"/>
      <c r="F440" s="20"/>
      <c r="G440" s="20"/>
      <c r="H440" s="20"/>
      <c r="I440" s="20"/>
      <c r="J440" s="20" t="s">
        <v>1061</v>
      </c>
      <c r="K440" s="20"/>
      <c r="L440" s="20"/>
      <c r="AC440" s="1357"/>
    </row>
    <row r="441">
      <c r="B441" s="20"/>
      <c r="C441" s="20"/>
      <c r="D441" s="20"/>
      <c r="E441" s="338"/>
      <c r="F441" s="20"/>
      <c r="G441" s="20"/>
      <c r="H441" s="20"/>
      <c r="I441" s="20"/>
      <c r="J441" s="20" t="s">
        <v>1061</v>
      </c>
      <c r="K441" s="20"/>
      <c r="L441" s="20"/>
      <c r="AC441" s="1357"/>
    </row>
    <row r="442">
      <c r="B442" s="20"/>
      <c r="C442" s="20"/>
      <c r="D442" s="20"/>
      <c r="E442" s="338"/>
      <c r="F442" s="20"/>
      <c r="G442" s="20"/>
      <c r="H442" s="20"/>
      <c r="I442" s="20"/>
      <c r="J442" s="20" t="s">
        <v>1061</v>
      </c>
      <c r="K442" s="20"/>
      <c r="L442" s="20"/>
      <c r="AC442" s="1357"/>
    </row>
    <row r="443">
      <c r="B443" s="20"/>
      <c r="C443" s="20"/>
      <c r="D443" s="20"/>
      <c r="E443" s="338"/>
      <c r="F443" s="20"/>
      <c r="G443" s="20"/>
      <c r="H443" s="20"/>
      <c r="I443" s="20"/>
      <c r="J443" s="20" t="s">
        <v>1061</v>
      </c>
      <c r="K443" s="20"/>
      <c r="L443" s="20"/>
      <c r="AC443" s="1357"/>
    </row>
    <row r="444">
      <c r="B444" s="20"/>
      <c r="C444" s="20"/>
      <c r="D444" s="20"/>
      <c r="E444" s="338"/>
      <c r="F444" s="20"/>
      <c r="G444" s="20"/>
      <c r="H444" s="20"/>
      <c r="I444" s="20"/>
      <c r="J444" s="20" t="s">
        <v>1061</v>
      </c>
      <c r="K444" s="20"/>
      <c r="L444" s="20"/>
      <c r="AC444" s="1357"/>
    </row>
    <row r="445">
      <c r="B445" s="20"/>
      <c r="C445" s="20"/>
      <c r="D445" s="20"/>
      <c r="E445" s="338"/>
      <c r="F445" s="20"/>
      <c r="G445" s="20"/>
      <c r="H445" s="20"/>
      <c r="I445" s="20"/>
      <c r="J445" s="20" t="s">
        <v>1061</v>
      </c>
      <c r="K445" s="20"/>
      <c r="L445" s="20"/>
      <c r="AC445" s="1357"/>
    </row>
    <row r="446">
      <c r="B446" s="20"/>
      <c r="C446" s="20"/>
      <c r="D446" s="20"/>
      <c r="E446" s="338"/>
      <c r="F446" s="20"/>
      <c r="G446" s="20"/>
      <c r="H446" s="20"/>
      <c r="I446" s="20"/>
      <c r="J446" s="20" t="s">
        <v>1061</v>
      </c>
      <c r="K446" s="20"/>
      <c r="L446" s="20"/>
      <c r="AC446" s="1357"/>
    </row>
    <row r="447">
      <c r="B447" s="20"/>
      <c r="C447" s="20"/>
      <c r="D447" s="20"/>
      <c r="E447" s="338"/>
      <c r="F447" s="20"/>
      <c r="G447" s="20"/>
      <c r="H447" s="20"/>
      <c r="I447" s="20"/>
      <c r="J447" s="20" t="s">
        <v>1061</v>
      </c>
      <c r="K447" s="20"/>
      <c r="L447" s="20"/>
      <c r="AC447" s="1357"/>
    </row>
    <row r="448">
      <c r="B448" s="20"/>
      <c r="C448" s="20"/>
      <c r="D448" s="20"/>
      <c r="E448" s="338"/>
      <c r="F448" s="20"/>
      <c r="G448" s="20"/>
      <c r="H448" s="20"/>
      <c r="I448" s="20"/>
      <c r="J448" s="20" t="s">
        <v>1061</v>
      </c>
      <c r="K448" s="20"/>
      <c r="L448" s="20"/>
      <c r="AC448" s="1357"/>
    </row>
    <row r="449">
      <c r="B449" s="20"/>
      <c r="C449" s="20"/>
      <c r="D449" s="20"/>
      <c r="E449" s="338"/>
      <c r="F449" s="20"/>
      <c r="G449" s="20"/>
      <c r="H449" s="20"/>
      <c r="I449" s="20"/>
      <c r="J449" s="20" t="s">
        <v>1061</v>
      </c>
      <c r="K449" s="20"/>
      <c r="L449" s="20"/>
      <c r="AC449" s="1357"/>
    </row>
    <row r="450">
      <c r="B450" s="20"/>
      <c r="C450" s="20"/>
      <c r="D450" s="20"/>
      <c r="E450" s="338"/>
      <c r="F450" s="20"/>
      <c r="G450" s="20"/>
      <c r="H450" s="20"/>
      <c r="I450" s="20"/>
      <c r="J450" s="20" t="s">
        <v>1061</v>
      </c>
      <c r="K450" s="20"/>
      <c r="L450" s="20"/>
      <c r="AC450" s="1357"/>
    </row>
    <row r="451">
      <c r="B451" s="20"/>
      <c r="C451" s="20"/>
      <c r="D451" s="20"/>
      <c r="E451" s="338"/>
      <c r="F451" s="20"/>
      <c r="G451" s="20"/>
      <c r="H451" s="20"/>
      <c r="I451" s="20"/>
      <c r="J451" s="20" t="s">
        <v>1061</v>
      </c>
      <c r="K451" s="20"/>
      <c r="L451" s="20"/>
      <c r="AC451" s="1357"/>
    </row>
    <row r="452">
      <c r="B452" s="20"/>
      <c r="C452" s="20"/>
      <c r="D452" s="20"/>
      <c r="E452" s="338"/>
      <c r="F452" s="20"/>
      <c r="G452" s="20"/>
      <c r="H452" s="20"/>
      <c r="I452" s="20"/>
      <c r="J452" s="20" t="s">
        <v>1061</v>
      </c>
      <c r="K452" s="20"/>
      <c r="L452" s="20"/>
      <c r="AC452" s="1357"/>
    </row>
    <row r="453">
      <c r="B453" s="20"/>
      <c r="C453" s="20"/>
      <c r="D453" s="20"/>
      <c r="E453" s="338"/>
      <c r="F453" s="20"/>
      <c r="G453" s="20"/>
      <c r="H453" s="20"/>
      <c r="I453" s="20"/>
      <c r="J453" s="20" t="s">
        <v>1061</v>
      </c>
      <c r="K453" s="20"/>
      <c r="L453" s="20"/>
      <c r="AC453" s="1357"/>
    </row>
    <row r="454">
      <c r="B454" s="20"/>
      <c r="C454" s="20"/>
      <c r="D454" s="20"/>
      <c r="E454" s="338"/>
      <c r="F454" s="20"/>
      <c r="G454" s="20"/>
      <c r="H454" s="20"/>
      <c r="I454" s="20"/>
      <c r="J454" s="20" t="s">
        <v>1061</v>
      </c>
      <c r="K454" s="20"/>
      <c r="L454" s="20"/>
      <c r="AC454" s="1357"/>
    </row>
    <row r="455">
      <c r="B455" s="20"/>
      <c r="C455" s="20"/>
      <c r="D455" s="20"/>
      <c r="E455" s="338"/>
      <c r="F455" s="20"/>
      <c r="G455" s="20"/>
      <c r="H455" s="20"/>
      <c r="I455" s="20"/>
      <c r="J455" s="20" t="s">
        <v>1061</v>
      </c>
      <c r="K455" s="20"/>
      <c r="L455" s="20"/>
      <c r="AC455" s="1357"/>
    </row>
    <row r="456">
      <c r="B456" s="20"/>
      <c r="C456" s="20"/>
      <c r="D456" s="20"/>
      <c r="E456" s="338"/>
      <c r="F456" s="20"/>
      <c r="G456" s="20"/>
      <c r="H456" s="20"/>
      <c r="I456" s="20"/>
      <c r="J456" s="20" t="s">
        <v>1061</v>
      </c>
      <c r="K456" s="20"/>
      <c r="L456" s="20"/>
      <c r="AC456" s="1357"/>
    </row>
    <row r="457">
      <c r="B457" s="20"/>
      <c r="C457" s="20"/>
      <c r="D457" s="20"/>
      <c r="E457" s="338"/>
      <c r="F457" s="20"/>
      <c r="G457" s="20"/>
      <c r="H457" s="20"/>
      <c r="I457" s="20"/>
      <c r="J457" s="20" t="s">
        <v>1061</v>
      </c>
      <c r="K457" s="20"/>
      <c r="L457" s="20"/>
      <c r="AC457" s="1357"/>
    </row>
    <row r="458">
      <c r="B458" s="20"/>
      <c r="C458" s="20"/>
      <c r="D458" s="20"/>
      <c r="E458" s="338"/>
      <c r="F458" s="20"/>
      <c r="G458" s="20"/>
      <c r="H458" s="20"/>
      <c r="I458" s="20"/>
      <c r="J458" s="20" t="s">
        <v>1061</v>
      </c>
      <c r="K458" s="20"/>
      <c r="L458" s="20"/>
      <c r="AC458" s="1357"/>
    </row>
    <row r="459">
      <c r="B459" s="20"/>
      <c r="C459" s="20"/>
      <c r="D459" s="20"/>
      <c r="E459" s="338"/>
      <c r="F459" s="20"/>
      <c r="G459" s="20"/>
      <c r="H459" s="20"/>
      <c r="I459" s="20"/>
      <c r="J459" s="20" t="s">
        <v>1061</v>
      </c>
      <c r="K459" s="20"/>
      <c r="L459" s="20"/>
      <c r="AC459" s="1357"/>
    </row>
    <row r="460">
      <c r="B460" s="20"/>
      <c r="C460" s="20"/>
      <c r="D460" s="20"/>
      <c r="E460" s="338"/>
      <c r="F460" s="20"/>
      <c r="G460" s="20"/>
      <c r="H460" s="20"/>
      <c r="I460" s="20"/>
      <c r="J460" s="20" t="s">
        <v>1061</v>
      </c>
      <c r="K460" s="20"/>
      <c r="L460" s="20"/>
      <c r="AC460" s="1357"/>
    </row>
    <row r="461">
      <c r="B461" s="20"/>
      <c r="C461" s="20"/>
      <c r="D461" s="20"/>
      <c r="E461" s="338"/>
      <c r="F461" s="20"/>
      <c r="G461" s="20"/>
      <c r="H461" s="20"/>
      <c r="I461" s="20"/>
      <c r="J461" s="20" t="s">
        <v>1061</v>
      </c>
      <c r="K461" s="20"/>
      <c r="L461" s="20"/>
      <c r="AC461" s="1357"/>
    </row>
    <row r="462">
      <c r="B462" s="20"/>
      <c r="C462" s="20"/>
      <c r="D462" s="20"/>
      <c r="E462" s="338"/>
      <c r="F462" s="20"/>
      <c r="G462" s="20"/>
      <c r="H462" s="20"/>
      <c r="I462" s="20"/>
      <c r="J462" s="20" t="s">
        <v>1061</v>
      </c>
      <c r="K462" s="20"/>
      <c r="L462" s="20"/>
      <c r="AC462" s="1357"/>
    </row>
    <row r="463">
      <c r="B463" s="20"/>
      <c r="C463" s="20"/>
      <c r="D463" s="20"/>
      <c r="E463" s="338"/>
      <c r="F463" s="20"/>
      <c r="G463" s="20"/>
      <c r="H463" s="20"/>
      <c r="I463" s="20"/>
      <c r="J463" s="20" t="s">
        <v>1061</v>
      </c>
      <c r="K463" s="20"/>
      <c r="L463" s="20"/>
      <c r="AC463" s="1357"/>
    </row>
    <row r="464">
      <c r="B464" s="20"/>
      <c r="C464" s="20"/>
      <c r="D464" s="20"/>
      <c r="E464" s="338"/>
      <c r="F464" s="20"/>
      <c r="G464" s="20"/>
      <c r="H464" s="20"/>
      <c r="I464" s="20"/>
      <c r="J464" s="20" t="s">
        <v>1061</v>
      </c>
      <c r="K464" s="20"/>
      <c r="L464" s="20"/>
      <c r="AC464" s="1357"/>
    </row>
    <row r="465">
      <c r="B465" s="20"/>
      <c r="C465" s="20"/>
      <c r="D465" s="20"/>
      <c r="E465" s="338"/>
      <c r="F465" s="20"/>
      <c r="G465" s="20"/>
      <c r="H465" s="20"/>
      <c r="I465" s="20"/>
      <c r="J465" s="20" t="s">
        <v>1061</v>
      </c>
      <c r="K465" s="20"/>
      <c r="L465" s="20"/>
      <c r="AC465" s="1357"/>
    </row>
    <row r="466">
      <c r="B466" s="20"/>
      <c r="C466" s="20"/>
      <c r="D466" s="20"/>
      <c r="E466" s="338"/>
      <c r="F466" s="20"/>
      <c r="G466" s="20"/>
      <c r="H466" s="20"/>
      <c r="I466" s="20"/>
      <c r="J466" s="20" t="s">
        <v>1061</v>
      </c>
      <c r="K466" s="20"/>
      <c r="L466" s="20"/>
      <c r="AC466" s="1357"/>
    </row>
    <row r="467">
      <c r="B467" s="20"/>
      <c r="C467" s="20"/>
      <c r="D467" s="20"/>
      <c r="E467" s="338"/>
      <c r="F467" s="20"/>
      <c r="G467" s="20"/>
      <c r="H467" s="20"/>
      <c r="I467" s="20"/>
      <c r="J467" s="20" t="s">
        <v>1061</v>
      </c>
      <c r="K467" s="20"/>
      <c r="L467" s="20"/>
      <c r="AC467" s="1357"/>
    </row>
    <row r="468">
      <c r="B468" s="20"/>
      <c r="C468" s="20"/>
      <c r="D468" s="20"/>
      <c r="E468" s="338"/>
      <c r="F468" s="20"/>
      <c r="G468" s="20"/>
      <c r="H468" s="20"/>
      <c r="I468" s="20"/>
      <c r="J468" s="20" t="s">
        <v>1061</v>
      </c>
      <c r="K468" s="20"/>
      <c r="L468" s="20"/>
      <c r="AC468" s="1357"/>
    </row>
    <row r="469">
      <c r="B469" s="20"/>
      <c r="C469" s="20"/>
      <c r="D469" s="20"/>
      <c r="E469" s="338"/>
      <c r="F469" s="20"/>
      <c r="G469" s="20"/>
      <c r="H469" s="20"/>
      <c r="I469" s="20"/>
      <c r="J469" s="20" t="s">
        <v>1061</v>
      </c>
      <c r="K469" s="20"/>
      <c r="L469" s="20"/>
      <c r="AC469" s="1357"/>
    </row>
    <row r="470">
      <c r="B470" s="20"/>
      <c r="C470" s="20"/>
      <c r="D470" s="20"/>
      <c r="E470" s="338"/>
      <c r="F470" s="20"/>
      <c r="G470" s="20"/>
      <c r="H470" s="20"/>
      <c r="I470" s="20"/>
      <c r="J470" s="20" t="s">
        <v>1061</v>
      </c>
      <c r="K470" s="20"/>
      <c r="L470" s="20"/>
      <c r="AC470" s="1357"/>
    </row>
    <row r="471">
      <c r="B471" s="20"/>
      <c r="C471" s="20"/>
      <c r="D471" s="20"/>
      <c r="E471" s="338"/>
      <c r="F471" s="20"/>
      <c r="G471" s="20"/>
      <c r="H471" s="20"/>
      <c r="I471" s="20"/>
      <c r="J471" s="20" t="s">
        <v>1061</v>
      </c>
      <c r="K471" s="20"/>
      <c r="L471" s="20"/>
      <c r="AC471" s="1357"/>
    </row>
    <row r="472">
      <c r="B472" s="20"/>
      <c r="C472" s="20"/>
      <c r="D472" s="20"/>
      <c r="E472" s="338"/>
      <c r="F472" s="20"/>
      <c r="G472" s="20"/>
      <c r="H472" s="20"/>
      <c r="I472" s="20"/>
      <c r="J472" s="20" t="s">
        <v>1061</v>
      </c>
      <c r="K472" s="20"/>
      <c r="L472" s="20"/>
      <c r="AC472" s="1357"/>
    </row>
    <row r="473">
      <c r="B473" s="20"/>
      <c r="C473" s="20"/>
      <c r="D473" s="20"/>
      <c r="E473" s="338"/>
      <c r="F473" s="20"/>
      <c r="G473" s="20"/>
      <c r="H473" s="20"/>
      <c r="I473" s="20"/>
      <c r="J473" s="20" t="s">
        <v>1061</v>
      </c>
      <c r="K473" s="20"/>
      <c r="L473" s="20"/>
      <c r="AC473" s="1357"/>
    </row>
    <row r="474">
      <c r="B474" s="20"/>
      <c r="C474" s="20"/>
      <c r="D474" s="20"/>
      <c r="E474" s="338"/>
      <c r="F474" s="20"/>
      <c r="G474" s="20"/>
      <c r="H474" s="20"/>
      <c r="I474" s="20"/>
      <c r="J474" s="20" t="s">
        <v>1061</v>
      </c>
      <c r="K474" s="20"/>
      <c r="L474" s="20"/>
      <c r="AC474" s="1357"/>
    </row>
    <row r="475">
      <c r="B475" s="20"/>
      <c r="C475" s="20"/>
      <c r="D475" s="20"/>
      <c r="E475" s="338"/>
      <c r="F475" s="20"/>
      <c r="G475" s="20"/>
      <c r="H475" s="20"/>
      <c r="I475" s="20"/>
      <c r="J475" s="20" t="s">
        <v>1061</v>
      </c>
      <c r="K475" s="20"/>
      <c r="L475" s="20"/>
      <c r="AC475" s="1357"/>
    </row>
    <row r="476">
      <c r="B476" s="20"/>
      <c r="C476" s="20"/>
      <c r="D476" s="20"/>
      <c r="E476" s="338"/>
      <c r="F476" s="20"/>
      <c r="G476" s="20"/>
      <c r="H476" s="20"/>
      <c r="I476" s="20"/>
      <c r="J476" s="20" t="s">
        <v>1061</v>
      </c>
      <c r="K476" s="20"/>
      <c r="L476" s="20"/>
      <c r="AC476" s="1357"/>
    </row>
    <row r="477">
      <c r="B477" s="20"/>
      <c r="C477" s="20"/>
      <c r="D477" s="20"/>
      <c r="E477" s="338"/>
      <c r="F477" s="20"/>
      <c r="G477" s="20"/>
      <c r="H477" s="20"/>
      <c r="I477" s="20"/>
      <c r="J477" s="20" t="s">
        <v>1061</v>
      </c>
      <c r="K477" s="20"/>
      <c r="L477" s="20"/>
      <c r="AC477" s="1357"/>
    </row>
    <row r="478">
      <c r="B478" s="20"/>
      <c r="C478" s="20"/>
      <c r="D478" s="20"/>
      <c r="E478" s="338"/>
      <c r="F478" s="20"/>
      <c r="G478" s="20"/>
      <c r="H478" s="20"/>
      <c r="I478" s="20"/>
      <c r="J478" s="20" t="s">
        <v>1061</v>
      </c>
      <c r="K478" s="20"/>
      <c r="L478" s="20"/>
      <c r="AC478" s="1357"/>
    </row>
    <row r="479">
      <c r="B479" s="20"/>
      <c r="C479" s="20"/>
      <c r="D479" s="20"/>
      <c r="E479" s="338"/>
      <c r="F479" s="20"/>
      <c r="G479" s="20"/>
      <c r="H479" s="20"/>
      <c r="I479" s="20"/>
      <c r="J479" s="20" t="s">
        <v>1061</v>
      </c>
      <c r="K479" s="20"/>
      <c r="L479" s="20"/>
      <c r="AC479" s="1357"/>
    </row>
    <row r="480">
      <c r="B480" s="20"/>
      <c r="C480" s="20"/>
      <c r="D480" s="20"/>
      <c r="E480" s="338"/>
      <c r="F480" s="20"/>
      <c r="G480" s="20"/>
      <c r="H480" s="20"/>
      <c r="I480" s="20"/>
      <c r="J480" s="20" t="s">
        <v>1061</v>
      </c>
      <c r="K480" s="20"/>
      <c r="L480" s="20"/>
      <c r="AC480" s="1357"/>
    </row>
    <row r="481">
      <c r="B481" s="20"/>
      <c r="C481" s="20"/>
      <c r="D481" s="20"/>
      <c r="E481" s="338"/>
      <c r="F481" s="20"/>
      <c r="G481" s="20"/>
      <c r="H481" s="20"/>
      <c r="I481" s="20"/>
      <c r="J481" s="20" t="s">
        <v>1061</v>
      </c>
      <c r="K481" s="20"/>
      <c r="L481" s="20"/>
      <c r="AC481" s="1357"/>
    </row>
    <row r="482">
      <c r="B482" s="20"/>
      <c r="C482" s="20"/>
      <c r="D482" s="20"/>
      <c r="E482" s="338"/>
      <c r="F482" s="20"/>
      <c r="G482" s="20"/>
      <c r="H482" s="20"/>
      <c r="I482" s="20"/>
      <c r="J482" s="20" t="s">
        <v>1061</v>
      </c>
      <c r="K482" s="20"/>
      <c r="L482" s="20"/>
      <c r="AC482" s="1357"/>
    </row>
    <row r="483">
      <c r="B483" s="20"/>
      <c r="C483" s="20"/>
      <c r="D483" s="20"/>
      <c r="E483" s="338"/>
      <c r="F483" s="20"/>
      <c r="G483" s="20"/>
      <c r="H483" s="20"/>
      <c r="I483" s="20"/>
      <c r="J483" s="20" t="s">
        <v>1061</v>
      </c>
      <c r="K483" s="20"/>
      <c r="L483" s="20"/>
      <c r="AC483" s="1357"/>
    </row>
    <row r="484">
      <c r="B484" s="20"/>
      <c r="C484" s="20"/>
      <c r="D484" s="20"/>
      <c r="E484" s="338"/>
      <c r="F484" s="20"/>
      <c r="G484" s="20"/>
      <c r="H484" s="20"/>
      <c r="I484" s="20"/>
      <c r="J484" s="20" t="s">
        <v>1061</v>
      </c>
      <c r="K484" s="20"/>
      <c r="L484" s="20"/>
      <c r="AC484" s="1357"/>
    </row>
    <row r="485">
      <c r="B485" s="20"/>
      <c r="C485" s="20"/>
      <c r="D485" s="20"/>
      <c r="E485" s="338"/>
      <c r="F485" s="20"/>
      <c r="G485" s="20"/>
      <c r="H485" s="20"/>
      <c r="I485" s="20"/>
      <c r="J485" s="20" t="s">
        <v>1061</v>
      </c>
      <c r="K485" s="20"/>
      <c r="L485" s="20"/>
      <c r="AC485" s="1357"/>
    </row>
    <row r="486">
      <c r="B486" s="20"/>
      <c r="C486" s="20"/>
      <c r="D486" s="20"/>
      <c r="E486" s="338"/>
      <c r="F486" s="20"/>
      <c r="G486" s="20"/>
      <c r="H486" s="20"/>
      <c r="I486" s="20"/>
      <c r="J486" s="20" t="s">
        <v>1061</v>
      </c>
      <c r="K486" s="20"/>
      <c r="L486" s="20"/>
      <c r="AC486" s="1357"/>
    </row>
    <row r="487">
      <c r="B487" s="20"/>
      <c r="C487" s="20"/>
      <c r="D487" s="20"/>
      <c r="E487" s="338"/>
      <c r="F487" s="20"/>
      <c r="G487" s="20"/>
      <c r="H487" s="20"/>
      <c r="I487" s="20"/>
      <c r="J487" s="20" t="s">
        <v>1061</v>
      </c>
      <c r="K487" s="20"/>
      <c r="L487" s="20"/>
      <c r="AC487" s="1357"/>
    </row>
    <row r="488">
      <c r="B488" s="20"/>
      <c r="C488" s="20"/>
      <c r="D488" s="20"/>
      <c r="E488" s="338"/>
      <c r="F488" s="20"/>
      <c r="G488" s="20"/>
      <c r="H488" s="20"/>
      <c r="I488" s="20"/>
      <c r="J488" s="20" t="s">
        <v>1061</v>
      </c>
      <c r="K488" s="20"/>
      <c r="L488" s="20"/>
      <c r="AC488" s="1357"/>
    </row>
    <row r="489">
      <c r="B489" s="20"/>
      <c r="C489" s="20"/>
      <c r="D489" s="20"/>
      <c r="E489" s="338"/>
      <c r="F489" s="20"/>
      <c r="G489" s="20"/>
      <c r="H489" s="20"/>
      <c r="I489" s="20"/>
      <c r="J489" s="20" t="s">
        <v>1061</v>
      </c>
      <c r="K489" s="20"/>
      <c r="L489" s="20"/>
      <c r="AC489" s="1357"/>
    </row>
    <row r="490">
      <c r="B490" s="20"/>
      <c r="C490" s="20"/>
      <c r="D490" s="20"/>
      <c r="E490" s="338"/>
      <c r="F490" s="20"/>
      <c r="G490" s="20"/>
      <c r="H490" s="20"/>
      <c r="I490" s="20"/>
      <c r="J490" s="20" t="s">
        <v>1061</v>
      </c>
      <c r="K490" s="20"/>
      <c r="L490" s="20"/>
      <c r="AC490" s="1357"/>
    </row>
    <row r="491">
      <c r="B491" s="20"/>
      <c r="C491" s="20"/>
      <c r="D491" s="20"/>
      <c r="E491" s="338"/>
      <c r="F491" s="20"/>
      <c r="G491" s="20"/>
      <c r="H491" s="20"/>
      <c r="I491" s="20"/>
      <c r="J491" s="20" t="s">
        <v>1061</v>
      </c>
      <c r="K491" s="20"/>
      <c r="L491" s="20"/>
      <c r="AC491" s="1357"/>
    </row>
    <row r="492">
      <c r="B492" s="20"/>
      <c r="C492" s="20"/>
      <c r="D492" s="20"/>
      <c r="E492" s="338"/>
      <c r="F492" s="20"/>
      <c r="G492" s="20"/>
      <c r="H492" s="20"/>
      <c r="I492" s="20"/>
      <c r="J492" s="20" t="s">
        <v>1061</v>
      </c>
      <c r="K492" s="20"/>
      <c r="L492" s="20"/>
      <c r="AC492" s="1357"/>
    </row>
    <row r="493">
      <c r="B493" s="20"/>
      <c r="C493" s="20"/>
      <c r="D493" s="20"/>
      <c r="E493" s="338"/>
      <c r="F493" s="20"/>
      <c r="G493" s="20"/>
      <c r="H493" s="20"/>
      <c r="I493" s="20"/>
      <c r="J493" s="20" t="s">
        <v>1061</v>
      </c>
      <c r="K493" s="20"/>
      <c r="L493" s="20"/>
      <c r="AC493" s="1357"/>
    </row>
    <row r="494">
      <c r="B494" s="20"/>
      <c r="C494" s="20"/>
      <c r="D494" s="20"/>
      <c r="E494" s="338"/>
      <c r="F494" s="20"/>
      <c r="G494" s="20"/>
      <c r="H494" s="20"/>
      <c r="I494" s="20"/>
      <c r="J494" s="20" t="s">
        <v>1061</v>
      </c>
      <c r="K494" s="20"/>
      <c r="L494" s="20"/>
      <c r="AC494" s="1357"/>
    </row>
    <row r="495">
      <c r="B495" s="20"/>
      <c r="C495" s="20"/>
      <c r="D495" s="20"/>
      <c r="E495" s="338"/>
      <c r="F495" s="20"/>
      <c r="G495" s="20"/>
      <c r="H495" s="20"/>
      <c r="I495" s="20"/>
      <c r="J495" s="20" t="s">
        <v>1061</v>
      </c>
      <c r="K495" s="20"/>
      <c r="L495" s="20"/>
      <c r="AC495" s="1357"/>
    </row>
    <row r="496">
      <c r="B496" s="20"/>
      <c r="C496" s="20"/>
      <c r="D496" s="20"/>
      <c r="E496" s="338"/>
      <c r="F496" s="20"/>
      <c r="G496" s="20"/>
      <c r="H496" s="20"/>
      <c r="I496" s="20"/>
      <c r="J496" s="20" t="s">
        <v>1061</v>
      </c>
      <c r="K496" s="20"/>
      <c r="L496" s="20"/>
      <c r="AC496" s="1357"/>
    </row>
    <row r="497">
      <c r="B497" s="20"/>
      <c r="C497" s="20"/>
      <c r="D497" s="20"/>
      <c r="E497" s="338"/>
      <c r="F497" s="20"/>
      <c r="G497" s="20"/>
      <c r="H497" s="20"/>
      <c r="I497" s="20"/>
      <c r="J497" s="20" t="s">
        <v>1061</v>
      </c>
      <c r="K497" s="20"/>
      <c r="L497" s="20"/>
      <c r="AC497" s="1357"/>
    </row>
    <row r="498">
      <c r="B498" s="20"/>
      <c r="C498" s="20"/>
      <c r="D498" s="20"/>
      <c r="E498" s="338"/>
      <c r="F498" s="20"/>
      <c r="G498" s="20"/>
      <c r="H498" s="20"/>
      <c r="I498" s="20"/>
      <c r="J498" s="20" t="s">
        <v>1061</v>
      </c>
      <c r="K498" s="20"/>
      <c r="L498" s="20"/>
      <c r="AC498" s="1357"/>
    </row>
    <row r="499">
      <c r="B499" s="20"/>
      <c r="C499" s="20"/>
      <c r="D499" s="20"/>
      <c r="E499" s="338"/>
      <c r="F499" s="20"/>
      <c r="G499" s="20"/>
      <c r="H499" s="20"/>
      <c r="I499" s="20"/>
      <c r="J499" s="20" t="s">
        <v>1061</v>
      </c>
      <c r="K499" s="20"/>
      <c r="L499" s="20"/>
      <c r="AC499" s="1357"/>
    </row>
    <row r="500">
      <c r="B500" s="20"/>
      <c r="C500" s="20"/>
      <c r="D500" s="20"/>
      <c r="E500" s="338"/>
      <c r="F500" s="20"/>
      <c r="G500" s="20"/>
      <c r="H500" s="20"/>
      <c r="I500" s="20"/>
      <c r="J500" s="20" t="s">
        <v>1061</v>
      </c>
      <c r="K500" s="20"/>
      <c r="L500" s="20"/>
      <c r="AC500" s="1357"/>
    </row>
    <row r="501">
      <c r="B501" s="20"/>
      <c r="C501" s="20"/>
      <c r="D501" s="20"/>
      <c r="E501" s="338"/>
      <c r="F501" s="20"/>
      <c r="G501" s="20"/>
      <c r="H501" s="20"/>
      <c r="I501" s="20"/>
      <c r="J501" s="20" t="s">
        <v>1061</v>
      </c>
      <c r="K501" s="20"/>
      <c r="L501" s="20"/>
      <c r="AC501" s="1357"/>
    </row>
    <row r="502">
      <c r="B502" s="20"/>
      <c r="C502" s="20"/>
      <c r="D502" s="20"/>
      <c r="E502" s="338"/>
      <c r="F502" s="20"/>
      <c r="G502" s="20"/>
      <c r="H502" s="20"/>
      <c r="I502" s="20"/>
      <c r="J502" s="20" t="s">
        <v>1061</v>
      </c>
      <c r="K502" s="20"/>
      <c r="L502" s="20"/>
      <c r="AC502" s="1357"/>
    </row>
    <row r="503">
      <c r="B503" s="20"/>
      <c r="C503" s="20"/>
      <c r="D503" s="20"/>
      <c r="E503" s="338"/>
      <c r="F503" s="20"/>
      <c r="G503" s="20"/>
      <c r="H503" s="20"/>
      <c r="I503" s="20"/>
      <c r="J503" s="20" t="s">
        <v>1061</v>
      </c>
      <c r="K503" s="20"/>
      <c r="L503" s="20"/>
      <c r="AC503" s="1357"/>
    </row>
    <row r="504">
      <c r="B504" s="20"/>
      <c r="C504" s="20"/>
      <c r="D504" s="20"/>
      <c r="E504" s="338"/>
      <c r="F504" s="20"/>
      <c r="G504" s="20"/>
      <c r="H504" s="20"/>
      <c r="I504" s="20"/>
      <c r="J504" s="20" t="s">
        <v>1061</v>
      </c>
      <c r="K504" s="20"/>
      <c r="L504" s="20"/>
      <c r="AC504" s="1357"/>
    </row>
    <row r="505">
      <c r="B505" s="20"/>
      <c r="C505" s="20"/>
      <c r="D505" s="20"/>
      <c r="E505" s="338"/>
      <c r="F505" s="20"/>
      <c r="G505" s="20"/>
      <c r="H505" s="20"/>
      <c r="I505" s="20"/>
      <c r="J505" s="20" t="s">
        <v>1061</v>
      </c>
      <c r="K505" s="20"/>
      <c r="L505" s="20"/>
      <c r="AC505" s="1357"/>
    </row>
    <row r="506">
      <c r="B506" s="20"/>
      <c r="C506" s="20"/>
      <c r="D506" s="20"/>
      <c r="E506" s="338"/>
      <c r="F506" s="20"/>
      <c r="G506" s="20"/>
      <c r="H506" s="20"/>
      <c r="I506" s="20"/>
      <c r="J506" s="20" t="s">
        <v>1061</v>
      </c>
      <c r="K506" s="20"/>
      <c r="L506" s="20"/>
      <c r="AC506" s="1357"/>
    </row>
    <row r="507">
      <c r="B507" s="20"/>
      <c r="C507" s="20"/>
      <c r="D507" s="20"/>
      <c r="E507" s="338"/>
      <c r="F507" s="20"/>
      <c r="G507" s="20"/>
      <c r="H507" s="20"/>
      <c r="I507" s="20"/>
      <c r="J507" s="20" t="s">
        <v>1061</v>
      </c>
      <c r="K507" s="20"/>
      <c r="L507" s="20"/>
      <c r="AC507" s="1357"/>
    </row>
    <row r="508">
      <c r="B508" s="20"/>
      <c r="C508" s="20"/>
      <c r="D508" s="20"/>
      <c r="E508" s="338"/>
      <c r="F508" s="20"/>
      <c r="G508" s="20"/>
      <c r="H508" s="20"/>
      <c r="I508" s="20"/>
      <c r="J508" s="20" t="s">
        <v>1061</v>
      </c>
      <c r="K508" s="20"/>
      <c r="L508" s="20"/>
      <c r="AC508" s="1357"/>
    </row>
    <row r="509">
      <c r="B509" s="20"/>
      <c r="C509" s="20"/>
      <c r="D509" s="20"/>
      <c r="E509" s="338"/>
      <c r="F509" s="20"/>
      <c r="G509" s="20"/>
      <c r="H509" s="20"/>
      <c r="I509" s="20"/>
      <c r="J509" s="20" t="s">
        <v>1061</v>
      </c>
      <c r="K509" s="20"/>
      <c r="L509" s="20"/>
      <c r="AC509" s="1357"/>
    </row>
    <row r="510">
      <c r="B510" s="20"/>
      <c r="C510" s="20"/>
      <c r="D510" s="20"/>
      <c r="E510" s="338"/>
      <c r="F510" s="20"/>
      <c r="G510" s="20"/>
      <c r="H510" s="20"/>
      <c r="I510" s="20"/>
      <c r="J510" s="20" t="s">
        <v>1061</v>
      </c>
      <c r="K510" s="20"/>
      <c r="L510" s="20"/>
      <c r="AC510" s="1357"/>
    </row>
    <row r="511">
      <c r="B511" s="20"/>
      <c r="C511" s="20"/>
      <c r="D511" s="20"/>
      <c r="E511" s="338"/>
      <c r="F511" s="20"/>
      <c r="G511" s="20"/>
      <c r="H511" s="20"/>
      <c r="I511" s="20"/>
      <c r="J511" s="20" t="s">
        <v>1061</v>
      </c>
      <c r="K511" s="20"/>
      <c r="L511" s="20"/>
      <c r="AC511" s="1357"/>
    </row>
    <row r="512">
      <c r="B512" s="20"/>
      <c r="C512" s="20"/>
      <c r="D512" s="20"/>
      <c r="E512" s="338"/>
      <c r="F512" s="20"/>
      <c r="G512" s="20"/>
      <c r="H512" s="20"/>
      <c r="I512" s="20"/>
      <c r="J512" s="20" t="s">
        <v>1061</v>
      </c>
      <c r="K512" s="20"/>
      <c r="L512" s="20"/>
      <c r="AC512" s="1357"/>
    </row>
    <row r="513">
      <c r="B513" s="20"/>
      <c r="C513" s="20"/>
      <c r="D513" s="20"/>
      <c r="E513" s="338"/>
      <c r="F513" s="20"/>
      <c r="G513" s="20"/>
      <c r="H513" s="20"/>
      <c r="I513" s="20"/>
      <c r="J513" s="20" t="s">
        <v>1061</v>
      </c>
      <c r="K513" s="20"/>
      <c r="L513" s="20"/>
      <c r="AC513" s="1357"/>
    </row>
    <row r="514">
      <c r="B514" s="20"/>
      <c r="C514" s="20"/>
      <c r="D514" s="20"/>
      <c r="E514" s="338"/>
      <c r="F514" s="20"/>
      <c r="G514" s="20"/>
      <c r="H514" s="20"/>
      <c r="I514" s="20"/>
      <c r="J514" s="20" t="s">
        <v>1061</v>
      </c>
      <c r="K514" s="20"/>
      <c r="L514" s="20"/>
      <c r="AC514" s="1357"/>
    </row>
    <row r="515">
      <c r="B515" s="20"/>
      <c r="C515" s="20"/>
      <c r="D515" s="20"/>
      <c r="E515" s="338"/>
      <c r="F515" s="20"/>
      <c r="G515" s="20"/>
      <c r="H515" s="20"/>
      <c r="I515" s="20"/>
      <c r="J515" s="20" t="s">
        <v>1061</v>
      </c>
      <c r="K515" s="20"/>
      <c r="L515" s="20"/>
      <c r="AC515" s="1357"/>
    </row>
    <row r="516">
      <c r="B516" s="20"/>
      <c r="C516" s="20"/>
      <c r="D516" s="20"/>
      <c r="E516" s="338"/>
      <c r="F516" s="20"/>
      <c r="G516" s="20"/>
      <c r="H516" s="20"/>
      <c r="I516" s="20"/>
      <c r="J516" s="20" t="s">
        <v>1061</v>
      </c>
      <c r="K516" s="20"/>
      <c r="L516" s="20"/>
      <c r="AC516" s="1357"/>
    </row>
    <row r="517">
      <c r="B517" s="20"/>
      <c r="C517" s="20"/>
      <c r="D517" s="20"/>
      <c r="E517" s="338"/>
      <c r="F517" s="20"/>
      <c r="G517" s="20"/>
      <c r="H517" s="20"/>
      <c r="I517" s="20"/>
      <c r="J517" s="20" t="s">
        <v>1061</v>
      </c>
      <c r="K517" s="20"/>
      <c r="L517" s="20"/>
      <c r="AC517" s="1357"/>
    </row>
    <row r="518">
      <c r="B518" s="20"/>
      <c r="C518" s="20"/>
      <c r="D518" s="20"/>
      <c r="E518" s="338"/>
      <c r="F518" s="20"/>
      <c r="G518" s="20"/>
      <c r="H518" s="20"/>
      <c r="I518" s="20"/>
      <c r="J518" s="20" t="s">
        <v>1061</v>
      </c>
      <c r="K518" s="20"/>
      <c r="L518" s="20"/>
      <c r="AC518" s="1357"/>
    </row>
    <row r="519">
      <c r="B519" s="20"/>
      <c r="C519" s="20"/>
      <c r="D519" s="20"/>
      <c r="E519" s="338"/>
      <c r="F519" s="20"/>
      <c r="G519" s="20"/>
      <c r="H519" s="20"/>
      <c r="I519" s="20"/>
      <c r="J519" s="20" t="s">
        <v>1061</v>
      </c>
      <c r="K519" s="20"/>
      <c r="L519" s="20"/>
      <c r="AC519" s="1357"/>
    </row>
    <row r="520">
      <c r="B520" s="20"/>
      <c r="C520" s="20"/>
      <c r="D520" s="20"/>
      <c r="E520" s="338"/>
      <c r="F520" s="20"/>
      <c r="G520" s="20"/>
      <c r="H520" s="20"/>
      <c r="I520" s="20"/>
      <c r="J520" s="20" t="s">
        <v>1061</v>
      </c>
      <c r="K520" s="20"/>
      <c r="L520" s="20"/>
      <c r="AC520" s="1357"/>
    </row>
    <row r="521">
      <c r="B521" s="20"/>
      <c r="C521" s="20"/>
      <c r="D521" s="20"/>
      <c r="E521" s="338"/>
      <c r="F521" s="20"/>
      <c r="G521" s="20"/>
      <c r="H521" s="20"/>
      <c r="I521" s="20"/>
      <c r="J521" s="20" t="s">
        <v>1061</v>
      </c>
      <c r="K521" s="20"/>
      <c r="L521" s="20"/>
      <c r="AC521" s="1357"/>
    </row>
    <row r="522">
      <c r="B522" s="20"/>
      <c r="C522" s="20"/>
      <c r="D522" s="20"/>
      <c r="E522" s="338"/>
      <c r="F522" s="20"/>
      <c r="G522" s="20"/>
      <c r="H522" s="20"/>
      <c r="I522" s="20"/>
      <c r="J522" s="20" t="s">
        <v>1061</v>
      </c>
      <c r="K522" s="20"/>
      <c r="L522" s="20"/>
      <c r="AC522" s="1357"/>
    </row>
    <row r="523">
      <c r="B523" s="20"/>
      <c r="C523" s="20"/>
      <c r="D523" s="20"/>
      <c r="E523" s="338"/>
      <c r="F523" s="20"/>
      <c r="G523" s="20"/>
      <c r="H523" s="20"/>
      <c r="I523" s="20"/>
      <c r="J523" s="20" t="s">
        <v>1061</v>
      </c>
      <c r="K523" s="20"/>
      <c r="L523" s="20"/>
      <c r="AC523" s="1357"/>
    </row>
    <row r="524">
      <c r="B524" s="20"/>
      <c r="C524" s="20"/>
      <c r="D524" s="20"/>
      <c r="E524" s="338"/>
      <c r="F524" s="20"/>
      <c r="G524" s="20"/>
      <c r="H524" s="20"/>
      <c r="I524" s="20"/>
      <c r="J524" s="20" t="s">
        <v>1061</v>
      </c>
      <c r="K524" s="20"/>
      <c r="L524" s="20"/>
      <c r="AC524" s="1357"/>
    </row>
    <row r="525">
      <c r="B525" s="20"/>
      <c r="C525" s="20"/>
      <c r="D525" s="20"/>
      <c r="E525" s="338"/>
      <c r="F525" s="20"/>
      <c r="G525" s="20"/>
      <c r="H525" s="20"/>
      <c r="I525" s="20"/>
      <c r="J525" s="20" t="s">
        <v>1061</v>
      </c>
      <c r="K525" s="20"/>
      <c r="L525" s="20"/>
      <c r="AC525" s="1357"/>
    </row>
    <row r="526">
      <c r="B526" s="20"/>
      <c r="C526" s="20"/>
      <c r="D526" s="20"/>
      <c r="E526" s="338"/>
      <c r="F526" s="20"/>
      <c r="G526" s="20"/>
      <c r="H526" s="20"/>
      <c r="I526" s="20"/>
      <c r="J526" s="20" t="s">
        <v>1061</v>
      </c>
      <c r="K526" s="20"/>
      <c r="L526" s="20"/>
      <c r="AC526" s="1357"/>
    </row>
    <row r="527">
      <c r="B527" s="20"/>
      <c r="C527" s="20"/>
      <c r="D527" s="20"/>
      <c r="E527" s="338"/>
      <c r="F527" s="20"/>
      <c r="G527" s="20"/>
      <c r="H527" s="20"/>
      <c r="I527" s="20"/>
      <c r="J527" s="20" t="s">
        <v>1061</v>
      </c>
      <c r="K527" s="20"/>
      <c r="L527" s="20"/>
      <c r="AC527" s="1357"/>
    </row>
    <row r="528">
      <c r="B528" s="20"/>
      <c r="C528" s="20"/>
      <c r="D528" s="20"/>
      <c r="E528" s="338"/>
      <c r="F528" s="20"/>
      <c r="G528" s="20"/>
      <c r="H528" s="20"/>
      <c r="I528" s="20"/>
      <c r="J528" s="20" t="s">
        <v>1061</v>
      </c>
      <c r="K528" s="20"/>
      <c r="L528" s="20"/>
      <c r="AC528" s="1357"/>
    </row>
    <row r="529">
      <c r="B529" s="20"/>
      <c r="C529" s="20"/>
      <c r="D529" s="20"/>
      <c r="E529" s="338"/>
      <c r="F529" s="20"/>
      <c r="G529" s="20"/>
      <c r="H529" s="20"/>
      <c r="I529" s="20"/>
      <c r="J529" s="20" t="s">
        <v>1061</v>
      </c>
      <c r="K529" s="20"/>
      <c r="L529" s="20"/>
      <c r="AC529" s="1357"/>
    </row>
    <row r="530">
      <c r="B530" s="20"/>
      <c r="C530" s="20"/>
      <c r="D530" s="20"/>
      <c r="E530" s="338"/>
      <c r="F530" s="20"/>
      <c r="G530" s="20"/>
      <c r="H530" s="20"/>
      <c r="I530" s="20"/>
      <c r="J530" s="20" t="s">
        <v>1061</v>
      </c>
      <c r="K530" s="20"/>
      <c r="L530" s="20"/>
      <c r="AC530" s="1357"/>
    </row>
    <row r="531">
      <c r="B531" s="20"/>
      <c r="C531" s="20"/>
      <c r="D531" s="20"/>
      <c r="E531" s="338"/>
      <c r="F531" s="20"/>
      <c r="G531" s="20"/>
      <c r="H531" s="20"/>
      <c r="I531" s="20"/>
      <c r="J531" s="20" t="s">
        <v>1061</v>
      </c>
      <c r="K531" s="20"/>
      <c r="L531" s="20"/>
      <c r="AC531" s="1357"/>
    </row>
    <row r="532">
      <c r="B532" s="20"/>
      <c r="C532" s="20"/>
      <c r="D532" s="20"/>
      <c r="E532" s="338"/>
      <c r="F532" s="20"/>
      <c r="G532" s="20"/>
      <c r="H532" s="20"/>
      <c r="I532" s="20"/>
      <c r="J532" s="20" t="s">
        <v>1061</v>
      </c>
      <c r="K532" s="20"/>
      <c r="L532" s="20"/>
      <c r="AC532" s="1357"/>
    </row>
    <row r="533">
      <c r="B533" s="20"/>
      <c r="C533" s="20"/>
      <c r="D533" s="20"/>
      <c r="E533" s="338"/>
      <c r="F533" s="20"/>
      <c r="G533" s="20"/>
      <c r="H533" s="20"/>
      <c r="I533" s="20"/>
      <c r="J533" s="20" t="s">
        <v>1061</v>
      </c>
      <c r="K533" s="20"/>
      <c r="L533" s="20"/>
      <c r="AC533" s="1357"/>
    </row>
    <row r="534">
      <c r="B534" s="20"/>
      <c r="C534" s="20"/>
      <c r="D534" s="20"/>
      <c r="E534" s="338"/>
      <c r="F534" s="20"/>
      <c r="G534" s="20"/>
      <c r="H534" s="20"/>
      <c r="I534" s="20"/>
      <c r="J534" s="20" t="s">
        <v>1061</v>
      </c>
      <c r="K534" s="20"/>
      <c r="L534" s="20"/>
      <c r="AC534" s="1357"/>
    </row>
    <row r="535">
      <c r="B535" s="20"/>
      <c r="C535" s="20"/>
      <c r="D535" s="20"/>
      <c r="E535" s="338"/>
      <c r="F535" s="20"/>
      <c r="G535" s="20"/>
      <c r="H535" s="20"/>
      <c r="I535" s="20"/>
      <c r="J535" s="20" t="s">
        <v>1061</v>
      </c>
      <c r="K535" s="20"/>
      <c r="L535" s="20"/>
      <c r="AC535" s="1357"/>
    </row>
    <row r="536">
      <c r="B536" s="20"/>
      <c r="C536" s="20"/>
      <c r="D536" s="20"/>
      <c r="E536" s="338"/>
      <c r="F536" s="20"/>
      <c r="G536" s="20"/>
      <c r="H536" s="20"/>
      <c r="I536" s="20"/>
      <c r="J536" s="20" t="s">
        <v>1061</v>
      </c>
      <c r="K536" s="20"/>
      <c r="L536" s="20"/>
      <c r="AC536" s="1357"/>
    </row>
    <row r="537">
      <c r="B537" s="20"/>
      <c r="C537" s="20"/>
      <c r="D537" s="20"/>
      <c r="E537" s="338"/>
      <c r="F537" s="20"/>
      <c r="G537" s="20"/>
      <c r="H537" s="20"/>
      <c r="I537" s="20"/>
      <c r="J537" s="20" t="s">
        <v>1061</v>
      </c>
      <c r="K537" s="20"/>
      <c r="L537" s="20"/>
      <c r="AC537" s="1357"/>
    </row>
    <row r="538">
      <c r="B538" s="20"/>
      <c r="C538" s="20"/>
      <c r="D538" s="20"/>
      <c r="E538" s="338"/>
      <c r="F538" s="20"/>
      <c r="G538" s="20"/>
      <c r="H538" s="20"/>
      <c r="I538" s="20"/>
      <c r="J538" s="20" t="s">
        <v>1061</v>
      </c>
      <c r="K538" s="20"/>
      <c r="L538" s="20"/>
      <c r="AC538" s="1357"/>
    </row>
    <row r="539">
      <c r="B539" s="20"/>
      <c r="C539" s="20"/>
      <c r="D539" s="20"/>
      <c r="E539" s="338"/>
      <c r="F539" s="20"/>
      <c r="G539" s="20"/>
      <c r="H539" s="20"/>
      <c r="I539" s="20"/>
      <c r="J539" s="20" t="s">
        <v>1061</v>
      </c>
      <c r="K539" s="20"/>
      <c r="L539" s="20"/>
      <c r="AC539" s="1357"/>
    </row>
    <row r="540">
      <c r="B540" s="20"/>
      <c r="C540" s="20"/>
      <c r="D540" s="20"/>
      <c r="E540" s="338"/>
      <c r="F540" s="20"/>
      <c r="G540" s="20"/>
      <c r="H540" s="20"/>
      <c r="I540" s="20"/>
      <c r="J540" s="20" t="s">
        <v>1061</v>
      </c>
      <c r="K540" s="20"/>
      <c r="L540" s="20"/>
      <c r="AC540" s="1357"/>
    </row>
    <row r="541">
      <c r="B541" s="20"/>
      <c r="C541" s="20"/>
      <c r="D541" s="20"/>
      <c r="E541" s="338"/>
      <c r="F541" s="20"/>
      <c r="G541" s="20"/>
      <c r="H541" s="20"/>
      <c r="I541" s="20"/>
      <c r="J541" s="20" t="s">
        <v>1061</v>
      </c>
      <c r="K541" s="20"/>
      <c r="L541" s="20"/>
      <c r="AC541" s="1357"/>
    </row>
    <row r="542">
      <c r="B542" s="20"/>
      <c r="C542" s="20"/>
      <c r="D542" s="20"/>
      <c r="E542" s="338"/>
      <c r="F542" s="20"/>
      <c r="G542" s="20"/>
      <c r="H542" s="20"/>
      <c r="I542" s="20"/>
      <c r="J542" s="20" t="s">
        <v>1061</v>
      </c>
      <c r="K542" s="20"/>
      <c r="L542" s="20"/>
      <c r="AC542" s="1357"/>
    </row>
    <row r="543">
      <c r="B543" s="20"/>
      <c r="C543" s="20"/>
      <c r="D543" s="20"/>
      <c r="E543" s="338"/>
      <c r="F543" s="20"/>
      <c r="G543" s="20"/>
      <c r="H543" s="20"/>
      <c r="I543" s="20"/>
      <c r="J543" s="20" t="s">
        <v>1061</v>
      </c>
      <c r="K543" s="20"/>
      <c r="L543" s="20"/>
      <c r="AC543" s="1357"/>
    </row>
    <row r="544">
      <c r="B544" s="20"/>
      <c r="C544" s="20"/>
      <c r="D544" s="20"/>
      <c r="E544" s="338"/>
      <c r="F544" s="20"/>
      <c r="G544" s="20"/>
      <c r="H544" s="20"/>
      <c r="I544" s="20"/>
      <c r="J544" s="20" t="s">
        <v>1061</v>
      </c>
      <c r="K544" s="20"/>
      <c r="L544" s="20"/>
      <c r="AC544" s="1357"/>
    </row>
    <row r="545">
      <c r="B545" s="20"/>
      <c r="C545" s="20"/>
      <c r="D545" s="20"/>
      <c r="E545" s="338"/>
      <c r="F545" s="20"/>
      <c r="G545" s="20"/>
      <c r="H545" s="20"/>
      <c r="I545" s="20"/>
      <c r="J545" s="20" t="s">
        <v>1061</v>
      </c>
      <c r="K545" s="20"/>
      <c r="L545" s="20"/>
      <c r="AC545" s="1357"/>
    </row>
    <row r="546">
      <c r="B546" s="20"/>
      <c r="C546" s="20"/>
      <c r="D546" s="20"/>
      <c r="E546" s="338"/>
      <c r="F546" s="20"/>
      <c r="G546" s="20"/>
      <c r="H546" s="20"/>
      <c r="I546" s="20"/>
      <c r="J546" s="20" t="s">
        <v>1061</v>
      </c>
      <c r="K546" s="20"/>
      <c r="L546" s="20"/>
      <c r="AC546" s="1357"/>
    </row>
    <row r="547">
      <c r="B547" s="20"/>
      <c r="C547" s="20"/>
      <c r="D547" s="20"/>
      <c r="E547" s="338"/>
      <c r="F547" s="20"/>
      <c r="G547" s="20"/>
      <c r="H547" s="20"/>
      <c r="I547" s="20"/>
      <c r="J547" s="20" t="s">
        <v>1061</v>
      </c>
      <c r="K547" s="20"/>
      <c r="L547" s="20"/>
      <c r="AC547" s="1357"/>
    </row>
    <row r="548">
      <c r="B548" s="20"/>
      <c r="C548" s="20"/>
      <c r="D548" s="20"/>
      <c r="E548" s="338"/>
      <c r="F548" s="20"/>
      <c r="G548" s="20"/>
      <c r="H548" s="20"/>
      <c r="I548" s="20"/>
      <c r="J548" s="20" t="s">
        <v>1061</v>
      </c>
      <c r="K548" s="20"/>
      <c r="L548" s="20"/>
      <c r="AC548" s="1357"/>
    </row>
    <row r="549">
      <c r="B549" s="20"/>
      <c r="C549" s="20"/>
      <c r="D549" s="20"/>
      <c r="E549" s="338"/>
      <c r="F549" s="20"/>
      <c r="G549" s="20"/>
      <c r="H549" s="20"/>
      <c r="I549" s="20"/>
      <c r="J549" s="20" t="s">
        <v>1061</v>
      </c>
      <c r="K549" s="20"/>
      <c r="L549" s="20"/>
      <c r="AC549" s="1357"/>
    </row>
    <row r="550">
      <c r="B550" s="20"/>
      <c r="C550" s="20"/>
      <c r="D550" s="20"/>
      <c r="E550" s="338"/>
      <c r="F550" s="20"/>
      <c r="G550" s="20"/>
      <c r="H550" s="20"/>
      <c r="I550" s="20"/>
      <c r="J550" s="20" t="s">
        <v>1061</v>
      </c>
      <c r="K550" s="20"/>
      <c r="L550" s="20"/>
      <c r="AC550" s="1357"/>
    </row>
    <row r="551">
      <c r="B551" s="20"/>
      <c r="C551" s="20"/>
      <c r="D551" s="20"/>
      <c r="E551" s="338"/>
      <c r="F551" s="20"/>
      <c r="G551" s="20"/>
      <c r="H551" s="20"/>
      <c r="I551" s="20"/>
      <c r="J551" s="20" t="s">
        <v>1061</v>
      </c>
      <c r="K551" s="20"/>
      <c r="L551" s="20"/>
      <c r="AC551" s="1357"/>
    </row>
    <row r="552">
      <c r="B552" s="20"/>
      <c r="C552" s="20"/>
      <c r="D552" s="20"/>
      <c r="E552" s="338"/>
      <c r="F552" s="20"/>
      <c r="G552" s="20"/>
      <c r="H552" s="20"/>
      <c r="I552" s="20"/>
      <c r="J552" s="20" t="s">
        <v>1061</v>
      </c>
      <c r="K552" s="20"/>
      <c r="L552" s="20"/>
      <c r="AC552" s="1357"/>
    </row>
    <row r="553">
      <c r="B553" s="20"/>
      <c r="C553" s="20"/>
      <c r="D553" s="20"/>
      <c r="E553" s="338"/>
      <c r="F553" s="20"/>
      <c r="G553" s="20"/>
      <c r="H553" s="20"/>
      <c r="I553" s="20"/>
      <c r="J553" s="20" t="s">
        <v>1061</v>
      </c>
      <c r="K553" s="20"/>
      <c r="L553" s="20"/>
      <c r="AC553" s="1357"/>
    </row>
    <row r="554">
      <c r="B554" s="20"/>
      <c r="C554" s="20"/>
      <c r="D554" s="20"/>
      <c r="E554" s="338"/>
      <c r="F554" s="20"/>
      <c r="G554" s="20"/>
      <c r="H554" s="20"/>
      <c r="I554" s="20"/>
      <c r="J554" s="20" t="s">
        <v>1061</v>
      </c>
      <c r="K554" s="20"/>
      <c r="L554" s="20"/>
      <c r="AC554" s="1357"/>
    </row>
    <row r="555">
      <c r="B555" s="20"/>
      <c r="C555" s="20"/>
      <c r="D555" s="20"/>
      <c r="E555" s="338"/>
      <c r="F555" s="20"/>
      <c r="G555" s="20"/>
      <c r="H555" s="20"/>
      <c r="I555" s="20"/>
      <c r="J555" s="20" t="s">
        <v>1061</v>
      </c>
      <c r="K555" s="20"/>
      <c r="L555" s="20"/>
      <c r="AC555" s="1357"/>
    </row>
    <row r="556">
      <c r="B556" s="20"/>
      <c r="C556" s="20"/>
      <c r="D556" s="20"/>
      <c r="E556" s="338"/>
      <c r="F556" s="20"/>
      <c r="G556" s="20"/>
      <c r="H556" s="20"/>
      <c r="I556" s="20"/>
      <c r="J556" s="20" t="s">
        <v>1061</v>
      </c>
      <c r="K556" s="20"/>
      <c r="L556" s="20"/>
      <c r="AC556" s="1357"/>
    </row>
    <row r="557">
      <c r="B557" s="20"/>
      <c r="C557" s="20"/>
      <c r="D557" s="20"/>
      <c r="E557" s="338"/>
      <c r="F557" s="20"/>
      <c r="G557" s="20"/>
      <c r="H557" s="20"/>
      <c r="I557" s="20"/>
      <c r="J557" s="20" t="s">
        <v>1061</v>
      </c>
      <c r="K557" s="20"/>
      <c r="L557" s="20"/>
      <c r="AC557" s="1357"/>
    </row>
    <row r="558">
      <c r="B558" s="20"/>
      <c r="C558" s="20"/>
      <c r="D558" s="20"/>
      <c r="E558" s="338"/>
      <c r="F558" s="20"/>
      <c r="G558" s="20"/>
      <c r="H558" s="20"/>
      <c r="I558" s="20"/>
      <c r="J558" s="20" t="s">
        <v>1061</v>
      </c>
      <c r="K558" s="20"/>
      <c r="L558" s="20"/>
      <c r="AC558" s="1357"/>
    </row>
    <row r="559">
      <c r="B559" s="20"/>
      <c r="C559" s="20"/>
      <c r="D559" s="20"/>
      <c r="E559" s="338"/>
      <c r="F559" s="20"/>
      <c r="G559" s="20"/>
      <c r="H559" s="20"/>
      <c r="I559" s="20"/>
      <c r="J559" s="20" t="s">
        <v>1061</v>
      </c>
      <c r="K559" s="20"/>
      <c r="L559" s="20"/>
      <c r="AC559" s="1357"/>
    </row>
    <row r="560">
      <c r="B560" s="20"/>
      <c r="C560" s="20"/>
      <c r="D560" s="20"/>
      <c r="E560" s="338"/>
      <c r="F560" s="20"/>
      <c r="G560" s="20"/>
      <c r="H560" s="20"/>
      <c r="I560" s="20"/>
      <c r="J560" s="20" t="s">
        <v>1061</v>
      </c>
      <c r="K560" s="20"/>
      <c r="L560" s="20"/>
      <c r="AC560" s="1357"/>
    </row>
    <row r="561">
      <c r="B561" s="20"/>
      <c r="C561" s="20"/>
      <c r="D561" s="20"/>
      <c r="E561" s="338"/>
      <c r="F561" s="20"/>
      <c r="G561" s="20"/>
      <c r="H561" s="20"/>
      <c r="I561" s="20"/>
      <c r="J561" s="20" t="s">
        <v>1061</v>
      </c>
      <c r="K561" s="20"/>
      <c r="L561" s="20"/>
      <c r="AC561" s="1357"/>
    </row>
    <row r="562">
      <c r="B562" s="20"/>
      <c r="C562" s="20"/>
      <c r="D562" s="20"/>
      <c r="E562" s="338"/>
      <c r="F562" s="20"/>
      <c r="G562" s="20"/>
      <c r="H562" s="20"/>
      <c r="I562" s="20"/>
      <c r="J562" s="20" t="s">
        <v>1061</v>
      </c>
      <c r="K562" s="20"/>
      <c r="L562" s="20"/>
      <c r="AC562" s="1357"/>
    </row>
    <row r="563">
      <c r="B563" s="20"/>
      <c r="C563" s="20"/>
      <c r="D563" s="20"/>
      <c r="E563" s="338"/>
      <c r="F563" s="20"/>
      <c r="G563" s="20"/>
      <c r="H563" s="20"/>
      <c r="I563" s="20"/>
      <c r="J563" s="20" t="s">
        <v>1061</v>
      </c>
      <c r="K563" s="20"/>
      <c r="L563" s="20"/>
      <c r="AC563" s="1357"/>
    </row>
    <row r="564">
      <c r="B564" s="20"/>
      <c r="C564" s="20"/>
      <c r="D564" s="20"/>
      <c r="E564" s="338"/>
      <c r="F564" s="20"/>
      <c r="G564" s="20"/>
      <c r="H564" s="20"/>
      <c r="I564" s="20"/>
      <c r="J564" s="20" t="s">
        <v>1061</v>
      </c>
      <c r="K564" s="20"/>
      <c r="L564" s="20"/>
      <c r="AC564" s="1357"/>
    </row>
    <row r="565">
      <c r="B565" s="20"/>
      <c r="C565" s="20"/>
      <c r="D565" s="20"/>
      <c r="E565" s="338"/>
      <c r="F565" s="20"/>
      <c r="G565" s="20"/>
      <c r="H565" s="20"/>
      <c r="I565" s="20"/>
      <c r="J565" s="20" t="s">
        <v>1061</v>
      </c>
      <c r="K565" s="20"/>
      <c r="L565" s="20"/>
      <c r="AC565" s="1357"/>
    </row>
    <row r="566">
      <c r="B566" s="20"/>
      <c r="C566" s="20"/>
      <c r="D566" s="20"/>
      <c r="E566" s="338"/>
      <c r="F566" s="20"/>
      <c r="G566" s="20"/>
      <c r="H566" s="20"/>
      <c r="I566" s="20"/>
      <c r="J566" s="20" t="s">
        <v>1061</v>
      </c>
      <c r="K566" s="20"/>
      <c r="L566" s="20"/>
      <c r="AC566" s="1357"/>
    </row>
    <row r="567">
      <c r="B567" s="20"/>
      <c r="C567" s="20"/>
      <c r="D567" s="20"/>
      <c r="E567" s="338"/>
      <c r="F567" s="20"/>
      <c r="G567" s="20"/>
      <c r="H567" s="20"/>
      <c r="I567" s="20"/>
      <c r="J567" s="20" t="s">
        <v>1061</v>
      </c>
      <c r="K567" s="20"/>
      <c r="L567" s="20"/>
      <c r="AC567" s="1357"/>
    </row>
    <row r="568">
      <c r="B568" s="20"/>
      <c r="C568" s="20"/>
      <c r="D568" s="20"/>
      <c r="E568" s="338"/>
      <c r="F568" s="20"/>
      <c r="G568" s="20"/>
      <c r="H568" s="20"/>
      <c r="I568" s="20"/>
      <c r="J568" s="20" t="s">
        <v>1061</v>
      </c>
      <c r="K568" s="20"/>
      <c r="L568" s="20"/>
      <c r="AC568" s="1357"/>
    </row>
    <row r="569">
      <c r="B569" s="20"/>
      <c r="C569" s="20"/>
      <c r="D569" s="20"/>
      <c r="E569" s="338"/>
      <c r="F569" s="20"/>
      <c r="G569" s="20"/>
      <c r="H569" s="20"/>
      <c r="I569" s="20"/>
      <c r="J569" s="20" t="s">
        <v>1061</v>
      </c>
      <c r="K569" s="20"/>
      <c r="L569" s="20"/>
      <c r="AC569" s="1357"/>
    </row>
    <row r="570">
      <c r="B570" s="20"/>
      <c r="C570" s="20"/>
      <c r="D570" s="20"/>
      <c r="E570" s="338"/>
      <c r="F570" s="20"/>
      <c r="G570" s="20"/>
      <c r="H570" s="20"/>
      <c r="I570" s="20"/>
      <c r="J570" s="20" t="s">
        <v>1061</v>
      </c>
      <c r="K570" s="20"/>
      <c r="L570" s="20"/>
      <c r="AC570" s="1357"/>
    </row>
    <row r="571">
      <c r="B571" s="20"/>
      <c r="C571" s="20"/>
      <c r="D571" s="20"/>
      <c r="E571" s="338"/>
      <c r="F571" s="20"/>
      <c r="G571" s="20"/>
      <c r="H571" s="20"/>
      <c r="I571" s="20"/>
      <c r="J571" s="20" t="s">
        <v>1061</v>
      </c>
      <c r="K571" s="20"/>
      <c r="L571" s="20"/>
      <c r="AC571" s="1357"/>
    </row>
    <row r="572">
      <c r="B572" s="20"/>
      <c r="C572" s="20"/>
      <c r="D572" s="20"/>
      <c r="E572" s="338"/>
      <c r="F572" s="20"/>
      <c r="G572" s="20"/>
      <c r="H572" s="20"/>
      <c r="I572" s="20"/>
      <c r="J572" s="20" t="s">
        <v>1061</v>
      </c>
      <c r="K572" s="20"/>
      <c r="L572" s="20"/>
      <c r="AC572" s="1357"/>
    </row>
    <row r="573">
      <c r="B573" s="20"/>
      <c r="C573" s="20"/>
      <c r="D573" s="20"/>
      <c r="E573" s="338"/>
      <c r="F573" s="20"/>
      <c r="G573" s="20"/>
      <c r="H573" s="20"/>
      <c r="I573" s="20"/>
      <c r="J573" s="20" t="s">
        <v>1061</v>
      </c>
      <c r="K573" s="20"/>
      <c r="L573" s="20"/>
      <c r="AC573" s="1357"/>
    </row>
    <row r="574">
      <c r="B574" s="20"/>
      <c r="C574" s="20"/>
      <c r="D574" s="20"/>
      <c r="E574" s="338"/>
      <c r="F574" s="20"/>
      <c r="G574" s="20"/>
      <c r="H574" s="20"/>
      <c r="I574" s="20"/>
      <c r="J574" s="20" t="s">
        <v>1061</v>
      </c>
      <c r="K574" s="20"/>
      <c r="L574" s="20"/>
      <c r="AC574" s="1357"/>
    </row>
    <row r="575">
      <c r="B575" s="20"/>
      <c r="C575" s="20"/>
      <c r="D575" s="20"/>
      <c r="E575" s="338"/>
      <c r="F575" s="20"/>
      <c r="G575" s="20"/>
      <c r="H575" s="20"/>
      <c r="I575" s="20"/>
      <c r="J575" s="20" t="s">
        <v>1061</v>
      </c>
      <c r="K575" s="20"/>
      <c r="L575" s="20"/>
      <c r="AC575" s="1357"/>
    </row>
    <row r="576">
      <c r="B576" s="20"/>
      <c r="C576" s="20"/>
      <c r="D576" s="20"/>
      <c r="E576" s="338"/>
      <c r="F576" s="20"/>
      <c r="G576" s="20"/>
      <c r="H576" s="20"/>
      <c r="I576" s="20"/>
      <c r="J576" s="20" t="s">
        <v>1061</v>
      </c>
      <c r="K576" s="20"/>
      <c r="L576" s="20"/>
      <c r="AC576" s="1357"/>
    </row>
    <row r="577">
      <c r="B577" s="20"/>
      <c r="C577" s="20"/>
      <c r="D577" s="20"/>
      <c r="E577" s="338"/>
      <c r="F577" s="20"/>
      <c r="G577" s="20"/>
      <c r="H577" s="20"/>
      <c r="I577" s="20"/>
      <c r="J577" s="20" t="s">
        <v>1061</v>
      </c>
      <c r="K577" s="20"/>
      <c r="L577" s="20"/>
      <c r="AC577" s="1357"/>
    </row>
    <row r="578">
      <c r="B578" s="20"/>
      <c r="C578" s="20"/>
      <c r="D578" s="20"/>
      <c r="E578" s="338"/>
      <c r="F578" s="20"/>
      <c r="G578" s="20"/>
      <c r="H578" s="20"/>
      <c r="I578" s="20"/>
      <c r="J578" s="20" t="s">
        <v>1061</v>
      </c>
      <c r="K578" s="20"/>
      <c r="L578" s="20"/>
      <c r="AC578" s="1357"/>
    </row>
    <row r="579">
      <c r="B579" s="20"/>
      <c r="C579" s="20"/>
      <c r="D579" s="20"/>
      <c r="E579" s="338"/>
      <c r="F579" s="20"/>
      <c r="G579" s="20"/>
      <c r="H579" s="20"/>
      <c r="I579" s="20"/>
      <c r="J579" s="20" t="s">
        <v>1061</v>
      </c>
      <c r="K579" s="20"/>
      <c r="L579" s="20"/>
      <c r="AC579" s="1357"/>
    </row>
    <row r="580">
      <c r="B580" s="20"/>
      <c r="C580" s="20"/>
      <c r="D580" s="20"/>
      <c r="E580" s="338"/>
      <c r="F580" s="20"/>
      <c r="G580" s="20"/>
      <c r="H580" s="20"/>
      <c r="I580" s="20"/>
      <c r="J580" s="20" t="s">
        <v>1061</v>
      </c>
      <c r="K580" s="20"/>
      <c r="L580" s="20"/>
      <c r="AC580" s="1357"/>
    </row>
    <row r="581">
      <c r="B581" s="20"/>
      <c r="C581" s="20"/>
      <c r="D581" s="20"/>
      <c r="E581" s="338"/>
      <c r="F581" s="20"/>
      <c r="G581" s="20"/>
      <c r="H581" s="20"/>
      <c r="I581" s="20"/>
      <c r="J581" s="20" t="s">
        <v>1061</v>
      </c>
      <c r="K581" s="20"/>
      <c r="L581" s="20"/>
      <c r="AC581" s="1357"/>
    </row>
    <row r="582">
      <c r="B582" s="20"/>
      <c r="C582" s="20"/>
      <c r="D582" s="20"/>
      <c r="E582" s="338"/>
      <c r="F582" s="20"/>
      <c r="G582" s="20"/>
      <c r="H582" s="20"/>
      <c r="I582" s="20"/>
      <c r="J582" s="20" t="s">
        <v>1061</v>
      </c>
      <c r="K582" s="20"/>
      <c r="L582" s="20"/>
      <c r="AC582" s="1357"/>
    </row>
    <row r="583">
      <c r="B583" s="20"/>
      <c r="C583" s="20"/>
      <c r="D583" s="20"/>
      <c r="E583" s="338"/>
      <c r="F583" s="20"/>
      <c r="G583" s="20"/>
      <c r="H583" s="20"/>
      <c r="I583" s="20"/>
      <c r="J583" s="20" t="s">
        <v>1061</v>
      </c>
      <c r="K583" s="20"/>
      <c r="L583" s="20"/>
      <c r="AC583" s="1357"/>
    </row>
    <row r="584">
      <c r="B584" s="20"/>
      <c r="C584" s="20"/>
      <c r="D584" s="20"/>
      <c r="E584" s="338"/>
      <c r="F584" s="20"/>
      <c r="G584" s="20"/>
      <c r="H584" s="20"/>
      <c r="I584" s="20"/>
      <c r="J584" s="20" t="s">
        <v>1061</v>
      </c>
      <c r="K584" s="20"/>
      <c r="L584" s="20"/>
      <c r="AC584" s="1357"/>
    </row>
    <row r="585">
      <c r="B585" s="20"/>
      <c r="C585" s="20"/>
      <c r="D585" s="20"/>
      <c r="E585" s="338"/>
      <c r="F585" s="20"/>
      <c r="G585" s="20"/>
      <c r="H585" s="20"/>
      <c r="I585" s="20"/>
      <c r="J585" s="20" t="s">
        <v>1061</v>
      </c>
      <c r="K585" s="20"/>
      <c r="L585" s="20"/>
      <c r="AC585" s="1357"/>
    </row>
    <row r="586">
      <c r="B586" s="20"/>
      <c r="C586" s="20"/>
      <c r="D586" s="20"/>
      <c r="E586" s="338"/>
      <c r="F586" s="20"/>
      <c r="G586" s="20"/>
      <c r="H586" s="20"/>
      <c r="I586" s="20"/>
      <c r="J586" s="20" t="s">
        <v>1061</v>
      </c>
      <c r="K586" s="20"/>
      <c r="L586" s="20"/>
      <c r="AC586" s="1357"/>
    </row>
    <row r="587">
      <c r="B587" s="20"/>
      <c r="C587" s="20"/>
      <c r="D587" s="20"/>
      <c r="E587" s="338"/>
      <c r="F587" s="20"/>
      <c r="G587" s="20"/>
      <c r="H587" s="20"/>
      <c r="I587" s="20"/>
      <c r="J587" s="20" t="s">
        <v>1061</v>
      </c>
      <c r="K587" s="20"/>
      <c r="L587" s="20"/>
      <c r="AC587" s="1357"/>
    </row>
    <row r="588">
      <c r="B588" s="20"/>
      <c r="C588" s="20"/>
      <c r="D588" s="20"/>
      <c r="E588" s="338"/>
      <c r="F588" s="20"/>
      <c r="G588" s="20"/>
      <c r="H588" s="20"/>
      <c r="I588" s="20"/>
      <c r="J588" s="20" t="s">
        <v>1061</v>
      </c>
      <c r="K588" s="20"/>
      <c r="L588" s="20"/>
      <c r="AC588" s="1357"/>
    </row>
    <row r="589">
      <c r="B589" s="20"/>
      <c r="C589" s="20"/>
      <c r="D589" s="20"/>
      <c r="E589" s="338"/>
      <c r="F589" s="20"/>
      <c r="G589" s="20"/>
      <c r="H589" s="20"/>
      <c r="I589" s="20"/>
      <c r="J589" s="20" t="s">
        <v>1061</v>
      </c>
      <c r="K589" s="20"/>
      <c r="L589" s="20"/>
      <c r="AC589" s="1357"/>
    </row>
    <row r="590">
      <c r="B590" s="20"/>
      <c r="C590" s="20"/>
      <c r="D590" s="20"/>
      <c r="E590" s="338"/>
      <c r="F590" s="20"/>
      <c r="G590" s="20"/>
      <c r="H590" s="20"/>
      <c r="I590" s="20"/>
      <c r="J590" s="20" t="s">
        <v>1061</v>
      </c>
      <c r="K590" s="20"/>
      <c r="L590" s="20"/>
      <c r="AC590" s="1357"/>
    </row>
    <row r="591">
      <c r="B591" s="20"/>
      <c r="C591" s="20"/>
      <c r="D591" s="20"/>
      <c r="E591" s="338"/>
      <c r="F591" s="20"/>
      <c r="G591" s="20"/>
      <c r="H591" s="20"/>
      <c r="I591" s="20"/>
      <c r="J591" s="20" t="s">
        <v>1061</v>
      </c>
      <c r="K591" s="20"/>
      <c r="L591" s="20"/>
      <c r="AC591" s="1357"/>
    </row>
    <row r="592">
      <c r="B592" s="20"/>
      <c r="C592" s="20"/>
      <c r="D592" s="20"/>
      <c r="E592" s="338"/>
      <c r="F592" s="20"/>
      <c r="G592" s="20"/>
      <c r="H592" s="20"/>
      <c r="I592" s="20"/>
      <c r="J592" s="20" t="s">
        <v>1061</v>
      </c>
      <c r="K592" s="20"/>
      <c r="L592" s="20"/>
      <c r="AC592" s="1357"/>
    </row>
    <row r="593">
      <c r="B593" s="20"/>
      <c r="C593" s="20"/>
      <c r="D593" s="20"/>
      <c r="E593" s="338"/>
      <c r="F593" s="20"/>
      <c r="G593" s="20"/>
      <c r="H593" s="20"/>
      <c r="I593" s="20"/>
      <c r="J593" s="20" t="s">
        <v>1061</v>
      </c>
      <c r="K593" s="20"/>
      <c r="L593" s="20"/>
      <c r="AC593" s="1357"/>
    </row>
    <row r="594">
      <c r="B594" s="20"/>
      <c r="C594" s="20"/>
      <c r="D594" s="20"/>
      <c r="E594" s="338"/>
      <c r="F594" s="20"/>
      <c r="G594" s="20"/>
      <c r="H594" s="20"/>
      <c r="I594" s="20"/>
      <c r="J594" s="20" t="s">
        <v>1061</v>
      </c>
      <c r="K594" s="20"/>
      <c r="L594" s="20"/>
      <c r="AC594" s="1357"/>
    </row>
    <row r="595">
      <c r="B595" s="20"/>
      <c r="C595" s="20"/>
      <c r="D595" s="20"/>
      <c r="E595" s="338"/>
      <c r="F595" s="20"/>
      <c r="G595" s="20"/>
      <c r="H595" s="20"/>
      <c r="I595" s="20"/>
      <c r="J595" s="20" t="s">
        <v>1061</v>
      </c>
      <c r="K595" s="20"/>
      <c r="L595" s="20"/>
      <c r="AC595" s="1357"/>
    </row>
    <row r="596">
      <c r="B596" s="20"/>
      <c r="C596" s="20"/>
      <c r="D596" s="20"/>
      <c r="E596" s="338"/>
      <c r="F596" s="20"/>
      <c r="G596" s="20"/>
      <c r="H596" s="20"/>
      <c r="I596" s="20"/>
      <c r="J596" s="20" t="s">
        <v>1061</v>
      </c>
      <c r="K596" s="20"/>
      <c r="L596" s="20"/>
      <c r="AC596" s="1357"/>
    </row>
    <row r="597">
      <c r="B597" s="20"/>
      <c r="C597" s="20"/>
      <c r="D597" s="20"/>
      <c r="E597" s="338"/>
      <c r="F597" s="20"/>
      <c r="G597" s="20"/>
      <c r="H597" s="20"/>
      <c r="I597" s="20"/>
      <c r="J597" s="20" t="s">
        <v>1061</v>
      </c>
      <c r="K597" s="20"/>
      <c r="L597" s="20"/>
      <c r="AC597" s="1357"/>
    </row>
    <row r="598">
      <c r="B598" s="20"/>
      <c r="C598" s="20"/>
      <c r="D598" s="20"/>
      <c r="E598" s="338"/>
      <c r="F598" s="20"/>
      <c r="G598" s="20"/>
      <c r="H598" s="20"/>
      <c r="I598" s="20"/>
      <c r="J598" s="20" t="s">
        <v>1061</v>
      </c>
      <c r="K598" s="20"/>
      <c r="L598" s="20"/>
      <c r="AC598" s="1357"/>
    </row>
    <row r="599">
      <c r="B599" s="20"/>
      <c r="C599" s="20"/>
      <c r="D599" s="20"/>
      <c r="E599" s="338"/>
      <c r="F599" s="20"/>
      <c r="G599" s="20"/>
      <c r="H599" s="20"/>
      <c r="I599" s="20"/>
      <c r="J599" s="20" t="s">
        <v>1061</v>
      </c>
      <c r="K599" s="20"/>
      <c r="L599" s="20"/>
      <c r="AC599" s="1357"/>
    </row>
    <row r="600">
      <c r="B600" s="20"/>
      <c r="C600" s="20"/>
      <c r="D600" s="20"/>
      <c r="E600" s="338"/>
      <c r="F600" s="20"/>
      <c r="G600" s="20"/>
      <c r="H600" s="20"/>
      <c r="I600" s="20"/>
      <c r="J600" s="20" t="s">
        <v>1061</v>
      </c>
      <c r="K600" s="20"/>
      <c r="L600" s="20"/>
      <c r="AC600" s="1357"/>
    </row>
    <row r="601">
      <c r="B601" s="20"/>
      <c r="C601" s="20"/>
      <c r="D601" s="20"/>
      <c r="E601" s="338"/>
      <c r="F601" s="20"/>
      <c r="G601" s="20"/>
      <c r="H601" s="20"/>
      <c r="I601" s="20"/>
      <c r="J601" s="20" t="s">
        <v>1061</v>
      </c>
      <c r="K601" s="20"/>
      <c r="L601" s="20"/>
      <c r="AC601" s="1357"/>
    </row>
    <row r="602">
      <c r="B602" s="20"/>
      <c r="C602" s="20"/>
      <c r="D602" s="20"/>
      <c r="E602" s="338"/>
      <c r="F602" s="20"/>
      <c r="G602" s="20"/>
      <c r="H602" s="20"/>
      <c r="I602" s="20"/>
      <c r="J602" s="20" t="s">
        <v>1061</v>
      </c>
      <c r="K602" s="20"/>
      <c r="L602" s="20"/>
      <c r="AC602" s="1357"/>
    </row>
    <row r="603">
      <c r="B603" s="20"/>
      <c r="C603" s="20"/>
      <c r="D603" s="20"/>
      <c r="E603" s="338"/>
      <c r="F603" s="20"/>
      <c r="G603" s="20"/>
      <c r="H603" s="20"/>
      <c r="I603" s="20"/>
      <c r="J603" s="20" t="s">
        <v>1061</v>
      </c>
      <c r="K603" s="20"/>
      <c r="L603" s="20"/>
      <c r="AC603" s="1357"/>
    </row>
    <row r="604">
      <c r="B604" s="20"/>
      <c r="C604" s="20"/>
      <c r="D604" s="20"/>
      <c r="E604" s="338"/>
      <c r="F604" s="20"/>
      <c r="G604" s="20"/>
      <c r="H604" s="20"/>
      <c r="I604" s="20"/>
      <c r="J604" s="20" t="s">
        <v>1061</v>
      </c>
      <c r="K604" s="20"/>
      <c r="L604" s="20"/>
      <c r="AC604" s="1357"/>
    </row>
    <row r="605">
      <c r="B605" s="20"/>
      <c r="C605" s="20"/>
      <c r="D605" s="20"/>
      <c r="E605" s="338"/>
      <c r="F605" s="20"/>
      <c r="G605" s="20"/>
      <c r="H605" s="20"/>
      <c r="I605" s="20"/>
      <c r="J605" s="20" t="s">
        <v>1061</v>
      </c>
      <c r="K605" s="20"/>
      <c r="L605" s="20"/>
      <c r="AC605" s="1357"/>
    </row>
    <row r="606">
      <c r="B606" s="20"/>
      <c r="C606" s="20"/>
      <c r="D606" s="20"/>
      <c r="E606" s="338"/>
      <c r="F606" s="20"/>
      <c r="G606" s="20"/>
      <c r="H606" s="20"/>
      <c r="I606" s="20"/>
      <c r="J606" s="20" t="s">
        <v>1061</v>
      </c>
      <c r="K606" s="20"/>
      <c r="L606" s="20"/>
      <c r="AC606" s="1357"/>
    </row>
    <row r="607">
      <c r="B607" s="20"/>
      <c r="C607" s="20"/>
      <c r="D607" s="20"/>
      <c r="E607" s="338"/>
      <c r="F607" s="20"/>
      <c r="G607" s="20"/>
      <c r="H607" s="20"/>
      <c r="I607" s="20"/>
      <c r="J607" s="20" t="s">
        <v>1061</v>
      </c>
      <c r="K607" s="20"/>
      <c r="L607" s="20"/>
      <c r="AC607" s="1357"/>
    </row>
    <row r="608">
      <c r="B608" s="20"/>
      <c r="C608" s="20"/>
      <c r="D608" s="20"/>
      <c r="E608" s="338"/>
      <c r="F608" s="20"/>
      <c r="G608" s="20"/>
      <c r="H608" s="20"/>
      <c r="I608" s="20"/>
      <c r="J608" s="20" t="s">
        <v>1061</v>
      </c>
      <c r="K608" s="20"/>
      <c r="L608" s="20"/>
      <c r="AC608" s="1357"/>
    </row>
    <row r="609">
      <c r="B609" s="20"/>
      <c r="C609" s="20"/>
      <c r="D609" s="20"/>
      <c r="E609" s="338"/>
      <c r="F609" s="20"/>
      <c r="G609" s="20"/>
      <c r="H609" s="20"/>
      <c r="I609" s="20"/>
      <c r="J609" s="20" t="s">
        <v>1061</v>
      </c>
      <c r="K609" s="20"/>
      <c r="L609" s="20"/>
      <c r="AC609" s="1357"/>
    </row>
    <row r="610">
      <c r="B610" s="20"/>
      <c r="C610" s="20"/>
      <c r="D610" s="20"/>
      <c r="E610" s="338"/>
      <c r="F610" s="20"/>
      <c r="G610" s="20"/>
      <c r="H610" s="20"/>
      <c r="I610" s="20"/>
      <c r="J610" s="20" t="s">
        <v>1061</v>
      </c>
      <c r="K610" s="20"/>
      <c r="L610" s="20"/>
      <c r="AC610" s="1357"/>
    </row>
    <row r="611">
      <c r="B611" s="20"/>
      <c r="C611" s="20"/>
      <c r="D611" s="20"/>
      <c r="E611" s="338"/>
      <c r="F611" s="20"/>
      <c r="G611" s="20"/>
      <c r="H611" s="20"/>
      <c r="I611" s="20"/>
      <c r="J611" s="20" t="s">
        <v>1061</v>
      </c>
      <c r="K611" s="20"/>
      <c r="L611" s="20"/>
      <c r="AC611" s="1357"/>
    </row>
    <row r="612">
      <c r="B612" s="20"/>
      <c r="C612" s="20"/>
      <c r="D612" s="20"/>
      <c r="E612" s="338"/>
      <c r="F612" s="20"/>
      <c r="G612" s="20"/>
      <c r="H612" s="20"/>
      <c r="I612" s="20"/>
      <c r="J612" s="20" t="s">
        <v>1061</v>
      </c>
      <c r="K612" s="20"/>
      <c r="L612" s="20"/>
      <c r="AC612" s="1357"/>
    </row>
    <row r="613">
      <c r="B613" s="20"/>
      <c r="C613" s="20"/>
      <c r="D613" s="20"/>
      <c r="E613" s="338"/>
      <c r="F613" s="20"/>
      <c r="G613" s="20"/>
      <c r="H613" s="20"/>
      <c r="I613" s="20"/>
      <c r="J613" s="20" t="s">
        <v>1061</v>
      </c>
      <c r="K613" s="20"/>
      <c r="L613" s="20"/>
      <c r="AC613" s="1357"/>
    </row>
    <row r="614">
      <c r="B614" s="20"/>
      <c r="C614" s="20"/>
      <c r="D614" s="20"/>
      <c r="E614" s="338"/>
      <c r="F614" s="20"/>
      <c r="G614" s="20"/>
      <c r="H614" s="20"/>
      <c r="I614" s="20"/>
      <c r="J614" s="20" t="s">
        <v>1061</v>
      </c>
      <c r="K614" s="20"/>
      <c r="L614" s="20"/>
      <c r="AC614" s="1357"/>
    </row>
    <row r="615">
      <c r="B615" s="20"/>
      <c r="C615" s="20"/>
      <c r="D615" s="20"/>
      <c r="E615" s="338"/>
      <c r="F615" s="20"/>
      <c r="G615" s="20"/>
      <c r="H615" s="20"/>
      <c r="I615" s="20"/>
      <c r="J615" s="20" t="s">
        <v>1061</v>
      </c>
      <c r="K615" s="20"/>
      <c r="L615" s="20"/>
      <c r="AC615" s="1357"/>
    </row>
    <row r="616">
      <c r="B616" s="20"/>
      <c r="C616" s="20"/>
      <c r="D616" s="20"/>
      <c r="E616" s="338"/>
      <c r="F616" s="20"/>
      <c r="G616" s="20"/>
      <c r="H616" s="20"/>
      <c r="I616" s="20"/>
      <c r="J616" s="20" t="s">
        <v>1061</v>
      </c>
      <c r="K616" s="20"/>
      <c r="L616" s="20"/>
      <c r="AC616" s="1357"/>
    </row>
    <row r="617">
      <c r="B617" s="20"/>
      <c r="C617" s="20"/>
      <c r="D617" s="20"/>
      <c r="E617" s="338"/>
      <c r="F617" s="20"/>
      <c r="G617" s="20"/>
      <c r="H617" s="20"/>
      <c r="I617" s="20"/>
      <c r="J617" s="20" t="s">
        <v>1061</v>
      </c>
      <c r="K617" s="20"/>
      <c r="L617" s="20"/>
      <c r="AC617" s="1357"/>
    </row>
    <row r="618">
      <c r="B618" s="20"/>
      <c r="C618" s="20"/>
      <c r="D618" s="20"/>
      <c r="E618" s="338"/>
      <c r="F618" s="20"/>
      <c r="G618" s="20"/>
      <c r="H618" s="20"/>
      <c r="I618" s="20"/>
      <c r="J618" s="20" t="s">
        <v>1061</v>
      </c>
      <c r="K618" s="20"/>
      <c r="L618" s="20"/>
      <c r="AC618" s="1357"/>
    </row>
    <row r="619">
      <c r="B619" s="20"/>
      <c r="C619" s="20"/>
      <c r="D619" s="20"/>
      <c r="E619" s="338"/>
      <c r="F619" s="20"/>
      <c r="G619" s="20"/>
      <c r="H619" s="20"/>
      <c r="I619" s="20"/>
      <c r="J619" s="20" t="s">
        <v>1061</v>
      </c>
      <c r="K619" s="20"/>
      <c r="L619" s="20"/>
      <c r="AC619" s="1357"/>
    </row>
    <row r="620">
      <c r="B620" s="20"/>
      <c r="C620" s="20"/>
      <c r="D620" s="20"/>
      <c r="E620" s="338"/>
      <c r="F620" s="20"/>
      <c r="G620" s="20"/>
      <c r="H620" s="20"/>
      <c r="I620" s="20"/>
      <c r="J620" s="20" t="s">
        <v>1061</v>
      </c>
      <c r="K620" s="20"/>
      <c r="L620" s="20"/>
      <c r="AC620" s="1357"/>
    </row>
    <row r="621">
      <c r="B621" s="20"/>
      <c r="C621" s="20"/>
      <c r="D621" s="20"/>
      <c r="E621" s="338"/>
      <c r="F621" s="20"/>
      <c r="G621" s="20"/>
      <c r="H621" s="20"/>
      <c r="I621" s="20"/>
      <c r="J621" s="20" t="s">
        <v>1061</v>
      </c>
      <c r="K621" s="20"/>
      <c r="L621" s="20"/>
      <c r="AC621" s="1357"/>
    </row>
    <row r="622">
      <c r="B622" s="20"/>
      <c r="C622" s="20"/>
      <c r="D622" s="20"/>
      <c r="E622" s="338"/>
      <c r="F622" s="20"/>
      <c r="G622" s="20"/>
      <c r="H622" s="20"/>
      <c r="I622" s="20"/>
      <c r="J622" s="20" t="s">
        <v>1061</v>
      </c>
      <c r="K622" s="20"/>
      <c r="L622" s="20"/>
      <c r="AC622" s="1357"/>
    </row>
    <row r="623">
      <c r="B623" s="20"/>
      <c r="C623" s="20"/>
      <c r="D623" s="20"/>
      <c r="E623" s="338"/>
      <c r="F623" s="20"/>
      <c r="G623" s="20"/>
      <c r="H623" s="20"/>
      <c r="I623" s="20"/>
      <c r="J623" s="20" t="s">
        <v>1061</v>
      </c>
      <c r="K623" s="20"/>
      <c r="L623" s="20"/>
      <c r="AC623" s="1357"/>
    </row>
    <row r="624">
      <c r="B624" s="20"/>
      <c r="C624" s="20"/>
      <c r="D624" s="20"/>
      <c r="E624" s="338"/>
      <c r="F624" s="20"/>
      <c r="G624" s="20"/>
      <c r="H624" s="20"/>
      <c r="I624" s="20"/>
      <c r="J624" s="20" t="s">
        <v>1061</v>
      </c>
      <c r="K624" s="20"/>
      <c r="L624" s="20"/>
      <c r="AC624" s="1357"/>
    </row>
    <row r="625">
      <c r="B625" s="20"/>
      <c r="C625" s="20"/>
      <c r="D625" s="20"/>
      <c r="E625" s="338"/>
      <c r="F625" s="20"/>
      <c r="G625" s="20"/>
      <c r="H625" s="20"/>
      <c r="I625" s="20"/>
      <c r="J625" s="20" t="s">
        <v>1061</v>
      </c>
      <c r="K625" s="20"/>
      <c r="L625" s="20"/>
      <c r="AC625" s="1357"/>
    </row>
    <row r="626">
      <c r="B626" s="20"/>
      <c r="C626" s="20"/>
      <c r="D626" s="20"/>
      <c r="E626" s="338"/>
      <c r="F626" s="20"/>
      <c r="G626" s="20"/>
      <c r="H626" s="20"/>
      <c r="I626" s="20"/>
      <c r="J626" s="20" t="s">
        <v>1061</v>
      </c>
      <c r="K626" s="20"/>
      <c r="L626" s="20"/>
      <c r="AC626" s="1357"/>
    </row>
    <row r="627">
      <c r="B627" s="20"/>
      <c r="C627" s="20"/>
      <c r="D627" s="20"/>
      <c r="E627" s="338"/>
      <c r="F627" s="20"/>
      <c r="G627" s="20"/>
      <c r="H627" s="20"/>
      <c r="I627" s="20"/>
      <c r="J627" s="20" t="s">
        <v>1061</v>
      </c>
      <c r="K627" s="20"/>
      <c r="L627" s="20"/>
      <c r="AC627" s="1357"/>
    </row>
    <row r="628">
      <c r="B628" s="20"/>
      <c r="C628" s="20"/>
      <c r="D628" s="20"/>
      <c r="E628" s="338"/>
      <c r="F628" s="20"/>
      <c r="G628" s="20"/>
      <c r="H628" s="20"/>
      <c r="I628" s="20"/>
      <c r="J628" s="20" t="s">
        <v>1061</v>
      </c>
      <c r="K628" s="20"/>
      <c r="L628" s="20"/>
      <c r="AC628" s="1357"/>
    </row>
    <row r="629">
      <c r="B629" s="20"/>
      <c r="C629" s="20"/>
      <c r="D629" s="20"/>
      <c r="E629" s="338"/>
      <c r="F629" s="20"/>
      <c r="G629" s="20"/>
      <c r="H629" s="20"/>
      <c r="I629" s="20"/>
      <c r="J629" s="20" t="s">
        <v>1061</v>
      </c>
      <c r="K629" s="20"/>
      <c r="L629" s="20"/>
      <c r="AC629" s="1357"/>
    </row>
    <row r="630">
      <c r="B630" s="20"/>
      <c r="C630" s="20"/>
      <c r="D630" s="20"/>
      <c r="E630" s="338"/>
      <c r="F630" s="20"/>
      <c r="G630" s="20"/>
      <c r="H630" s="20"/>
      <c r="I630" s="20"/>
      <c r="J630" s="20" t="s">
        <v>1061</v>
      </c>
      <c r="K630" s="20"/>
      <c r="L630" s="20"/>
      <c r="AC630" s="1357"/>
    </row>
    <row r="631">
      <c r="B631" s="20"/>
      <c r="C631" s="20"/>
      <c r="D631" s="20"/>
      <c r="E631" s="338"/>
      <c r="F631" s="20"/>
      <c r="G631" s="20"/>
      <c r="H631" s="20"/>
      <c r="I631" s="20"/>
      <c r="J631" s="20" t="s">
        <v>1061</v>
      </c>
      <c r="K631" s="20"/>
      <c r="L631" s="20"/>
      <c r="AC631" s="1357"/>
    </row>
    <row r="632">
      <c r="B632" s="20"/>
      <c r="C632" s="20"/>
      <c r="D632" s="20"/>
      <c r="E632" s="338"/>
      <c r="F632" s="20"/>
      <c r="G632" s="20"/>
      <c r="H632" s="20"/>
      <c r="I632" s="20"/>
      <c r="J632" s="20" t="s">
        <v>1061</v>
      </c>
      <c r="K632" s="20"/>
      <c r="L632" s="20"/>
      <c r="AC632" s="1357"/>
    </row>
    <row r="633">
      <c r="B633" s="20"/>
      <c r="C633" s="20"/>
      <c r="D633" s="20"/>
      <c r="E633" s="338"/>
      <c r="F633" s="20"/>
      <c r="G633" s="20"/>
      <c r="H633" s="20"/>
      <c r="I633" s="20"/>
      <c r="J633" s="20" t="s">
        <v>1061</v>
      </c>
      <c r="K633" s="20"/>
      <c r="L633" s="20"/>
      <c r="AC633" s="1357"/>
    </row>
    <row r="634">
      <c r="B634" s="20"/>
      <c r="C634" s="20"/>
      <c r="D634" s="20"/>
      <c r="E634" s="338"/>
      <c r="F634" s="20"/>
      <c r="G634" s="20"/>
      <c r="H634" s="20"/>
      <c r="I634" s="20"/>
      <c r="J634" s="20" t="s">
        <v>1061</v>
      </c>
      <c r="K634" s="20"/>
      <c r="L634" s="20"/>
      <c r="AC634" s="1357"/>
    </row>
    <row r="635">
      <c r="B635" s="20"/>
      <c r="C635" s="20"/>
      <c r="D635" s="20"/>
      <c r="E635" s="338"/>
      <c r="F635" s="20"/>
      <c r="G635" s="20"/>
      <c r="H635" s="20"/>
      <c r="I635" s="20"/>
      <c r="J635" s="20" t="s">
        <v>1061</v>
      </c>
      <c r="K635" s="20"/>
      <c r="L635" s="20"/>
      <c r="AC635" s="1357"/>
    </row>
    <row r="636">
      <c r="B636" s="20"/>
      <c r="C636" s="20"/>
      <c r="D636" s="20"/>
      <c r="E636" s="338"/>
      <c r="F636" s="20"/>
      <c r="G636" s="20"/>
      <c r="H636" s="20"/>
      <c r="I636" s="20"/>
      <c r="J636" s="20" t="s">
        <v>1061</v>
      </c>
      <c r="K636" s="20"/>
      <c r="L636" s="20"/>
      <c r="AC636" s="1357"/>
    </row>
    <row r="637">
      <c r="B637" s="20"/>
      <c r="C637" s="20"/>
      <c r="D637" s="20"/>
      <c r="E637" s="338"/>
      <c r="F637" s="20"/>
      <c r="G637" s="20"/>
      <c r="H637" s="20"/>
      <c r="I637" s="20"/>
      <c r="J637" s="20" t="s">
        <v>1061</v>
      </c>
      <c r="K637" s="20"/>
      <c r="L637" s="20"/>
      <c r="AC637" s="1357"/>
    </row>
    <row r="638">
      <c r="B638" s="20"/>
      <c r="C638" s="20"/>
      <c r="D638" s="20"/>
      <c r="E638" s="338"/>
      <c r="F638" s="20"/>
      <c r="G638" s="20"/>
      <c r="H638" s="20"/>
      <c r="I638" s="20"/>
      <c r="J638" s="20" t="s">
        <v>1061</v>
      </c>
      <c r="K638" s="20"/>
      <c r="L638" s="20"/>
      <c r="AC638" s="1357"/>
    </row>
    <row r="639">
      <c r="B639" s="20"/>
      <c r="C639" s="20"/>
      <c r="D639" s="20"/>
      <c r="E639" s="338"/>
      <c r="F639" s="20"/>
      <c r="G639" s="20"/>
      <c r="H639" s="20"/>
      <c r="I639" s="20"/>
      <c r="J639" s="20" t="s">
        <v>1061</v>
      </c>
      <c r="K639" s="20"/>
      <c r="L639" s="20"/>
      <c r="AC639" s="1357"/>
    </row>
    <row r="640">
      <c r="B640" s="20"/>
      <c r="C640" s="20"/>
      <c r="D640" s="20"/>
      <c r="E640" s="338"/>
      <c r="F640" s="20"/>
      <c r="G640" s="20"/>
      <c r="H640" s="20"/>
      <c r="I640" s="20"/>
      <c r="J640" s="20" t="s">
        <v>1061</v>
      </c>
      <c r="K640" s="20"/>
      <c r="L640" s="20"/>
      <c r="AC640" s="1357"/>
    </row>
    <row r="641">
      <c r="B641" s="20"/>
      <c r="C641" s="20"/>
      <c r="D641" s="20"/>
      <c r="E641" s="338"/>
      <c r="F641" s="20"/>
      <c r="G641" s="20"/>
      <c r="H641" s="20"/>
      <c r="I641" s="20"/>
      <c r="J641" s="20" t="s">
        <v>1061</v>
      </c>
      <c r="K641" s="20"/>
      <c r="L641" s="20"/>
      <c r="AC641" s="1357"/>
    </row>
    <row r="642">
      <c r="B642" s="20"/>
      <c r="C642" s="20"/>
      <c r="D642" s="20"/>
      <c r="E642" s="338"/>
      <c r="F642" s="20"/>
      <c r="G642" s="20"/>
      <c r="H642" s="20"/>
      <c r="I642" s="20"/>
      <c r="J642" s="20" t="s">
        <v>1061</v>
      </c>
      <c r="K642" s="20"/>
      <c r="L642" s="20"/>
      <c r="AC642" s="1357"/>
    </row>
    <row r="643">
      <c r="B643" s="20"/>
      <c r="C643" s="20"/>
      <c r="D643" s="20"/>
      <c r="E643" s="338"/>
      <c r="F643" s="20"/>
      <c r="G643" s="20"/>
      <c r="H643" s="20"/>
      <c r="I643" s="20"/>
      <c r="J643" s="20" t="s">
        <v>1061</v>
      </c>
      <c r="K643" s="20"/>
      <c r="L643" s="20"/>
      <c r="AC643" s="1357"/>
    </row>
    <row r="644">
      <c r="B644" s="20"/>
      <c r="C644" s="20"/>
      <c r="D644" s="20"/>
      <c r="E644" s="338"/>
      <c r="F644" s="20"/>
      <c r="G644" s="20"/>
      <c r="H644" s="20"/>
      <c r="I644" s="20"/>
      <c r="J644" s="20" t="s">
        <v>1061</v>
      </c>
      <c r="K644" s="20"/>
      <c r="L644" s="20"/>
      <c r="AC644" s="1357"/>
    </row>
    <row r="645">
      <c r="B645" s="20"/>
      <c r="C645" s="20"/>
      <c r="D645" s="20"/>
      <c r="E645" s="338"/>
      <c r="F645" s="20"/>
      <c r="G645" s="20"/>
      <c r="H645" s="20"/>
      <c r="I645" s="20"/>
      <c r="J645" s="20" t="s">
        <v>1061</v>
      </c>
      <c r="K645" s="20"/>
      <c r="L645" s="20"/>
      <c r="AC645" s="1357"/>
    </row>
    <row r="646">
      <c r="B646" s="20"/>
      <c r="C646" s="20"/>
      <c r="D646" s="20"/>
      <c r="E646" s="338"/>
      <c r="F646" s="20"/>
      <c r="G646" s="20"/>
      <c r="H646" s="20"/>
      <c r="I646" s="20"/>
      <c r="J646" s="20" t="s">
        <v>1061</v>
      </c>
      <c r="K646" s="20"/>
      <c r="L646" s="20"/>
      <c r="AC646" s="1357"/>
    </row>
    <row r="647">
      <c r="B647" s="20"/>
      <c r="C647" s="20"/>
      <c r="D647" s="20"/>
      <c r="E647" s="338"/>
      <c r="F647" s="20"/>
      <c r="G647" s="20"/>
      <c r="H647" s="20"/>
      <c r="I647" s="20"/>
      <c r="J647" s="20" t="s">
        <v>1061</v>
      </c>
      <c r="K647" s="20"/>
      <c r="L647" s="20"/>
      <c r="AC647" s="1357"/>
    </row>
    <row r="648">
      <c r="B648" s="20"/>
      <c r="C648" s="20"/>
      <c r="D648" s="20"/>
      <c r="E648" s="338"/>
      <c r="F648" s="20"/>
      <c r="G648" s="20"/>
      <c r="H648" s="20"/>
      <c r="I648" s="20"/>
      <c r="J648" s="20" t="s">
        <v>1061</v>
      </c>
      <c r="K648" s="20"/>
      <c r="L648" s="20"/>
      <c r="AC648" s="1357"/>
    </row>
    <row r="649">
      <c r="B649" s="20"/>
      <c r="C649" s="20"/>
      <c r="D649" s="20"/>
      <c r="E649" s="338"/>
      <c r="F649" s="20"/>
      <c r="G649" s="20"/>
      <c r="H649" s="20"/>
      <c r="I649" s="20"/>
      <c r="J649" s="20" t="s">
        <v>1061</v>
      </c>
      <c r="K649" s="20"/>
      <c r="L649" s="20"/>
      <c r="AC649" s="1357"/>
    </row>
    <row r="650">
      <c r="B650" s="20"/>
      <c r="C650" s="20"/>
      <c r="D650" s="20"/>
      <c r="E650" s="338"/>
      <c r="F650" s="20"/>
      <c r="G650" s="20"/>
      <c r="H650" s="20"/>
      <c r="I650" s="20"/>
      <c r="J650" s="20" t="s">
        <v>1061</v>
      </c>
      <c r="K650" s="20"/>
      <c r="L650" s="20"/>
      <c r="AC650" s="1357"/>
    </row>
    <row r="651">
      <c r="B651" s="20"/>
      <c r="C651" s="20"/>
      <c r="D651" s="20"/>
      <c r="E651" s="338"/>
      <c r="F651" s="20"/>
      <c r="G651" s="20"/>
      <c r="H651" s="20"/>
      <c r="I651" s="20"/>
      <c r="J651" s="20" t="s">
        <v>1061</v>
      </c>
      <c r="K651" s="20"/>
      <c r="L651" s="20"/>
      <c r="AC651" s="1357"/>
    </row>
    <row r="652">
      <c r="B652" s="20"/>
      <c r="C652" s="20"/>
      <c r="D652" s="20"/>
      <c r="E652" s="338"/>
      <c r="F652" s="20"/>
      <c r="G652" s="20"/>
      <c r="H652" s="20"/>
      <c r="I652" s="20"/>
      <c r="J652" s="20" t="s">
        <v>1061</v>
      </c>
      <c r="K652" s="20"/>
      <c r="L652" s="20"/>
      <c r="AC652" s="1357"/>
    </row>
    <row r="653">
      <c r="B653" s="20"/>
      <c r="C653" s="20"/>
      <c r="D653" s="20"/>
      <c r="E653" s="338"/>
      <c r="F653" s="20"/>
      <c r="G653" s="20"/>
      <c r="H653" s="20"/>
      <c r="I653" s="20"/>
      <c r="J653" s="20" t="s">
        <v>1061</v>
      </c>
      <c r="K653" s="20"/>
      <c r="L653" s="20"/>
      <c r="AC653" s="1357"/>
    </row>
    <row r="654">
      <c r="B654" s="20"/>
      <c r="C654" s="20"/>
      <c r="D654" s="20"/>
      <c r="E654" s="338"/>
      <c r="F654" s="20"/>
      <c r="G654" s="20"/>
      <c r="H654" s="20"/>
      <c r="I654" s="20"/>
      <c r="J654" s="20" t="s">
        <v>1061</v>
      </c>
      <c r="K654" s="20"/>
      <c r="L654" s="20"/>
      <c r="AC654" s="1357"/>
    </row>
    <row r="655">
      <c r="B655" s="20"/>
      <c r="C655" s="20"/>
      <c r="D655" s="20"/>
      <c r="E655" s="338"/>
      <c r="F655" s="20"/>
      <c r="G655" s="20"/>
      <c r="H655" s="20"/>
      <c r="I655" s="20"/>
      <c r="J655" s="20" t="s">
        <v>1061</v>
      </c>
      <c r="K655" s="20"/>
      <c r="L655" s="20"/>
      <c r="AC655" s="1357"/>
    </row>
    <row r="656">
      <c r="B656" s="20"/>
      <c r="C656" s="20"/>
      <c r="D656" s="20"/>
      <c r="E656" s="338"/>
      <c r="F656" s="20"/>
      <c r="G656" s="20"/>
      <c r="H656" s="20"/>
      <c r="I656" s="20"/>
      <c r="J656" s="20" t="s">
        <v>1061</v>
      </c>
      <c r="K656" s="20"/>
      <c r="L656" s="20"/>
      <c r="AC656" s="1357"/>
    </row>
    <row r="657">
      <c r="B657" s="20"/>
      <c r="C657" s="20"/>
      <c r="D657" s="20"/>
      <c r="E657" s="338"/>
      <c r="F657" s="20"/>
      <c r="G657" s="20"/>
      <c r="H657" s="20"/>
      <c r="I657" s="20"/>
      <c r="J657" s="20" t="s">
        <v>1061</v>
      </c>
      <c r="K657" s="20"/>
      <c r="L657" s="20"/>
      <c r="AC657" s="1357"/>
    </row>
    <row r="658">
      <c r="B658" s="20"/>
      <c r="C658" s="20"/>
      <c r="D658" s="20"/>
      <c r="E658" s="338"/>
      <c r="F658" s="20"/>
      <c r="G658" s="20"/>
      <c r="H658" s="20"/>
      <c r="I658" s="20"/>
      <c r="J658" s="20" t="s">
        <v>1061</v>
      </c>
      <c r="K658" s="20"/>
      <c r="L658" s="20"/>
      <c r="AC658" s="1357"/>
    </row>
    <row r="659">
      <c r="B659" s="20"/>
      <c r="C659" s="20"/>
      <c r="D659" s="20"/>
      <c r="E659" s="338"/>
      <c r="F659" s="20"/>
      <c r="G659" s="20"/>
      <c r="H659" s="20"/>
      <c r="I659" s="20"/>
      <c r="J659" s="20" t="s">
        <v>1061</v>
      </c>
      <c r="K659" s="20"/>
      <c r="L659" s="20"/>
      <c r="AC659" s="1357"/>
    </row>
    <row r="660">
      <c r="B660" s="20"/>
      <c r="C660" s="20"/>
      <c r="D660" s="20"/>
      <c r="E660" s="338"/>
      <c r="F660" s="20"/>
      <c r="G660" s="20"/>
      <c r="H660" s="20"/>
      <c r="I660" s="20"/>
      <c r="J660" s="20" t="s">
        <v>1061</v>
      </c>
      <c r="K660" s="20"/>
      <c r="L660" s="20"/>
      <c r="AC660" s="1357"/>
    </row>
    <row r="661">
      <c r="B661" s="20"/>
      <c r="C661" s="20"/>
      <c r="D661" s="20"/>
      <c r="E661" s="338"/>
      <c r="F661" s="20"/>
      <c r="G661" s="20"/>
      <c r="H661" s="20"/>
      <c r="I661" s="20"/>
      <c r="J661" s="20" t="s">
        <v>1061</v>
      </c>
      <c r="K661" s="20"/>
      <c r="L661" s="20"/>
      <c r="AC661" s="1357"/>
    </row>
    <row r="662">
      <c r="B662" s="20"/>
      <c r="C662" s="20"/>
      <c r="D662" s="20"/>
      <c r="E662" s="338"/>
      <c r="F662" s="20"/>
      <c r="G662" s="20"/>
      <c r="H662" s="20"/>
      <c r="I662" s="20"/>
      <c r="J662" s="20" t="s">
        <v>1061</v>
      </c>
      <c r="K662" s="20"/>
      <c r="L662" s="20"/>
      <c r="AC662" s="1357"/>
    </row>
    <row r="663">
      <c r="B663" s="20"/>
      <c r="C663" s="20"/>
      <c r="D663" s="20"/>
      <c r="E663" s="338"/>
      <c r="F663" s="20"/>
      <c r="G663" s="20"/>
      <c r="H663" s="20"/>
      <c r="I663" s="20"/>
      <c r="J663" s="20" t="s">
        <v>1061</v>
      </c>
      <c r="K663" s="20"/>
      <c r="L663" s="20"/>
      <c r="AC663" s="1357"/>
    </row>
    <row r="664">
      <c r="B664" s="20"/>
      <c r="C664" s="20"/>
      <c r="D664" s="20"/>
      <c r="E664" s="338"/>
      <c r="F664" s="20"/>
      <c r="G664" s="20"/>
      <c r="H664" s="20"/>
      <c r="I664" s="20"/>
      <c r="J664" s="20" t="s">
        <v>1061</v>
      </c>
      <c r="K664" s="20"/>
      <c r="L664" s="20"/>
      <c r="AC664" s="1357"/>
    </row>
    <row r="665">
      <c r="B665" s="20"/>
      <c r="C665" s="20"/>
      <c r="D665" s="20"/>
      <c r="E665" s="338"/>
      <c r="F665" s="20"/>
      <c r="G665" s="20"/>
      <c r="H665" s="20"/>
      <c r="I665" s="20"/>
      <c r="J665" s="20" t="s">
        <v>1061</v>
      </c>
      <c r="K665" s="20"/>
      <c r="L665" s="20"/>
      <c r="AC665" s="1357"/>
    </row>
    <row r="666">
      <c r="B666" s="20"/>
      <c r="C666" s="20"/>
      <c r="D666" s="20"/>
      <c r="E666" s="338"/>
      <c r="F666" s="20"/>
      <c r="G666" s="20"/>
      <c r="H666" s="20"/>
      <c r="I666" s="20"/>
      <c r="J666" s="20" t="s">
        <v>1061</v>
      </c>
      <c r="K666" s="20"/>
      <c r="L666" s="20"/>
      <c r="AC666" s="1357"/>
    </row>
    <row r="667">
      <c r="B667" s="20"/>
      <c r="C667" s="20"/>
      <c r="D667" s="20"/>
      <c r="E667" s="338"/>
      <c r="F667" s="20"/>
      <c r="G667" s="20"/>
      <c r="H667" s="20"/>
      <c r="I667" s="20"/>
      <c r="J667" s="20" t="s">
        <v>1061</v>
      </c>
      <c r="K667" s="20"/>
      <c r="L667" s="20"/>
      <c r="AC667" s="1357"/>
    </row>
    <row r="668">
      <c r="B668" s="20"/>
      <c r="C668" s="20"/>
      <c r="D668" s="20"/>
      <c r="E668" s="338"/>
      <c r="F668" s="20"/>
      <c r="G668" s="20"/>
      <c r="H668" s="20"/>
      <c r="I668" s="20"/>
      <c r="J668" s="20" t="s">
        <v>1061</v>
      </c>
      <c r="K668" s="20"/>
      <c r="L668" s="20"/>
      <c r="AC668" s="1357"/>
    </row>
    <row r="669">
      <c r="B669" s="20"/>
      <c r="C669" s="20"/>
      <c r="D669" s="20"/>
      <c r="E669" s="338"/>
      <c r="F669" s="20"/>
      <c r="G669" s="20"/>
      <c r="H669" s="20"/>
      <c r="I669" s="20"/>
      <c r="J669" s="20" t="s">
        <v>1061</v>
      </c>
      <c r="K669" s="20"/>
      <c r="L669" s="20"/>
      <c r="AC669" s="1357"/>
    </row>
    <row r="670">
      <c r="B670" s="20"/>
      <c r="C670" s="20"/>
      <c r="D670" s="20"/>
      <c r="E670" s="338"/>
      <c r="F670" s="20"/>
      <c r="G670" s="20"/>
      <c r="H670" s="20"/>
      <c r="I670" s="20"/>
      <c r="J670" s="20" t="s">
        <v>1061</v>
      </c>
      <c r="K670" s="20"/>
      <c r="L670" s="20"/>
      <c r="AC670" s="1357"/>
    </row>
    <row r="671">
      <c r="B671" s="20"/>
      <c r="C671" s="20"/>
      <c r="D671" s="20"/>
      <c r="E671" s="338"/>
      <c r="F671" s="20"/>
      <c r="G671" s="20"/>
      <c r="H671" s="20"/>
      <c r="I671" s="20"/>
      <c r="J671" s="20" t="s">
        <v>1061</v>
      </c>
      <c r="K671" s="20"/>
      <c r="L671" s="20"/>
      <c r="AC671" s="1357"/>
    </row>
    <row r="672">
      <c r="B672" s="20"/>
      <c r="C672" s="20"/>
      <c r="D672" s="20"/>
      <c r="E672" s="338"/>
      <c r="F672" s="20"/>
      <c r="G672" s="20"/>
      <c r="H672" s="20"/>
      <c r="I672" s="20"/>
      <c r="J672" s="20" t="s">
        <v>1061</v>
      </c>
      <c r="K672" s="20"/>
      <c r="L672" s="20"/>
      <c r="AC672" s="1357"/>
    </row>
    <row r="673">
      <c r="B673" s="20"/>
      <c r="C673" s="20"/>
      <c r="D673" s="20"/>
      <c r="E673" s="338"/>
      <c r="F673" s="20"/>
      <c r="G673" s="20"/>
      <c r="H673" s="20"/>
      <c r="I673" s="20"/>
      <c r="J673" s="20" t="s">
        <v>1061</v>
      </c>
      <c r="K673" s="20"/>
      <c r="L673" s="20"/>
      <c r="AC673" s="1357"/>
    </row>
    <row r="674">
      <c r="B674" s="20"/>
      <c r="C674" s="20"/>
      <c r="D674" s="20"/>
      <c r="E674" s="338"/>
      <c r="F674" s="20"/>
      <c r="G674" s="20"/>
      <c r="H674" s="20"/>
      <c r="I674" s="20"/>
      <c r="J674" s="20" t="s">
        <v>1061</v>
      </c>
      <c r="K674" s="20"/>
      <c r="L674" s="20"/>
      <c r="AC674" s="1357"/>
    </row>
    <row r="675">
      <c r="B675" s="20"/>
      <c r="C675" s="20"/>
      <c r="D675" s="20"/>
      <c r="E675" s="338"/>
      <c r="F675" s="20"/>
      <c r="G675" s="20"/>
      <c r="H675" s="20"/>
      <c r="I675" s="20"/>
      <c r="J675" s="20" t="s">
        <v>1061</v>
      </c>
      <c r="K675" s="20"/>
      <c r="L675" s="20"/>
      <c r="AC675" s="1357"/>
    </row>
    <row r="676">
      <c r="B676" s="20"/>
      <c r="C676" s="20"/>
      <c r="D676" s="20"/>
      <c r="E676" s="338"/>
      <c r="F676" s="20"/>
      <c r="G676" s="20"/>
      <c r="H676" s="20"/>
      <c r="I676" s="20"/>
      <c r="J676" s="20" t="s">
        <v>1061</v>
      </c>
      <c r="K676" s="20"/>
      <c r="L676" s="20"/>
      <c r="AC676" s="1357"/>
    </row>
    <row r="677">
      <c r="B677" s="20"/>
      <c r="C677" s="20"/>
      <c r="D677" s="20"/>
      <c r="E677" s="338"/>
      <c r="F677" s="20"/>
      <c r="G677" s="20"/>
      <c r="H677" s="20"/>
      <c r="I677" s="20"/>
      <c r="J677" s="20" t="s">
        <v>1061</v>
      </c>
      <c r="K677" s="20"/>
      <c r="L677" s="20"/>
      <c r="AC677" s="1357"/>
    </row>
    <row r="678">
      <c r="B678" s="20"/>
      <c r="C678" s="20"/>
      <c r="D678" s="20"/>
      <c r="E678" s="338"/>
      <c r="F678" s="20"/>
      <c r="G678" s="20"/>
      <c r="H678" s="20"/>
      <c r="I678" s="20"/>
      <c r="J678" s="20" t="s">
        <v>1061</v>
      </c>
      <c r="K678" s="20"/>
      <c r="L678" s="20"/>
      <c r="AC678" s="1357"/>
    </row>
    <row r="679">
      <c r="B679" s="20"/>
      <c r="C679" s="20"/>
      <c r="D679" s="20"/>
      <c r="E679" s="338"/>
      <c r="F679" s="20"/>
      <c r="G679" s="20"/>
      <c r="H679" s="20"/>
      <c r="I679" s="20"/>
      <c r="J679" s="20" t="s">
        <v>1061</v>
      </c>
      <c r="K679" s="20"/>
      <c r="L679" s="20"/>
      <c r="AC679" s="1357"/>
    </row>
    <row r="680">
      <c r="B680" s="20"/>
      <c r="C680" s="20"/>
      <c r="D680" s="20"/>
      <c r="E680" s="338"/>
      <c r="F680" s="20"/>
      <c r="G680" s="20"/>
      <c r="H680" s="20"/>
      <c r="I680" s="20"/>
      <c r="J680" s="20" t="s">
        <v>1061</v>
      </c>
      <c r="K680" s="20"/>
      <c r="L680" s="20"/>
      <c r="AC680" s="1357"/>
    </row>
    <row r="681">
      <c r="B681" s="20"/>
      <c r="C681" s="20"/>
      <c r="D681" s="20"/>
      <c r="E681" s="338"/>
      <c r="F681" s="20"/>
      <c r="G681" s="20"/>
      <c r="H681" s="20"/>
      <c r="I681" s="20"/>
      <c r="J681" s="20" t="s">
        <v>1061</v>
      </c>
      <c r="K681" s="20"/>
      <c r="L681" s="20"/>
      <c r="AC681" s="1357"/>
    </row>
    <row r="682">
      <c r="B682" s="20"/>
      <c r="C682" s="20"/>
      <c r="D682" s="20"/>
      <c r="E682" s="338"/>
      <c r="F682" s="20"/>
      <c r="G682" s="20"/>
      <c r="H682" s="20"/>
      <c r="I682" s="20"/>
      <c r="J682" s="20" t="s">
        <v>1061</v>
      </c>
      <c r="K682" s="20"/>
      <c r="L682" s="20"/>
      <c r="AC682" s="1357"/>
    </row>
    <row r="683">
      <c r="B683" s="20"/>
      <c r="C683" s="20"/>
      <c r="D683" s="20"/>
      <c r="E683" s="338"/>
      <c r="F683" s="20"/>
      <c r="G683" s="20"/>
      <c r="H683" s="20"/>
      <c r="I683" s="20"/>
      <c r="J683" s="20" t="s">
        <v>1061</v>
      </c>
      <c r="K683" s="20"/>
      <c r="L683" s="20"/>
      <c r="AC683" s="1357"/>
    </row>
    <row r="684">
      <c r="B684" s="20"/>
      <c r="C684" s="20"/>
      <c r="D684" s="20"/>
      <c r="E684" s="338"/>
      <c r="F684" s="20"/>
      <c r="G684" s="20"/>
      <c r="H684" s="20"/>
      <c r="I684" s="20"/>
      <c r="J684" s="20" t="s">
        <v>1061</v>
      </c>
      <c r="K684" s="20"/>
      <c r="L684" s="20"/>
      <c r="AC684" s="1357"/>
    </row>
    <row r="685">
      <c r="B685" s="20"/>
      <c r="C685" s="20"/>
      <c r="D685" s="20"/>
      <c r="E685" s="338"/>
      <c r="F685" s="20"/>
      <c r="G685" s="20"/>
      <c r="H685" s="20"/>
      <c r="I685" s="20"/>
      <c r="J685" s="20" t="s">
        <v>1061</v>
      </c>
      <c r="K685" s="20"/>
      <c r="L685" s="20"/>
      <c r="AC685" s="1357"/>
    </row>
    <row r="686">
      <c r="B686" s="20"/>
      <c r="C686" s="20"/>
      <c r="D686" s="20"/>
      <c r="E686" s="338"/>
      <c r="F686" s="20"/>
      <c r="G686" s="20"/>
      <c r="H686" s="20"/>
      <c r="I686" s="20"/>
      <c r="J686" s="20" t="s">
        <v>1061</v>
      </c>
      <c r="K686" s="20"/>
      <c r="L686" s="20"/>
      <c r="AC686" s="1357"/>
    </row>
    <row r="687">
      <c r="B687" s="20"/>
      <c r="C687" s="20"/>
      <c r="D687" s="20"/>
      <c r="E687" s="338"/>
      <c r="F687" s="20"/>
      <c r="G687" s="20"/>
      <c r="H687" s="20"/>
      <c r="I687" s="20"/>
      <c r="J687" s="20" t="s">
        <v>1061</v>
      </c>
      <c r="K687" s="20"/>
      <c r="L687" s="20"/>
      <c r="AC687" s="1357"/>
    </row>
    <row r="688">
      <c r="B688" s="20"/>
      <c r="C688" s="20"/>
      <c r="D688" s="20"/>
      <c r="E688" s="338"/>
      <c r="F688" s="20"/>
      <c r="G688" s="20"/>
      <c r="H688" s="20"/>
      <c r="I688" s="20"/>
      <c r="J688" s="20" t="s">
        <v>1061</v>
      </c>
      <c r="K688" s="20"/>
      <c r="L688" s="20"/>
      <c r="AC688" s="1357"/>
    </row>
    <row r="689">
      <c r="B689" s="20"/>
      <c r="C689" s="20"/>
      <c r="D689" s="20"/>
      <c r="E689" s="338"/>
      <c r="F689" s="20"/>
      <c r="G689" s="20"/>
      <c r="H689" s="20"/>
      <c r="I689" s="20"/>
      <c r="J689" s="20" t="s">
        <v>1061</v>
      </c>
      <c r="K689" s="20"/>
      <c r="L689" s="20"/>
      <c r="AC689" s="1357"/>
    </row>
    <row r="690">
      <c r="B690" s="20"/>
      <c r="C690" s="20"/>
      <c r="D690" s="20"/>
      <c r="E690" s="338"/>
      <c r="F690" s="20"/>
      <c r="G690" s="20"/>
      <c r="H690" s="20"/>
      <c r="I690" s="20"/>
      <c r="J690" s="20" t="s">
        <v>1061</v>
      </c>
      <c r="K690" s="20"/>
      <c r="L690" s="20"/>
      <c r="AC690" s="1357"/>
    </row>
    <row r="691">
      <c r="B691" s="20"/>
      <c r="C691" s="20"/>
      <c r="D691" s="20"/>
      <c r="E691" s="338"/>
      <c r="F691" s="20"/>
      <c r="G691" s="20"/>
      <c r="H691" s="20"/>
      <c r="I691" s="20"/>
      <c r="J691" s="20" t="s">
        <v>1061</v>
      </c>
      <c r="K691" s="20"/>
      <c r="L691" s="20"/>
      <c r="AC691" s="1357"/>
    </row>
    <row r="692">
      <c r="B692" s="20"/>
      <c r="C692" s="20"/>
      <c r="D692" s="20"/>
      <c r="E692" s="338"/>
      <c r="F692" s="20"/>
      <c r="G692" s="20"/>
      <c r="H692" s="20"/>
      <c r="I692" s="20"/>
      <c r="J692" s="20" t="s">
        <v>1061</v>
      </c>
      <c r="K692" s="20"/>
      <c r="L692" s="20"/>
      <c r="AC692" s="1357"/>
    </row>
    <row r="693">
      <c r="B693" s="20"/>
      <c r="C693" s="20"/>
      <c r="D693" s="20"/>
      <c r="E693" s="338"/>
      <c r="F693" s="20"/>
      <c r="G693" s="20"/>
      <c r="H693" s="20"/>
      <c r="I693" s="20"/>
      <c r="J693" s="20" t="s">
        <v>1061</v>
      </c>
      <c r="K693" s="20"/>
      <c r="L693" s="20"/>
      <c r="AC693" s="1357"/>
    </row>
    <row r="694">
      <c r="B694" s="20"/>
      <c r="C694" s="20"/>
      <c r="D694" s="20"/>
      <c r="E694" s="338"/>
      <c r="F694" s="20"/>
      <c r="G694" s="20"/>
      <c r="H694" s="20"/>
      <c r="I694" s="20"/>
      <c r="J694" s="20" t="s">
        <v>1061</v>
      </c>
      <c r="K694" s="20"/>
      <c r="L694" s="20"/>
      <c r="AC694" s="1357"/>
    </row>
    <row r="695">
      <c r="B695" s="20"/>
      <c r="C695" s="20"/>
      <c r="D695" s="20"/>
      <c r="E695" s="338"/>
      <c r="F695" s="20"/>
      <c r="G695" s="20"/>
      <c r="H695" s="20"/>
      <c r="I695" s="20"/>
      <c r="J695" s="20" t="s">
        <v>1061</v>
      </c>
      <c r="K695" s="20"/>
      <c r="L695" s="20"/>
      <c r="AC695" s="1357"/>
    </row>
    <row r="696">
      <c r="B696" s="20"/>
      <c r="C696" s="20"/>
      <c r="D696" s="20"/>
      <c r="E696" s="338"/>
      <c r="F696" s="20"/>
      <c r="G696" s="20"/>
      <c r="H696" s="20"/>
      <c r="I696" s="20"/>
      <c r="J696" s="20" t="s">
        <v>1061</v>
      </c>
      <c r="K696" s="20"/>
      <c r="L696" s="20"/>
      <c r="AC696" s="1357"/>
    </row>
    <row r="697">
      <c r="B697" s="20"/>
      <c r="C697" s="20"/>
      <c r="D697" s="20"/>
      <c r="E697" s="338"/>
      <c r="F697" s="20"/>
      <c r="G697" s="20"/>
      <c r="H697" s="20"/>
      <c r="I697" s="20"/>
      <c r="J697" s="20" t="s">
        <v>1061</v>
      </c>
      <c r="K697" s="20"/>
      <c r="L697" s="20"/>
      <c r="AC697" s="1357"/>
    </row>
    <row r="698">
      <c r="B698" s="20"/>
      <c r="C698" s="20"/>
      <c r="D698" s="20"/>
      <c r="E698" s="338"/>
      <c r="F698" s="20"/>
      <c r="G698" s="20"/>
      <c r="H698" s="20"/>
      <c r="I698" s="20"/>
      <c r="J698" s="20" t="s">
        <v>1061</v>
      </c>
      <c r="K698" s="20"/>
      <c r="L698" s="20"/>
      <c r="AC698" s="1357"/>
    </row>
    <row r="699">
      <c r="B699" s="20"/>
      <c r="C699" s="20"/>
      <c r="D699" s="20"/>
      <c r="E699" s="338"/>
      <c r="F699" s="20"/>
      <c r="G699" s="20"/>
      <c r="H699" s="20"/>
      <c r="I699" s="20"/>
      <c r="J699" s="20" t="s">
        <v>1061</v>
      </c>
      <c r="K699" s="20"/>
      <c r="L699" s="20"/>
      <c r="AC699" s="1357"/>
    </row>
    <row r="700">
      <c r="B700" s="20"/>
      <c r="C700" s="20"/>
      <c r="D700" s="20"/>
      <c r="E700" s="338"/>
      <c r="F700" s="20"/>
      <c r="G700" s="20"/>
      <c r="H700" s="20"/>
      <c r="I700" s="20"/>
      <c r="J700" s="20" t="s">
        <v>1061</v>
      </c>
      <c r="K700" s="20"/>
      <c r="L700" s="20"/>
      <c r="AC700" s="1357"/>
    </row>
    <row r="701">
      <c r="B701" s="20"/>
      <c r="C701" s="20"/>
      <c r="D701" s="20"/>
      <c r="E701" s="338"/>
      <c r="F701" s="20"/>
      <c r="G701" s="20"/>
      <c r="H701" s="20"/>
      <c r="I701" s="20"/>
      <c r="J701" s="20" t="s">
        <v>1061</v>
      </c>
      <c r="K701" s="20"/>
      <c r="L701" s="20"/>
      <c r="AC701" s="1357"/>
    </row>
    <row r="702">
      <c r="B702" s="20"/>
      <c r="C702" s="20"/>
      <c r="D702" s="20"/>
      <c r="E702" s="338"/>
      <c r="F702" s="20"/>
      <c r="G702" s="20"/>
      <c r="H702" s="20"/>
      <c r="I702" s="20"/>
      <c r="J702" s="20" t="s">
        <v>1061</v>
      </c>
      <c r="K702" s="20"/>
      <c r="L702" s="20"/>
      <c r="AC702" s="1357"/>
    </row>
    <row r="703">
      <c r="B703" s="20"/>
      <c r="C703" s="20"/>
      <c r="D703" s="20"/>
      <c r="E703" s="338"/>
      <c r="F703" s="20"/>
      <c r="G703" s="20"/>
      <c r="H703" s="20"/>
      <c r="I703" s="20"/>
      <c r="J703" s="20" t="s">
        <v>1061</v>
      </c>
      <c r="K703" s="20"/>
      <c r="L703" s="20"/>
      <c r="AC703" s="1357"/>
    </row>
    <row r="704">
      <c r="B704" s="20"/>
      <c r="C704" s="20"/>
      <c r="D704" s="20"/>
      <c r="E704" s="338"/>
      <c r="F704" s="20"/>
      <c r="G704" s="20"/>
      <c r="H704" s="20"/>
      <c r="I704" s="20"/>
      <c r="J704" s="20" t="s">
        <v>1061</v>
      </c>
      <c r="K704" s="20"/>
      <c r="L704" s="20"/>
      <c r="AC704" s="1357"/>
    </row>
    <row r="705">
      <c r="B705" s="20"/>
      <c r="C705" s="20"/>
      <c r="D705" s="20"/>
      <c r="E705" s="338"/>
      <c r="F705" s="20"/>
      <c r="G705" s="20"/>
      <c r="H705" s="20"/>
      <c r="I705" s="20"/>
      <c r="J705" s="20" t="s">
        <v>1061</v>
      </c>
      <c r="K705" s="20"/>
      <c r="L705" s="20"/>
      <c r="AC705" s="1357"/>
    </row>
    <row r="706">
      <c r="B706" s="20"/>
      <c r="C706" s="20"/>
      <c r="D706" s="20"/>
      <c r="E706" s="338"/>
      <c r="F706" s="20"/>
      <c r="G706" s="20"/>
      <c r="H706" s="20"/>
      <c r="I706" s="20"/>
      <c r="J706" s="20" t="s">
        <v>1061</v>
      </c>
      <c r="K706" s="20"/>
      <c r="L706" s="20"/>
      <c r="AC706" s="1357"/>
    </row>
    <row r="707">
      <c r="B707" s="20"/>
      <c r="C707" s="20"/>
      <c r="D707" s="20"/>
      <c r="E707" s="338"/>
      <c r="F707" s="20"/>
      <c r="G707" s="20"/>
      <c r="H707" s="20"/>
      <c r="I707" s="20"/>
      <c r="J707" s="20" t="s">
        <v>1061</v>
      </c>
      <c r="K707" s="20"/>
      <c r="L707" s="20"/>
      <c r="AC707" s="1357"/>
    </row>
    <row r="708">
      <c r="B708" s="20"/>
      <c r="C708" s="20"/>
      <c r="D708" s="20"/>
      <c r="E708" s="338"/>
      <c r="F708" s="20"/>
      <c r="G708" s="20"/>
      <c r="H708" s="20"/>
      <c r="I708" s="20"/>
      <c r="J708" s="20" t="s">
        <v>1061</v>
      </c>
      <c r="K708" s="20"/>
      <c r="L708" s="20"/>
      <c r="AC708" s="1357"/>
    </row>
    <row r="709">
      <c r="B709" s="20"/>
      <c r="C709" s="20"/>
      <c r="D709" s="20"/>
      <c r="E709" s="338"/>
      <c r="F709" s="20"/>
      <c r="G709" s="20"/>
      <c r="H709" s="20"/>
      <c r="I709" s="20"/>
      <c r="J709" s="20" t="s">
        <v>1061</v>
      </c>
      <c r="K709" s="20"/>
      <c r="L709" s="20"/>
      <c r="AC709" s="1357"/>
    </row>
    <row r="710">
      <c r="B710" s="20"/>
      <c r="C710" s="20"/>
      <c r="D710" s="20"/>
      <c r="E710" s="338"/>
      <c r="F710" s="20"/>
      <c r="G710" s="20"/>
      <c r="H710" s="20"/>
      <c r="I710" s="20"/>
      <c r="J710" s="20" t="s">
        <v>1061</v>
      </c>
      <c r="K710" s="20"/>
      <c r="L710" s="20"/>
      <c r="AC710" s="1357"/>
    </row>
    <row r="711">
      <c r="B711" s="20"/>
      <c r="C711" s="20"/>
      <c r="D711" s="20"/>
      <c r="E711" s="338"/>
      <c r="F711" s="20"/>
      <c r="G711" s="20"/>
      <c r="H711" s="20"/>
      <c r="I711" s="20"/>
      <c r="J711" s="20" t="s">
        <v>1061</v>
      </c>
      <c r="K711" s="20"/>
      <c r="L711" s="20"/>
      <c r="AC711" s="1357"/>
    </row>
    <row r="712">
      <c r="B712" s="20"/>
      <c r="C712" s="20"/>
      <c r="D712" s="20"/>
      <c r="E712" s="338"/>
      <c r="F712" s="20"/>
      <c r="G712" s="20"/>
      <c r="H712" s="20"/>
      <c r="I712" s="20"/>
      <c r="J712" s="20" t="s">
        <v>1061</v>
      </c>
      <c r="K712" s="20"/>
      <c r="L712" s="20"/>
      <c r="AC712" s="1357"/>
    </row>
    <row r="713">
      <c r="B713" s="20"/>
      <c r="C713" s="20"/>
      <c r="D713" s="20"/>
      <c r="E713" s="338"/>
      <c r="F713" s="20"/>
      <c r="G713" s="20"/>
      <c r="H713" s="20"/>
      <c r="I713" s="20"/>
      <c r="J713" s="20" t="s">
        <v>1061</v>
      </c>
      <c r="K713" s="20"/>
      <c r="L713" s="20"/>
      <c r="AC713" s="1357"/>
    </row>
    <row r="714">
      <c r="B714" s="20"/>
      <c r="C714" s="20"/>
      <c r="D714" s="20"/>
      <c r="E714" s="338"/>
      <c r="F714" s="20"/>
      <c r="G714" s="20"/>
      <c r="H714" s="20"/>
      <c r="I714" s="20"/>
      <c r="J714" s="20" t="s">
        <v>1061</v>
      </c>
      <c r="K714" s="20"/>
      <c r="L714" s="20"/>
      <c r="AC714" s="1357"/>
    </row>
    <row r="715">
      <c r="B715" s="20"/>
      <c r="C715" s="20"/>
      <c r="D715" s="20"/>
      <c r="E715" s="338"/>
      <c r="F715" s="20"/>
      <c r="G715" s="20"/>
      <c r="H715" s="20"/>
      <c r="I715" s="20"/>
      <c r="J715" s="20" t="s">
        <v>1061</v>
      </c>
      <c r="K715" s="20"/>
      <c r="L715" s="20"/>
      <c r="AC715" s="1357"/>
    </row>
    <row r="716">
      <c r="B716" s="20"/>
      <c r="C716" s="20"/>
      <c r="D716" s="20"/>
      <c r="E716" s="338"/>
      <c r="F716" s="20"/>
      <c r="G716" s="20"/>
      <c r="H716" s="20"/>
      <c r="I716" s="20"/>
      <c r="J716" s="20" t="s">
        <v>1061</v>
      </c>
      <c r="K716" s="20"/>
      <c r="L716" s="20"/>
      <c r="AC716" s="1357"/>
    </row>
    <row r="717">
      <c r="B717" s="20"/>
      <c r="C717" s="20"/>
      <c r="D717" s="20"/>
      <c r="E717" s="338"/>
      <c r="F717" s="20"/>
      <c r="G717" s="20"/>
      <c r="H717" s="20"/>
      <c r="I717" s="20"/>
      <c r="J717" s="20" t="s">
        <v>1061</v>
      </c>
      <c r="K717" s="20"/>
      <c r="L717" s="20"/>
      <c r="AC717" s="1357"/>
    </row>
    <row r="718">
      <c r="B718" s="20"/>
      <c r="C718" s="20"/>
      <c r="D718" s="20"/>
      <c r="E718" s="338"/>
      <c r="F718" s="20"/>
      <c r="G718" s="20"/>
      <c r="H718" s="20"/>
      <c r="I718" s="20"/>
      <c r="J718" s="20" t="s">
        <v>1061</v>
      </c>
      <c r="K718" s="20"/>
      <c r="L718" s="20"/>
      <c r="AC718" s="1357"/>
    </row>
    <row r="719">
      <c r="B719" s="20"/>
      <c r="C719" s="20"/>
      <c r="D719" s="20"/>
      <c r="E719" s="338"/>
      <c r="F719" s="20"/>
      <c r="G719" s="20"/>
      <c r="H719" s="20"/>
      <c r="I719" s="20"/>
      <c r="J719" s="20" t="s">
        <v>1061</v>
      </c>
      <c r="K719" s="20"/>
      <c r="L719" s="20"/>
      <c r="AC719" s="1357"/>
    </row>
    <row r="720">
      <c r="B720" s="20"/>
      <c r="C720" s="20"/>
      <c r="D720" s="20"/>
      <c r="E720" s="338"/>
      <c r="F720" s="20"/>
      <c r="G720" s="20"/>
      <c r="H720" s="20"/>
      <c r="I720" s="20"/>
      <c r="J720" s="20" t="s">
        <v>1061</v>
      </c>
      <c r="K720" s="20"/>
      <c r="L720" s="20"/>
      <c r="AC720" s="1357"/>
    </row>
    <row r="721">
      <c r="B721" s="20"/>
      <c r="C721" s="20"/>
      <c r="D721" s="20"/>
      <c r="E721" s="338"/>
      <c r="F721" s="20"/>
      <c r="G721" s="20"/>
      <c r="H721" s="20"/>
      <c r="I721" s="20"/>
      <c r="J721" s="20" t="s">
        <v>1061</v>
      </c>
      <c r="K721" s="20"/>
      <c r="L721" s="20"/>
      <c r="AC721" s="1357"/>
    </row>
    <row r="722">
      <c r="B722" s="20"/>
      <c r="C722" s="20"/>
      <c r="D722" s="20"/>
      <c r="E722" s="338"/>
      <c r="F722" s="20"/>
      <c r="G722" s="20"/>
      <c r="H722" s="20"/>
      <c r="I722" s="20"/>
      <c r="J722" s="20" t="s">
        <v>1061</v>
      </c>
      <c r="K722" s="20"/>
      <c r="L722" s="20"/>
      <c r="AC722" s="1357"/>
    </row>
    <row r="723">
      <c r="B723" s="20"/>
      <c r="C723" s="20"/>
      <c r="D723" s="20"/>
      <c r="E723" s="338"/>
      <c r="F723" s="20"/>
      <c r="G723" s="20"/>
      <c r="H723" s="20"/>
      <c r="I723" s="20"/>
      <c r="J723" s="20" t="s">
        <v>1061</v>
      </c>
      <c r="K723" s="20"/>
      <c r="L723" s="20"/>
      <c r="AC723" s="1357"/>
    </row>
    <row r="724">
      <c r="B724" s="20"/>
      <c r="C724" s="20"/>
      <c r="D724" s="20"/>
      <c r="E724" s="338"/>
      <c r="F724" s="20"/>
      <c r="G724" s="20"/>
      <c r="H724" s="20"/>
      <c r="I724" s="20"/>
      <c r="J724" s="20" t="s">
        <v>1061</v>
      </c>
      <c r="K724" s="20"/>
      <c r="L724" s="20"/>
      <c r="AC724" s="1357"/>
    </row>
    <row r="725">
      <c r="B725" s="20"/>
      <c r="C725" s="20"/>
      <c r="D725" s="20"/>
      <c r="E725" s="338"/>
      <c r="F725" s="20"/>
      <c r="G725" s="20"/>
      <c r="H725" s="20"/>
      <c r="I725" s="20"/>
      <c r="J725" s="20" t="s">
        <v>1061</v>
      </c>
      <c r="K725" s="20"/>
      <c r="L725" s="20"/>
      <c r="AC725" s="1357"/>
    </row>
    <row r="726">
      <c r="B726" s="20"/>
      <c r="C726" s="20"/>
      <c r="D726" s="20"/>
      <c r="E726" s="338"/>
      <c r="F726" s="20"/>
      <c r="G726" s="20"/>
      <c r="H726" s="20"/>
      <c r="I726" s="20"/>
      <c r="J726" s="20" t="s">
        <v>1061</v>
      </c>
      <c r="K726" s="20"/>
      <c r="L726" s="20"/>
      <c r="AC726" s="1357"/>
    </row>
    <row r="727">
      <c r="B727" s="20"/>
      <c r="C727" s="20"/>
      <c r="D727" s="20"/>
      <c r="E727" s="338"/>
      <c r="F727" s="20"/>
      <c r="G727" s="20"/>
      <c r="H727" s="20"/>
      <c r="I727" s="20"/>
      <c r="J727" s="20" t="s">
        <v>1061</v>
      </c>
      <c r="K727" s="20"/>
      <c r="L727" s="20"/>
      <c r="AC727" s="1357"/>
    </row>
    <row r="728">
      <c r="B728" s="20"/>
      <c r="C728" s="20"/>
      <c r="D728" s="20"/>
      <c r="E728" s="338"/>
      <c r="F728" s="20"/>
      <c r="G728" s="20"/>
      <c r="H728" s="20"/>
      <c r="I728" s="20"/>
      <c r="J728" s="20" t="s">
        <v>1061</v>
      </c>
      <c r="K728" s="20"/>
      <c r="L728" s="20"/>
      <c r="AC728" s="1357"/>
    </row>
    <row r="729">
      <c r="B729" s="20"/>
      <c r="C729" s="20"/>
      <c r="D729" s="20"/>
      <c r="E729" s="338"/>
      <c r="F729" s="20"/>
      <c r="G729" s="20"/>
      <c r="H729" s="20"/>
      <c r="I729" s="20"/>
      <c r="J729" s="20" t="s">
        <v>1061</v>
      </c>
      <c r="K729" s="20"/>
      <c r="L729" s="20"/>
      <c r="AC729" s="1357"/>
    </row>
    <row r="730">
      <c r="B730" s="20"/>
      <c r="C730" s="20"/>
      <c r="D730" s="20"/>
      <c r="E730" s="338"/>
      <c r="F730" s="20"/>
      <c r="G730" s="20"/>
      <c r="H730" s="20"/>
      <c r="I730" s="20"/>
      <c r="J730" s="20" t="s">
        <v>1061</v>
      </c>
      <c r="K730" s="20"/>
      <c r="L730" s="20"/>
      <c r="AC730" s="1357"/>
    </row>
    <row r="731">
      <c r="B731" s="20"/>
      <c r="C731" s="20"/>
      <c r="D731" s="20"/>
      <c r="E731" s="338"/>
      <c r="F731" s="20"/>
      <c r="G731" s="20"/>
      <c r="H731" s="20"/>
      <c r="I731" s="20"/>
      <c r="J731" s="20" t="s">
        <v>1061</v>
      </c>
      <c r="K731" s="20"/>
      <c r="L731" s="20"/>
      <c r="AC731" s="1357"/>
    </row>
    <row r="732">
      <c r="B732" s="20"/>
      <c r="C732" s="20"/>
      <c r="D732" s="20"/>
      <c r="E732" s="338"/>
      <c r="F732" s="20"/>
      <c r="G732" s="20"/>
      <c r="H732" s="20"/>
      <c r="I732" s="20"/>
      <c r="J732" s="20" t="s">
        <v>1061</v>
      </c>
      <c r="K732" s="20"/>
      <c r="L732" s="20"/>
      <c r="AC732" s="1357"/>
    </row>
    <row r="733">
      <c r="B733" s="20"/>
      <c r="C733" s="20"/>
      <c r="D733" s="20"/>
      <c r="E733" s="338"/>
      <c r="F733" s="20"/>
      <c r="G733" s="20"/>
      <c r="H733" s="20"/>
      <c r="I733" s="20"/>
      <c r="J733" s="20" t="s">
        <v>1061</v>
      </c>
      <c r="K733" s="20"/>
      <c r="L733" s="20"/>
      <c r="AC733" s="1357"/>
    </row>
    <row r="734">
      <c r="B734" s="20"/>
      <c r="C734" s="20"/>
      <c r="D734" s="20"/>
      <c r="E734" s="338"/>
      <c r="F734" s="20"/>
      <c r="G734" s="20"/>
      <c r="H734" s="20"/>
      <c r="I734" s="20"/>
      <c r="J734" s="20" t="s">
        <v>1061</v>
      </c>
      <c r="K734" s="20"/>
      <c r="L734" s="20"/>
      <c r="AC734" s="1357"/>
    </row>
    <row r="735">
      <c r="B735" s="20"/>
      <c r="C735" s="20"/>
      <c r="D735" s="20"/>
      <c r="E735" s="338"/>
      <c r="F735" s="20"/>
      <c r="G735" s="20"/>
      <c r="H735" s="20"/>
      <c r="I735" s="20"/>
      <c r="J735" s="20" t="s">
        <v>1061</v>
      </c>
      <c r="K735" s="20"/>
      <c r="L735" s="20"/>
      <c r="AC735" s="1357"/>
    </row>
    <row r="736">
      <c r="B736" s="20"/>
      <c r="C736" s="20"/>
      <c r="D736" s="20"/>
      <c r="E736" s="338"/>
      <c r="F736" s="20"/>
      <c r="G736" s="20"/>
      <c r="H736" s="20"/>
      <c r="I736" s="20"/>
      <c r="J736" s="20" t="s">
        <v>1061</v>
      </c>
      <c r="K736" s="20"/>
      <c r="L736" s="20"/>
      <c r="AC736" s="1357"/>
    </row>
    <row r="737">
      <c r="B737" s="20"/>
      <c r="C737" s="20"/>
      <c r="D737" s="20"/>
      <c r="E737" s="338"/>
      <c r="F737" s="20"/>
      <c r="G737" s="20"/>
      <c r="H737" s="20"/>
      <c r="I737" s="20"/>
      <c r="J737" s="20" t="s">
        <v>1061</v>
      </c>
      <c r="K737" s="20"/>
      <c r="L737" s="20"/>
      <c r="AC737" s="1357"/>
    </row>
    <row r="738">
      <c r="B738" s="20"/>
      <c r="C738" s="20"/>
      <c r="D738" s="20"/>
      <c r="E738" s="338"/>
      <c r="F738" s="20"/>
      <c r="G738" s="20"/>
      <c r="H738" s="20"/>
      <c r="I738" s="20"/>
      <c r="J738" s="20" t="s">
        <v>1061</v>
      </c>
      <c r="K738" s="20"/>
      <c r="L738" s="20"/>
      <c r="AC738" s="1357"/>
    </row>
    <row r="739">
      <c r="B739" s="20"/>
      <c r="C739" s="20"/>
      <c r="D739" s="20"/>
      <c r="E739" s="338"/>
      <c r="F739" s="20"/>
      <c r="G739" s="20"/>
      <c r="H739" s="20"/>
      <c r="I739" s="20"/>
      <c r="J739" s="20" t="s">
        <v>1061</v>
      </c>
      <c r="K739" s="20"/>
      <c r="L739" s="20"/>
      <c r="AC739" s="1357"/>
    </row>
    <row r="740">
      <c r="B740" s="20"/>
      <c r="C740" s="20"/>
      <c r="D740" s="20"/>
      <c r="E740" s="338"/>
      <c r="F740" s="20"/>
      <c r="G740" s="20"/>
      <c r="H740" s="20"/>
      <c r="I740" s="20"/>
      <c r="J740" s="20" t="s">
        <v>1061</v>
      </c>
      <c r="K740" s="20"/>
      <c r="L740" s="20"/>
      <c r="AC740" s="1357"/>
    </row>
    <row r="741">
      <c r="B741" s="20"/>
      <c r="C741" s="20"/>
      <c r="D741" s="20"/>
      <c r="E741" s="338"/>
      <c r="F741" s="20"/>
      <c r="G741" s="20"/>
      <c r="H741" s="20"/>
      <c r="I741" s="20"/>
      <c r="J741" s="20" t="s">
        <v>1061</v>
      </c>
      <c r="K741" s="20"/>
      <c r="L741" s="20"/>
      <c r="AC741" s="1357"/>
    </row>
    <row r="742">
      <c r="B742" s="20"/>
      <c r="C742" s="20"/>
      <c r="D742" s="20"/>
      <c r="E742" s="338"/>
      <c r="F742" s="20"/>
      <c r="G742" s="20"/>
      <c r="H742" s="20"/>
      <c r="I742" s="20"/>
      <c r="J742" s="20" t="s">
        <v>1061</v>
      </c>
      <c r="K742" s="20"/>
      <c r="L742" s="20"/>
      <c r="AC742" s="1357"/>
    </row>
    <row r="743">
      <c r="B743" s="20"/>
      <c r="C743" s="20"/>
      <c r="D743" s="20"/>
      <c r="E743" s="338"/>
      <c r="F743" s="20"/>
      <c r="G743" s="20"/>
      <c r="H743" s="20"/>
      <c r="I743" s="20"/>
      <c r="J743" s="20" t="s">
        <v>1061</v>
      </c>
      <c r="K743" s="20"/>
      <c r="L743" s="20"/>
      <c r="AC743" s="1357"/>
    </row>
    <row r="744">
      <c r="B744" s="20"/>
      <c r="C744" s="20"/>
      <c r="D744" s="20"/>
      <c r="E744" s="338"/>
      <c r="F744" s="20"/>
      <c r="G744" s="20"/>
      <c r="H744" s="20"/>
      <c r="I744" s="20"/>
      <c r="J744" s="20" t="s">
        <v>1061</v>
      </c>
      <c r="K744" s="20"/>
      <c r="L744" s="20"/>
      <c r="AC744" s="1357"/>
    </row>
    <row r="745">
      <c r="B745" s="20"/>
      <c r="C745" s="20"/>
      <c r="D745" s="20"/>
      <c r="E745" s="338"/>
      <c r="F745" s="20"/>
      <c r="G745" s="20"/>
      <c r="H745" s="20"/>
      <c r="I745" s="20"/>
      <c r="J745" s="20" t="s">
        <v>1061</v>
      </c>
      <c r="K745" s="20"/>
      <c r="L745" s="20"/>
      <c r="AC745" s="1357"/>
    </row>
    <row r="746">
      <c r="B746" s="20"/>
      <c r="C746" s="20"/>
      <c r="D746" s="20"/>
      <c r="E746" s="338"/>
      <c r="F746" s="20"/>
      <c r="G746" s="20"/>
      <c r="H746" s="20"/>
      <c r="I746" s="20"/>
      <c r="J746" s="20" t="s">
        <v>1061</v>
      </c>
      <c r="K746" s="20"/>
      <c r="L746" s="20"/>
      <c r="AC746" s="1357"/>
    </row>
    <row r="747">
      <c r="B747" s="20"/>
      <c r="C747" s="20"/>
      <c r="D747" s="20"/>
      <c r="E747" s="338"/>
      <c r="F747" s="20"/>
      <c r="G747" s="20"/>
      <c r="H747" s="20"/>
      <c r="I747" s="20"/>
      <c r="J747" s="20" t="s">
        <v>1061</v>
      </c>
      <c r="K747" s="20"/>
      <c r="L747" s="20"/>
      <c r="AC747" s="1357"/>
    </row>
    <row r="748">
      <c r="B748" s="20"/>
      <c r="C748" s="20"/>
      <c r="D748" s="20"/>
      <c r="E748" s="338"/>
      <c r="F748" s="20"/>
      <c r="G748" s="20"/>
      <c r="H748" s="20"/>
      <c r="I748" s="20"/>
      <c r="J748" s="20" t="s">
        <v>1061</v>
      </c>
      <c r="K748" s="20"/>
      <c r="L748" s="20"/>
      <c r="AC748" s="1357"/>
    </row>
    <row r="749">
      <c r="B749" s="20"/>
      <c r="C749" s="20"/>
      <c r="D749" s="20"/>
      <c r="E749" s="338"/>
      <c r="F749" s="20"/>
      <c r="G749" s="20"/>
      <c r="H749" s="20"/>
      <c r="I749" s="20"/>
      <c r="J749" s="20" t="s">
        <v>1061</v>
      </c>
      <c r="K749" s="20"/>
      <c r="L749" s="20"/>
      <c r="AC749" s="1357"/>
    </row>
    <row r="750">
      <c r="B750" s="20"/>
      <c r="C750" s="20"/>
      <c r="D750" s="20"/>
      <c r="E750" s="338"/>
      <c r="F750" s="20"/>
      <c r="G750" s="20"/>
      <c r="H750" s="20"/>
      <c r="I750" s="20"/>
      <c r="J750" s="20" t="s">
        <v>1061</v>
      </c>
      <c r="K750" s="20"/>
      <c r="L750" s="20"/>
      <c r="AC750" s="1357"/>
    </row>
    <row r="751">
      <c r="B751" s="20"/>
      <c r="C751" s="20"/>
      <c r="D751" s="20"/>
      <c r="E751" s="338"/>
      <c r="F751" s="20"/>
      <c r="G751" s="20"/>
      <c r="H751" s="20"/>
      <c r="I751" s="20"/>
      <c r="J751" s="20" t="s">
        <v>1061</v>
      </c>
      <c r="K751" s="20"/>
      <c r="L751" s="20"/>
      <c r="AC751" s="1357"/>
    </row>
    <row r="752">
      <c r="B752" s="20"/>
      <c r="C752" s="20"/>
      <c r="D752" s="20"/>
      <c r="E752" s="338"/>
      <c r="F752" s="20"/>
      <c r="G752" s="20"/>
      <c r="H752" s="20"/>
      <c r="I752" s="20"/>
      <c r="J752" s="20" t="s">
        <v>1061</v>
      </c>
      <c r="K752" s="20"/>
      <c r="L752" s="20"/>
      <c r="AC752" s="1357"/>
    </row>
    <row r="753">
      <c r="B753" s="20"/>
      <c r="C753" s="20"/>
      <c r="D753" s="20"/>
      <c r="E753" s="338"/>
      <c r="F753" s="20"/>
      <c r="G753" s="20"/>
      <c r="H753" s="20"/>
      <c r="I753" s="20"/>
      <c r="J753" s="20" t="s">
        <v>1061</v>
      </c>
      <c r="K753" s="20"/>
      <c r="L753" s="20"/>
      <c r="AC753" s="1357"/>
    </row>
    <row r="754">
      <c r="B754" s="20"/>
      <c r="C754" s="20"/>
      <c r="D754" s="20"/>
      <c r="E754" s="338"/>
      <c r="F754" s="20"/>
      <c r="G754" s="20"/>
      <c r="H754" s="20"/>
      <c r="I754" s="20"/>
      <c r="J754" s="20" t="s">
        <v>1061</v>
      </c>
      <c r="K754" s="20"/>
      <c r="L754" s="20"/>
      <c r="AC754" s="1357"/>
    </row>
    <row r="755">
      <c r="B755" s="20"/>
      <c r="C755" s="20"/>
      <c r="D755" s="20"/>
      <c r="E755" s="338"/>
      <c r="F755" s="20"/>
      <c r="G755" s="20"/>
      <c r="H755" s="20"/>
      <c r="I755" s="20"/>
      <c r="J755" s="20" t="s">
        <v>1061</v>
      </c>
      <c r="K755" s="20"/>
      <c r="L755" s="20"/>
      <c r="AC755" s="1357"/>
    </row>
    <row r="756">
      <c r="B756" s="20"/>
      <c r="C756" s="20"/>
      <c r="D756" s="20"/>
      <c r="E756" s="338"/>
      <c r="F756" s="20"/>
      <c r="G756" s="20"/>
      <c r="H756" s="20"/>
      <c r="I756" s="20"/>
      <c r="J756" s="20" t="s">
        <v>1061</v>
      </c>
      <c r="K756" s="20"/>
      <c r="L756" s="20"/>
      <c r="AC756" s="1357"/>
    </row>
    <row r="757">
      <c r="B757" s="20"/>
      <c r="C757" s="20"/>
      <c r="D757" s="20"/>
      <c r="E757" s="338"/>
      <c r="F757" s="20"/>
      <c r="G757" s="20"/>
      <c r="H757" s="20"/>
      <c r="I757" s="20"/>
      <c r="J757" s="20" t="s">
        <v>1061</v>
      </c>
      <c r="K757" s="20"/>
      <c r="L757" s="20"/>
      <c r="AC757" s="1357"/>
    </row>
    <row r="758">
      <c r="B758" s="20"/>
      <c r="C758" s="20"/>
      <c r="D758" s="20"/>
      <c r="E758" s="338"/>
      <c r="F758" s="20"/>
      <c r="G758" s="20"/>
      <c r="H758" s="20"/>
      <c r="I758" s="20"/>
      <c r="J758" s="20" t="s">
        <v>1061</v>
      </c>
      <c r="K758" s="20"/>
      <c r="L758" s="20"/>
      <c r="AC758" s="1357"/>
    </row>
    <row r="759">
      <c r="B759" s="20"/>
      <c r="C759" s="20"/>
      <c r="D759" s="20"/>
      <c r="E759" s="338"/>
      <c r="F759" s="20"/>
      <c r="G759" s="20"/>
      <c r="H759" s="20"/>
      <c r="I759" s="20"/>
      <c r="J759" s="20" t="s">
        <v>1061</v>
      </c>
      <c r="K759" s="20"/>
      <c r="L759" s="20"/>
      <c r="AC759" s="1357"/>
    </row>
    <row r="760">
      <c r="B760" s="20"/>
      <c r="C760" s="20"/>
      <c r="D760" s="20"/>
      <c r="E760" s="338"/>
      <c r="F760" s="20"/>
      <c r="G760" s="20"/>
      <c r="H760" s="20"/>
      <c r="I760" s="20"/>
      <c r="J760" s="20" t="s">
        <v>1061</v>
      </c>
      <c r="K760" s="20"/>
      <c r="L760" s="20"/>
      <c r="AC760" s="1357"/>
    </row>
    <row r="761">
      <c r="B761" s="20"/>
      <c r="C761" s="20"/>
      <c r="D761" s="20"/>
      <c r="E761" s="338"/>
      <c r="F761" s="20"/>
      <c r="G761" s="20"/>
      <c r="H761" s="20"/>
      <c r="I761" s="20"/>
      <c r="J761" s="20" t="s">
        <v>1061</v>
      </c>
      <c r="K761" s="20"/>
      <c r="L761" s="20"/>
      <c r="AC761" s="1357"/>
    </row>
    <row r="762">
      <c r="B762" s="20"/>
      <c r="C762" s="20"/>
      <c r="D762" s="20"/>
      <c r="E762" s="338"/>
      <c r="F762" s="20"/>
      <c r="G762" s="20"/>
      <c r="H762" s="20"/>
      <c r="I762" s="20"/>
      <c r="J762" s="20" t="s">
        <v>1061</v>
      </c>
      <c r="K762" s="20"/>
      <c r="L762" s="20"/>
      <c r="AC762" s="1357"/>
    </row>
    <row r="763">
      <c r="B763" s="20"/>
      <c r="C763" s="20"/>
      <c r="D763" s="20"/>
      <c r="E763" s="338"/>
      <c r="F763" s="20"/>
      <c r="G763" s="20"/>
      <c r="H763" s="20"/>
      <c r="I763" s="20"/>
      <c r="J763" s="20" t="s">
        <v>1061</v>
      </c>
      <c r="K763" s="20"/>
      <c r="L763" s="20"/>
      <c r="AC763" s="1357"/>
    </row>
    <row r="764">
      <c r="B764" s="20"/>
      <c r="C764" s="20"/>
      <c r="D764" s="20"/>
      <c r="E764" s="338"/>
      <c r="F764" s="20"/>
      <c r="G764" s="20"/>
      <c r="H764" s="20"/>
      <c r="I764" s="20"/>
      <c r="J764" s="20" t="s">
        <v>1061</v>
      </c>
      <c r="K764" s="20"/>
      <c r="L764" s="20"/>
      <c r="AC764" s="1357"/>
    </row>
    <row r="765">
      <c r="B765" s="20"/>
      <c r="C765" s="20"/>
      <c r="D765" s="20"/>
      <c r="E765" s="338"/>
      <c r="F765" s="20"/>
      <c r="G765" s="20"/>
      <c r="H765" s="20"/>
      <c r="I765" s="20"/>
      <c r="J765" s="20" t="s">
        <v>1061</v>
      </c>
      <c r="K765" s="20"/>
      <c r="L765" s="20"/>
      <c r="AC765" s="1357"/>
    </row>
    <row r="766">
      <c r="B766" s="20"/>
      <c r="C766" s="20"/>
      <c r="D766" s="20"/>
      <c r="E766" s="338"/>
      <c r="F766" s="20"/>
      <c r="G766" s="20"/>
      <c r="H766" s="20"/>
      <c r="I766" s="20"/>
      <c r="J766" s="20" t="s">
        <v>1061</v>
      </c>
      <c r="K766" s="20"/>
      <c r="L766" s="20"/>
      <c r="AC766" s="1357"/>
    </row>
    <row r="767">
      <c r="B767" s="20"/>
      <c r="C767" s="20"/>
      <c r="D767" s="20"/>
      <c r="E767" s="338"/>
      <c r="F767" s="20"/>
      <c r="G767" s="20"/>
      <c r="H767" s="20"/>
      <c r="I767" s="20"/>
      <c r="J767" s="20" t="s">
        <v>1061</v>
      </c>
      <c r="K767" s="20"/>
      <c r="L767" s="20"/>
      <c r="AC767" s="1357"/>
    </row>
    <row r="768">
      <c r="B768" s="20"/>
      <c r="C768" s="20"/>
      <c r="D768" s="20"/>
      <c r="E768" s="338"/>
      <c r="F768" s="20"/>
      <c r="G768" s="20"/>
      <c r="H768" s="20"/>
      <c r="I768" s="20"/>
      <c r="J768" s="20" t="s">
        <v>1061</v>
      </c>
      <c r="K768" s="20"/>
      <c r="L768" s="20"/>
      <c r="AC768" s="1357"/>
    </row>
    <row r="769">
      <c r="B769" s="20"/>
      <c r="C769" s="20"/>
      <c r="D769" s="20"/>
      <c r="E769" s="338"/>
      <c r="F769" s="20"/>
      <c r="G769" s="20"/>
      <c r="H769" s="20"/>
      <c r="I769" s="20"/>
      <c r="J769" s="20" t="s">
        <v>1061</v>
      </c>
      <c r="K769" s="20"/>
      <c r="L769" s="20"/>
      <c r="AC769" s="1357"/>
    </row>
    <row r="770">
      <c r="B770" s="20"/>
      <c r="C770" s="20"/>
      <c r="D770" s="20"/>
      <c r="E770" s="338"/>
      <c r="F770" s="20"/>
      <c r="G770" s="20"/>
      <c r="H770" s="20"/>
      <c r="I770" s="20"/>
      <c r="J770" s="20" t="s">
        <v>1061</v>
      </c>
      <c r="K770" s="20"/>
      <c r="L770" s="20"/>
      <c r="AC770" s="1357"/>
    </row>
    <row r="771">
      <c r="B771" s="20"/>
      <c r="C771" s="20"/>
      <c r="D771" s="20"/>
      <c r="E771" s="338"/>
      <c r="F771" s="20"/>
      <c r="G771" s="20"/>
      <c r="H771" s="20"/>
      <c r="I771" s="20"/>
      <c r="J771" s="20" t="s">
        <v>1061</v>
      </c>
      <c r="K771" s="20"/>
      <c r="L771" s="20"/>
      <c r="AC771" s="1357"/>
    </row>
    <row r="772">
      <c r="B772" s="20"/>
      <c r="C772" s="20"/>
      <c r="D772" s="20"/>
      <c r="E772" s="338"/>
      <c r="F772" s="20"/>
      <c r="G772" s="20"/>
      <c r="H772" s="20"/>
      <c r="I772" s="20"/>
      <c r="J772" s="20" t="s">
        <v>1061</v>
      </c>
      <c r="K772" s="20"/>
      <c r="L772" s="20"/>
      <c r="AC772" s="1357"/>
    </row>
    <row r="773">
      <c r="B773" s="20"/>
      <c r="C773" s="20"/>
      <c r="D773" s="20"/>
      <c r="E773" s="338"/>
      <c r="F773" s="20"/>
      <c r="G773" s="20"/>
      <c r="H773" s="20"/>
      <c r="I773" s="20"/>
      <c r="J773" s="20" t="s">
        <v>1061</v>
      </c>
      <c r="K773" s="20"/>
      <c r="L773" s="20"/>
      <c r="AC773" s="1357"/>
    </row>
    <row r="774">
      <c r="B774" s="20"/>
      <c r="C774" s="20"/>
      <c r="D774" s="20"/>
      <c r="E774" s="338"/>
      <c r="F774" s="20"/>
      <c r="G774" s="20"/>
      <c r="H774" s="20"/>
      <c r="I774" s="20"/>
      <c r="J774" s="20" t="s">
        <v>1061</v>
      </c>
      <c r="K774" s="20"/>
      <c r="L774" s="20"/>
      <c r="AC774" s="1357"/>
    </row>
    <row r="775">
      <c r="B775" s="20"/>
      <c r="C775" s="20"/>
      <c r="D775" s="20"/>
      <c r="E775" s="338"/>
      <c r="F775" s="20"/>
      <c r="G775" s="20"/>
      <c r="H775" s="20"/>
      <c r="I775" s="20"/>
      <c r="J775" s="20" t="s">
        <v>1061</v>
      </c>
      <c r="K775" s="20"/>
      <c r="L775" s="20"/>
      <c r="AC775" s="1357"/>
    </row>
    <row r="776">
      <c r="B776" s="20"/>
      <c r="C776" s="20"/>
      <c r="D776" s="20"/>
      <c r="E776" s="338"/>
      <c r="F776" s="20"/>
      <c r="G776" s="20"/>
      <c r="H776" s="20"/>
      <c r="I776" s="20"/>
      <c r="J776" s="20" t="s">
        <v>1061</v>
      </c>
      <c r="K776" s="20"/>
      <c r="L776" s="20"/>
      <c r="AC776" s="1357"/>
    </row>
    <row r="777">
      <c r="B777" s="20"/>
      <c r="C777" s="20"/>
      <c r="D777" s="20"/>
      <c r="E777" s="338"/>
      <c r="F777" s="20"/>
      <c r="G777" s="20"/>
      <c r="H777" s="20"/>
      <c r="I777" s="20"/>
      <c r="J777" s="20" t="s">
        <v>1061</v>
      </c>
      <c r="K777" s="20"/>
      <c r="L777" s="20"/>
      <c r="AC777" s="1357"/>
    </row>
    <row r="778">
      <c r="B778" s="20"/>
      <c r="C778" s="20"/>
      <c r="D778" s="20"/>
      <c r="E778" s="338"/>
      <c r="F778" s="20"/>
      <c r="G778" s="20"/>
      <c r="H778" s="20"/>
      <c r="I778" s="20"/>
      <c r="J778" s="20" t="s">
        <v>1061</v>
      </c>
      <c r="K778" s="20"/>
      <c r="L778" s="20"/>
      <c r="AC778" s="1357"/>
    </row>
    <row r="779">
      <c r="B779" s="20"/>
      <c r="C779" s="20"/>
      <c r="D779" s="20"/>
      <c r="E779" s="338"/>
      <c r="F779" s="20"/>
      <c r="G779" s="20"/>
      <c r="H779" s="20"/>
      <c r="I779" s="20"/>
      <c r="J779" s="20" t="s">
        <v>1061</v>
      </c>
      <c r="K779" s="20"/>
      <c r="L779" s="20"/>
      <c r="AC779" s="1357"/>
    </row>
    <row r="780">
      <c r="B780" s="20"/>
      <c r="C780" s="20"/>
      <c r="D780" s="20"/>
      <c r="E780" s="338"/>
      <c r="F780" s="20"/>
      <c r="G780" s="20"/>
      <c r="H780" s="20"/>
      <c r="I780" s="20"/>
      <c r="J780" s="20" t="s">
        <v>1061</v>
      </c>
      <c r="K780" s="20"/>
      <c r="L780" s="20"/>
      <c r="AC780" s="1357"/>
    </row>
    <row r="781">
      <c r="B781" s="20"/>
      <c r="C781" s="20"/>
      <c r="D781" s="20"/>
      <c r="E781" s="338"/>
      <c r="F781" s="20"/>
      <c r="G781" s="20"/>
      <c r="H781" s="20"/>
      <c r="I781" s="20"/>
      <c r="J781" s="20" t="s">
        <v>1061</v>
      </c>
      <c r="K781" s="20"/>
      <c r="L781" s="20"/>
      <c r="AC781" s="1357"/>
    </row>
    <row r="782">
      <c r="B782" s="20"/>
      <c r="C782" s="20"/>
      <c r="D782" s="20"/>
      <c r="E782" s="338"/>
      <c r="F782" s="20"/>
      <c r="G782" s="20"/>
      <c r="H782" s="20"/>
      <c r="I782" s="20"/>
      <c r="J782" s="20" t="s">
        <v>1061</v>
      </c>
      <c r="K782" s="20"/>
      <c r="L782" s="20"/>
      <c r="AC782" s="1357"/>
    </row>
    <row r="783">
      <c r="B783" s="20"/>
      <c r="C783" s="20"/>
      <c r="D783" s="20"/>
      <c r="E783" s="338"/>
      <c r="F783" s="20"/>
      <c r="G783" s="20"/>
      <c r="H783" s="20"/>
      <c r="I783" s="20"/>
      <c r="J783" s="20" t="s">
        <v>1061</v>
      </c>
      <c r="K783" s="20"/>
      <c r="L783" s="20"/>
      <c r="AC783" s="1357"/>
    </row>
    <row r="784">
      <c r="B784" s="20"/>
      <c r="C784" s="20"/>
      <c r="D784" s="20"/>
      <c r="E784" s="338"/>
      <c r="F784" s="20"/>
      <c r="G784" s="20"/>
      <c r="H784" s="20"/>
      <c r="I784" s="20"/>
      <c r="J784" s="20" t="s">
        <v>1061</v>
      </c>
      <c r="K784" s="20"/>
      <c r="L784" s="20"/>
      <c r="AC784" s="1357"/>
    </row>
    <row r="785">
      <c r="B785" s="20"/>
      <c r="C785" s="20"/>
      <c r="D785" s="20"/>
      <c r="E785" s="338"/>
      <c r="F785" s="20"/>
      <c r="G785" s="20"/>
      <c r="H785" s="20"/>
      <c r="I785" s="20"/>
      <c r="J785" s="20" t="s">
        <v>1061</v>
      </c>
      <c r="K785" s="20"/>
      <c r="L785" s="20"/>
      <c r="AC785" s="1357"/>
    </row>
    <row r="786">
      <c r="B786" s="20"/>
      <c r="C786" s="20"/>
      <c r="D786" s="20"/>
      <c r="E786" s="338"/>
      <c r="F786" s="20"/>
      <c r="G786" s="20"/>
      <c r="H786" s="20"/>
      <c r="I786" s="20"/>
      <c r="J786" s="20" t="s">
        <v>1061</v>
      </c>
      <c r="K786" s="20"/>
      <c r="L786" s="20"/>
      <c r="AC786" s="1357"/>
    </row>
    <row r="787">
      <c r="B787" s="20"/>
      <c r="C787" s="20"/>
      <c r="D787" s="20"/>
      <c r="E787" s="338"/>
      <c r="F787" s="20"/>
      <c r="G787" s="20"/>
      <c r="H787" s="20"/>
      <c r="I787" s="20"/>
      <c r="J787" s="20" t="s">
        <v>1061</v>
      </c>
      <c r="K787" s="20"/>
      <c r="L787" s="20"/>
      <c r="AC787" s="1357"/>
    </row>
    <row r="788">
      <c r="B788" s="20"/>
      <c r="C788" s="20"/>
      <c r="D788" s="20"/>
      <c r="E788" s="338"/>
      <c r="F788" s="20"/>
      <c r="G788" s="20"/>
      <c r="H788" s="20"/>
      <c r="I788" s="20"/>
      <c r="J788" s="20" t="s">
        <v>1061</v>
      </c>
      <c r="K788" s="20"/>
      <c r="L788" s="20"/>
      <c r="AC788" s="1357"/>
    </row>
    <row r="789">
      <c r="B789" s="20"/>
      <c r="C789" s="20"/>
      <c r="D789" s="20"/>
      <c r="E789" s="338"/>
      <c r="F789" s="20"/>
      <c r="G789" s="20"/>
      <c r="H789" s="20"/>
      <c r="I789" s="20"/>
      <c r="J789" s="20" t="s">
        <v>1061</v>
      </c>
      <c r="K789" s="20"/>
      <c r="L789" s="20"/>
      <c r="AC789" s="1357"/>
    </row>
    <row r="790">
      <c r="B790" s="20"/>
      <c r="C790" s="20"/>
      <c r="D790" s="20"/>
      <c r="E790" s="338"/>
      <c r="F790" s="20"/>
      <c r="G790" s="20"/>
      <c r="H790" s="20"/>
      <c r="I790" s="20"/>
      <c r="J790" s="20" t="s">
        <v>1061</v>
      </c>
      <c r="K790" s="20"/>
      <c r="L790" s="20"/>
      <c r="AC790" s="1357"/>
    </row>
    <row r="791">
      <c r="B791" s="20"/>
      <c r="C791" s="20"/>
      <c r="D791" s="20"/>
      <c r="E791" s="338"/>
      <c r="F791" s="20"/>
      <c r="G791" s="20"/>
      <c r="H791" s="20"/>
      <c r="I791" s="20"/>
      <c r="J791" s="20" t="s">
        <v>1061</v>
      </c>
      <c r="K791" s="20"/>
      <c r="L791" s="20"/>
      <c r="AC791" s="1357"/>
    </row>
    <row r="792">
      <c r="B792" s="20"/>
      <c r="C792" s="20"/>
      <c r="D792" s="20"/>
      <c r="E792" s="338"/>
      <c r="F792" s="20"/>
      <c r="G792" s="20"/>
      <c r="H792" s="20"/>
      <c r="I792" s="20"/>
      <c r="J792" s="20" t="s">
        <v>1061</v>
      </c>
      <c r="K792" s="20"/>
      <c r="L792" s="20"/>
      <c r="AC792" s="1357"/>
    </row>
    <row r="793">
      <c r="B793" s="20"/>
      <c r="C793" s="20"/>
      <c r="D793" s="20"/>
      <c r="E793" s="338"/>
      <c r="F793" s="20"/>
      <c r="G793" s="20"/>
      <c r="H793" s="20"/>
      <c r="I793" s="20"/>
      <c r="J793" s="20" t="s">
        <v>1061</v>
      </c>
      <c r="K793" s="20"/>
      <c r="L793" s="20"/>
      <c r="AC793" s="1357"/>
    </row>
    <row r="794">
      <c r="B794" s="20"/>
      <c r="C794" s="20"/>
      <c r="D794" s="20"/>
      <c r="E794" s="338"/>
      <c r="F794" s="20"/>
      <c r="G794" s="20"/>
      <c r="H794" s="20"/>
      <c r="I794" s="20"/>
      <c r="J794" s="20" t="s">
        <v>1061</v>
      </c>
      <c r="K794" s="20"/>
      <c r="L794" s="20"/>
      <c r="AC794" s="1357"/>
    </row>
    <row r="795">
      <c r="B795" s="20"/>
      <c r="C795" s="20"/>
      <c r="D795" s="20"/>
      <c r="E795" s="338"/>
      <c r="F795" s="20"/>
      <c r="G795" s="20"/>
      <c r="H795" s="20"/>
      <c r="I795" s="20"/>
      <c r="J795" s="20" t="s">
        <v>1061</v>
      </c>
      <c r="K795" s="20"/>
      <c r="L795" s="20"/>
      <c r="AC795" s="1357"/>
    </row>
    <row r="796">
      <c r="B796" s="20"/>
      <c r="C796" s="20"/>
      <c r="D796" s="20"/>
      <c r="E796" s="338"/>
      <c r="F796" s="20"/>
      <c r="G796" s="20"/>
      <c r="H796" s="20"/>
      <c r="I796" s="20"/>
      <c r="J796" s="20" t="s">
        <v>1061</v>
      </c>
      <c r="K796" s="20"/>
      <c r="L796" s="20"/>
      <c r="AC796" s="1357"/>
    </row>
    <row r="797">
      <c r="B797" s="20"/>
      <c r="C797" s="20"/>
      <c r="D797" s="20"/>
      <c r="E797" s="338"/>
      <c r="F797" s="20"/>
      <c r="G797" s="20"/>
      <c r="H797" s="20"/>
      <c r="I797" s="20"/>
      <c r="J797" s="20" t="s">
        <v>1061</v>
      </c>
      <c r="K797" s="20"/>
      <c r="L797" s="20"/>
      <c r="AC797" s="1357"/>
    </row>
    <row r="798">
      <c r="B798" s="20"/>
      <c r="C798" s="20"/>
      <c r="D798" s="20"/>
      <c r="E798" s="338"/>
      <c r="F798" s="20"/>
      <c r="G798" s="20"/>
      <c r="H798" s="20"/>
      <c r="I798" s="20"/>
      <c r="J798" s="20" t="s">
        <v>1061</v>
      </c>
      <c r="K798" s="20"/>
      <c r="L798" s="20"/>
      <c r="AC798" s="1357"/>
    </row>
    <row r="799">
      <c r="B799" s="20"/>
      <c r="C799" s="20"/>
      <c r="D799" s="20"/>
      <c r="E799" s="338"/>
      <c r="F799" s="20"/>
      <c r="G799" s="20"/>
      <c r="H799" s="20"/>
      <c r="I799" s="20"/>
      <c r="J799" s="20" t="s">
        <v>1061</v>
      </c>
      <c r="K799" s="20"/>
      <c r="L799" s="20"/>
      <c r="AC799" s="1357"/>
    </row>
    <row r="800">
      <c r="B800" s="20"/>
      <c r="C800" s="20"/>
      <c r="D800" s="20"/>
      <c r="E800" s="338"/>
      <c r="F800" s="20"/>
      <c r="G800" s="20"/>
      <c r="H800" s="20"/>
      <c r="I800" s="20"/>
      <c r="J800" s="20" t="s">
        <v>1061</v>
      </c>
      <c r="K800" s="20"/>
      <c r="L800" s="20"/>
      <c r="AC800" s="1357"/>
    </row>
    <row r="801">
      <c r="B801" s="20"/>
      <c r="C801" s="20"/>
      <c r="D801" s="20"/>
      <c r="E801" s="338"/>
      <c r="F801" s="20"/>
      <c r="G801" s="20"/>
      <c r="H801" s="20"/>
      <c r="I801" s="20"/>
      <c r="J801" s="20" t="s">
        <v>1061</v>
      </c>
      <c r="K801" s="20"/>
      <c r="L801" s="20"/>
      <c r="AC801" s="1357"/>
    </row>
    <row r="802">
      <c r="B802" s="20"/>
      <c r="C802" s="20"/>
      <c r="D802" s="20"/>
      <c r="E802" s="338"/>
      <c r="F802" s="20"/>
      <c r="G802" s="20"/>
      <c r="H802" s="20"/>
      <c r="I802" s="20"/>
      <c r="J802" s="20" t="s">
        <v>1061</v>
      </c>
      <c r="K802" s="20"/>
      <c r="L802" s="20"/>
      <c r="AC802" s="1357"/>
    </row>
    <row r="803">
      <c r="B803" s="20"/>
      <c r="C803" s="20"/>
      <c r="D803" s="20"/>
      <c r="E803" s="338"/>
      <c r="F803" s="20"/>
      <c r="G803" s="20"/>
      <c r="H803" s="20"/>
      <c r="I803" s="20"/>
      <c r="J803" s="20" t="s">
        <v>1061</v>
      </c>
      <c r="K803" s="20"/>
      <c r="L803" s="20"/>
      <c r="AC803" s="1357"/>
    </row>
    <row r="804">
      <c r="B804" s="20"/>
      <c r="C804" s="20"/>
      <c r="D804" s="20"/>
      <c r="E804" s="338"/>
      <c r="F804" s="20"/>
      <c r="G804" s="20"/>
      <c r="H804" s="20"/>
      <c r="I804" s="20"/>
      <c r="J804" s="20" t="s">
        <v>1061</v>
      </c>
      <c r="K804" s="20"/>
      <c r="L804" s="20"/>
      <c r="AC804" s="1357"/>
    </row>
    <row r="805">
      <c r="B805" s="20"/>
      <c r="C805" s="20"/>
      <c r="D805" s="20"/>
      <c r="E805" s="338"/>
      <c r="F805" s="20"/>
      <c r="G805" s="20"/>
      <c r="H805" s="20"/>
      <c r="I805" s="20"/>
      <c r="J805" s="20" t="s">
        <v>1061</v>
      </c>
      <c r="K805" s="20"/>
      <c r="L805" s="20"/>
      <c r="AC805" s="1357"/>
    </row>
    <row r="806">
      <c r="B806" s="20"/>
      <c r="C806" s="20"/>
      <c r="D806" s="20"/>
      <c r="E806" s="338"/>
      <c r="F806" s="20"/>
      <c r="G806" s="20"/>
      <c r="H806" s="20"/>
      <c r="I806" s="20"/>
      <c r="J806" s="20" t="s">
        <v>1061</v>
      </c>
      <c r="K806" s="20"/>
      <c r="L806" s="20"/>
      <c r="AC806" s="1357"/>
    </row>
    <row r="807">
      <c r="B807" s="20"/>
      <c r="C807" s="20"/>
      <c r="D807" s="20"/>
      <c r="E807" s="338"/>
      <c r="F807" s="20"/>
      <c r="G807" s="20"/>
      <c r="H807" s="20"/>
      <c r="I807" s="20"/>
      <c r="J807" s="20" t="s">
        <v>1061</v>
      </c>
      <c r="K807" s="20"/>
      <c r="L807" s="20"/>
      <c r="AC807" s="1357"/>
    </row>
    <row r="808">
      <c r="B808" s="20"/>
      <c r="C808" s="20"/>
      <c r="D808" s="20"/>
      <c r="E808" s="338"/>
      <c r="F808" s="20"/>
      <c r="G808" s="20"/>
      <c r="H808" s="20"/>
      <c r="I808" s="20"/>
      <c r="J808" s="20" t="s">
        <v>1061</v>
      </c>
      <c r="K808" s="20"/>
      <c r="L808" s="20"/>
      <c r="AC808" s="1357"/>
    </row>
    <row r="809">
      <c r="B809" s="20"/>
      <c r="C809" s="20"/>
      <c r="D809" s="20"/>
      <c r="E809" s="338"/>
      <c r="F809" s="20"/>
      <c r="G809" s="20"/>
      <c r="H809" s="20"/>
      <c r="I809" s="20"/>
      <c r="J809" s="20" t="s">
        <v>1061</v>
      </c>
      <c r="K809" s="20"/>
      <c r="L809" s="20"/>
      <c r="AC809" s="1357"/>
    </row>
    <row r="810">
      <c r="B810" s="20"/>
      <c r="C810" s="20"/>
      <c r="D810" s="20"/>
      <c r="E810" s="338"/>
      <c r="F810" s="20"/>
      <c r="G810" s="20"/>
      <c r="H810" s="20"/>
      <c r="I810" s="20"/>
      <c r="J810" s="20" t="s">
        <v>1061</v>
      </c>
      <c r="K810" s="20"/>
      <c r="L810" s="20"/>
      <c r="AC810" s="1357"/>
    </row>
    <row r="811">
      <c r="B811" s="20"/>
      <c r="C811" s="20"/>
      <c r="D811" s="20"/>
      <c r="E811" s="338"/>
      <c r="F811" s="20"/>
      <c r="G811" s="20"/>
      <c r="H811" s="20"/>
      <c r="I811" s="20"/>
      <c r="J811" s="20" t="s">
        <v>1061</v>
      </c>
      <c r="K811" s="20"/>
      <c r="L811" s="20"/>
      <c r="AC811" s="1357"/>
    </row>
    <row r="812">
      <c r="B812" s="20"/>
      <c r="C812" s="20"/>
      <c r="D812" s="20"/>
      <c r="E812" s="338"/>
      <c r="F812" s="20"/>
      <c r="G812" s="20"/>
      <c r="H812" s="20"/>
      <c r="I812" s="20"/>
      <c r="J812" s="20" t="s">
        <v>1061</v>
      </c>
      <c r="K812" s="20"/>
      <c r="L812" s="20"/>
      <c r="AC812" s="1357"/>
    </row>
    <row r="813">
      <c r="B813" s="20"/>
      <c r="C813" s="20"/>
      <c r="D813" s="20"/>
      <c r="E813" s="338"/>
      <c r="F813" s="20"/>
      <c r="G813" s="20"/>
      <c r="H813" s="20"/>
      <c r="I813" s="20"/>
      <c r="J813" s="20" t="s">
        <v>1061</v>
      </c>
      <c r="K813" s="20"/>
      <c r="L813" s="20"/>
      <c r="AC813" s="1357"/>
    </row>
    <row r="814">
      <c r="B814" s="20"/>
      <c r="C814" s="20"/>
      <c r="D814" s="20"/>
      <c r="E814" s="338"/>
      <c r="F814" s="20"/>
      <c r="G814" s="20"/>
      <c r="H814" s="20"/>
      <c r="I814" s="20"/>
      <c r="J814" s="20" t="s">
        <v>1061</v>
      </c>
      <c r="K814" s="20"/>
      <c r="L814" s="20"/>
      <c r="AC814" s="1357"/>
    </row>
    <row r="815">
      <c r="B815" s="20"/>
      <c r="C815" s="20"/>
      <c r="D815" s="20"/>
      <c r="E815" s="338"/>
      <c r="F815" s="20"/>
      <c r="G815" s="20"/>
      <c r="H815" s="20"/>
      <c r="I815" s="20"/>
      <c r="J815" s="20" t="s">
        <v>1061</v>
      </c>
      <c r="K815" s="20"/>
      <c r="L815" s="20"/>
      <c r="AC815" s="1357"/>
    </row>
    <row r="816">
      <c r="B816" s="20"/>
      <c r="C816" s="20"/>
      <c r="D816" s="20"/>
      <c r="E816" s="338"/>
      <c r="F816" s="20"/>
      <c r="G816" s="20"/>
      <c r="H816" s="20"/>
      <c r="I816" s="20"/>
      <c r="J816" s="20" t="s">
        <v>1061</v>
      </c>
      <c r="K816" s="20"/>
      <c r="L816" s="20"/>
      <c r="AC816" s="1357"/>
    </row>
    <row r="817">
      <c r="B817" s="20"/>
      <c r="C817" s="20"/>
      <c r="D817" s="20"/>
      <c r="E817" s="338"/>
      <c r="F817" s="20"/>
      <c r="G817" s="20"/>
      <c r="H817" s="20"/>
      <c r="I817" s="20"/>
      <c r="J817" s="20" t="s">
        <v>1061</v>
      </c>
      <c r="K817" s="20"/>
      <c r="L817" s="20"/>
      <c r="AC817" s="1357"/>
    </row>
    <row r="818">
      <c r="B818" s="20"/>
      <c r="C818" s="20"/>
      <c r="D818" s="20"/>
      <c r="E818" s="338"/>
      <c r="F818" s="20"/>
      <c r="G818" s="20"/>
      <c r="H818" s="20"/>
      <c r="I818" s="20"/>
      <c r="J818" s="20" t="s">
        <v>1061</v>
      </c>
      <c r="K818" s="20"/>
      <c r="L818" s="20"/>
      <c r="AC818" s="1357"/>
    </row>
    <row r="819">
      <c r="B819" s="20"/>
      <c r="C819" s="20"/>
      <c r="D819" s="20"/>
      <c r="E819" s="338"/>
      <c r="F819" s="20"/>
      <c r="G819" s="20"/>
      <c r="H819" s="20"/>
      <c r="I819" s="20"/>
      <c r="J819" s="20" t="s">
        <v>1061</v>
      </c>
      <c r="K819" s="20"/>
      <c r="L819" s="20"/>
      <c r="AC819" s="1357"/>
    </row>
    <row r="820">
      <c r="B820" s="20"/>
      <c r="C820" s="20"/>
      <c r="D820" s="20"/>
      <c r="E820" s="338"/>
      <c r="F820" s="20"/>
      <c r="G820" s="20"/>
      <c r="H820" s="20"/>
      <c r="I820" s="20"/>
      <c r="J820" s="20" t="s">
        <v>1061</v>
      </c>
      <c r="K820" s="20"/>
      <c r="L820" s="20"/>
      <c r="AC820" s="1357"/>
    </row>
    <row r="821">
      <c r="B821" s="20"/>
      <c r="C821" s="20"/>
      <c r="D821" s="20"/>
      <c r="E821" s="338"/>
      <c r="F821" s="20"/>
      <c r="G821" s="20"/>
      <c r="H821" s="20"/>
      <c r="I821" s="20"/>
      <c r="J821" s="20" t="s">
        <v>1061</v>
      </c>
      <c r="K821" s="20"/>
      <c r="L821" s="20"/>
      <c r="AC821" s="1357"/>
    </row>
    <row r="822">
      <c r="B822" s="20"/>
      <c r="C822" s="20"/>
      <c r="D822" s="20"/>
      <c r="E822" s="338"/>
      <c r="F822" s="20"/>
      <c r="G822" s="20"/>
      <c r="H822" s="20"/>
      <c r="I822" s="20"/>
      <c r="J822" s="20" t="s">
        <v>1061</v>
      </c>
      <c r="K822" s="20"/>
      <c r="L822" s="20"/>
      <c r="AC822" s="1357"/>
    </row>
    <row r="823">
      <c r="B823" s="20"/>
      <c r="C823" s="20"/>
      <c r="D823" s="20"/>
      <c r="E823" s="338"/>
      <c r="F823" s="20"/>
      <c r="G823" s="20"/>
      <c r="H823" s="20"/>
      <c r="I823" s="20"/>
      <c r="J823" s="20" t="s">
        <v>1061</v>
      </c>
      <c r="K823" s="20"/>
      <c r="L823" s="20"/>
      <c r="AC823" s="1357"/>
    </row>
    <row r="824">
      <c r="B824" s="20"/>
      <c r="C824" s="20"/>
      <c r="D824" s="20"/>
      <c r="E824" s="338"/>
      <c r="F824" s="20"/>
      <c r="G824" s="20"/>
      <c r="H824" s="20"/>
      <c r="I824" s="20"/>
      <c r="J824" s="20" t="s">
        <v>1061</v>
      </c>
      <c r="K824" s="20"/>
      <c r="L824" s="20"/>
      <c r="AC824" s="1357"/>
    </row>
    <row r="825">
      <c r="B825" s="20"/>
      <c r="C825" s="20"/>
      <c r="D825" s="20"/>
      <c r="E825" s="338"/>
      <c r="F825" s="20"/>
      <c r="G825" s="20"/>
      <c r="H825" s="20"/>
      <c r="I825" s="20"/>
      <c r="J825" s="20" t="s">
        <v>1061</v>
      </c>
      <c r="K825" s="20"/>
      <c r="L825" s="20"/>
      <c r="AC825" s="1357"/>
    </row>
    <row r="826">
      <c r="B826" s="20"/>
      <c r="C826" s="20"/>
      <c r="D826" s="20"/>
      <c r="E826" s="338"/>
      <c r="F826" s="20"/>
      <c r="G826" s="20"/>
      <c r="H826" s="20"/>
      <c r="I826" s="20"/>
      <c r="J826" s="20" t="s">
        <v>1061</v>
      </c>
      <c r="K826" s="20"/>
      <c r="L826" s="20"/>
      <c r="AC826" s="1357"/>
    </row>
    <row r="827">
      <c r="B827" s="20"/>
      <c r="C827" s="20"/>
      <c r="D827" s="20"/>
      <c r="E827" s="338"/>
      <c r="F827" s="20"/>
      <c r="G827" s="20"/>
      <c r="H827" s="20"/>
      <c r="I827" s="20"/>
      <c r="J827" s="20" t="s">
        <v>1061</v>
      </c>
      <c r="K827" s="20"/>
      <c r="L827" s="20"/>
      <c r="AC827" s="1357"/>
    </row>
    <row r="828">
      <c r="B828" s="20"/>
      <c r="C828" s="20"/>
      <c r="D828" s="20"/>
      <c r="E828" s="338"/>
      <c r="F828" s="20"/>
      <c r="G828" s="20"/>
      <c r="H828" s="20"/>
      <c r="I828" s="20"/>
      <c r="J828" s="20" t="s">
        <v>1061</v>
      </c>
      <c r="K828" s="20"/>
      <c r="L828" s="20"/>
      <c r="AC828" s="1357"/>
    </row>
    <row r="829">
      <c r="B829" s="20"/>
      <c r="C829" s="20"/>
      <c r="D829" s="20"/>
      <c r="E829" s="338"/>
      <c r="F829" s="20"/>
      <c r="G829" s="20"/>
      <c r="H829" s="20"/>
      <c r="I829" s="20"/>
      <c r="J829" s="20" t="s">
        <v>1061</v>
      </c>
      <c r="K829" s="20"/>
      <c r="L829" s="20"/>
      <c r="AC829" s="1357"/>
    </row>
    <row r="830">
      <c r="B830" s="20"/>
      <c r="C830" s="20"/>
      <c r="D830" s="20"/>
      <c r="E830" s="338"/>
      <c r="F830" s="20"/>
      <c r="G830" s="20"/>
      <c r="H830" s="20"/>
      <c r="I830" s="20"/>
      <c r="J830" s="20" t="s">
        <v>1061</v>
      </c>
      <c r="K830" s="20"/>
      <c r="L830" s="20"/>
      <c r="AC830" s="1357"/>
    </row>
    <row r="831">
      <c r="B831" s="20"/>
      <c r="C831" s="20"/>
      <c r="D831" s="20"/>
      <c r="E831" s="338"/>
      <c r="F831" s="20"/>
      <c r="G831" s="20"/>
      <c r="H831" s="20"/>
      <c r="I831" s="20"/>
      <c r="J831" s="20" t="s">
        <v>1061</v>
      </c>
      <c r="K831" s="20"/>
      <c r="L831" s="20"/>
      <c r="AC831" s="1357"/>
    </row>
    <row r="832">
      <c r="B832" s="20"/>
      <c r="C832" s="20"/>
      <c r="D832" s="20"/>
      <c r="E832" s="338"/>
      <c r="F832" s="20"/>
      <c r="G832" s="20"/>
      <c r="H832" s="20"/>
      <c r="I832" s="20"/>
      <c r="J832" s="20" t="s">
        <v>1061</v>
      </c>
      <c r="K832" s="20"/>
      <c r="L832" s="20"/>
      <c r="AC832" s="1357"/>
    </row>
    <row r="833">
      <c r="B833" s="20"/>
      <c r="C833" s="20"/>
      <c r="D833" s="20"/>
      <c r="E833" s="338"/>
      <c r="F833" s="20"/>
      <c r="G833" s="20"/>
      <c r="H833" s="20"/>
      <c r="I833" s="20"/>
      <c r="J833" s="20" t="s">
        <v>1061</v>
      </c>
      <c r="K833" s="20"/>
      <c r="L833" s="20"/>
      <c r="AC833" s="1357"/>
    </row>
    <row r="834">
      <c r="B834" s="20"/>
      <c r="C834" s="20"/>
      <c r="D834" s="20"/>
      <c r="E834" s="338"/>
      <c r="F834" s="20"/>
      <c r="G834" s="20"/>
      <c r="H834" s="20"/>
      <c r="I834" s="20"/>
      <c r="J834" s="20" t="s">
        <v>1061</v>
      </c>
      <c r="K834" s="20"/>
      <c r="L834" s="20"/>
      <c r="AC834" s="1357"/>
    </row>
    <row r="835">
      <c r="B835" s="20"/>
      <c r="C835" s="20"/>
      <c r="D835" s="20"/>
      <c r="E835" s="338"/>
      <c r="F835" s="20"/>
      <c r="G835" s="20"/>
      <c r="H835" s="20"/>
      <c r="I835" s="20"/>
      <c r="J835" s="20" t="s">
        <v>1061</v>
      </c>
      <c r="K835" s="20"/>
      <c r="L835" s="20"/>
      <c r="AC835" s="1357"/>
    </row>
    <row r="836">
      <c r="B836" s="20"/>
      <c r="C836" s="20"/>
      <c r="D836" s="20"/>
      <c r="E836" s="338"/>
      <c r="F836" s="20"/>
      <c r="G836" s="20"/>
      <c r="H836" s="20"/>
      <c r="I836" s="20"/>
      <c r="J836" s="20" t="s">
        <v>1061</v>
      </c>
      <c r="K836" s="20"/>
      <c r="L836" s="20"/>
      <c r="AC836" s="1357"/>
    </row>
    <row r="837">
      <c r="B837" s="20"/>
      <c r="C837" s="20"/>
      <c r="D837" s="20"/>
      <c r="E837" s="338"/>
      <c r="F837" s="20"/>
      <c r="G837" s="20"/>
      <c r="H837" s="20"/>
      <c r="I837" s="20"/>
      <c r="J837" s="20" t="s">
        <v>1061</v>
      </c>
      <c r="K837" s="20"/>
      <c r="L837" s="20"/>
      <c r="AC837" s="1357"/>
    </row>
    <row r="838">
      <c r="B838" s="20"/>
      <c r="C838" s="20"/>
      <c r="D838" s="20"/>
      <c r="E838" s="338"/>
      <c r="F838" s="20"/>
      <c r="G838" s="20"/>
      <c r="H838" s="20"/>
      <c r="I838" s="20"/>
      <c r="J838" s="20" t="s">
        <v>1061</v>
      </c>
      <c r="K838" s="20"/>
      <c r="L838" s="20"/>
      <c r="AC838" s="1357"/>
    </row>
    <row r="839">
      <c r="B839" s="20"/>
      <c r="C839" s="20"/>
      <c r="D839" s="20"/>
      <c r="E839" s="338"/>
      <c r="F839" s="20"/>
      <c r="G839" s="20"/>
      <c r="H839" s="20"/>
      <c r="I839" s="20"/>
      <c r="J839" s="20" t="s">
        <v>1061</v>
      </c>
      <c r="K839" s="20"/>
      <c r="L839" s="20"/>
      <c r="AC839" s="1357"/>
    </row>
    <row r="840">
      <c r="B840" s="20"/>
      <c r="C840" s="20"/>
      <c r="D840" s="20"/>
      <c r="E840" s="338"/>
      <c r="F840" s="20"/>
      <c r="G840" s="20"/>
      <c r="H840" s="20"/>
      <c r="I840" s="20"/>
      <c r="J840" s="20" t="s">
        <v>1061</v>
      </c>
      <c r="K840" s="20"/>
      <c r="L840" s="20"/>
      <c r="AC840" s="1357"/>
    </row>
    <row r="841">
      <c r="B841" s="20"/>
      <c r="C841" s="20"/>
      <c r="D841" s="20"/>
      <c r="E841" s="338"/>
      <c r="F841" s="20"/>
      <c r="G841" s="20"/>
      <c r="H841" s="20"/>
      <c r="I841" s="20"/>
      <c r="J841" s="20" t="s">
        <v>1061</v>
      </c>
      <c r="K841" s="20"/>
      <c r="L841" s="20"/>
      <c r="AC841" s="1357"/>
    </row>
    <row r="842">
      <c r="B842" s="20"/>
      <c r="C842" s="20"/>
      <c r="D842" s="20"/>
      <c r="E842" s="338"/>
      <c r="F842" s="20"/>
      <c r="G842" s="20"/>
      <c r="H842" s="20"/>
      <c r="I842" s="20"/>
      <c r="J842" s="20" t="s">
        <v>1061</v>
      </c>
      <c r="K842" s="20"/>
      <c r="L842" s="20"/>
      <c r="AC842" s="1357"/>
    </row>
    <row r="843">
      <c r="B843" s="20"/>
      <c r="C843" s="20"/>
      <c r="D843" s="20"/>
      <c r="E843" s="338"/>
      <c r="F843" s="20"/>
      <c r="G843" s="20"/>
      <c r="H843" s="20"/>
      <c r="I843" s="20"/>
      <c r="J843" s="20" t="s">
        <v>1061</v>
      </c>
      <c r="K843" s="20"/>
      <c r="L843" s="20"/>
      <c r="AC843" s="1357"/>
    </row>
    <row r="844">
      <c r="B844" s="20"/>
      <c r="C844" s="20"/>
      <c r="D844" s="20"/>
      <c r="E844" s="338"/>
      <c r="F844" s="20"/>
      <c r="G844" s="20"/>
      <c r="H844" s="20"/>
      <c r="I844" s="20"/>
      <c r="J844" s="20" t="s">
        <v>1061</v>
      </c>
      <c r="K844" s="20"/>
      <c r="L844" s="20"/>
      <c r="AC844" s="1357"/>
    </row>
    <row r="845">
      <c r="B845" s="20"/>
      <c r="C845" s="20"/>
      <c r="D845" s="20"/>
      <c r="E845" s="338"/>
      <c r="F845" s="20"/>
      <c r="G845" s="20"/>
      <c r="H845" s="20"/>
      <c r="I845" s="20"/>
      <c r="J845" s="20" t="s">
        <v>1061</v>
      </c>
      <c r="K845" s="20"/>
      <c r="L845" s="20"/>
      <c r="AC845" s="1357"/>
    </row>
    <row r="846">
      <c r="B846" s="20"/>
      <c r="C846" s="20"/>
      <c r="D846" s="20"/>
      <c r="E846" s="338"/>
      <c r="F846" s="20"/>
      <c r="G846" s="20"/>
      <c r="H846" s="20"/>
      <c r="I846" s="20"/>
      <c r="J846" s="20" t="s">
        <v>1061</v>
      </c>
      <c r="K846" s="20"/>
      <c r="L846" s="20"/>
      <c r="AC846" s="1357"/>
    </row>
    <row r="847">
      <c r="B847" s="20"/>
      <c r="C847" s="20"/>
      <c r="D847" s="20"/>
      <c r="E847" s="338"/>
      <c r="F847" s="20"/>
      <c r="G847" s="20"/>
      <c r="H847" s="20"/>
      <c r="I847" s="20"/>
      <c r="J847" s="20" t="s">
        <v>1061</v>
      </c>
      <c r="K847" s="20"/>
      <c r="L847" s="20"/>
      <c r="AC847" s="1357"/>
    </row>
    <row r="848">
      <c r="B848" s="20"/>
      <c r="C848" s="20"/>
      <c r="D848" s="20"/>
      <c r="E848" s="338"/>
      <c r="F848" s="20"/>
      <c r="G848" s="20"/>
      <c r="H848" s="20"/>
      <c r="I848" s="20"/>
      <c r="J848" s="20" t="s">
        <v>1061</v>
      </c>
      <c r="K848" s="20"/>
      <c r="L848" s="20"/>
      <c r="AC848" s="1357"/>
    </row>
    <row r="849">
      <c r="B849" s="20"/>
      <c r="C849" s="20"/>
      <c r="D849" s="20"/>
      <c r="E849" s="338"/>
      <c r="F849" s="20"/>
      <c r="G849" s="20"/>
      <c r="H849" s="20"/>
      <c r="I849" s="20"/>
      <c r="J849" s="20" t="s">
        <v>1061</v>
      </c>
      <c r="K849" s="20"/>
      <c r="L849" s="20"/>
      <c r="AC849" s="1357"/>
    </row>
    <row r="850">
      <c r="B850" s="20"/>
      <c r="C850" s="20"/>
      <c r="D850" s="20"/>
      <c r="E850" s="338"/>
      <c r="F850" s="20"/>
      <c r="G850" s="20"/>
      <c r="H850" s="20"/>
      <c r="I850" s="20"/>
      <c r="J850" s="20" t="s">
        <v>1061</v>
      </c>
      <c r="K850" s="20"/>
      <c r="L850" s="20"/>
      <c r="AC850" s="1357"/>
    </row>
    <row r="851">
      <c r="B851" s="20"/>
      <c r="C851" s="20"/>
      <c r="D851" s="20"/>
      <c r="E851" s="338"/>
      <c r="F851" s="20"/>
      <c r="G851" s="20"/>
      <c r="H851" s="20"/>
      <c r="I851" s="20"/>
      <c r="J851" s="20" t="s">
        <v>1061</v>
      </c>
      <c r="K851" s="20"/>
      <c r="L851" s="20"/>
      <c r="AC851" s="1357"/>
    </row>
    <row r="852">
      <c r="B852" s="20"/>
      <c r="C852" s="20"/>
      <c r="D852" s="20"/>
      <c r="E852" s="338"/>
      <c r="F852" s="20"/>
      <c r="G852" s="20"/>
      <c r="H852" s="20"/>
      <c r="I852" s="20"/>
      <c r="J852" s="20" t="s">
        <v>1061</v>
      </c>
      <c r="K852" s="20"/>
      <c r="L852" s="20"/>
      <c r="AC852" s="1357"/>
    </row>
    <row r="853">
      <c r="B853" s="20"/>
      <c r="C853" s="20"/>
      <c r="D853" s="20"/>
      <c r="E853" s="338"/>
      <c r="F853" s="20"/>
      <c r="G853" s="20"/>
      <c r="H853" s="20"/>
      <c r="I853" s="20"/>
      <c r="J853" s="20" t="s">
        <v>1061</v>
      </c>
      <c r="K853" s="20"/>
      <c r="L853" s="20"/>
      <c r="AC853" s="1357"/>
    </row>
    <row r="854">
      <c r="B854" s="20"/>
      <c r="C854" s="20"/>
      <c r="D854" s="20"/>
      <c r="E854" s="338"/>
      <c r="F854" s="20"/>
      <c r="G854" s="20"/>
      <c r="H854" s="20"/>
      <c r="I854" s="20"/>
      <c r="J854" s="20" t="s">
        <v>1061</v>
      </c>
      <c r="K854" s="20"/>
      <c r="L854" s="20"/>
      <c r="AC854" s="1357"/>
    </row>
    <row r="855">
      <c r="B855" s="20"/>
      <c r="C855" s="20"/>
      <c r="D855" s="20"/>
      <c r="E855" s="338"/>
      <c r="F855" s="20"/>
      <c r="G855" s="20"/>
      <c r="H855" s="20"/>
      <c r="I855" s="20"/>
      <c r="J855" s="20" t="s">
        <v>1061</v>
      </c>
      <c r="K855" s="20"/>
      <c r="L855" s="20"/>
      <c r="AC855" s="1357"/>
    </row>
    <row r="856">
      <c r="B856" s="20"/>
      <c r="C856" s="20"/>
      <c r="D856" s="20"/>
      <c r="E856" s="338"/>
      <c r="F856" s="20"/>
      <c r="G856" s="20"/>
      <c r="H856" s="20"/>
      <c r="I856" s="20"/>
      <c r="J856" s="20" t="s">
        <v>1061</v>
      </c>
      <c r="K856" s="20"/>
      <c r="L856" s="20"/>
      <c r="AC856" s="1357"/>
    </row>
    <row r="857">
      <c r="B857" s="20"/>
      <c r="C857" s="20"/>
      <c r="D857" s="20"/>
      <c r="E857" s="338"/>
      <c r="F857" s="20"/>
      <c r="G857" s="20"/>
      <c r="H857" s="20"/>
      <c r="I857" s="20"/>
      <c r="J857" s="20" t="s">
        <v>1061</v>
      </c>
      <c r="K857" s="20"/>
      <c r="L857" s="20"/>
      <c r="AC857" s="1357"/>
    </row>
    <row r="858">
      <c r="B858" s="20"/>
      <c r="C858" s="20"/>
      <c r="D858" s="20"/>
      <c r="E858" s="338"/>
      <c r="F858" s="20"/>
      <c r="G858" s="20"/>
      <c r="H858" s="20"/>
      <c r="I858" s="20"/>
      <c r="J858" s="20" t="s">
        <v>1061</v>
      </c>
      <c r="K858" s="20"/>
      <c r="L858" s="20"/>
      <c r="AC858" s="1357"/>
    </row>
    <row r="859">
      <c r="B859" s="20"/>
      <c r="C859" s="20"/>
      <c r="D859" s="20"/>
      <c r="E859" s="338"/>
      <c r="F859" s="20"/>
      <c r="G859" s="20"/>
      <c r="H859" s="20"/>
      <c r="I859" s="20"/>
      <c r="J859" s="20" t="s">
        <v>1061</v>
      </c>
      <c r="K859" s="20"/>
      <c r="L859" s="20"/>
      <c r="AC859" s="1357"/>
    </row>
    <row r="860">
      <c r="B860" s="20"/>
      <c r="C860" s="20"/>
      <c r="D860" s="20"/>
      <c r="E860" s="338"/>
      <c r="F860" s="20"/>
      <c r="G860" s="20"/>
      <c r="H860" s="20"/>
      <c r="I860" s="20"/>
      <c r="J860" s="20" t="s">
        <v>1061</v>
      </c>
      <c r="K860" s="20"/>
      <c r="L860" s="20"/>
      <c r="AC860" s="1357"/>
    </row>
    <row r="861">
      <c r="B861" s="20"/>
      <c r="C861" s="20"/>
      <c r="D861" s="20"/>
      <c r="E861" s="338"/>
      <c r="F861" s="20"/>
      <c r="G861" s="20"/>
      <c r="H861" s="20"/>
      <c r="I861" s="20"/>
      <c r="J861" s="20" t="s">
        <v>1061</v>
      </c>
      <c r="K861" s="20"/>
      <c r="L861" s="20"/>
      <c r="AC861" s="1357"/>
    </row>
    <row r="862">
      <c r="B862" s="20"/>
      <c r="C862" s="20"/>
      <c r="D862" s="20"/>
      <c r="E862" s="338"/>
      <c r="F862" s="20"/>
      <c r="G862" s="20"/>
      <c r="H862" s="20"/>
      <c r="I862" s="20"/>
      <c r="J862" s="20" t="s">
        <v>1061</v>
      </c>
      <c r="K862" s="20"/>
      <c r="L862" s="20"/>
      <c r="AC862" s="1357"/>
    </row>
    <row r="863">
      <c r="B863" s="20"/>
      <c r="C863" s="20"/>
      <c r="D863" s="20"/>
      <c r="E863" s="338"/>
      <c r="F863" s="20"/>
      <c r="G863" s="20"/>
      <c r="H863" s="20"/>
      <c r="I863" s="20"/>
      <c r="J863" s="20" t="s">
        <v>1061</v>
      </c>
      <c r="K863" s="20"/>
      <c r="L863" s="20"/>
      <c r="AC863" s="1357"/>
    </row>
    <row r="864">
      <c r="B864" s="20"/>
      <c r="C864" s="20"/>
      <c r="D864" s="20"/>
      <c r="E864" s="338"/>
      <c r="F864" s="20"/>
      <c r="G864" s="20"/>
      <c r="H864" s="20"/>
      <c r="I864" s="20"/>
      <c r="J864" s="20" t="s">
        <v>1061</v>
      </c>
      <c r="K864" s="20"/>
      <c r="L864" s="20"/>
      <c r="AC864" s="1357"/>
    </row>
    <row r="865">
      <c r="B865" s="20"/>
      <c r="C865" s="20"/>
      <c r="D865" s="20"/>
      <c r="E865" s="338"/>
      <c r="F865" s="20"/>
      <c r="G865" s="20"/>
      <c r="H865" s="20"/>
      <c r="I865" s="20"/>
      <c r="J865" s="20" t="s">
        <v>1061</v>
      </c>
      <c r="K865" s="20"/>
      <c r="L865" s="20"/>
      <c r="AC865" s="1357"/>
    </row>
    <row r="866">
      <c r="B866" s="20"/>
      <c r="C866" s="20"/>
      <c r="D866" s="20"/>
      <c r="E866" s="338"/>
      <c r="F866" s="20"/>
      <c r="G866" s="20"/>
      <c r="H866" s="20"/>
      <c r="I866" s="20"/>
      <c r="J866" s="20" t="s">
        <v>1061</v>
      </c>
      <c r="K866" s="20"/>
      <c r="L866" s="20"/>
      <c r="AC866" s="1357"/>
    </row>
    <row r="867">
      <c r="B867" s="20"/>
      <c r="C867" s="20"/>
      <c r="D867" s="20"/>
      <c r="E867" s="338"/>
      <c r="F867" s="20"/>
      <c r="G867" s="20"/>
      <c r="H867" s="20"/>
      <c r="I867" s="20"/>
      <c r="J867" s="20" t="s">
        <v>1061</v>
      </c>
      <c r="K867" s="20"/>
      <c r="L867" s="20"/>
      <c r="AC867" s="1357"/>
    </row>
    <row r="868">
      <c r="B868" s="20"/>
      <c r="C868" s="20"/>
      <c r="D868" s="20"/>
      <c r="E868" s="338"/>
      <c r="F868" s="20"/>
      <c r="G868" s="20"/>
      <c r="H868" s="20"/>
      <c r="I868" s="20"/>
      <c r="J868" s="20" t="s">
        <v>1061</v>
      </c>
      <c r="K868" s="20"/>
      <c r="L868" s="20"/>
      <c r="AC868" s="1357"/>
    </row>
    <row r="869">
      <c r="B869" s="20"/>
      <c r="C869" s="20"/>
      <c r="D869" s="20"/>
      <c r="E869" s="338"/>
      <c r="F869" s="20"/>
      <c r="G869" s="20"/>
      <c r="H869" s="20"/>
      <c r="I869" s="20"/>
      <c r="J869" s="20" t="s">
        <v>1061</v>
      </c>
      <c r="K869" s="20"/>
      <c r="L869" s="20"/>
      <c r="AC869" s="1357"/>
    </row>
    <row r="870">
      <c r="B870" s="20"/>
      <c r="C870" s="20"/>
      <c r="D870" s="20"/>
      <c r="E870" s="338"/>
      <c r="F870" s="20"/>
      <c r="G870" s="20"/>
      <c r="H870" s="20"/>
      <c r="I870" s="20"/>
      <c r="J870" s="20" t="s">
        <v>1061</v>
      </c>
      <c r="K870" s="20"/>
      <c r="L870" s="20"/>
      <c r="AC870" s="1357"/>
    </row>
    <row r="871">
      <c r="B871" s="20"/>
      <c r="C871" s="20"/>
      <c r="D871" s="20"/>
      <c r="E871" s="338"/>
      <c r="F871" s="20"/>
      <c r="G871" s="20"/>
      <c r="H871" s="20"/>
      <c r="I871" s="20"/>
      <c r="J871" s="20" t="s">
        <v>1061</v>
      </c>
      <c r="K871" s="20"/>
      <c r="L871" s="20"/>
      <c r="AC871" s="1357"/>
    </row>
    <row r="872">
      <c r="B872" s="20"/>
      <c r="C872" s="20"/>
      <c r="D872" s="20"/>
      <c r="E872" s="338"/>
      <c r="F872" s="20"/>
      <c r="G872" s="20"/>
      <c r="H872" s="20"/>
      <c r="I872" s="20"/>
      <c r="J872" s="20" t="s">
        <v>1061</v>
      </c>
      <c r="K872" s="20"/>
      <c r="L872" s="20"/>
      <c r="AC872" s="1357"/>
    </row>
    <row r="873">
      <c r="B873" s="20"/>
      <c r="C873" s="20"/>
      <c r="D873" s="20"/>
      <c r="E873" s="338"/>
      <c r="F873" s="20"/>
      <c r="G873" s="20"/>
      <c r="H873" s="20"/>
      <c r="I873" s="20"/>
      <c r="J873" s="20" t="s">
        <v>1061</v>
      </c>
      <c r="K873" s="20"/>
      <c r="L873" s="20"/>
      <c r="AC873" s="1357"/>
    </row>
    <row r="874">
      <c r="B874" s="20"/>
      <c r="C874" s="20"/>
      <c r="D874" s="20"/>
      <c r="E874" s="338"/>
      <c r="F874" s="20"/>
      <c r="G874" s="20"/>
      <c r="H874" s="20"/>
      <c r="I874" s="20"/>
      <c r="J874" s="20" t="s">
        <v>1061</v>
      </c>
      <c r="K874" s="20"/>
      <c r="L874" s="20"/>
      <c r="AC874" s="1357"/>
    </row>
    <row r="875">
      <c r="B875" s="20"/>
      <c r="C875" s="20"/>
      <c r="D875" s="20"/>
      <c r="E875" s="338"/>
      <c r="F875" s="20"/>
      <c r="G875" s="20"/>
      <c r="H875" s="20"/>
      <c r="I875" s="20"/>
      <c r="J875" s="20" t="s">
        <v>1061</v>
      </c>
      <c r="K875" s="20"/>
      <c r="L875" s="20"/>
      <c r="AC875" s="1357"/>
    </row>
    <row r="876">
      <c r="B876" s="20"/>
      <c r="C876" s="20"/>
      <c r="D876" s="20"/>
      <c r="E876" s="338"/>
      <c r="F876" s="20"/>
      <c r="G876" s="20"/>
      <c r="H876" s="20"/>
      <c r="I876" s="20"/>
      <c r="J876" s="20" t="s">
        <v>1061</v>
      </c>
      <c r="K876" s="20"/>
      <c r="L876" s="20"/>
      <c r="AC876" s="1357"/>
    </row>
    <row r="877">
      <c r="B877" s="20"/>
      <c r="C877" s="20"/>
      <c r="D877" s="20"/>
      <c r="E877" s="338"/>
      <c r="F877" s="20"/>
      <c r="G877" s="20"/>
      <c r="H877" s="20"/>
      <c r="I877" s="20"/>
      <c r="J877" s="20" t="s">
        <v>1061</v>
      </c>
      <c r="K877" s="20"/>
      <c r="L877" s="20"/>
      <c r="AC877" s="1357"/>
    </row>
    <row r="878">
      <c r="B878" s="20"/>
      <c r="C878" s="20"/>
      <c r="D878" s="20"/>
      <c r="E878" s="338"/>
      <c r="F878" s="20"/>
      <c r="G878" s="20"/>
      <c r="H878" s="20"/>
      <c r="I878" s="20"/>
      <c r="J878" s="20" t="s">
        <v>1061</v>
      </c>
      <c r="K878" s="20"/>
      <c r="L878" s="20"/>
      <c r="AC878" s="1357"/>
    </row>
    <row r="879">
      <c r="B879" s="20"/>
      <c r="C879" s="20"/>
      <c r="D879" s="20"/>
      <c r="E879" s="338"/>
      <c r="F879" s="20"/>
      <c r="G879" s="20"/>
      <c r="H879" s="20"/>
      <c r="I879" s="20"/>
      <c r="J879" s="20" t="s">
        <v>1061</v>
      </c>
      <c r="K879" s="20"/>
      <c r="L879" s="20"/>
      <c r="AC879" s="1357"/>
    </row>
    <row r="880">
      <c r="B880" s="20"/>
      <c r="C880" s="20"/>
      <c r="D880" s="20"/>
      <c r="E880" s="338"/>
      <c r="F880" s="20"/>
      <c r="G880" s="20"/>
      <c r="H880" s="20"/>
      <c r="I880" s="20"/>
      <c r="J880" s="20" t="s">
        <v>1061</v>
      </c>
      <c r="K880" s="20"/>
      <c r="L880" s="20"/>
      <c r="AC880" s="1357"/>
    </row>
    <row r="881">
      <c r="B881" s="20"/>
      <c r="C881" s="20"/>
      <c r="D881" s="20"/>
      <c r="E881" s="338"/>
      <c r="F881" s="20"/>
      <c r="G881" s="20"/>
      <c r="H881" s="20"/>
      <c r="I881" s="20"/>
      <c r="J881" s="20" t="s">
        <v>1061</v>
      </c>
      <c r="K881" s="20"/>
      <c r="L881" s="20"/>
      <c r="AC881" s="1357"/>
    </row>
    <row r="882">
      <c r="B882" s="20"/>
      <c r="C882" s="20"/>
      <c r="D882" s="20"/>
      <c r="E882" s="338"/>
      <c r="F882" s="20"/>
      <c r="G882" s="20"/>
      <c r="H882" s="20"/>
      <c r="I882" s="20"/>
      <c r="J882" s="20" t="s">
        <v>1061</v>
      </c>
      <c r="K882" s="20"/>
      <c r="L882" s="20"/>
      <c r="AC882" s="1357"/>
    </row>
    <row r="883">
      <c r="B883" s="20"/>
      <c r="C883" s="20"/>
      <c r="D883" s="20"/>
      <c r="E883" s="338"/>
      <c r="F883" s="20"/>
      <c r="G883" s="20"/>
      <c r="H883" s="20"/>
      <c r="I883" s="20"/>
      <c r="J883" s="20" t="s">
        <v>1061</v>
      </c>
      <c r="K883" s="20"/>
      <c r="L883" s="20"/>
      <c r="AC883" s="1357"/>
    </row>
    <row r="884">
      <c r="B884" s="20"/>
      <c r="C884" s="20"/>
      <c r="D884" s="20"/>
      <c r="E884" s="338"/>
      <c r="F884" s="20"/>
      <c r="G884" s="20"/>
      <c r="H884" s="20"/>
      <c r="I884" s="20"/>
      <c r="J884" s="20" t="s">
        <v>1061</v>
      </c>
      <c r="K884" s="20"/>
      <c r="L884" s="20"/>
      <c r="AC884" s="1357"/>
    </row>
    <row r="885">
      <c r="B885" s="20"/>
      <c r="C885" s="20"/>
      <c r="D885" s="20"/>
      <c r="E885" s="338"/>
      <c r="F885" s="20"/>
      <c r="G885" s="20"/>
      <c r="H885" s="20"/>
      <c r="I885" s="20"/>
      <c r="J885" s="20" t="s">
        <v>1061</v>
      </c>
      <c r="K885" s="20"/>
      <c r="L885" s="20"/>
      <c r="AC885" s="1357"/>
    </row>
    <row r="886">
      <c r="B886" s="20"/>
      <c r="C886" s="20"/>
      <c r="D886" s="20"/>
      <c r="E886" s="338"/>
      <c r="F886" s="20"/>
      <c r="G886" s="20"/>
      <c r="H886" s="20"/>
      <c r="I886" s="20"/>
      <c r="J886" s="20" t="s">
        <v>1061</v>
      </c>
      <c r="K886" s="20"/>
      <c r="L886" s="20"/>
      <c r="AC886" s="1357"/>
    </row>
    <row r="887">
      <c r="B887" s="20"/>
      <c r="C887" s="20"/>
      <c r="D887" s="20"/>
      <c r="E887" s="338"/>
      <c r="F887" s="20"/>
      <c r="G887" s="20"/>
      <c r="H887" s="20"/>
      <c r="I887" s="20"/>
      <c r="J887" s="20" t="s">
        <v>1061</v>
      </c>
      <c r="K887" s="20"/>
      <c r="L887" s="20"/>
      <c r="AC887" s="1357"/>
    </row>
    <row r="888">
      <c r="B888" s="20"/>
      <c r="C888" s="20"/>
      <c r="D888" s="20"/>
      <c r="E888" s="338"/>
      <c r="F888" s="20"/>
      <c r="G888" s="20"/>
      <c r="H888" s="20"/>
      <c r="I888" s="20"/>
      <c r="J888" s="20" t="s">
        <v>1061</v>
      </c>
      <c r="K888" s="20"/>
      <c r="L888" s="20"/>
      <c r="AC888" s="1357"/>
    </row>
    <row r="889">
      <c r="B889" s="20"/>
      <c r="C889" s="20"/>
      <c r="D889" s="20"/>
      <c r="E889" s="338"/>
      <c r="F889" s="20"/>
      <c r="G889" s="20"/>
      <c r="H889" s="20"/>
      <c r="I889" s="20"/>
      <c r="J889" s="20" t="s">
        <v>1061</v>
      </c>
      <c r="K889" s="20"/>
      <c r="L889" s="20"/>
      <c r="AC889" s="1357"/>
    </row>
    <row r="890">
      <c r="B890" s="20"/>
      <c r="C890" s="20"/>
      <c r="D890" s="20"/>
      <c r="E890" s="338"/>
      <c r="F890" s="20"/>
      <c r="G890" s="20"/>
      <c r="H890" s="20"/>
      <c r="I890" s="20"/>
      <c r="J890" s="20" t="s">
        <v>1061</v>
      </c>
      <c r="K890" s="20"/>
      <c r="L890" s="20"/>
      <c r="AC890" s="1357"/>
    </row>
    <row r="891">
      <c r="B891" s="20"/>
      <c r="C891" s="20"/>
      <c r="D891" s="20"/>
      <c r="E891" s="338"/>
      <c r="F891" s="20"/>
      <c r="G891" s="20"/>
      <c r="H891" s="20"/>
      <c r="I891" s="20"/>
      <c r="J891" s="20" t="s">
        <v>1061</v>
      </c>
      <c r="K891" s="20"/>
      <c r="L891" s="20"/>
      <c r="AC891" s="1357"/>
    </row>
    <row r="892">
      <c r="B892" s="20"/>
      <c r="C892" s="20"/>
      <c r="D892" s="20"/>
      <c r="E892" s="338"/>
      <c r="F892" s="20"/>
      <c r="G892" s="20"/>
      <c r="H892" s="20"/>
      <c r="I892" s="20"/>
      <c r="J892" s="20" t="s">
        <v>1061</v>
      </c>
      <c r="K892" s="20"/>
      <c r="L892" s="20"/>
      <c r="AC892" s="1357"/>
    </row>
    <row r="893">
      <c r="B893" s="20"/>
      <c r="C893" s="20"/>
      <c r="D893" s="20"/>
      <c r="E893" s="338"/>
      <c r="F893" s="20"/>
      <c r="G893" s="20"/>
      <c r="H893" s="20"/>
      <c r="I893" s="20"/>
      <c r="J893" s="20" t="s">
        <v>1061</v>
      </c>
      <c r="K893" s="20"/>
      <c r="L893" s="20"/>
      <c r="AC893" s="1357"/>
    </row>
    <row r="894">
      <c r="B894" s="20"/>
      <c r="C894" s="20"/>
      <c r="D894" s="20"/>
      <c r="E894" s="338"/>
      <c r="F894" s="20"/>
      <c r="G894" s="20"/>
      <c r="H894" s="20"/>
      <c r="I894" s="20"/>
      <c r="J894" s="20" t="s">
        <v>1061</v>
      </c>
      <c r="K894" s="20"/>
      <c r="L894" s="20"/>
      <c r="AC894" s="1357"/>
    </row>
    <row r="895">
      <c r="B895" s="20"/>
      <c r="C895" s="20"/>
      <c r="D895" s="20"/>
      <c r="E895" s="338"/>
      <c r="F895" s="20"/>
      <c r="G895" s="20"/>
      <c r="H895" s="20"/>
      <c r="I895" s="20"/>
      <c r="J895" s="20" t="s">
        <v>1061</v>
      </c>
      <c r="K895" s="20"/>
      <c r="L895" s="20"/>
      <c r="AC895" s="1357"/>
    </row>
    <row r="896">
      <c r="B896" s="20"/>
      <c r="C896" s="20"/>
      <c r="D896" s="20"/>
      <c r="E896" s="338"/>
      <c r="F896" s="20"/>
      <c r="G896" s="20"/>
      <c r="H896" s="20"/>
      <c r="I896" s="20"/>
      <c r="J896" s="20" t="s">
        <v>1061</v>
      </c>
      <c r="K896" s="20"/>
      <c r="L896" s="20"/>
      <c r="AC896" s="1357"/>
    </row>
    <row r="897">
      <c r="B897" s="20"/>
      <c r="C897" s="20"/>
      <c r="D897" s="20"/>
      <c r="E897" s="338"/>
      <c r="F897" s="20"/>
      <c r="G897" s="20"/>
      <c r="H897" s="20"/>
      <c r="I897" s="20"/>
      <c r="J897" s="20" t="s">
        <v>1061</v>
      </c>
      <c r="K897" s="20"/>
      <c r="L897" s="20"/>
      <c r="AC897" s="1357"/>
    </row>
    <row r="898">
      <c r="B898" s="20"/>
      <c r="C898" s="20"/>
      <c r="D898" s="20"/>
      <c r="E898" s="338"/>
      <c r="F898" s="20"/>
      <c r="G898" s="20"/>
      <c r="H898" s="20"/>
      <c r="I898" s="20"/>
      <c r="J898" s="20" t="s">
        <v>1061</v>
      </c>
      <c r="K898" s="20"/>
      <c r="L898" s="20"/>
      <c r="AC898" s="1357"/>
    </row>
    <row r="899">
      <c r="B899" s="20"/>
      <c r="C899" s="20"/>
      <c r="D899" s="20"/>
      <c r="E899" s="338"/>
      <c r="F899" s="20"/>
      <c r="G899" s="20"/>
      <c r="H899" s="20"/>
      <c r="I899" s="20"/>
      <c r="J899" s="20" t="s">
        <v>1061</v>
      </c>
      <c r="K899" s="20"/>
      <c r="L899" s="20"/>
      <c r="AC899" s="1357"/>
    </row>
    <row r="900">
      <c r="B900" s="20"/>
      <c r="C900" s="20"/>
      <c r="D900" s="20"/>
      <c r="E900" s="338"/>
      <c r="F900" s="20"/>
      <c r="G900" s="20"/>
      <c r="H900" s="20"/>
      <c r="I900" s="20"/>
      <c r="J900" s="20" t="s">
        <v>1061</v>
      </c>
      <c r="K900" s="20"/>
      <c r="L900" s="20"/>
      <c r="AC900" s="1357"/>
    </row>
    <row r="901">
      <c r="B901" s="20"/>
      <c r="C901" s="20"/>
      <c r="D901" s="20"/>
      <c r="E901" s="338"/>
      <c r="F901" s="20"/>
      <c r="G901" s="20"/>
      <c r="H901" s="20"/>
      <c r="I901" s="20"/>
      <c r="J901" s="20" t="s">
        <v>1061</v>
      </c>
      <c r="K901" s="20"/>
      <c r="L901" s="20"/>
      <c r="AC901" s="1357"/>
    </row>
    <row r="902">
      <c r="B902" s="20"/>
      <c r="C902" s="20"/>
      <c r="D902" s="20"/>
      <c r="E902" s="338"/>
      <c r="F902" s="20"/>
      <c r="G902" s="20"/>
      <c r="H902" s="20"/>
      <c r="I902" s="20"/>
      <c r="J902" s="20" t="s">
        <v>1061</v>
      </c>
      <c r="K902" s="20"/>
      <c r="L902" s="20"/>
      <c r="AC902" s="1357"/>
    </row>
    <row r="903">
      <c r="B903" s="20"/>
      <c r="C903" s="20"/>
      <c r="D903" s="20"/>
      <c r="E903" s="338"/>
      <c r="F903" s="20"/>
      <c r="G903" s="20"/>
      <c r="H903" s="20"/>
      <c r="I903" s="20"/>
      <c r="J903" s="20" t="s">
        <v>1061</v>
      </c>
      <c r="K903" s="20"/>
      <c r="L903" s="20"/>
      <c r="AC903" s="1357"/>
    </row>
    <row r="904">
      <c r="B904" s="20"/>
      <c r="C904" s="20"/>
      <c r="D904" s="20"/>
      <c r="E904" s="338"/>
      <c r="F904" s="20"/>
      <c r="G904" s="20"/>
      <c r="H904" s="20"/>
      <c r="I904" s="20"/>
      <c r="J904" s="20" t="s">
        <v>1061</v>
      </c>
      <c r="K904" s="20"/>
      <c r="L904" s="20"/>
      <c r="AC904" s="1357"/>
    </row>
    <row r="905">
      <c r="B905" s="20"/>
      <c r="C905" s="20"/>
      <c r="D905" s="20"/>
      <c r="E905" s="338"/>
      <c r="F905" s="20"/>
      <c r="G905" s="20"/>
      <c r="H905" s="20"/>
      <c r="I905" s="20"/>
      <c r="J905" s="20" t="s">
        <v>1061</v>
      </c>
      <c r="K905" s="20"/>
      <c r="L905" s="20"/>
      <c r="AC905" s="1357"/>
    </row>
    <row r="906">
      <c r="B906" s="20"/>
      <c r="C906" s="20"/>
      <c r="D906" s="20"/>
      <c r="E906" s="338"/>
      <c r="F906" s="20"/>
      <c r="G906" s="20"/>
      <c r="H906" s="20"/>
      <c r="I906" s="20"/>
      <c r="J906" s="20" t="s">
        <v>1061</v>
      </c>
      <c r="K906" s="20"/>
      <c r="L906" s="20"/>
      <c r="AC906" s="1357"/>
    </row>
    <row r="907">
      <c r="B907" s="20"/>
      <c r="C907" s="20"/>
      <c r="D907" s="20"/>
      <c r="E907" s="338"/>
      <c r="F907" s="20"/>
      <c r="G907" s="20"/>
      <c r="H907" s="20"/>
      <c r="I907" s="20"/>
      <c r="J907" s="20" t="s">
        <v>1061</v>
      </c>
      <c r="K907" s="20"/>
      <c r="L907" s="20"/>
      <c r="AC907" s="1357"/>
    </row>
    <row r="908">
      <c r="B908" s="20"/>
      <c r="C908" s="20"/>
      <c r="D908" s="20"/>
      <c r="E908" s="338"/>
      <c r="F908" s="20"/>
      <c r="G908" s="20"/>
      <c r="H908" s="20"/>
      <c r="I908" s="20"/>
      <c r="J908" s="20" t="s">
        <v>1061</v>
      </c>
      <c r="K908" s="20"/>
      <c r="L908" s="20"/>
      <c r="AC908" s="1357"/>
    </row>
    <row r="909">
      <c r="B909" s="20"/>
      <c r="C909" s="20"/>
      <c r="D909" s="20"/>
      <c r="E909" s="338"/>
      <c r="F909" s="20"/>
      <c r="G909" s="20"/>
      <c r="H909" s="20"/>
      <c r="I909" s="20"/>
      <c r="J909" s="20" t="s">
        <v>1061</v>
      </c>
      <c r="K909" s="20"/>
      <c r="L909" s="20"/>
      <c r="AC909" s="1357"/>
    </row>
    <row r="910">
      <c r="B910" s="20"/>
      <c r="C910" s="20"/>
      <c r="D910" s="20"/>
      <c r="E910" s="338"/>
      <c r="F910" s="20"/>
      <c r="G910" s="20"/>
      <c r="H910" s="20"/>
      <c r="I910" s="20"/>
      <c r="J910" s="20" t="s">
        <v>1061</v>
      </c>
      <c r="K910" s="20"/>
      <c r="L910" s="20"/>
      <c r="AC910" s="1357"/>
    </row>
    <row r="911">
      <c r="B911" s="20"/>
      <c r="C911" s="20"/>
      <c r="D911" s="20"/>
      <c r="E911" s="338"/>
      <c r="F911" s="20"/>
      <c r="G911" s="20"/>
      <c r="H911" s="20"/>
      <c r="I911" s="20"/>
      <c r="J911" s="20" t="s">
        <v>1061</v>
      </c>
      <c r="K911" s="20"/>
      <c r="L911" s="20"/>
      <c r="AC911" s="1357"/>
    </row>
    <row r="912">
      <c r="B912" s="20"/>
      <c r="C912" s="20"/>
      <c r="D912" s="20"/>
      <c r="E912" s="338"/>
      <c r="F912" s="20"/>
      <c r="G912" s="20"/>
      <c r="H912" s="20"/>
      <c r="I912" s="20"/>
      <c r="J912" s="20" t="s">
        <v>1061</v>
      </c>
      <c r="K912" s="20"/>
      <c r="L912" s="20"/>
      <c r="AC912" s="1357"/>
    </row>
    <row r="913">
      <c r="B913" s="20"/>
      <c r="C913" s="20"/>
      <c r="D913" s="20"/>
      <c r="E913" s="338"/>
      <c r="F913" s="20"/>
      <c r="G913" s="20"/>
      <c r="H913" s="20"/>
      <c r="I913" s="20"/>
      <c r="J913" s="20" t="s">
        <v>1061</v>
      </c>
      <c r="K913" s="20"/>
      <c r="L913" s="20"/>
      <c r="AC913" s="1357"/>
    </row>
    <row r="914">
      <c r="B914" s="20"/>
      <c r="C914" s="20"/>
      <c r="D914" s="20"/>
      <c r="E914" s="338"/>
      <c r="F914" s="20"/>
      <c r="G914" s="20"/>
      <c r="H914" s="20"/>
      <c r="I914" s="20"/>
      <c r="J914" s="20" t="s">
        <v>1061</v>
      </c>
      <c r="K914" s="20"/>
      <c r="L914" s="20"/>
      <c r="AC914" s="1357"/>
    </row>
    <row r="915">
      <c r="B915" s="20"/>
      <c r="C915" s="20"/>
      <c r="D915" s="20"/>
      <c r="E915" s="338"/>
      <c r="F915" s="20"/>
      <c r="G915" s="20"/>
      <c r="H915" s="20"/>
      <c r="I915" s="20"/>
      <c r="J915" s="20" t="s">
        <v>1061</v>
      </c>
      <c r="K915" s="20"/>
      <c r="L915" s="20"/>
      <c r="AC915" s="1357"/>
    </row>
    <row r="916">
      <c r="B916" s="20"/>
      <c r="C916" s="20"/>
      <c r="D916" s="20"/>
      <c r="E916" s="338"/>
      <c r="F916" s="20"/>
      <c r="G916" s="20"/>
      <c r="H916" s="20"/>
      <c r="I916" s="20"/>
      <c r="J916" s="20" t="s">
        <v>1061</v>
      </c>
      <c r="K916" s="20"/>
      <c r="L916" s="20"/>
      <c r="AC916" s="1357"/>
    </row>
    <row r="917">
      <c r="B917" s="20"/>
      <c r="C917" s="20"/>
      <c r="D917" s="20"/>
      <c r="E917" s="338"/>
      <c r="F917" s="20"/>
      <c r="G917" s="20"/>
      <c r="H917" s="20"/>
      <c r="I917" s="20"/>
      <c r="J917" s="20" t="s">
        <v>1061</v>
      </c>
      <c r="K917" s="20"/>
      <c r="L917" s="20"/>
      <c r="AC917" s="1357"/>
    </row>
    <row r="918">
      <c r="B918" s="20"/>
      <c r="C918" s="20"/>
      <c r="D918" s="20"/>
      <c r="E918" s="338"/>
      <c r="F918" s="20"/>
      <c r="G918" s="20"/>
      <c r="H918" s="20"/>
      <c r="I918" s="20"/>
      <c r="J918" s="20" t="s">
        <v>1061</v>
      </c>
      <c r="K918" s="20"/>
      <c r="L918" s="20"/>
      <c r="AC918" s="1357"/>
    </row>
    <row r="919">
      <c r="B919" s="20"/>
      <c r="C919" s="20"/>
      <c r="D919" s="20"/>
      <c r="E919" s="338"/>
      <c r="F919" s="20"/>
      <c r="G919" s="20"/>
      <c r="H919" s="20"/>
      <c r="I919" s="20"/>
      <c r="J919" s="20" t="s">
        <v>1061</v>
      </c>
      <c r="K919" s="20"/>
      <c r="L919" s="20"/>
      <c r="AC919" s="1357"/>
    </row>
    <row r="920">
      <c r="B920" s="20"/>
      <c r="C920" s="20"/>
      <c r="D920" s="20"/>
      <c r="E920" s="338"/>
      <c r="F920" s="20"/>
      <c r="G920" s="20"/>
      <c r="H920" s="20"/>
      <c r="I920" s="20"/>
      <c r="J920" s="20" t="s">
        <v>1061</v>
      </c>
      <c r="K920" s="20"/>
      <c r="L920" s="20"/>
      <c r="AC920" s="1357"/>
    </row>
    <row r="921">
      <c r="B921" s="20"/>
      <c r="C921" s="20"/>
      <c r="D921" s="20"/>
      <c r="E921" s="338"/>
      <c r="F921" s="20"/>
      <c r="G921" s="20"/>
      <c r="H921" s="20"/>
      <c r="I921" s="20"/>
      <c r="J921" s="20" t="s">
        <v>1061</v>
      </c>
      <c r="K921" s="20"/>
      <c r="L921" s="20"/>
      <c r="AC921" s="1357"/>
    </row>
    <row r="922">
      <c r="B922" s="20"/>
      <c r="C922" s="20"/>
      <c r="D922" s="20"/>
      <c r="E922" s="338"/>
      <c r="F922" s="20"/>
      <c r="G922" s="20"/>
      <c r="H922" s="20"/>
      <c r="I922" s="20"/>
      <c r="J922" s="20" t="s">
        <v>1061</v>
      </c>
      <c r="K922" s="20"/>
      <c r="L922" s="20"/>
      <c r="AC922" s="1357"/>
    </row>
    <row r="923">
      <c r="B923" s="20"/>
      <c r="C923" s="20"/>
      <c r="D923" s="20"/>
      <c r="E923" s="338"/>
      <c r="F923" s="20"/>
      <c r="G923" s="20"/>
      <c r="H923" s="20"/>
      <c r="I923" s="20"/>
      <c r="J923" s="20" t="s">
        <v>1061</v>
      </c>
      <c r="K923" s="20"/>
      <c r="L923" s="20"/>
      <c r="AC923" s="1357"/>
    </row>
    <row r="924">
      <c r="B924" s="20"/>
      <c r="C924" s="20"/>
      <c r="D924" s="20"/>
      <c r="E924" s="338"/>
      <c r="F924" s="20"/>
      <c r="G924" s="20"/>
      <c r="H924" s="20"/>
      <c r="I924" s="20"/>
      <c r="J924" s="20" t="s">
        <v>1061</v>
      </c>
      <c r="K924" s="20"/>
      <c r="L924" s="20"/>
      <c r="AC924" s="1357"/>
    </row>
    <row r="925">
      <c r="B925" s="20"/>
      <c r="C925" s="20"/>
      <c r="D925" s="20"/>
      <c r="E925" s="338"/>
      <c r="F925" s="20"/>
      <c r="G925" s="20"/>
      <c r="H925" s="20"/>
      <c r="I925" s="20"/>
      <c r="J925" s="20" t="s">
        <v>1061</v>
      </c>
      <c r="K925" s="20"/>
      <c r="L925" s="20"/>
      <c r="AC925" s="1357"/>
    </row>
    <row r="926">
      <c r="B926" s="20"/>
      <c r="C926" s="20"/>
      <c r="D926" s="20"/>
      <c r="E926" s="338"/>
      <c r="F926" s="20"/>
      <c r="G926" s="20"/>
      <c r="H926" s="20"/>
      <c r="I926" s="20"/>
      <c r="J926" s="20" t="s">
        <v>1061</v>
      </c>
      <c r="K926" s="20"/>
      <c r="L926" s="20"/>
      <c r="AC926" s="1357"/>
    </row>
    <row r="927">
      <c r="B927" s="20"/>
      <c r="C927" s="20"/>
      <c r="D927" s="20"/>
      <c r="E927" s="338"/>
      <c r="F927" s="20"/>
      <c r="G927" s="20"/>
      <c r="H927" s="20"/>
      <c r="I927" s="20"/>
      <c r="J927" s="20" t="s">
        <v>1061</v>
      </c>
      <c r="K927" s="20"/>
      <c r="L927" s="20"/>
      <c r="AC927" s="1357"/>
    </row>
    <row r="928">
      <c r="B928" s="20"/>
      <c r="C928" s="20"/>
      <c r="D928" s="20"/>
      <c r="E928" s="338"/>
      <c r="F928" s="20"/>
      <c r="G928" s="20"/>
      <c r="H928" s="20"/>
      <c r="I928" s="20"/>
      <c r="J928" s="20" t="s">
        <v>1061</v>
      </c>
      <c r="K928" s="20"/>
      <c r="L928" s="20"/>
      <c r="AC928" s="1357"/>
    </row>
    <row r="929">
      <c r="B929" s="20"/>
      <c r="C929" s="20"/>
      <c r="D929" s="20"/>
      <c r="E929" s="338"/>
      <c r="F929" s="20"/>
      <c r="G929" s="20"/>
      <c r="H929" s="20"/>
      <c r="I929" s="20"/>
      <c r="J929" s="20" t="s">
        <v>1061</v>
      </c>
      <c r="K929" s="20"/>
      <c r="L929" s="20"/>
      <c r="AC929" s="1357"/>
    </row>
    <row r="930">
      <c r="B930" s="20"/>
      <c r="C930" s="20"/>
      <c r="D930" s="20"/>
      <c r="E930" s="338"/>
      <c r="F930" s="20"/>
      <c r="G930" s="20"/>
      <c r="H930" s="20"/>
      <c r="I930" s="20"/>
      <c r="J930" s="20" t="s">
        <v>1061</v>
      </c>
      <c r="K930" s="20"/>
      <c r="L930" s="20"/>
      <c r="AC930" s="1357"/>
    </row>
    <row r="931">
      <c r="B931" s="20"/>
      <c r="C931" s="20"/>
      <c r="D931" s="20"/>
      <c r="E931" s="338"/>
      <c r="F931" s="20"/>
      <c r="G931" s="20"/>
      <c r="H931" s="20"/>
      <c r="I931" s="20"/>
      <c r="J931" s="20" t="s">
        <v>1061</v>
      </c>
      <c r="K931" s="20"/>
      <c r="L931" s="20"/>
      <c r="AC931" s="1357"/>
    </row>
    <row r="932">
      <c r="B932" s="20"/>
      <c r="C932" s="20"/>
      <c r="D932" s="20"/>
      <c r="E932" s="338"/>
      <c r="F932" s="20"/>
      <c r="G932" s="20"/>
      <c r="H932" s="20"/>
      <c r="I932" s="20"/>
      <c r="J932" s="20" t="s">
        <v>1061</v>
      </c>
      <c r="K932" s="20"/>
      <c r="L932" s="20"/>
      <c r="AC932" s="1357"/>
    </row>
    <row r="933">
      <c r="B933" s="20"/>
      <c r="C933" s="20"/>
      <c r="D933" s="20"/>
      <c r="E933" s="338"/>
      <c r="F933" s="20"/>
      <c r="G933" s="20"/>
      <c r="H933" s="20"/>
      <c r="I933" s="20"/>
      <c r="J933" s="20" t="s">
        <v>1061</v>
      </c>
      <c r="K933" s="20"/>
      <c r="L933" s="20"/>
      <c r="AC933" s="1357"/>
    </row>
    <row r="934">
      <c r="B934" s="20"/>
      <c r="C934" s="20"/>
      <c r="D934" s="20"/>
      <c r="E934" s="338"/>
      <c r="F934" s="20"/>
      <c r="G934" s="20"/>
      <c r="H934" s="20"/>
      <c r="I934" s="20"/>
      <c r="J934" s="20" t="s">
        <v>1061</v>
      </c>
      <c r="K934" s="20"/>
      <c r="L934" s="20"/>
      <c r="AC934" s="1357"/>
    </row>
    <row r="935">
      <c r="B935" s="20"/>
      <c r="C935" s="20"/>
      <c r="D935" s="20"/>
      <c r="E935" s="338"/>
      <c r="F935" s="20"/>
      <c r="G935" s="20"/>
      <c r="H935" s="20"/>
      <c r="I935" s="20"/>
      <c r="J935" s="20" t="s">
        <v>1061</v>
      </c>
      <c r="K935" s="20"/>
      <c r="L935" s="20"/>
      <c r="AC935" s="1357"/>
    </row>
    <row r="936">
      <c r="B936" s="20"/>
      <c r="C936" s="20"/>
      <c r="D936" s="20"/>
      <c r="E936" s="338"/>
      <c r="F936" s="20"/>
      <c r="G936" s="20"/>
      <c r="H936" s="20"/>
      <c r="I936" s="20"/>
      <c r="J936" s="20" t="s">
        <v>1061</v>
      </c>
      <c r="K936" s="20"/>
      <c r="L936" s="20"/>
      <c r="AC936" s="1357"/>
    </row>
    <row r="937">
      <c r="B937" s="20"/>
      <c r="C937" s="20"/>
      <c r="D937" s="20"/>
      <c r="E937" s="338"/>
      <c r="F937" s="20"/>
      <c r="G937" s="20"/>
      <c r="H937" s="20"/>
      <c r="I937" s="20"/>
      <c r="J937" s="20" t="s">
        <v>1061</v>
      </c>
      <c r="K937" s="20"/>
      <c r="L937" s="20"/>
      <c r="AC937" s="1357"/>
    </row>
    <row r="938">
      <c r="B938" s="20"/>
      <c r="C938" s="20"/>
      <c r="D938" s="20"/>
      <c r="E938" s="338"/>
      <c r="F938" s="20"/>
      <c r="G938" s="20"/>
      <c r="H938" s="20"/>
      <c r="I938" s="20"/>
      <c r="J938" s="20" t="s">
        <v>1061</v>
      </c>
      <c r="K938" s="20"/>
      <c r="L938" s="20"/>
      <c r="AC938" s="1357"/>
    </row>
    <row r="939">
      <c r="B939" s="20"/>
      <c r="C939" s="20"/>
      <c r="D939" s="20"/>
      <c r="E939" s="338"/>
      <c r="F939" s="20"/>
      <c r="G939" s="20"/>
      <c r="H939" s="20"/>
      <c r="I939" s="20"/>
      <c r="J939" s="20" t="s">
        <v>1061</v>
      </c>
      <c r="K939" s="20"/>
      <c r="L939" s="20"/>
      <c r="AC939" s="1357"/>
    </row>
    <row r="940">
      <c r="B940" s="20"/>
      <c r="C940" s="20"/>
      <c r="D940" s="20"/>
      <c r="E940" s="338"/>
      <c r="F940" s="20"/>
      <c r="G940" s="20"/>
      <c r="H940" s="20"/>
      <c r="I940" s="20"/>
      <c r="J940" s="20" t="s">
        <v>1061</v>
      </c>
      <c r="K940" s="20"/>
      <c r="L940" s="20"/>
      <c r="AC940" s="1357"/>
    </row>
    <row r="941">
      <c r="B941" s="20"/>
      <c r="C941" s="20"/>
      <c r="D941" s="20"/>
      <c r="E941" s="338"/>
      <c r="F941" s="20"/>
      <c r="G941" s="20"/>
      <c r="H941" s="20"/>
      <c r="I941" s="20"/>
      <c r="J941" s="20" t="s">
        <v>1061</v>
      </c>
      <c r="K941" s="20"/>
      <c r="L941" s="20"/>
      <c r="AC941" s="1357"/>
    </row>
    <row r="942">
      <c r="B942" s="20"/>
      <c r="C942" s="20"/>
      <c r="D942" s="20"/>
      <c r="E942" s="338"/>
      <c r="F942" s="20"/>
      <c r="G942" s="20"/>
      <c r="H942" s="20"/>
      <c r="I942" s="20"/>
      <c r="J942" s="20" t="s">
        <v>1061</v>
      </c>
      <c r="K942" s="20"/>
      <c r="L942" s="20"/>
      <c r="AC942" s="1357"/>
    </row>
    <row r="943">
      <c r="B943" s="20"/>
      <c r="C943" s="20"/>
      <c r="D943" s="20"/>
      <c r="E943" s="338"/>
      <c r="F943" s="20"/>
      <c r="G943" s="20"/>
      <c r="H943" s="20"/>
      <c r="I943" s="20"/>
      <c r="J943" s="20" t="s">
        <v>1061</v>
      </c>
      <c r="K943" s="20"/>
      <c r="L943" s="20"/>
      <c r="AC943" s="1357"/>
    </row>
    <row r="944">
      <c r="B944" s="20"/>
      <c r="C944" s="20"/>
      <c r="D944" s="20"/>
      <c r="E944" s="338"/>
      <c r="F944" s="20"/>
      <c r="G944" s="20"/>
      <c r="H944" s="20"/>
      <c r="I944" s="20"/>
      <c r="J944" s="20" t="s">
        <v>1061</v>
      </c>
      <c r="K944" s="20"/>
      <c r="L944" s="20"/>
      <c r="AC944" s="1357"/>
    </row>
    <row r="945">
      <c r="B945" s="20"/>
      <c r="C945" s="20"/>
      <c r="D945" s="20"/>
      <c r="E945" s="338"/>
      <c r="F945" s="20"/>
      <c r="G945" s="20"/>
      <c r="H945" s="20"/>
      <c r="I945" s="20"/>
      <c r="J945" s="20" t="s">
        <v>1061</v>
      </c>
      <c r="K945" s="20"/>
      <c r="L945" s="20"/>
      <c r="AC945" s="1357"/>
    </row>
    <row r="946">
      <c r="B946" s="20"/>
      <c r="C946" s="20"/>
      <c r="D946" s="20"/>
      <c r="E946" s="338"/>
      <c r="F946" s="20"/>
      <c r="G946" s="20"/>
      <c r="H946" s="20"/>
      <c r="I946" s="20"/>
      <c r="J946" s="20" t="s">
        <v>1061</v>
      </c>
      <c r="K946" s="20"/>
      <c r="L946" s="20"/>
      <c r="AC946" s="1357"/>
    </row>
    <row r="947">
      <c r="B947" s="20"/>
      <c r="C947" s="20"/>
      <c r="D947" s="20"/>
      <c r="E947" s="338"/>
      <c r="F947" s="20"/>
      <c r="G947" s="20"/>
      <c r="H947" s="20"/>
      <c r="I947" s="20"/>
      <c r="J947" s="20" t="s">
        <v>1061</v>
      </c>
      <c r="K947" s="20"/>
      <c r="L947" s="20"/>
      <c r="AC947" s="1357"/>
    </row>
    <row r="948">
      <c r="B948" s="20"/>
      <c r="C948" s="20"/>
      <c r="D948" s="20"/>
      <c r="E948" s="338"/>
      <c r="F948" s="20"/>
      <c r="G948" s="20"/>
      <c r="H948" s="20"/>
      <c r="I948" s="20"/>
      <c r="J948" s="20" t="s">
        <v>1061</v>
      </c>
      <c r="K948" s="20"/>
      <c r="L948" s="20"/>
      <c r="AC948" s="1357"/>
    </row>
    <row r="949">
      <c r="B949" s="20"/>
      <c r="C949" s="20"/>
      <c r="D949" s="20"/>
      <c r="E949" s="338"/>
      <c r="F949" s="20"/>
      <c r="G949" s="20"/>
      <c r="H949" s="20"/>
      <c r="I949" s="20"/>
      <c r="J949" s="20" t="s">
        <v>1061</v>
      </c>
      <c r="K949" s="20"/>
      <c r="L949" s="20"/>
      <c r="AC949" s="1357"/>
    </row>
    <row r="950">
      <c r="B950" s="20"/>
      <c r="C950" s="20"/>
      <c r="D950" s="20"/>
      <c r="E950" s="338"/>
      <c r="F950" s="20"/>
      <c r="G950" s="20"/>
      <c r="H950" s="20"/>
      <c r="I950" s="20"/>
      <c r="J950" s="20" t="s">
        <v>1061</v>
      </c>
      <c r="K950" s="20"/>
      <c r="L950" s="20"/>
      <c r="AC950" s="1357"/>
    </row>
    <row r="951">
      <c r="B951" s="20"/>
      <c r="C951" s="20"/>
      <c r="D951" s="20"/>
      <c r="E951" s="338"/>
      <c r="F951" s="20"/>
      <c r="G951" s="20"/>
      <c r="H951" s="20"/>
      <c r="I951" s="20"/>
      <c r="J951" s="20" t="s">
        <v>1061</v>
      </c>
      <c r="K951" s="20"/>
      <c r="L951" s="20"/>
      <c r="AC951" s="1357"/>
    </row>
    <row r="952">
      <c r="B952" s="20"/>
      <c r="C952" s="20"/>
      <c r="D952" s="20"/>
      <c r="E952" s="338"/>
      <c r="F952" s="20"/>
      <c r="G952" s="20"/>
      <c r="H952" s="20"/>
      <c r="I952" s="20"/>
      <c r="J952" s="20" t="s">
        <v>1061</v>
      </c>
      <c r="K952" s="20"/>
      <c r="L952" s="20"/>
      <c r="AC952" s="1357"/>
    </row>
    <row r="953">
      <c r="B953" s="20"/>
      <c r="C953" s="20"/>
      <c r="D953" s="20"/>
      <c r="E953" s="338"/>
      <c r="F953" s="20"/>
      <c r="G953" s="20"/>
      <c r="H953" s="20"/>
      <c r="I953" s="20"/>
      <c r="J953" s="20" t="s">
        <v>1061</v>
      </c>
      <c r="K953" s="20"/>
      <c r="L953" s="20"/>
      <c r="AC953" s="1357"/>
    </row>
    <row r="954">
      <c r="B954" s="20"/>
      <c r="C954" s="20"/>
      <c r="D954" s="20"/>
      <c r="E954" s="338"/>
      <c r="F954" s="20"/>
      <c r="G954" s="20"/>
      <c r="H954" s="20"/>
      <c r="I954" s="20"/>
      <c r="J954" s="20" t="s">
        <v>1061</v>
      </c>
      <c r="K954" s="20"/>
      <c r="L954" s="20"/>
      <c r="AC954" s="1357"/>
    </row>
    <row r="955">
      <c r="B955" s="20"/>
      <c r="C955" s="20"/>
      <c r="D955" s="20"/>
      <c r="E955" s="338"/>
      <c r="F955" s="20"/>
      <c r="G955" s="20"/>
      <c r="H955" s="20"/>
      <c r="I955" s="20"/>
      <c r="J955" s="20" t="s">
        <v>1061</v>
      </c>
      <c r="K955" s="20"/>
      <c r="L955" s="20"/>
      <c r="AC955" s="1357"/>
    </row>
    <row r="956">
      <c r="B956" s="20"/>
      <c r="C956" s="20"/>
      <c r="D956" s="20"/>
      <c r="E956" s="338"/>
      <c r="F956" s="20"/>
      <c r="G956" s="20"/>
      <c r="H956" s="20"/>
      <c r="I956" s="20"/>
      <c r="J956" s="20" t="s">
        <v>1061</v>
      </c>
      <c r="K956" s="20"/>
      <c r="L956" s="20"/>
      <c r="AC956" s="1357"/>
    </row>
    <row r="957">
      <c r="B957" s="20"/>
      <c r="C957" s="20"/>
      <c r="D957" s="20"/>
      <c r="E957" s="338"/>
      <c r="F957" s="20"/>
      <c r="G957" s="20"/>
      <c r="H957" s="20"/>
      <c r="I957" s="20"/>
      <c r="J957" s="20" t="s">
        <v>1061</v>
      </c>
      <c r="K957" s="20"/>
      <c r="L957" s="20"/>
      <c r="AC957" s="1357"/>
    </row>
    <row r="958">
      <c r="B958" s="20"/>
      <c r="C958" s="20"/>
      <c r="D958" s="20"/>
      <c r="E958" s="338"/>
      <c r="F958" s="20"/>
      <c r="G958" s="20"/>
      <c r="H958" s="20"/>
      <c r="I958" s="20"/>
      <c r="J958" s="20" t="s">
        <v>1061</v>
      </c>
      <c r="K958" s="20"/>
      <c r="L958" s="20"/>
      <c r="AC958" s="1357"/>
    </row>
    <row r="959">
      <c r="B959" s="20"/>
      <c r="C959" s="20"/>
      <c r="D959" s="20"/>
      <c r="E959" s="338"/>
      <c r="F959" s="20"/>
      <c r="G959" s="20"/>
      <c r="H959" s="20"/>
      <c r="I959" s="20"/>
      <c r="J959" s="20" t="s">
        <v>1061</v>
      </c>
      <c r="K959" s="20"/>
      <c r="L959" s="20"/>
      <c r="AC959" s="1357"/>
    </row>
    <row r="960">
      <c r="B960" s="20"/>
      <c r="C960" s="20"/>
      <c r="D960" s="20"/>
      <c r="E960" s="338"/>
      <c r="F960" s="20"/>
      <c r="G960" s="20"/>
      <c r="H960" s="20"/>
      <c r="I960" s="20"/>
      <c r="J960" s="20" t="s">
        <v>1061</v>
      </c>
      <c r="K960" s="20"/>
      <c r="L960" s="20"/>
      <c r="AC960" s="1357"/>
    </row>
    <row r="961">
      <c r="B961" s="20"/>
      <c r="C961" s="20"/>
      <c r="D961" s="20"/>
      <c r="E961" s="338"/>
      <c r="F961" s="20"/>
      <c r="G961" s="20"/>
      <c r="H961" s="20"/>
      <c r="I961" s="20"/>
      <c r="J961" s="20" t="s">
        <v>1061</v>
      </c>
      <c r="K961" s="20"/>
      <c r="L961" s="20"/>
      <c r="AC961" s="1357"/>
    </row>
    <row r="962">
      <c r="B962" s="20"/>
      <c r="C962" s="20"/>
      <c r="D962" s="20"/>
      <c r="E962" s="338"/>
      <c r="F962" s="20"/>
      <c r="G962" s="20"/>
      <c r="H962" s="20"/>
      <c r="I962" s="20"/>
      <c r="J962" s="20" t="s">
        <v>1061</v>
      </c>
      <c r="K962" s="20"/>
      <c r="L962" s="20"/>
      <c r="AC962" s="1357"/>
    </row>
    <row r="963">
      <c r="B963" s="20"/>
      <c r="C963" s="20"/>
      <c r="D963" s="20"/>
      <c r="E963" s="338"/>
      <c r="F963" s="20"/>
      <c r="G963" s="20"/>
      <c r="H963" s="20"/>
      <c r="I963" s="20"/>
      <c r="J963" s="20" t="s">
        <v>1061</v>
      </c>
      <c r="K963" s="20"/>
      <c r="L963" s="20"/>
      <c r="AC963" s="1357"/>
    </row>
    <row r="964">
      <c r="B964" s="20"/>
      <c r="C964" s="20"/>
      <c r="D964" s="20"/>
      <c r="E964" s="338"/>
      <c r="F964" s="20"/>
      <c r="G964" s="20"/>
      <c r="H964" s="20"/>
      <c r="I964" s="20"/>
      <c r="J964" s="20" t="s">
        <v>1061</v>
      </c>
      <c r="K964" s="20"/>
      <c r="L964" s="20"/>
      <c r="AC964" s="1357"/>
    </row>
    <row r="965">
      <c r="B965" s="20"/>
      <c r="C965" s="20"/>
      <c r="D965" s="20"/>
      <c r="E965" s="338"/>
      <c r="F965" s="20"/>
      <c r="G965" s="20"/>
      <c r="H965" s="20"/>
      <c r="I965" s="20"/>
      <c r="J965" s="20" t="s">
        <v>1061</v>
      </c>
      <c r="K965" s="20"/>
      <c r="L965" s="20"/>
      <c r="AC965" s="1357"/>
    </row>
    <row r="966">
      <c r="B966" s="20"/>
      <c r="C966" s="20"/>
      <c r="D966" s="20"/>
      <c r="E966" s="338"/>
      <c r="F966" s="20"/>
      <c r="G966" s="20"/>
      <c r="H966" s="20"/>
      <c r="I966" s="20"/>
      <c r="J966" s="20" t="s">
        <v>1061</v>
      </c>
      <c r="K966" s="20"/>
      <c r="L966" s="20"/>
      <c r="AC966" s="1357"/>
    </row>
    <row r="967">
      <c r="B967" s="20"/>
      <c r="C967" s="20"/>
      <c r="D967" s="20"/>
      <c r="E967" s="338"/>
      <c r="F967" s="20"/>
      <c r="G967" s="20"/>
      <c r="H967" s="20"/>
      <c r="I967" s="20"/>
      <c r="J967" s="20" t="s">
        <v>1061</v>
      </c>
      <c r="K967" s="20"/>
      <c r="L967" s="20"/>
      <c r="AC967" s="1357"/>
    </row>
    <row r="968">
      <c r="B968" s="20"/>
      <c r="C968" s="20"/>
      <c r="D968" s="20"/>
      <c r="E968" s="338"/>
      <c r="F968" s="20"/>
      <c r="G968" s="20"/>
      <c r="H968" s="20"/>
      <c r="I968" s="20"/>
      <c r="J968" s="20" t="s">
        <v>1061</v>
      </c>
      <c r="K968" s="20"/>
      <c r="L968" s="20"/>
      <c r="AC968" s="1357"/>
    </row>
    <row r="969">
      <c r="B969" s="20"/>
      <c r="C969" s="20"/>
      <c r="D969" s="20"/>
      <c r="E969" s="338"/>
      <c r="F969" s="20"/>
      <c r="G969" s="20"/>
      <c r="H969" s="20"/>
      <c r="I969" s="20"/>
      <c r="J969" s="20" t="s">
        <v>1061</v>
      </c>
      <c r="K969" s="20"/>
      <c r="L969" s="20"/>
      <c r="AC969" s="1357"/>
    </row>
    <row r="970">
      <c r="B970" s="20"/>
      <c r="C970" s="20"/>
      <c r="D970" s="20"/>
      <c r="E970" s="338"/>
      <c r="F970" s="20"/>
      <c r="G970" s="20"/>
      <c r="H970" s="20"/>
      <c r="I970" s="20"/>
      <c r="J970" s="20" t="s">
        <v>1061</v>
      </c>
      <c r="K970" s="20"/>
      <c r="L970" s="20"/>
      <c r="AC970" s="1357"/>
    </row>
    <row r="971">
      <c r="B971" s="20"/>
      <c r="C971" s="20"/>
      <c r="D971" s="20"/>
      <c r="E971" s="338"/>
      <c r="F971" s="20"/>
      <c r="G971" s="20"/>
      <c r="H971" s="20"/>
      <c r="I971" s="20"/>
      <c r="J971" s="20" t="s">
        <v>1061</v>
      </c>
      <c r="K971" s="20"/>
      <c r="L971" s="20"/>
      <c r="AC971" s="1357"/>
    </row>
    <row r="972">
      <c r="B972" s="20"/>
      <c r="C972" s="20"/>
      <c r="D972" s="20"/>
      <c r="E972" s="338"/>
      <c r="F972" s="20"/>
      <c r="G972" s="20"/>
      <c r="H972" s="20"/>
      <c r="I972" s="20"/>
      <c r="J972" s="20" t="s">
        <v>1061</v>
      </c>
      <c r="K972" s="20"/>
      <c r="L972" s="20"/>
      <c r="AC972" s="1357"/>
    </row>
    <row r="973">
      <c r="B973" s="20"/>
      <c r="C973" s="20"/>
      <c r="D973" s="20"/>
      <c r="E973" s="338"/>
      <c r="F973" s="20"/>
      <c r="G973" s="20"/>
      <c r="H973" s="20"/>
      <c r="I973" s="20"/>
      <c r="J973" s="20" t="s">
        <v>1061</v>
      </c>
      <c r="K973" s="20"/>
      <c r="L973" s="20"/>
      <c r="AC973" s="1357"/>
    </row>
    <row r="974">
      <c r="B974" s="20"/>
      <c r="C974" s="20"/>
      <c r="D974" s="20"/>
      <c r="E974" s="338"/>
      <c r="F974" s="20"/>
      <c r="G974" s="20"/>
      <c r="H974" s="20"/>
      <c r="I974" s="20"/>
      <c r="J974" s="20" t="s">
        <v>1061</v>
      </c>
      <c r="K974" s="20"/>
      <c r="L974" s="20"/>
      <c r="AC974" s="1357"/>
    </row>
    <row r="975">
      <c r="B975" s="20"/>
      <c r="C975" s="20"/>
      <c r="D975" s="20"/>
      <c r="E975" s="338"/>
      <c r="F975" s="20"/>
      <c r="G975" s="20"/>
      <c r="H975" s="20"/>
      <c r="I975" s="20"/>
      <c r="J975" s="20" t="s">
        <v>1061</v>
      </c>
      <c r="K975" s="20"/>
      <c r="L975" s="20"/>
      <c r="AC975" s="1357"/>
    </row>
    <row r="976">
      <c r="B976" s="20"/>
      <c r="C976" s="20"/>
      <c r="D976" s="20"/>
      <c r="E976" s="338"/>
      <c r="F976" s="20"/>
      <c r="G976" s="20"/>
      <c r="H976" s="20"/>
      <c r="I976" s="20"/>
      <c r="J976" s="20" t="s">
        <v>1061</v>
      </c>
      <c r="K976" s="20"/>
      <c r="L976" s="20"/>
      <c r="AC976" s="1357"/>
    </row>
    <row r="977">
      <c r="B977" s="20"/>
      <c r="C977" s="20"/>
      <c r="D977" s="20"/>
      <c r="E977" s="338"/>
      <c r="F977" s="20"/>
      <c r="G977" s="20"/>
      <c r="H977" s="20"/>
      <c r="I977" s="20"/>
      <c r="J977" s="20" t="s">
        <v>1061</v>
      </c>
      <c r="K977" s="20"/>
      <c r="L977" s="20"/>
      <c r="AC977" s="1357"/>
    </row>
    <row r="978">
      <c r="B978" s="20"/>
      <c r="C978" s="20"/>
      <c r="D978" s="20"/>
      <c r="E978" s="338"/>
      <c r="F978" s="20"/>
      <c r="G978" s="20"/>
      <c r="H978" s="20"/>
      <c r="I978" s="20"/>
      <c r="J978" s="20" t="s">
        <v>1061</v>
      </c>
      <c r="K978" s="20"/>
      <c r="L978" s="20"/>
      <c r="AC978" s="1357"/>
    </row>
    <row r="979">
      <c r="B979" s="20"/>
      <c r="C979" s="20"/>
      <c r="D979" s="20"/>
      <c r="E979" s="338"/>
      <c r="F979" s="20"/>
      <c r="G979" s="20"/>
      <c r="H979" s="20"/>
      <c r="I979" s="20"/>
      <c r="J979" s="20" t="s">
        <v>1061</v>
      </c>
      <c r="K979" s="20"/>
      <c r="L979" s="20"/>
      <c r="AC979" s="1357"/>
    </row>
    <row r="980">
      <c r="B980" s="20"/>
      <c r="C980" s="20"/>
      <c r="D980" s="20"/>
      <c r="E980" s="338"/>
      <c r="F980" s="20"/>
      <c r="G980" s="20"/>
      <c r="H980" s="20"/>
      <c r="I980" s="20"/>
      <c r="J980" s="20" t="s">
        <v>1061</v>
      </c>
      <c r="K980" s="20"/>
      <c r="L980" s="20"/>
      <c r="AC980" s="1357"/>
    </row>
    <row r="981">
      <c r="B981" s="20"/>
      <c r="C981" s="20"/>
      <c r="D981" s="20"/>
      <c r="E981" s="338"/>
      <c r="F981" s="20"/>
      <c r="G981" s="20"/>
      <c r="H981" s="20"/>
      <c r="I981" s="20"/>
      <c r="J981" s="20" t="s">
        <v>1061</v>
      </c>
      <c r="K981" s="20"/>
      <c r="L981" s="20"/>
      <c r="AC981" s="1357"/>
    </row>
    <row r="982">
      <c r="B982" s="20"/>
      <c r="C982" s="20"/>
      <c r="D982" s="20"/>
      <c r="E982" s="338"/>
      <c r="F982" s="20"/>
      <c r="G982" s="20"/>
      <c r="H982" s="20"/>
      <c r="I982" s="20"/>
      <c r="J982" s="20" t="s">
        <v>1061</v>
      </c>
      <c r="K982" s="20"/>
      <c r="L982" s="20"/>
      <c r="AC982" s="1357"/>
    </row>
    <row r="983">
      <c r="B983" s="20"/>
      <c r="C983" s="20"/>
      <c r="D983" s="20"/>
      <c r="E983" s="338"/>
      <c r="F983" s="20"/>
      <c r="G983" s="20"/>
      <c r="H983" s="20"/>
      <c r="I983" s="20"/>
      <c r="J983" s="20" t="s">
        <v>1061</v>
      </c>
      <c r="K983" s="20"/>
      <c r="L983" s="20"/>
      <c r="AC983" s="1357"/>
    </row>
    <row r="984">
      <c r="B984" s="20"/>
      <c r="C984" s="20"/>
      <c r="D984" s="20"/>
      <c r="E984" s="338"/>
      <c r="F984" s="20"/>
      <c r="G984" s="20"/>
      <c r="H984" s="20"/>
      <c r="I984" s="20"/>
      <c r="J984" s="20" t="s">
        <v>1061</v>
      </c>
      <c r="K984" s="20"/>
      <c r="L984" s="20"/>
      <c r="AC984" s="1357"/>
    </row>
    <row r="985">
      <c r="B985" s="20"/>
      <c r="C985" s="20"/>
      <c r="D985" s="20"/>
      <c r="E985" s="338"/>
      <c r="F985" s="20"/>
      <c r="G985" s="20"/>
      <c r="H985" s="20"/>
      <c r="I985" s="20"/>
      <c r="J985" s="20" t="s">
        <v>1061</v>
      </c>
      <c r="K985" s="20"/>
      <c r="L985" s="20"/>
      <c r="AC985" s="1357"/>
    </row>
    <row r="986">
      <c r="B986" s="20"/>
      <c r="C986" s="20"/>
      <c r="D986" s="20"/>
      <c r="E986" s="338"/>
      <c r="F986" s="20"/>
      <c r="G986" s="20"/>
      <c r="H986" s="20"/>
      <c r="I986" s="20"/>
      <c r="J986" s="20" t="s">
        <v>1061</v>
      </c>
      <c r="K986" s="20"/>
      <c r="L986" s="20"/>
      <c r="AC986" s="1357"/>
    </row>
    <row r="987">
      <c r="B987" s="20"/>
      <c r="C987" s="20"/>
      <c r="D987" s="20"/>
      <c r="E987" s="338"/>
      <c r="F987" s="20"/>
      <c r="G987" s="20"/>
      <c r="H987" s="20"/>
      <c r="I987" s="20"/>
      <c r="J987" s="20" t="s">
        <v>1061</v>
      </c>
      <c r="K987" s="20"/>
      <c r="L987" s="20"/>
      <c r="AC987" s="1357"/>
    </row>
    <row r="988">
      <c r="B988" s="20"/>
      <c r="C988" s="20"/>
      <c r="D988" s="20"/>
      <c r="E988" s="338"/>
      <c r="F988" s="20"/>
      <c r="G988" s="20"/>
      <c r="H988" s="20"/>
      <c r="I988" s="20"/>
      <c r="J988" s="20" t="s">
        <v>1061</v>
      </c>
      <c r="K988" s="20"/>
      <c r="L988" s="20"/>
      <c r="AC988" s="1357"/>
    </row>
    <row r="989">
      <c r="B989" s="20"/>
      <c r="C989" s="20"/>
      <c r="D989" s="20"/>
      <c r="E989" s="338"/>
      <c r="F989" s="20"/>
      <c r="G989" s="20"/>
      <c r="H989" s="20"/>
      <c r="I989" s="20"/>
      <c r="J989" s="20" t="s">
        <v>1061</v>
      </c>
      <c r="K989" s="20"/>
      <c r="L989" s="20"/>
      <c r="AC989" s="1357"/>
    </row>
    <row r="990">
      <c r="B990" s="20"/>
      <c r="C990" s="20"/>
      <c r="D990" s="20"/>
      <c r="E990" s="338"/>
      <c r="F990" s="20"/>
      <c r="G990" s="20"/>
      <c r="H990" s="20"/>
      <c r="I990" s="20"/>
      <c r="J990" s="20" t="s">
        <v>1061</v>
      </c>
      <c r="K990" s="20"/>
      <c r="L990" s="20"/>
      <c r="AC990" s="1357"/>
    </row>
    <row r="991">
      <c r="B991" s="20"/>
      <c r="C991" s="20"/>
      <c r="D991" s="20"/>
      <c r="E991" s="338"/>
      <c r="F991" s="20"/>
      <c r="G991" s="20"/>
      <c r="H991" s="20"/>
      <c r="I991" s="20"/>
      <c r="J991" s="20" t="s">
        <v>1061</v>
      </c>
      <c r="K991" s="20"/>
      <c r="L991" s="20"/>
      <c r="AC991" s="1357"/>
    </row>
    <row r="992">
      <c r="B992" s="20"/>
      <c r="C992" s="20"/>
      <c r="D992" s="20"/>
      <c r="E992" s="338"/>
      <c r="F992" s="20"/>
      <c r="G992" s="20"/>
      <c r="H992" s="20"/>
      <c r="I992" s="20"/>
      <c r="J992" s="20" t="s">
        <v>1061</v>
      </c>
      <c r="K992" s="20"/>
      <c r="L992" s="20"/>
      <c r="AC992" s="1357"/>
    </row>
    <row r="993">
      <c r="B993" s="20"/>
      <c r="C993" s="20"/>
      <c r="D993" s="20"/>
      <c r="E993" s="338"/>
      <c r="F993" s="20"/>
      <c r="G993" s="20"/>
      <c r="H993" s="20"/>
      <c r="I993" s="20"/>
      <c r="J993" s="20" t="s">
        <v>1061</v>
      </c>
      <c r="K993" s="20"/>
      <c r="L993" s="20"/>
      <c r="AC993" s="1357"/>
    </row>
    <row r="994">
      <c r="B994" s="20"/>
      <c r="C994" s="20"/>
      <c r="D994" s="20"/>
      <c r="E994" s="338"/>
      <c r="F994" s="20"/>
      <c r="G994" s="20"/>
      <c r="H994" s="20"/>
      <c r="I994" s="20"/>
      <c r="J994" s="20" t="s">
        <v>1061</v>
      </c>
      <c r="K994" s="20"/>
      <c r="L994" s="20"/>
      <c r="AC994" s="1357"/>
    </row>
    <row r="995">
      <c r="B995" s="20"/>
      <c r="C995" s="20"/>
      <c r="D995" s="20"/>
      <c r="E995" s="338"/>
      <c r="F995" s="20"/>
      <c r="G995" s="20"/>
      <c r="H995" s="20"/>
      <c r="I995" s="20"/>
      <c r="J995" s="20" t="s">
        <v>1061</v>
      </c>
      <c r="K995" s="20"/>
      <c r="L995" s="20"/>
      <c r="AC995" s="1357"/>
    </row>
    <row r="996">
      <c r="B996" s="20"/>
      <c r="C996" s="20"/>
      <c r="D996" s="20"/>
      <c r="E996" s="338"/>
      <c r="F996" s="20"/>
      <c r="G996" s="20"/>
      <c r="H996" s="20"/>
      <c r="I996" s="20"/>
      <c r="J996" s="20" t="s">
        <v>1061</v>
      </c>
      <c r="K996" s="20"/>
      <c r="L996" s="20"/>
      <c r="AC996" s="1357"/>
    </row>
    <row r="997">
      <c r="B997" s="20"/>
      <c r="C997" s="20"/>
      <c r="D997" s="20"/>
      <c r="E997" s="338"/>
      <c r="F997" s="20"/>
      <c r="G997" s="20"/>
      <c r="H997" s="20"/>
      <c r="I997" s="20"/>
      <c r="J997" s="20" t="s">
        <v>1061</v>
      </c>
      <c r="K997" s="20"/>
      <c r="L997" s="20"/>
      <c r="AC997" s="1357"/>
    </row>
    <row r="998">
      <c r="B998" s="20"/>
      <c r="C998" s="20"/>
      <c r="D998" s="20"/>
      <c r="E998" s="338"/>
      <c r="F998" s="20"/>
      <c r="G998" s="20"/>
      <c r="H998" s="20"/>
      <c r="I998" s="20"/>
      <c r="J998" s="20" t="s">
        <v>1061</v>
      </c>
      <c r="K998" s="20"/>
      <c r="L998" s="20"/>
      <c r="AC998" s="1357"/>
    </row>
    <row r="999">
      <c r="B999" s="20"/>
      <c r="C999" s="20"/>
      <c r="D999" s="20"/>
      <c r="E999" s="338"/>
      <c r="F999" s="20"/>
      <c r="G999" s="20"/>
      <c r="H999" s="20"/>
      <c r="I999" s="20"/>
      <c r="J999" s="20" t="s">
        <v>1061</v>
      </c>
      <c r="K999" s="20"/>
      <c r="L999" s="20"/>
      <c r="AC999" s="1357"/>
    </row>
    <row r="1000">
      <c r="B1000" s="20"/>
      <c r="C1000" s="20"/>
      <c r="D1000" s="20"/>
      <c r="E1000" s="338"/>
      <c r="F1000" s="20"/>
      <c r="G1000" s="20"/>
      <c r="H1000" s="20"/>
      <c r="I1000" s="20"/>
      <c r="J1000" s="20" t="s">
        <v>1061</v>
      </c>
      <c r="K1000" s="20"/>
      <c r="L1000" s="20"/>
      <c r="AC1000" s="1357"/>
    </row>
    <row r="1001">
      <c r="B1001" s="20"/>
      <c r="C1001" s="20"/>
      <c r="D1001" s="20"/>
      <c r="E1001" s="338"/>
      <c r="F1001" s="20"/>
      <c r="G1001" s="20"/>
      <c r="H1001" s="20"/>
      <c r="I1001" s="20"/>
      <c r="J1001" s="20" t="s">
        <v>1061</v>
      </c>
      <c r="K1001" s="20"/>
      <c r="L1001" s="20"/>
      <c r="AC1001" s="1357"/>
    </row>
    <row r="1002">
      <c r="B1002" s="20"/>
      <c r="C1002" s="20"/>
      <c r="D1002" s="20"/>
      <c r="E1002" s="338"/>
      <c r="F1002" s="20"/>
      <c r="G1002" s="20"/>
      <c r="H1002" s="20"/>
      <c r="I1002" s="20"/>
      <c r="J1002" s="20" t="s">
        <v>1061</v>
      </c>
      <c r="K1002" s="20"/>
      <c r="L1002" s="20"/>
      <c r="AC1002" s="1357"/>
    </row>
    <row r="1003">
      <c r="B1003" s="20"/>
      <c r="C1003" s="20"/>
      <c r="D1003" s="20"/>
      <c r="E1003" s="338"/>
      <c r="F1003" s="20"/>
      <c r="G1003" s="20"/>
      <c r="H1003" s="20"/>
      <c r="I1003" s="20"/>
      <c r="J1003" s="20" t="s">
        <v>1061</v>
      </c>
      <c r="K1003" s="20"/>
      <c r="L1003" s="20"/>
      <c r="AC1003" s="1357"/>
    </row>
    <row r="1004">
      <c r="B1004" s="20"/>
      <c r="C1004" s="20"/>
      <c r="D1004" s="20"/>
      <c r="E1004" s="338"/>
      <c r="F1004" s="20"/>
      <c r="G1004" s="20"/>
      <c r="H1004" s="20"/>
      <c r="I1004" s="20"/>
      <c r="J1004" s="20" t="s">
        <v>1061</v>
      </c>
      <c r="K1004" s="20"/>
      <c r="L1004" s="20"/>
      <c r="AC1004" s="1357"/>
    </row>
    <row r="1005">
      <c r="B1005" s="20"/>
      <c r="C1005" s="20"/>
      <c r="D1005" s="20"/>
      <c r="E1005" s="338"/>
      <c r="F1005" s="20"/>
      <c r="G1005" s="20"/>
      <c r="H1005" s="20"/>
      <c r="I1005" s="20"/>
      <c r="J1005" s="20" t="s">
        <v>1061</v>
      </c>
      <c r="K1005" s="20"/>
      <c r="L1005" s="20"/>
      <c r="AC1005" s="1357"/>
    </row>
    <row r="1006">
      <c r="B1006" s="20"/>
      <c r="C1006" s="20"/>
      <c r="D1006" s="20"/>
      <c r="E1006" s="338"/>
      <c r="F1006" s="20"/>
      <c r="G1006" s="20"/>
      <c r="H1006" s="20"/>
      <c r="I1006" s="20"/>
      <c r="J1006" s="20" t="s">
        <v>1061</v>
      </c>
      <c r="K1006" s="20"/>
      <c r="L1006" s="20"/>
      <c r="AC1006" s="1357"/>
    </row>
    <row r="1007">
      <c r="B1007" s="20"/>
      <c r="C1007" s="20"/>
      <c r="D1007" s="20"/>
      <c r="E1007" s="338"/>
      <c r="F1007" s="20"/>
      <c r="G1007" s="20"/>
      <c r="H1007" s="20"/>
      <c r="I1007" s="20"/>
      <c r="J1007" s="20" t="s">
        <v>1061</v>
      </c>
      <c r="K1007" s="20"/>
      <c r="L1007" s="20"/>
      <c r="AC1007" s="1357"/>
    </row>
    <row r="1008">
      <c r="B1008" s="20"/>
      <c r="C1008" s="20"/>
      <c r="D1008" s="20"/>
      <c r="E1008" s="338"/>
      <c r="F1008" s="20"/>
      <c r="G1008" s="20"/>
      <c r="H1008" s="20"/>
      <c r="I1008" s="20"/>
      <c r="J1008" s="20" t="s">
        <v>1061</v>
      </c>
      <c r="K1008" s="20"/>
      <c r="L1008" s="20"/>
      <c r="AC1008" s="1357"/>
    </row>
    <row r="1009">
      <c r="B1009" s="20"/>
      <c r="C1009" s="20"/>
      <c r="D1009" s="20"/>
      <c r="E1009" s="338"/>
      <c r="F1009" s="20"/>
      <c r="G1009" s="20"/>
      <c r="H1009" s="20"/>
      <c r="I1009" s="20"/>
      <c r="J1009" s="20" t="s">
        <v>1061</v>
      </c>
      <c r="K1009" s="20"/>
      <c r="L1009" s="20"/>
      <c r="AC1009" s="1357"/>
    </row>
    <row r="1010">
      <c r="B1010" s="20"/>
      <c r="C1010" s="20"/>
      <c r="D1010" s="20"/>
      <c r="E1010" s="338"/>
      <c r="F1010" s="20"/>
      <c r="G1010" s="20"/>
      <c r="H1010" s="20"/>
      <c r="I1010" s="20"/>
      <c r="J1010" s="20" t="s">
        <v>1061</v>
      </c>
      <c r="K1010" s="20"/>
      <c r="L1010" s="20"/>
      <c r="AC1010" s="1357"/>
    </row>
    <row r="1011">
      <c r="B1011" s="20"/>
      <c r="C1011" s="20"/>
      <c r="D1011" s="20"/>
      <c r="E1011" s="338"/>
      <c r="F1011" s="20"/>
      <c r="G1011" s="20"/>
      <c r="H1011" s="20"/>
      <c r="I1011" s="20"/>
      <c r="J1011" s="20" t="s">
        <v>1061</v>
      </c>
      <c r="K1011" s="20"/>
      <c r="L1011" s="20"/>
      <c r="AC1011" s="1357"/>
    </row>
    <row r="1012">
      <c r="B1012" s="20"/>
      <c r="C1012" s="20"/>
      <c r="D1012" s="20"/>
      <c r="E1012" s="338"/>
      <c r="F1012" s="20"/>
      <c r="G1012" s="20"/>
      <c r="H1012" s="20"/>
      <c r="I1012" s="20"/>
      <c r="J1012" s="20" t="s">
        <v>1061</v>
      </c>
      <c r="K1012" s="20"/>
      <c r="L1012" s="20"/>
      <c r="AC1012" s="1357"/>
    </row>
    <row r="1013">
      <c r="B1013" s="20"/>
      <c r="C1013" s="20"/>
      <c r="D1013" s="20"/>
      <c r="E1013" s="338"/>
      <c r="F1013" s="20"/>
      <c r="G1013" s="20"/>
      <c r="H1013" s="20"/>
      <c r="I1013" s="20"/>
      <c r="J1013" s="20" t="s">
        <v>1061</v>
      </c>
      <c r="K1013" s="20"/>
      <c r="L1013" s="20"/>
      <c r="AC1013" s="1357"/>
    </row>
    <row r="1014">
      <c r="B1014" s="20"/>
      <c r="C1014" s="20"/>
      <c r="D1014" s="20"/>
      <c r="E1014" s="338"/>
      <c r="F1014" s="20"/>
      <c r="G1014" s="20"/>
      <c r="H1014" s="20"/>
      <c r="I1014" s="20"/>
      <c r="J1014" s="20" t="s">
        <v>1061</v>
      </c>
      <c r="K1014" s="20"/>
      <c r="L1014" s="20"/>
      <c r="AC1014" s="1357"/>
    </row>
    <row r="1015">
      <c r="B1015" s="20"/>
      <c r="C1015" s="20"/>
      <c r="D1015" s="20"/>
      <c r="E1015" s="338"/>
      <c r="F1015" s="20"/>
      <c r="G1015" s="20"/>
      <c r="H1015" s="20"/>
      <c r="I1015" s="20"/>
      <c r="J1015" s="20" t="s">
        <v>1061</v>
      </c>
      <c r="K1015" s="20"/>
      <c r="L1015" s="20"/>
      <c r="AC1015" s="1357"/>
    </row>
    <row r="1016">
      <c r="B1016" s="20"/>
      <c r="C1016" s="20"/>
      <c r="D1016" s="20"/>
      <c r="E1016" s="338"/>
      <c r="F1016" s="20"/>
      <c r="G1016" s="20"/>
      <c r="H1016" s="20"/>
      <c r="I1016" s="20"/>
      <c r="J1016" s="20" t="s">
        <v>1061</v>
      </c>
      <c r="K1016" s="20"/>
      <c r="L1016" s="20"/>
      <c r="AC1016" s="1357"/>
    </row>
    <row r="1017">
      <c r="B1017" s="20"/>
      <c r="C1017" s="20"/>
      <c r="D1017" s="20"/>
      <c r="E1017" s="338"/>
      <c r="F1017" s="20"/>
      <c r="G1017" s="20"/>
      <c r="H1017" s="20"/>
      <c r="I1017" s="20"/>
      <c r="J1017" s="20" t="s">
        <v>1061</v>
      </c>
      <c r="K1017" s="20"/>
      <c r="L1017" s="20"/>
      <c r="AC1017" s="1357"/>
    </row>
    <row r="1018">
      <c r="B1018" s="20"/>
      <c r="C1018" s="20"/>
      <c r="D1018" s="20"/>
      <c r="E1018" s="338"/>
      <c r="F1018" s="20"/>
      <c r="G1018" s="20"/>
      <c r="H1018" s="20"/>
      <c r="I1018" s="20"/>
      <c r="J1018" s="20" t="s">
        <v>1061</v>
      </c>
      <c r="K1018" s="20"/>
      <c r="L1018" s="20"/>
      <c r="AC1018" s="1357"/>
    </row>
    <row r="1019">
      <c r="B1019" s="20"/>
      <c r="C1019" s="20"/>
      <c r="D1019" s="20"/>
      <c r="E1019" s="338"/>
      <c r="F1019" s="20"/>
      <c r="G1019" s="20"/>
      <c r="H1019" s="20"/>
      <c r="I1019" s="20"/>
      <c r="J1019" s="20" t="s">
        <v>1061</v>
      </c>
      <c r="K1019" s="20"/>
      <c r="L1019" s="20"/>
      <c r="AC1019" s="1357"/>
    </row>
    <row r="1020">
      <c r="B1020" s="20"/>
      <c r="C1020" s="20"/>
      <c r="D1020" s="20"/>
      <c r="E1020" s="338"/>
      <c r="F1020" s="20"/>
      <c r="G1020" s="20"/>
      <c r="H1020" s="20"/>
      <c r="I1020" s="20"/>
      <c r="J1020" s="20" t="s">
        <v>1061</v>
      </c>
      <c r="K1020" s="20"/>
      <c r="L1020" s="20"/>
      <c r="AC1020" s="1357"/>
    </row>
    <row r="1021">
      <c r="B1021" s="20"/>
      <c r="C1021" s="20"/>
      <c r="D1021" s="20"/>
      <c r="E1021" s="338"/>
      <c r="F1021" s="20"/>
      <c r="G1021" s="20"/>
      <c r="H1021" s="20"/>
      <c r="I1021" s="20"/>
      <c r="J1021" s="20" t="s">
        <v>1061</v>
      </c>
      <c r="K1021" s="20"/>
      <c r="L1021" s="20"/>
      <c r="AC1021" s="1357"/>
    </row>
    <row r="1022">
      <c r="B1022" s="20"/>
      <c r="C1022" s="20"/>
      <c r="D1022" s="20"/>
      <c r="E1022" s="338"/>
      <c r="F1022" s="20"/>
      <c r="G1022" s="20"/>
      <c r="H1022" s="20"/>
      <c r="I1022" s="20"/>
      <c r="J1022" s="20" t="s">
        <v>1061</v>
      </c>
      <c r="K1022" s="20"/>
      <c r="L1022" s="20"/>
      <c r="AC1022" s="1357"/>
    </row>
    <row r="1023">
      <c r="B1023" s="20"/>
      <c r="C1023" s="20"/>
      <c r="D1023" s="20"/>
      <c r="E1023" s="338"/>
      <c r="F1023" s="20"/>
      <c r="G1023" s="20"/>
      <c r="H1023" s="20"/>
      <c r="I1023" s="20"/>
      <c r="J1023" s="20" t="s">
        <v>1061</v>
      </c>
      <c r="K1023" s="20"/>
      <c r="L1023" s="20"/>
      <c r="AC1023" s="1357"/>
    </row>
    <row r="1024">
      <c r="B1024" s="20"/>
      <c r="C1024" s="20"/>
      <c r="D1024" s="20"/>
      <c r="E1024" s="338"/>
      <c r="F1024" s="20"/>
      <c r="G1024" s="20"/>
      <c r="H1024" s="20"/>
      <c r="I1024" s="20"/>
      <c r="J1024" s="20" t="s">
        <v>1061</v>
      </c>
      <c r="K1024" s="20"/>
      <c r="L1024" s="20"/>
      <c r="AC1024" s="1357"/>
    </row>
    <row r="1025">
      <c r="B1025" s="20"/>
      <c r="C1025" s="20"/>
      <c r="D1025" s="20"/>
      <c r="E1025" s="338"/>
      <c r="F1025" s="20"/>
      <c r="G1025" s="20"/>
      <c r="H1025" s="20"/>
      <c r="I1025" s="20"/>
      <c r="J1025" s="20" t="s">
        <v>1061</v>
      </c>
      <c r="K1025" s="20"/>
      <c r="L1025" s="20"/>
      <c r="AC1025" s="1357"/>
    </row>
    <row r="1026">
      <c r="B1026" s="20"/>
      <c r="C1026" s="20"/>
      <c r="D1026" s="20"/>
      <c r="E1026" s="338"/>
      <c r="F1026" s="20"/>
      <c r="G1026" s="20"/>
      <c r="H1026" s="20"/>
      <c r="I1026" s="20"/>
      <c r="J1026" s="20" t="s">
        <v>1061</v>
      </c>
      <c r="K1026" s="20"/>
      <c r="L1026" s="20"/>
      <c r="AC1026" s="1357"/>
    </row>
    <row r="1027">
      <c r="B1027" s="20"/>
      <c r="C1027" s="20"/>
      <c r="D1027" s="20"/>
      <c r="E1027" s="338"/>
      <c r="F1027" s="20"/>
      <c r="G1027" s="20"/>
      <c r="H1027" s="20"/>
      <c r="I1027" s="20"/>
      <c r="J1027" s="20" t="s">
        <v>1061</v>
      </c>
      <c r="K1027" s="20"/>
      <c r="L1027" s="20"/>
      <c r="AC1027" s="1357"/>
    </row>
    <row r="1028">
      <c r="B1028" s="20"/>
      <c r="C1028" s="20"/>
      <c r="D1028" s="20"/>
      <c r="E1028" s="338"/>
      <c r="F1028" s="20"/>
      <c r="G1028" s="20"/>
      <c r="H1028" s="20"/>
      <c r="I1028" s="20"/>
      <c r="J1028" s="20" t="s">
        <v>1061</v>
      </c>
      <c r="K1028" s="20"/>
      <c r="L1028" s="20"/>
      <c r="AC1028" s="1357"/>
    </row>
    <row r="1029">
      <c r="B1029" s="20"/>
      <c r="C1029" s="20"/>
      <c r="D1029" s="20"/>
      <c r="E1029" s="338"/>
      <c r="F1029" s="20"/>
      <c r="G1029" s="20"/>
      <c r="H1029" s="20"/>
      <c r="I1029" s="20"/>
      <c r="J1029" s="20" t="s">
        <v>1061</v>
      </c>
      <c r="K1029" s="20"/>
      <c r="L1029" s="20"/>
      <c r="AC1029" s="1357"/>
    </row>
    <row r="1030">
      <c r="B1030" s="20"/>
      <c r="C1030" s="20"/>
      <c r="D1030" s="20"/>
      <c r="E1030" s="338"/>
      <c r="F1030" s="20"/>
      <c r="G1030" s="20"/>
      <c r="H1030" s="20"/>
      <c r="I1030" s="20"/>
      <c r="J1030" s="20" t="s">
        <v>1061</v>
      </c>
      <c r="K1030" s="20"/>
      <c r="L1030" s="20"/>
      <c r="AC1030" s="1357"/>
    </row>
    <row r="1031">
      <c r="B1031" s="20"/>
      <c r="C1031" s="20"/>
      <c r="D1031" s="20"/>
      <c r="E1031" s="338"/>
      <c r="F1031" s="20"/>
      <c r="G1031" s="20"/>
      <c r="H1031" s="20"/>
      <c r="I1031" s="20"/>
      <c r="J1031" s="20" t="s">
        <v>1061</v>
      </c>
      <c r="K1031" s="20"/>
      <c r="L1031" s="20"/>
      <c r="AC1031" s="1357"/>
    </row>
    <row r="1032">
      <c r="B1032" s="20"/>
      <c r="C1032" s="20"/>
      <c r="D1032" s="20"/>
      <c r="E1032" s="338"/>
      <c r="F1032" s="20"/>
      <c r="G1032" s="20"/>
      <c r="H1032" s="20"/>
      <c r="I1032" s="20"/>
      <c r="J1032" s="20" t="s">
        <v>1061</v>
      </c>
      <c r="K1032" s="20"/>
      <c r="L1032" s="20"/>
      <c r="AC1032" s="1357"/>
    </row>
    <row r="1033">
      <c r="B1033" s="20"/>
      <c r="C1033" s="20"/>
      <c r="D1033" s="20"/>
      <c r="E1033" s="338"/>
      <c r="F1033" s="20"/>
      <c r="G1033" s="20"/>
      <c r="H1033" s="20"/>
      <c r="I1033" s="20"/>
      <c r="J1033" s="20" t="s">
        <v>1061</v>
      </c>
      <c r="K1033" s="20"/>
      <c r="L1033" s="20"/>
      <c r="AC1033" s="1357"/>
    </row>
    <row r="1034">
      <c r="B1034" s="20"/>
      <c r="C1034" s="20"/>
      <c r="D1034" s="20"/>
      <c r="E1034" s="338"/>
      <c r="F1034" s="20"/>
      <c r="G1034" s="20"/>
      <c r="H1034" s="20"/>
      <c r="I1034" s="20"/>
      <c r="J1034" s="20" t="s">
        <v>1061</v>
      </c>
      <c r="K1034" s="20"/>
      <c r="L1034" s="20"/>
      <c r="AC1034" s="1357"/>
    </row>
    <row r="1035">
      <c r="B1035" s="20"/>
      <c r="C1035" s="20"/>
      <c r="D1035" s="20"/>
      <c r="E1035" s="338"/>
      <c r="F1035" s="20"/>
      <c r="G1035" s="20"/>
      <c r="H1035" s="20"/>
      <c r="I1035" s="20"/>
      <c r="J1035" s="20" t="s">
        <v>1061</v>
      </c>
      <c r="K1035" s="20"/>
      <c r="L1035" s="20"/>
      <c r="AC1035" s="1357"/>
    </row>
    <row r="1036">
      <c r="B1036" s="20"/>
      <c r="C1036" s="20"/>
      <c r="D1036" s="20"/>
      <c r="E1036" s="338"/>
      <c r="F1036" s="20"/>
      <c r="G1036" s="20"/>
      <c r="H1036" s="20"/>
      <c r="I1036" s="20"/>
      <c r="J1036" s="20" t="s">
        <v>1061</v>
      </c>
      <c r="K1036" s="20"/>
      <c r="L1036" s="20"/>
      <c r="AC1036" s="1357"/>
    </row>
    <row r="1037">
      <c r="B1037" s="20"/>
      <c r="C1037" s="20"/>
      <c r="D1037" s="20"/>
      <c r="E1037" s="338"/>
      <c r="F1037" s="20"/>
      <c r="G1037" s="20"/>
      <c r="H1037" s="20"/>
      <c r="I1037" s="20"/>
      <c r="J1037" s="20" t="s">
        <v>1061</v>
      </c>
      <c r="K1037" s="20"/>
      <c r="L1037" s="20"/>
      <c r="AC1037" s="1357"/>
    </row>
    <row r="1038">
      <c r="B1038" s="20"/>
      <c r="C1038" s="20"/>
      <c r="D1038" s="20"/>
      <c r="E1038" s="338"/>
      <c r="F1038" s="20"/>
      <c r="G1038" s="20"/>
      <c r="H1038" s="20"/>
      <c r="I1038" s="20"/>
      <c r="J1038" s="20" t="s">
        <v>1061</v>
      </c>
      <c r="K1038" s="20"/>
      <c r="L1038" s="20"/>
      <c r="AC1038" s="13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