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<sst xmlns="http://schemas.openxmlformats.org/spreadsheetml/2006/main" count="8174" uniqueCount="1153">
  <si>
    <t>検索文字</t>
  </si>
  <si>
    <t>関数用</t>
  </si>
  <si>
    <t>URL：</t>
  </si>
  <si>
    <t>京成リッチモンドホテル東京錦糸町</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</si>
  <si>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</si>
  <si>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</si>
  <si>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</si>
  <si>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</si>
  <si>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</si>
  <si>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</si>
  <si>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</si>
  <si>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</si>
  <si>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</si>
  <si>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</si>
  <si>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</si>
  <si>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</si>
  <si>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</si>
  <si>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</si>
  <si>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</si>
  <si>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</si>
  <si>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</si>
  <si>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</si>
  <si>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</si>
  <si>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</si>
  <si>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</si>
  <si>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</si>
  <si>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</si>
  <si>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</si>
  <si>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</si>
  <si>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</si>
  <si>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</si>
  <si>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</si>
  <si>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</si>
  <si>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</si>
  <si>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</si>
  <si>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</si>
  <si>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</si>
  <si>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</si>
  <si>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</si>
  <si>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</si>
  <si>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</si>
  <si>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</si>
  <si>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</si>
  <si>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</si>
  <si>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</si>
  <si>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</si>
  <si>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</si>
  <si>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</si>
  <si>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</si>
  <si>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</si>
  <si>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</si>
  <si>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</si>
  <si>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</si>
  <si>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</si>
  <si>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</si>
  <si>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</si>
  <si>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</si>
  <si>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</si>
  <si>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</si>
  <si>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</si>
  <si>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</si>
  <si>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</si>
  <si>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</si>
  <si>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</si>
  <si>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</si>
  <si>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</si>
  <si>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</si>
  <si>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</si>
  <si>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</si>
  <si>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</si>
  <si>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</si>
  <si>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</si>
  <si>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</si>
  <si>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</si>
  <si>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</si>
  <si>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</si>
  <si>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</si>
  <si>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</si>
  <si>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</si>
  <si>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</si>
  <si>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</si>
  <si>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</si>
  <si>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</si>
  <si>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</si>
  <si>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</si>
  <si>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</si>
  <si>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</si>
  <si>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</si>
  <si>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</si>
  <si>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</si>
  <si>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</si>
  <si>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</si>
  <si>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</si>
  <si>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</si>
  <si>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</si>
  <si>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</si>
  <si>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</si>
  <si>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</si>
  <si>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</si>
  <si>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</si>
  <si>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</si>
  <si>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</si>
  <si>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</si>
  <si>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</si>
  <si>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</si>
  <si>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</si>
  <si>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</si>
  <si>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</si>
  <si>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</si>
  <si>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</si>
  <si>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</si>
  <si>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</si>
  <si>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</si>
  <si>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</si>
  <si>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</si>
  <si>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</si>
  <si>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</si>
  <si>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</si>
  <si>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</si>
  <si>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</si>
  <si>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</si>
  <si>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</si>
  <si>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</si>
  <si>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</si>
  <si>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</si>
  <si>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</si>
  <si>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</si>
  <si>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</si>
  <si>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</si>
  <si>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</si>
  <si>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</si>
  <si>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</si>
  <si>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</si>
  <si>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</si>
  <si>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</si>
  <si>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</si>
  <si>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</si>
  <si>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</si>
  <si>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</si>
  <si>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</si>
  <si>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</si>
  <si>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</si>
  <si>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</si>
  <si>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</si>
  <si>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</si>
  <si>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</si>
  <si>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</si>
  <si>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</si>
  <si>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</si>
  <si>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</si>
  <si>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</si>
  <si>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</si>
  <si>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</si>
  <si>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</si>
  <si>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</si>
  <si>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</si>
  <si>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</si>
  <si>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</si>
  <si>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</si>
  <si>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</si>
  <si>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</si>
  <si>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</si>
  <si>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</si>
  <si>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</si>
  <si>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</si>
  <si>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</si>
  <si>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</si>
  <si>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</si>
  <si>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</si>
  <si>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</si>
  <si>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</si>
  <si>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</si>
  <si>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</si>
  <si>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</si>
  <si>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</si>
  <si>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</si>
  <si>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</si>
  <si>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</si>
  <si>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</si>
  <si>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</si>
  <si>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</si>
  <si>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</si>
  <si>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</si>
  <si>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</si>
  <si>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</si>
  <si>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</si>
  <si>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</si>
  <si>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</si>
  <si>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</si>
  <si>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</si>
  <si>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</si>
  <si>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</si>
  <si>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</si>
  <si>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</si>
  <si>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</si>
  <si>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</si>
  <si>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</si>
  <si>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</si>
  <si>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</si>
  <si>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</si>
  <si>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</si>
  <si>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</si>
  <si>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</si>
  <si>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</si>
  <si>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</si>
  <si>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</si>
  <si>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</si>
  <si>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</si>
  <si>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</si>
  <si>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</si>
  <si>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</si>
  <si>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</si>
  <si>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</si>
  <si>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</si>
  <si>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</si>
  <si>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</si>
  <si>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</si>
  <si>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</si>
  <si>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</si>
  <si>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</si>
  <si>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</si>
  <si>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</si>
  <si>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</si>
  <si>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</si>
  <si>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</si>
  <si>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</si>
  <si>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</si>
  <si>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</si>
  <si>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</si>
  <si>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</si>
  <si>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</si>
  <si>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</si>
  <si>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</si>
  <si>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</si>
  <si>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</si>
  <si>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</si>
  <si>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</si>
  <si>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</si>
  <si>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</si>
  <si>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</si>
  <si>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</si>
  <si>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</si>
  <si>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</si>
  <si>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</si>
  <si>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</si>
  <si>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</si>
  <si>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</si>
  <si>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</si>
  <si>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</si>
  <si>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</si>
  <si>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</si>
  <si>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</si>
  <si>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</si>
  <si>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</si>
  <si>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</si>
  <si>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</si>
  <si>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</si>
  <si>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</si>
  <si>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</si>
  <si>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</si>
  <si>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</si>
  <si>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</si>
  <si>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</si>
  <si>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</si>
  <si>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</si>
  <si>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</si>
  <si>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</si>
  <si>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</si>
  <si>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</si>
  <si>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</si>
  <si>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</si>
  <si>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</si>
  <si>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</si>
  <si>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</si>
  <si>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</si>
  <si>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</si>
  <si>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</si>
  <si>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</si>
  <si>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</si>
  <si>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</si>
  <si>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</si>
  <si>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</si>
  <si>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</si>
  <si>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</si>
  <si>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</si>
  <si>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</si>
  <si>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</si>
  <si>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</si>
  <si>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</si>
  <si>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</si>
  <si>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</si>
  <si>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</si>
  <si>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</si>
  <si>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</si>
  <si>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</si>
  <si>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</si>
  <si>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</si>
  <si>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</si>
  <si>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</si>
  <si>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</si>
  <si>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</si>
  <si>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</si>
  <si>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</si>
  <si>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</si>
  <si>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</si>
  <si>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</si>
  <si>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</si>
  <si>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</si>
  <si>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</si>
  <si>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</si>
  <si>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</si>
  <si>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</si>
  <si>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</si>
  <si>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</si>
  <si>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</si>
  <si>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</si>
  <si>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</si>
  <si>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</si>
  <si>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</si>
  <si>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</si>
  <si>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</si>
  <si>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</si>
  <si>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</si>
  <si>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</si>
  <si>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</si>
  <si>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</si>
  <si>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</si>
  <si>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</si>
  <si>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</si>
  <si>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</si>
  <si>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</si>
  <si>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</si>
  <si>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</si>
  <si>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</si>
  <si>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</si>
  <si>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</si>
  <si>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</si>
  <si>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</si>
  <si>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</si>
  <si>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</si>
  <si>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</si>
  <si>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</si>
  <si>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</si>
  <si>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</si>
  <si>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</si>
  <si>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</si>
  <si>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</si>
  <si>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</si>
  <si>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</si>
  <si>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</si>
  <si>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</si>
  <si>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</si>
  <si>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</si>
  <si>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</si>
  <si>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</si>
  <si>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</si>
  <si>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</si>
  <si>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</si>
  <si>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</si>
  <si>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</si>
  <si>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</si>
  <si>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</si>
  <si>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</si>
  <si>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</si>
  <si>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</si>
  <si>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</si>
  <si>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</si>
  <si>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</si>
  <si>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</si>
  <si>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</si>
  <si>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</si>
  <si>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</si>
  <si>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</si>
  <si>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</si>
  <si>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</si>
  <si>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</si>
  <si>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</si>
  <si>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</si>
  <si>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</si>
  <si>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</si>
  <si>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</si>
  <si>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</si>
  <si>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</si>
  <si>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</si>
  <si>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</si>
  <si>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</si>
  <si>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</si>
  <si>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</si>
  <si>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</si>
  <si>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</si>
  <si>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</si>
  <si>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</si>
  <si>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</si>
  <si>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</si>
  <si>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</si>
  <si>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</si>
  <si>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</si>
  <si>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</si>
  <si>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</si>
  <si>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</si>
  <si>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</si>
  <si>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</si>
  <si>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</si>
  <si>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</si>
  <si>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</si>
  <si>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</si>
  <si>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</si>
  <si>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</si>
  <si>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</si>
  <si>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</si>
  <si>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</si>
  <si>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</si>
  <si>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</si>
  <si>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</si>
  <si>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</si>
  <si>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</si>
  <si>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</si>
  <si>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</si>
  <si>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</si>
  <si>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</si>
  <si>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</si>
  <si>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</si>
  <si>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</si>
  <si>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</si>
  <si>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</si>
  <si>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</si>
  <si>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</si>
  <si>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</si>
  <si>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</si>
  <si>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</si>
  <si>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</si>
  <si>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</si>
  <si>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</si>
  <si>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</si>
  <si>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</si>
  <si>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</si>
  <si>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</si>
  <si>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</si>
  <si>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</si>
  <si>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</si>
  <si>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</si>
  <si>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</si>
  <si>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</si>
  <si>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</si>
  <si>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</si>
  <si>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</si>
  <si>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</si>
  <si>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</si>
  <si>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</si>
  <si>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</si>
  <si>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</si>
  <si>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</si>
  <si>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</si>
  <si>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</si>
  <si>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</si>
  <si>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</si>
  <si>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</si>
  <si>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N</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</si>
  <si>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</si>
  <si>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</si>
  <si>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</si>
  <si>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</si>
  <si>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</si>
  <si>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</si>
  <si>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</si>
  <si>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</si>
  <si>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</si>
  <si>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</si>
  <si>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</si>
  <si>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</si>
  <si>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</si>
  <si>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</si>
  <si>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</si>
  <si>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</si>
  <si>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</si>
  <si>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</si>
  <si>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</si>
  <si>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</si>
  <si>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</si>
  <si>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</si>
  <si>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</si>
  <si>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</si>
  <si>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</si>
  <si>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</si>
  <si>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</si>
  <si>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</si>
  <si>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</si>
  <si>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</si>
  <si>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</si>
  <si>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</si>
  <si>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</si>
  <si>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</si>
  <si>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</si>
  <si>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</si>
  <si>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</si>
  <si>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</si>
  <si>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</si>
  <si>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</si>
  <si>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</si>
  <si>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</si>
  <si>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</si>
  <si>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</si>
  <si>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</si>
  <si>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</si>
  <si>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</si>
  <si>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</si>
  <si>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</si>
  <si>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</si>
  <si>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</si>
  <si>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</si>
  <si>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</si>
  <si>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</si>
  <si>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</si>
  <si>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</si>
  <si>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</si>
  <si>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</si>
  <si>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</si>
  <si>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</si>
  <si>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記入者1</t>
  </si>
  <si>
    <t>【共有事項】
【メイド・チェッカー】
【人員】
【その他】</t>
  </si>
  <si>
    <t>オウ</t>
  </si>
  <si>
    <t>ライン</t>
  </si>
  <si>
    <t>👈05日～10日の日報</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</si>
  <si>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</si>
  <si>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</si>
  <si>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</si>
  <si>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</si>
  <si>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</si>
  <si>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</si>
  <si>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</si>
  <si>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</si>
  <si>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</si>
  <si>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</si>
  <si>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</si>
  <si>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</si>
  <si>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</si>
  <si>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</si>
  <si>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</si>
  <si>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</si>
  <si>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</si>
  <si>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</si>
  <si>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</si>
  <si>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</si>
  <si>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</si>
  <si>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</si>
  <si>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</si>
  <si>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</si>
  <si>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</si>
  <si>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</si>
  <si>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</si>
  <si>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</si>
  <si>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</si>
  <si>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</si>
  <si>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</si>
  <si>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</si>
  <si>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</si>
  <si>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</si>
  <si>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</si>
  <si>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</si>
  <si>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</si>
  <si>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</si>
  <si>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</si>
  <si>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</si>
  <si>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</si>
  <si>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</si>
  <si>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</si>
  <si>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</si>
  <si>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</si>
  <si>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</si>
  <si>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</si>
  <si>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</si>
  <si>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</si>
  <si>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</si>
  <si>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</si>
  <si>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</si>
  <si>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</si>
  <si>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</si>
  <si>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</si>
  <si>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</si>
  <si>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</si>
  <si>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</si>
  <si>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</si>
  <si>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</si>
  <si>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</si>
  <si>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</si>
  <si>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</si>
  <si>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</si>
  <si>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</si>
  <si>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</si>
  <si>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</si>
  <si>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</si>
  <si>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</si>
  <si>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</si>
  <si>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</si>
  <si>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</si>
  <si>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</si>
  <si>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</si>
  <si>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</si>
  <si>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</si>
  <si>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</si>
  <si>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</si>
  <si>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</si>
  <si>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</si>
  <si>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</si>
  <si>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</si>
  <si>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</si>
  <si>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</si>
  <si>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</si>
  <si>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</si>
  <si>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９</t>
  </si>
  <si>
    <t>４</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</si>
  <si>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</si>
  <si>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</si>
  <si>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</si>
  <si>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</si>
  <si>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</si>
  <si>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</si>
  <si>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</si>
  <si>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</si>
  <si>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</si>
  <si>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</si>
  <si>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</si>
  <si>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</si>
  <si>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</si>
  <si>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</si>
  <si>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</si>
  <si>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</si>
  <si>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</si>
  <si>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</si>
  <si>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</si>
  <si>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</si>
  <si>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</si>
  <si>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</si>
  <si>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</si>
  <si>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</si>
  <si>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</si>
  <si>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</si>
  <si>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</si>
  <si>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</si>
  <si>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</si>
  <si>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</si>
  <si>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</si>
  <si>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</si>
  <si>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</si>
  <si>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</si>
  <si>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</si>
  <si>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</si>
  <si>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</si>
  <si>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</si>
  <si>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</si>
  <si>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</si>
  <si>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</si>
  <si>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</si>
  <si>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</si>
  <si>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</si>
  <si>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</si>
  <si>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</si>
  <si>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</si>
  <si>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</si>
  <si>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</si>
  <si>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</si>
  <si>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</si>
  <si>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</si>
  <si>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</si>
  <si>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</si>
  <si>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</si>
  <si>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体調不良</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</si>
  <si>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</si>
  <si>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</si>
  <si>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</si>
  <si>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15：30</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</si>
  <si>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</si>
  <si>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</si>
  <si>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</si>
  <si>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</si>
  <si>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</si>
  <si>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</si>
  <si>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</si>
  <si>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</si>
  <si>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</si>
  <si>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</si>
  <si>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</si>
  <si>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</si>
  <si>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</si>
  <si>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</si>
  <si>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</si>
  <si>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</si>
  <si>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</si>
  <si>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</si>
  <si>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</si>
  <si>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</si>
  <si>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</si>
  <si>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</si>
  <si>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</si>
  <si>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</si>
  <si>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</si>
  <si>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</si>
  <si>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</si>
  <si>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</si>
  <si>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</si>
  <si>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</si>
  <si>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</si>
  <si>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</si>
  <si>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</si>
  <si>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</si>
  <si>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</si>
  <si>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</si>
  <si>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</si>
  <si>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</si>
  <si>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</si>
  <si>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</si>
  <si>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</si>
  <si>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</si>
  <si>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</si>
  <si>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</si>
  <si>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</si>
  <si>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</si>
  <si>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</si>
  <si>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</si>
  <si>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</si>
  <si>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</si>
  <si>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</si>
  <si>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</si>
  <si>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</si>
  <si>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</si>
  <si>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</si>
  <si>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</si>
  <si>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</si>
  <si>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</si>
  <si>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</si>
  <si>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</si>
  <si>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</si>
  <si>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</si>
  <si>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</si>
  <si>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</si>
  <si>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</si>
  <si>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</si>
  <si>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</si>
  <si>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</si>
  <si>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</si>
  <si>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</si>
  <si>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</si>
  <si>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</si>
  <si>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</si>
  <si>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</si>
  <si>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</si>
  <si>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</si>
  <si>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</si>
  <si>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</si>
  <si>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</si>
  <si>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</si>
  <si>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</si>
  <si>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</si>
  <si>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</si>
  <si>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</si>
  <si>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</si>
  <si>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</si>
  <si>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</si>
  <si>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</si>
  <si>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</si>
  <si>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</si>
  <si>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</si>
  <si>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</si>
  <si>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</si>
  <si>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</si>
  <si>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</si>
  <si>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</si>
  <si>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</si>
  <si>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</si>
  <si>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</si>
  <si>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</si>
  <si>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</si>
  <si>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</si>
  <si>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</si>
  <si>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</si>
  <si>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</si>
  <si>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</si>
  <si>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</si>
  <si>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</si>
  <si>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</si>
  <si>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</si>
  <si>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</si>
  <si>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</si>
  <si>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</si>
  <si>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</si>
  <si>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</si>
  <si>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</si>
  <si>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</si>
  <si>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</si>
  <si>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</si>
  <si>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</si>
  <si>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</si>
  <si>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</si>
  <si>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</si>
  <si>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</si>
  <si>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</si>
  <si>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</si>
  <si>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</si>
  <si>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</si>
  <si>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</si>
  <si>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</si>
  <si>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</si>
  <si>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</si>
  <si>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</si>
  <si>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</si>
  <si>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</si>
  <si>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</si>
  <si>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</si>
  <si>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</si>
  <si>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</si>
  <si>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</si>
  <si>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</si>
  <si>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</si>
  <si>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</si>
  <si>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</si>
  <si>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</si>
  <si>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</si>
  <si>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</si>
  <si>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</si>
  <si>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</si>
  <si>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</si>
  <si>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</si>
  <si>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</si>
  <si>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</si>
  <si>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</si>
  <si>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</si>
  <si>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</si>
  <si>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</si>
  <si>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</si>
  <si>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</si>
  <si>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</si>
  <si>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</si>
  <si>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</si>
  <si>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</si>
  <si>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</si>
  <si>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</si>
  <si>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</si>
  <si>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</si>
  <si>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</si>
  <si>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</si>
  <si>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</si>
  <si>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</si>
  <si>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</si>
  <si>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</si>
  <si>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</si>
  <si>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</si>
  <si>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</si>
  <si>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</si>
  <si>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</si>
  <si>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</si>
  <si>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</si>
  <si>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</si>
  <si>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</si>
  <si>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</si>
  <si>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</si>
  <si>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</si>
  <si>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</si>
  <si>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</si>
  <si>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</si>
  <si>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</si>
  <si>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</si>
  <si>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</si>
  <si>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</si>
  <si>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</si>
  <si>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</si>
  <si>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</si>
  <si>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</si>
  <si>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</si>
  <si>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</si>
  <si>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</si>
  <si>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</si>
  <si>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</si>
  <si>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</si>
  <si>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</si>
  <si>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</si>
  <si>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</si>
  <si>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</si>
  <si>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</si>
  <si>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</si>
  <si>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</si>
  <si>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</si>
  <si>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</si>
  <si>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</si>
  <si>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</si>
  <si>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</si>
  <si>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</si>
  <si>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</si>
  <si>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</si>
  <si>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</si>
  <si>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</si>
  <si>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</si>
  <si>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</si>
  <si>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</si>
  <si>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</si>
  <si>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</si>
  <si>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</si>
  <si>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</si>
  <si>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</si>
  <si>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</si>
  <si>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</si>
  <si>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</si>
  <si>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</si>
  <si>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</si>
  <si>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</si>
  <si>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</si>
  <si>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</si>
  <si>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</si>
  <si>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</si>
  <si>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</si>
  <si>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</si>
  <si>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</si>
  <si>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</si>
  <si>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</si>
  <si>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</si>
  <si>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</si>
  <si>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</si>
  <si>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</si>
  <si>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</si>
  <si>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</si>
  <si>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</si>
  <si>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</si>
  <si>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</si>
  <si>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</si>
  <si>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</si>
  <si>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</si>
  <si>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</si>
  <si>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</si>
  <si>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</si>
  <si>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</si>
  <si>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</si>
  <si>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</si>
  <si>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</si>
  <si>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</si>
  <si>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</si>
  <si>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</si>
  <si>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</si>
  <si>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</si>
  <si>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</si>
  <si>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</si>
  <si>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</si>
  <si>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</si>
  <si>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</si>
  <si>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</si>
  <si>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</si>
  <si>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</si>
  <si>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</si>
  <si>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</si>
  <si>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</si>
  <si>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</si>
  <si>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</si>
  <si>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</si>
  <si>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</si>
  <si>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</si>
  <si>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</si>
  <si>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</si>
  <si>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</si>
  <si>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</si>
  <si>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</si>
  <si>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</si>
  <si>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</si>
  <si>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</si>
  <si>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</si>
  <si>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</si>
  <si>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</si>
  <si>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</si>
  <si>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</si>
  <si>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</si>
  <si>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</si>
  <si>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</si>
  <si>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</si>
  <si>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</si>
  <si>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</si>
  <si>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</si>
  <si>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</si>
  <si>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</si>
  <si>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</si>
  <si>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</si>
  <si>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</si>
  <si>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</si>
  <si>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</si>
  <si>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</si>
  <si>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</si>
  <si>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</si>
  <si>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</si>
  <si>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</si>
  <si>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</si>
  <si>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</si>
  <si>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</si>
  <si>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</si>
  <si>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</si>
  <si>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</si>
  <si>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</si>
  <si>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</si>
  <si>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</si>
  <si>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</si>
  <si>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</si>
  <si>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</si>
  <si>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</si>
  <si>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</si>
  <si>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R802_京成リッチモンドホテル東京錦糸町_アルバイト給料</t>
  </si>
  <si>
    <t>R803_京成リッチモンドホテル東京錦糸町_アルバイト給料</t>
  </si>
  <si>
    <t>R804_京成リッチモンドホテル東京錦糸町_アルバイト給料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</si>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</sst>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d"/>
    <numFmt numFmtId="183" formatCode="mm/dd"/>
    <numFmt numFmtId="184" formatCode="0&quot; &quot;日&quot;&quot;"/>
    <numFmt numFmtId="185" formatCode="###0"/>
    <numFmt numFmtId="186" formatCode="0&quot; &quot;室&quot;&quot;"/>
  </numFmts>
  <fonts count="176">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1">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1"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12" fontId="14" numFmtId="0" xfId="0" applyAlignment="1" applyBorder="1" applyFill="1" applyFont="1">
      <alignment horizontal="center" readingOrder="0" shrinkToFit="0" vertical="center" wrapText="1"/>
    </xf>
    <xf borderId="3" fillId="13" fontId="14" numFmtId="0" xfId="0" applyAlignment="1" applyBorder="1" applyFill="1" applyFont="1">
      <alignment horizontal="center" readingOrder="0" vertical="center"/>
    </xf>
    <xf borderId="1" fillId="13"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14" fontId="16" numFmtId="0" xfId="0" applyAlignment="1" applyBorder="1" applyFill="1" applyFont="1">
      <alignment horizontal="center" readingOrder="0" vertical="center"/>
    </xf>
    <xf borderId="1" fillId="14" fontId="16" numFmtId="0" xfId="0" applyAlignment="1" applyBorder="1" applyFont="1">
      <alignment horizontal="center" readingOrder="0" vertical="center"/>
    </xf>
    <xf borderId="1" fillId="14" fontId="17" numFmtId="0" xfId="0" applyAlignment="1" applyBorder="1" applyFont="1">
      <alignment horizontal="center" readingOrder="0" vertical="center"/>
    </xf>
    <xf borderId="7" fillId="5" fontId="16" numFmtId="0" xfId="0" applyAlignment="1" applyBorder="1" applyFont="1">
      <alignment readingOrder="0"/>
    </xf>
    <xf borderId="8" fillId="15"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6" fontId="13" numFmtId="0" xfId="0" applyAlignment="1" applyBorder="1" applyFill="1" applyFont="1">
      <alignment horizontal="center" readingOrder="0" shrinkToFit="0" vertical="center" wrapText="0"/>
    </xf>
    <xf borderId="12" fillId="3" fontId="18" numFmtId="0" xfId="0" applyAlignment="1" applyBorder="1" applyFont="1">
      <alignment horizontal="center" readingOrder="0" shrinkToFit="0" vertical="center" wrapText="0"/>
    </xf>
    <xf borderId="13" fillId="3" fontId="18" numFmtId="0" xfId="0" applyAlignment="1" applyBorder="1" applyFont="1">
      <alignment horizontal="center" readingOrder="0" shrinkToFit="0" vertical="center" wrapText="0"/>
    </xf>
    <xf borderId="5" fillId="15" fontId="14" numFmtId="0" xfId="0" applyAlignment="1" applyBorder="1" applyFont="1">
      <alignment horizontal="center" readingOrder="0" shrinkToFit="0" vertical="center" wrapText="1"/>
    </xf>
    <xf borderId="3" fillId="11" fontId="14" numFmtId="0" xfId="0" applyAlignment="1" applyBorder="1" applyFont="1">
      <alignment horizontal="center" readingOrder="0" vertical="center"/>
    </xf>
    <xf borderId="1" fillId="11"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7" fontId="16" numFmtId="0" xfId="0" applyAlignment="1" applyBorder="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7" fontId="21" numFmtId="0" xfId="0" applyAlignment="1" applyBorder="1" applyFill="1" applyFont="1">
      <alignment horizontal="center" readingOrder="0" vertical="center"/>
    </xf>
    <xf borderId="18" fillId="17" fontId="21" numFmtId="0" xfId="0" applyAlignment="1" applyBorder="1" applyFont="1">
      <alignment horizontal="center" vertical="center"/>
    </xf>
    <xf borderId="19" fillId="17" fontId="21" numFmtId="0" xfId="0" applyAlignment="1" applyBorder="1" applyFont="1">
      <alignment horizontal="center" vertical="center"/>
    </xf>
    <xf borderId="20" fillId="0" fontId="3" numFmtId="0" xfId="0" applyBorder="1" applyFont="1"/>
    <xf borderId="19" fillId="17" fontId="21" numFmtId="0" xfId="0" applyAlignment="1" applyBorder="1" applyFont="1">
      <alignment horizontal="center" readingOrder="0" vertical="center"/>
    </xf>
    <xf borderId="19" fillId="17"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8" fontId="23" numFmtId="0" xfId="0" applyAlignment="1" applyBorder="1" applyFill="1" applyFont="1">
      <alignment horizontal="right" readingOrder="0" vertical="center"/>
    </xf>
    <xf borderId="18"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vertical="center"/>
    </xf>
    <xf borderId="19" fillId="18" fontId="22" numFmtId="0" xfId="0" applyAlignment="1" applyBorder="1" applyFont="1">
      <alignment horizontal="center" readingOrder="0" vertical="center"/>
    </xf>
    <xf borderId="19" fillId="18" fontId="22" numFmtId="165" xfId="0" applyAlignment="1" applyBorder="1" applyFont="1" applyNumberFormat="1">
      <alignment horizontal="center" vertical="center"/>
    </xf>
    <xf borderId="19" fillId="14" fontId="23" numFmtId="0" xfId="0" applyAlignment="1" applyBorder="1" applyFont="1">
      <alignment horizontal="right" readingOrder="0" vertical="center"/>
    </xf>
    <xf borderId="19" fillId="14" fontId="22" numFmtId="0" xfId="0" applyAlignment="1" applyBorder="1" applyFont="1">
      <alignment horizontal="center" vertical="center"/>
    </xf>
    <xf borderId="22" fillId="18" fontId="23" numFmtId="0" xfId="0" applyAlignment="1" applyBorder="1" applyFont="1">
      <alignment horizontal="right" readingOrder="0" vertical="center"/>
    </xf>
    <xf borderId="22" fillId="18" fontId="22" numFmtId="0" xfId="0" applyAlignment="1" applyBorder="1" applyFont="1">
      <alignment horizontal="center" vertical="center"/>
    </xf>
    <xf borderId="23" fillId="18" fontId="22" numFmtId="0" xfId="0" applyAlignment="1" applyBorder="1" applyFont="1">
      <alignment horizontal="center" vertical="center"/>
    </xf>
    <xf borderId="24" fillId="0" fontId="3" numFmtId="0" xfId="0" applyBorder="1" applyFont="1"/>
    <xf borderId="23" fillId="18" fontId="22" numFmtId="0" xfId="0" applyAlignment="1" applyBorder="1" applyFont="1">
      <alignment horizontal="center" readingOrder="0" vertical="center"/>
    </xf>
    <xf borderId="23" fillId="14" fontId="23" numFmtId="0" xfId="0" applyAlignment="1" applyBorder="1" applyFont="1">
      <alignment horizontal="right" readingOrder="0" vertical="center"/>
    </xf>
    <xf borderId="25" fillId="0" fontId="3" numFmtId="0" xfId="0" applyBorder="1" applyFont="1"/>
    <xf borderId="23" fillId="14" fontId="22" numFmtId="0" xfId="0" applyAlignment="1" applyBorder="1" applyFont="1">
      <alignment horizontal="center" vertical="center"/>
    </xf>
    <xf borderId="26" fillId="18" fontId="23" numFmtId="0" xfId="0" applyAlignment="1" applyBorder="1" applyFont="1">
      <alignment horizontal="right" readingOrder="0" vertical="center"/>
    </xf>
    <xf borderId="26" fillId="18" fontId="22" numFmtId="0" xfId="0" applyAlignment="1" applyBorder="1" applyFont="1">
      <alignment horizontal="center" vertical="center"/>
    </xf>
    <xf borderId="27" fillId="18" fontId="22" numFmtId="0" xfId="0" applyAlignment="1" applyBorder="1" applyFont="1">
      <alignment horizontal="center" vertical="center"/>
    </xf>
    <xf borderId="28" fillId="0" fontId="3" numFmtId="0" xfId="0" applyBorder="1" applyFont="1"/>
    <xf borderId="27" fillId="18" fontId="22" numFmtId="0" xfId="0" applyAlignment="1" applyBorder="1" applyFont="1">
      <alignment horizontal="center" vertical="center"/>
    </xf>
    <xf borderId="27" fillId="18" fontId="22" numFmtId="10" xfId="0" applyAlignment="1" applyBorder="1" applyFont="1" applyNumberFormat="1">
      <alignment horizontal="center" vertical="center"/>
    </xf>
    <xf borderId="27" fillId="14" fontId="23" numFmtId="0" xfId="0" applyAlignment="1" applyBorder="1" applyFont="1">
      <alignment horizontal="right" readingOrder="0" vertical="center"/>
    </xf>
    <xf borderId="29" fillId="0" fontId="3" numFmtId="0" xfId="0" applyBorder="1" applyFont="1"/>
    <xf borderId="27" fillId="14" fontId="22" numFmtId="0" xfId="0" applyAlignment="1" applyBorder="1" applyFont="1">
      <alignment horizontal="center" vertical="center"/>
    </xf>
    <xf borderId="18" fillId="19" fontId="23" numFmtId="0" xfId="0" applyAlignment="1" applyBorder="1" applyFill="1" applyFont="1">
      <alignment horizontal="right" readingOrder="0" vertical="center"/>
    </xf>
    <xf borderId="18" fillId="19" fontId="22" numFmtId="10" xfId="0" applyAlignment="1" applyBorder="1" applyFont="1" applyNumberFormat="1">
      <alignment horizontal="center" vertical="center"/>
    </xf>
    <xf borderId="19" fillId="19" fontId="22" numFmtId="10" xfId="0" applyAlignment="1" applyBorder="1" applyFont="1" applyNumberFormat="1">
      <alignment horizontal="center" vertical="center"/>
    </xf>
    <xf borderId="19" fillId="20" fontId="23" numFmtId="0" xfId="0" applyAlignment="1" applyBorder="1" applyFill="1" applyFont="1">
      <alignment horizontal="right" readingOrder="0" vertical="center"/>
    </xf>
    <xf borderId="19" fillId="20" fontId="22" numFmtId="10" xfId="0" applyAlignment="1" applyBorder="1" applyFont="1" applyNumberFormat="1">
      <alignment horizontal="center" vertical="center"/>
    </xf>
    <xf borderId="30" fillId="20" fontId="22" numFmtId="10" xfId="0" applyAlignment="1" applyBorder="1" applyFont="1" applyNumberFormat="1">
      <alignment horizontal="center" vertical="center"/>
    </xf>
    <xf borderId="31" fillId="0" fontId="3" numFmtId="0" xfId="0" applyBorder="1" applyFont="1"/>
    <xf borderId="21" fillId="20"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6" fontId="24"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5" numFmtId="0" xfId="0" applyAlignment="1" applyBorder="1" applyFont="1">
      <alignment horizontal="center" vertical="bottom"/>
    </xf>
    <xf borderId="35" fillId="7" fontId="4" numFmtId="0" xfId="0" applyBorder="1" applyFont="1"/>
    <xf borderId="36" fillId="7" fontId="26"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5" numFmtId="0" xfId="0" applyAlignment="1" applyBorder="1" applyFont="1">
      <alignment horizontal="center"/>
    </xf>
    <xf borderId="42" fillId="4" fontId="25" numFmtId="0" xfId="0" applyAlignment="1" applyBorder="1" applyFont="1">
      <alignment horizontal="center"/>
    </xf>
    <xf borderId="42" fillId="7" fontId="25" numFmtId="0" xfId="0" applyAlignment="1" applyBorder="1" applyFont="1">
      <alignment horizontal="center" vertical="bottom"/>
    </xf>
    <xf borderId="42" fillId="7" fontId="25" numFmtId="0" xfId="0" applyAlignment="1" applyBorder="1" applyFont="1">
      <alignment horizontal="center"/>
    </xf>
    <xf borderId="43" fillId="15" fontId="27" numFmtId="0" xfId="0" applyAlignment="1" applyBorder="1" applyFont="1">
      <alignment horizontal="center"/>
    </xf>
    <xf borderId="43" fillId="12" fontId="27" numFmtId="0" xfId="0" applyAlignment="1" applyBorder="1" applyFont="1">
      <alignment horizontal="center"/>
    </xf>
    <xf borderId="44" fillId="21" fontId="25" numFmtId="0" xfId="0" applyAlignment="1" applyBorder="1" applyFont="1">
      <alignment horizontal="center"/>
    </xf>
    <xf borderId="45" fillId="0" fontId="3" numFmtId="0" xfId="0" applyBorder="1" applyFont="1"/>
    <xf borderId="46" fillId="0" fontId="3" numFmtId="0" xfId="0" applyBorder="1" applyFont="1"/>
    <xf borderId="44" fillId="19" fontId="25" numFmtId="0" xfId="0" applyAlignment="1" applyBorder="1" applyFont="1">
      <alignment horizontal="center"/>
    </xf>
    <xf borderId="44" fillId="22" fontId="25" numFmtId="0" xfId="0" applyAlignment="1" applyBorder="1" applyFont="1">
      <alignment horizontal="center"/>
    </xf>
    <xf borderId="44" fillId="23" fontId="25" numFmtId="0" xfId="0" applyAlignment="1" applyBorder="1" applyFont="1">
      <alignment horizontal="center"/>
    </xf>
    <xf borderId="47" fillId="0" fontId="3" numFmtId="0" xfId="0" applyBorder="1" applyFont="1"/>
    <xf borderId="48" fillId="24"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6" fillId="25" fontId="32" numFmtId="0" xfId="0" applyAlignment="1" applyBorder="1" applyFill="1" applyFont="1">
      <alignment horizontal="center" shrinkToFit="0" wrapText="1"/>
    </xf>
    <xf borderId="56" fillId="25" fontId="33" numFmtId="0" xfId="0" applyAlignment="1" applyBorder="1" applyFont="1">
      <alignment horizontal="center" shrinkToFit="0" wrapText="1"/>
    </xf>
    <xf borderId="50" fillId="25" fontId="33"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4" numFmtId="0" xfId="0" applyAlignment="1" applyBorder="1" applyFont="1">
      <alignment horizontal="center" shrinkToFit="0" wrapText="1"/>
    </xf>
    <xf borderId="57" fillId="25" fontId="34" numFmtId="0" xfId="0" applyAlignment="1" applyBorder="1" applyFont="1">
      <alignment horizontal="center" shrinkToFit="0" wrapText="1"/>
    </xf>
    <xf borderId="0" fillId="0" fontId="35" numFmtId="0" xfId="0" applyAlignment="1" applyFont="1">
      <alignment horizontal="center" readingOrder="0" shrinkToFit="0" vertical="center" wrapText="1"/>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6" numFmtId="0" xfId="0" applyAlignment="1" applyBorder="1" applyFont="1">
      <alignment readingOrder="0" vertical="center"/>
    </xf>
    <xf borderId="4" fillId="13" fontId="37" numFmtId="0" xfId="0" applyAlignment="1" applyBorder="1" applyFont="1">
      <alignment horizontal="center" vertical="center"/>
    </xf>
    <xf borderId="2" fillId="23" fontId="4" numFmtId="0" xfId="0" applyAlignment="1" applyBorder="1" applyFont="1">
      <alignment horizontal="center" vertical="center"/>
    </xf>
    <xf borderId="1" fillId="5" fontId="38"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39" numFmtId="0" xfId="0" applyAlignment="1" applyFont="1">
      <alignment horizontal="center" readingOrder="0" vertical="center"/>
    </xf>
    <xf borderId="5" fillId="17" fontId="40" numFmtId="0" xfId="0" applyAlignment="1" applyBorder="1" applyFont="1">
      <alignment horizontal="center" readingOrder="0" shrinkToFit="0" textRotation="0" vertical="center" wrapText="1"/>
    </xf>
    <xf borderId="2" fillId="17" fontId="41" numFmtId="0" xfId="0" applyAlignment="1" applyBorder="1" applyFont="1">
      <alignment horizontal="center" shrinkToFit="0" textRotation="0" vertical="center" wrapText="1"/>
    </xf>
    <xf borderId="2" fillId="17"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5" fontId="41" numFmtId="0" xfId="0" applyAlignment="1" applyBorder="1" applyFont="1">
      <alignment horizontal="center" readingOrder="0" shrinkToFit="0" vertical="center" wrapText="1"/>
    </xf>
    <xf borderId="1" fillId="17" fontId="41" numFmtId="0" xfId="0" applyAlignment="1" applyBorder="1" applyFont="1">
      <alignment horizontal="center" readingOrder="0" shrinkToFit="0" vertical="center" wrapText="1"/>
    </xf>
    <xf borderId="3" fillId="17" fontId="41" numFmtId="0" xfId="0" applyAlignment="1" applyBorder="1" applyFont="1">
      <alignment horizontal="center" readingOrder="0" shrinkToFit="0" vertical="center" wrapText="1"/>
    </xf>
    <xf borderId="22" fillId="24" fontId="43" numFmtId="0" xfId="0" applyAlignment="1" applyBorder="1" applyFont="1">
      <alignment horizontal="left" readingOrder="0" vertical="center"/>
    </xf>
    <xf borderId="67" fillId="0" fontId="3" numFmtId="0" xfId="0" applyBorder="1" applyFont="1"/>
    <xf borderId="68" fillId="17" fontId="41"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4" numFmtId="0" xfId="0" applyAlignment="1" applyFont="1">
      <alignment vertical="center"/>
    </xf>
    <xf borderId="71" fillId="26" fontId="36" numFmtId="0" xfId="0" applyAlignment="1" applyBorder="1" applyFill="1" applyFont="1">
      <alignment readingOrder="0" shrinkToFit="0" vertical="center" wrapText="1"/>
    </xf>
    <xf borderId="72" fillId="26" fontId="45" numFmtId="0" xfId="0" applyAlignment="1" applyBorder="1" applyFont="1">
      <alignment horizontal="center" vertical="center"/>
    </xf>
    <xf borderId="73" fillId="26" fontId="45" numFmtId="0" xfId="0" applyAlignment="1" applyBorder="1" applyFont="1">
      <alignment horizontal="center" vertical="center"/>
    </xf>
    <xf borderId="18" fillId="0" fontId="1" numFmtId="0" xfId="0" applyAlignment="1" applyBorder="1" applyFont="1">
      <alignment horizontal="center" vertical="center"/>
    </xf>
    <xf borderId="0" fillId="0" fontId="46" numFmtId="0" xfId="0" applyAlignment="1" applyFont="1">
      <alignment vertical="center"/>
    </xf>
    <xf borderId="30" fillId="27" fontId="40"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7"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7" numFmtId="0" xfId="0" applyAlignment="1" applyBorder="1" applyFont="1">
      <alignment shrinkToFit="0" vertical="center" wrapText="1"/>
    </xf>
    <xf borderId="74" fillId="0" fontId="2" numFmtId="0" xfId="0" applyAlignment="1" applyBorder="1" applyFont="1">
      <alignment horizontal="center" vertical="center"/>
    </xf>
    <xf borderId="3" fillId="0" fontId="47" numFmtId="0" xfId="0" applyAlignment="1" applyBorder="1" applyFont="1">
      <alignment shrinkToFit="0" vertical="center" wrapText="1"/>
    </xf>
    <xf borderId="71" fillId="28" fontId="36" numFmtId="0" xfId="0" applyAlignment="1" applyBorder="1" applyFill="1" applyFont="1">
      <alignment readingOrder="0" shrinkToFit="0" vertical="center" wrapText="1"/>
    </xf>
    <xf borderId="77" fillId="28" fontId="45" numFmtId="0" xfId="0" applyAlignment="1" applyBorder="1" applyFont="1">
      <alignment horizontal="center" vertical="center"/>
    </xf>
    <xf borderId="78" fillId="28" fontId="45" numFmtId="0" xfId="0" applyAlignment="1" applyBorder="1" applyFont="1">
      <alignment horizontal="center" vertical="center"/>
    </xf>
    <xf borderId="3" fillId="21" fontId="40"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7" numFmtId="0" xfId="0" applyAlignment="1" applyBorder="1" applyFont="1">
      <alignment shrinkToFit="0" vertical="center" wrapText="1"/>
    </xf>
    <xf borderId="5" fillId="5" fontId="47" numFmtId="0" xfId="0" applyAlignment="1" applyBorder="1" applyFont="1">
      <alignment shrinkToFit="0" vertical="center" wrapText="1"/>
    </xf>
    <xf borderId="6" fillId="5" fontId="47" numFmtId="0" xfId="0" applyAlignment="1" applyBorder="1" applyFont="1">
      <alignment shrinkToFit="0" vertical="center" wrapText="1"/>
    </xf>
    <xf borderId="79" fillId="5" fontId="47"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0"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0"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4" numFmtId="166" xfId="0" applyAlignment="1" applyFont="1" applyNumberFormat="1">
      <alignment vertical="center"/>
    </xf>
    <xf borderId="0" fillId="0" fontId="53" numFmtId="0" xfId="0" applyAlignment="1" applyFont="1">
      <alignment vertical="center"/>
    </xf>
    <xf borderId="0" fillId="0" fontId="4" numFmtId="166" xfId="0" applyAlignment="1" applyFont="1" applyNumberFormat="1">
      <alignment horizontal="center" vertical="center"/>
    </xf>
    <xf borderId="0" fillId="0" fontId="54"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5" numFmtId="0" xfId="0" applyAlignment="1" applyBorder="1" applyFont="1">
      <alignment horizontal="center" readingOrder="0" vertical="center"/>
    </xf>
    <xf borderId="83" fillId="3" fontId="55" numFmtId="0" xfId="0" applyAlignment="1" applyBorder="1" applyFont="1">
      <alignment horizontal="center" readingOrder="0" vertical="center"/>
    </xf>
    <xf borderId="83" fillId="7" fontId="55"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0" fontId="55" numFmtId="14" xfId="0" applyAlignment="1" applyBorder="1" applyFont="1" applyNumberFormat="1">
      <alignment horizontal="center" readingOrder="0" vertical="center"/>
    </xf>
    <xf borderId="83" fillId="0" fontId="57" numFmtId="0" xfId="0" applyAlignment="1" applyBorder="1" applyFont="1">
      <alignment horizontal="center" readingOrder="0" vertical="center"/>
    </xf>
    <xf borderId="83" fillId="0" fontId="58" numFmtId="0" xfId="0" applyAlignment="1" applyBorder="1" applyFont="1">
      <alignment horizontal="center" vertical="center"/>
    </xf>
    <xf borderId="83" fillId="21" fontId="55" numFmtId="2" xfId="0" applyAlignment="1" applyBorder="1" applyFont="1" applyNumberFormat="1">
      <alignment horizontal="center" vertical="center"/>
    </xf>
    <xf borderId="83" fillId="21" fontId="59" numFmtId="167" xfId="0" applyAlignment="1" applyBorder="1" applyFont="1" applyNumberFormat="1">
      <alignment horizontal="center" vertical="center"/>
    </xf>
    <xf borderId="83" fillId="21" fontId="60" numFmtId="1" xfId="0" applyAlignment="1" applyBorder="1" applyFont="1" applyNumberFormat="1">
      <alignment horizontal="center" vertical="center"/>
    </xf>
    <xf borderId="0" fillId="0" fontId="61" numFmtId="0" xfId="0" applyAlignment="1" applyFont="1">
      <alignment readingOrder="0" vertical="center"/>
    </xf>
    <xf borderId="0" fillId="0" fontId="61" numFmtId="0" xfId="0" applyAlignment="1" applyFont="1">
      <alignment horizontal="center" readingOrder="0" vertical="center"/>
    </xf>
    <xf borderId="0" fillId="0" fontId="62" numFmtId="0" xfId="0" applyFont="1"/>
    <xf borderId="0" fillId="21" fontId="61" numFmtId="0" xfId="0" applyAlignment="1" applyFont="1">
      <alignment horizontal="center" readingOrder="0" vertical="center"/>
    </xf>
    <xf borderId="0" fillId="4" fontId="63" numFmtId="0" xfId="0" applyAlignment="1" applyFont="1">
      <alignment vertical="center"/>
    </xf>
    <xf borderId="0" fillId="4" fontId="63" numFmtId="168" xfId="0" applyAlignment="1" applyFont="1" applyNumberFormat="1">
      <alignment horizontal="right" vertical="center"/>
    </xf>
    <xf borderId="0" fillId="4" fontId="63" numFmtId="10" xfId="0" applyAlignment="1" applyFont="1" applyNumberFormat="1">
      <alignment horizontal="center" vertical="center"/>
    </xf>
    <xf borderId="0" fillId="4" fontId="63" numFmtId="0" xfId="0" applyAlignment="1" applyFont="1">
      <alignment horizontal="right" vertical="center"/>
    </xf>
    <xf borderId="0" fillId="4" fontId="63" numFmtId="0" xfId="0" applyAlignment="1" applyFont="1">
      <alignment horizontal="right" vertical="bottom"/>
    </xf>
    <xf borderId="0" fillId="4" fontId="63" numFmtId="0" xfId="0" applyAlignment="1" applyFont="1">
      <alignment vertical="bottom"/>
    </xf>
    <xf borderId="0" fillId="4" fontId="63" numFmtId="0" xfId="0" applyAlignment="1" applyFont="1">
      <alignment vertical="center"/>
    </xf>
    <xf borderId="0" fillId="4" fontId="64" numFmtId="0" xfId="0" applyAlignment="1" applyFont="1">
      <alignment vertical="center"/>
    </xf>
    <xf borderId="0" fillId="4" fontId="63" numFmtId="169" xfId="0" applyAlignment="1" applyFont="1" applyNumberFormat="1">
      <alignment horizontal="right" readingOrder="0" vertical="center"/>
    </xf>
    <xf borderId="0" fillId="4" fontId="63" numFmtId="0" xfId="0" applyAlignment="1" applyFont="1">
      <alignment horizontal="left" vertical="center"/>
    </xf>
    <xf borderId="0" fillId="0" fontId="63" numFmtId="0" xfId="0" applyAlignment="1" applyFont="1">
      <alignment readingOrder="0" vertical="center"/>
    </xf>
    <xf borderId="0" fillId="0" fontId="63" numFmtId="0" xfId="0" applyAlignment="1" applyFont="1">
      <alignment vertical="center"/>
    </xf>
    <xf borderId="0" fillId="0" fontId="63" numFmtId="0" xfId="0" applyAlignment="1" applyFont="1">
      <alignment horizontal="left" vertical="center"/>
    </xf>
    <xf borderId="0" fillId="0" fontId="65" numFmtId="0" xfId="0" applyAlignment="1" applyFont="1">
      <alignment readingOrder="0" shrinkToFit="0" vertical="center" wrapText="0"/>
    </xf>
    <xf borderId="0" fillId="0" fontId="66" numFmtId="0" xfId="0" applyAlignment="1" applyFont="1">
      <alignment readingOrder="0" vertical="center"/>
    </xf>
    <xf borderId="0" fillId="0" fontId="67" numFmtId="0" xfId="0" applyAlignment="1" applyFont="1">
      <alignment vertical="center"/>
    </xf>
    <xf borderId="19" fillId="12" fontId="68" numFmtId="0" xfId="0" applyAlignment="1" applyBorder="1" applyFont="1">
      <alignment horizontal="center" readingOrder="0" vertical="center"/>
    </xf>
    <xf borderId="19" fillId="0" fontId="69" numFmtId="169" xfId="0" applyAlignment="1" applyBorder="1" applyFont="1" applyNumberFormat="1">
      <alignment horizontal="center" readingOrder="0" vertical="center"/>
    </xf>
    <xf borderId="18" fillId="29" fontId="69" numFmtId="0" xfId="0" applyAlignment="1" applyBorder="1" applyFont="1">
      <alignment horizontal="center" readingOrder="0" vertical="center"/>
    </xf>
    <xf borderId="18" fillId="0" fontId="69" numFmtId="0" xfId="0" applyAlignment="1" applyBorder="1" applyFont="1">
      <alignment horizontal="center" vertical="center"/>
    </xf>
    <xf borderId="18" fillId="12" fontId="68" numFmtId="0" xfId="0" applyAlignment="1" applyBorder="1" applyFont="1">
      <alignment horizontal="center" readingOrder="0" vertical="center"/>
    </xf>
    <xf borderId="18" fillId="0" fontId="69" numFmtId="0" xfId="0" applyAlignment="1" applyBorder="1" applyFont="1">
      <alignment horizontal="center" readingOrder="0" vertical="center"/>
    </xf>
    <xf borderId="19" fillId="0" fontId="69" numFmtId="0" xfId="0" applyAlignment="1" applyBorder="1" applyFont="1">
      <alignment horizontal="center" readingOrder="0" vertical="center"/>
    </xf>
    <xf borderId="84" fillId="29" fontId="23" numFmtId="0" xfId="0" applyAlignment="1" applyBorder="1" applyFont="1">
      <alignment horizontal="center" readingOrder="0" vertical="center"/>
    </xf>
    <xf borderId="85" fillId="5" fontId="70" numFmtId="0" xfId="0" applyAlignment="1" applyBorder="1" applyFont="1">
      <alignment horizontal="left" vertical="center"/>
    </xf>
    <xf borderId="0" fillId="0" fontId="71" numFmtId="0" xfId="0" applyAlignment="1" applyFont="1">
      <alignment vertical="center"/>
    </xf>
    <xf borderId="18" fillId="30" fontId="68" numFmtId="0" xfId="0" applyAlignment="1" applyBorder="1" applyFill="1" applyFont="1">
      <alignment vertical="bottom"/>
    </xf>
    <xf borderId="23" fillId="31" fontId="72" numFmtId="0" xfId="0" applyAlignment="1" applyBorder="1" applyFill="1" applyFont="1">
      <alignment horizontal="center" vertical="bottom"/>
    </xf>
    <xf borderId="19" fillId="31" fontId="72" numFmtId="0" xfId="0" applyAlignment="1" applyBorder="1" applyFont="1">
      <alignment horizontal="center" vertical="bottom"/>
    </xf>
    <xf borderId="18" fillId="31" fontId="72" numFmtId="0" xfId="0" applyAlignment="1" applyBorder="1" applyFont="1">
      <alignment horizontal="center" vertical="bottom"/>
    </xf>
    <xf borderId="24" fillId="31" fontId="72" numFmtId="0" xfId="0" applyAlignment="1" applyBorder="1" applyFont="1">
      <alignment horizontal="center" vertical="bottom"/>
    </xf>
    <xf borderId="86" fillId="31" fontId="72" numFmtId="0" xfId="0" applyAlignment="1" applyBorder="1" applyFont="1">
      <alignment horizontal="center" vertical="bottom"/>
    </xf>
    <xf borderId="87" fillId="0" fontId="3" numFmtId="0" xfId="0" applyBorder="1" applyFont="1"/>
    <xf borderId="88" fillId="0" fontId="3" numFmtId="0" xfId="0" applyBorder="1" applyFont="1"/>
    <xf borderId="19" fillId="30" fontId="72" numFmtId="0" xfId="0" applyAlignment="1" applyBorder="1" applyFont="1">
      <alignment horizontal="center" readingOrder="0" vertical="center"/>
    </xf>
    <xf borderId="0" fillId="0" fontId="63" numFmtId="0" xfId="0" applyAlignment="1" applyFont="1">
      <alignment horizontal="center" readingOrder="0" vertical="center"/>
    </xf>
    <xf borderId="19" fillId="30" fontId="68" numFmtId="0" xfId="0" applyAlignment="1" applyBorder="1" applyFont="1">
      <alignment readingOrder="0" shrinkToFit="0" vertical="center" wrapText="0"/>
    </xf>
    <xf borderId="21" fillId="30" fontId="63" numFmtId="0" xfId="0" applyAlignment="1" applyBorder="1" applyFont="1">
      <alignment vertical="center"/>
    </xf>
    <xf borderId="21" fillId="30" fontId="67" numFmtId="0" xfId="0" applyAlignment="1" applyBorder="1" applyFont="1">
      <alignment readingOrder="0" vertical="center"/>
    </xf>
    <xf borderId="0" fillId="0" fontId="1" numFmtId="0" xfId="0" applyAlignment="1" applyFont="1">
      <alignment horizontal="left"/>
    </xf>
    <xf borderId="19" fillId="21" fontId="73" numFmtId="0" xfId="0" applyAlignment="1" applyBorder="1" applyFont="1">
      <alignment vertical="bottom"/>
    </xf>
    <xf borderId="19" fillId="21" fontId="71" numFmtId="10" xfId="0" applyAlignment="1" applyBorder="1" applyFont="1" applyNumberFormat="1">
      <alignment horizontal="center" vertical="bottom"/>
    </xf>
    <xf borderId="21" fillId="21" fontId="71" numFmtId="10" xfId="0" applyAlignment="1" applyBorder="1" applyFont="1" applyNumberFormat="1">
      <alignment horizontal="center" vertical="bottom"/>
    </xf>
    <xf borderId="18" fillId="21" fontId="71" numFmtId="10" xfId="0" applyAlignment="1" applyBorder="1" applyFont="1" applyNumberFormat="1">
      <alignment horizontal="center" vertical="bottom"/>
    </xf>
    <xf borderId="18" fillId="21" fontId="71" numFmtId="168" xfId="0" applyAlignment="1" applyBorder="1" applyFont="1" applyNumberFormat="1">
      <alignment horizontal="center" vertical="bottom"/>
    </xf>
    <xf borderId="19" fillId="21" fontId="71" numFmtId="168" xfId="0" applyAlignment="1" applyBorder="1" applyFont="1" applyNumberFormat="1">
      <alignment horizontal="center" vertical="bottom"/>
    </xf>
    <xf borderId="3" fillId="21" fontId="71" numFmtId="168" xfId="0" applyAlignment="1" applyBorder="1" applyFont="1" applyNumberFormat="1">
      <alignment horizontal="center" vertical="bottom"/>
    </xf>
    <xf borderId="21" fillId="21" fontId="71" numFmtId="168" xfId="0" applyAlignment="1" applyBorder="1" applyFont="1" applyNumberFormat="1">
      <alignment horizontal="center" vertical="bottom"/>
    </xf>
    <xf borderId="19" fillId="32" fontId="63" numFmtId="10" xfId="0" applyAlignment="1" applyBorder="1" applyFill="1" applyFont="1" applyNumberFormat="1">
      <alignment horizontal="center" vertical="center"/>
    </xf>
    <xf borderId="19" fillId="32" fontId="63" numFmtId="170" xfId="0" applyAlignment="1" applyBorder="1" applyFont="1" applyNumberFormat="1">
      <alignment horizontal="center" vertical="center"/>
    </xf>
    <xf borderId="89" fillId="0" fontId="67" numFmtId="0" xfId="0" applyAlignment="1" applyBorder="1" applyFont="1">
      <alignment readingOrder="0" vertical="center"/>
    </xf>
    <xf borderId="90" fillId="0" fontId="3" numFmtId="0" xfId="0" applyBorder="1" applyFont="1"/>
    <xf borderId="19" fillId="32" fontId="71" numFmtId="0" xfId="0" applyAlignment="1" applyBorder="1" applyFont="1">
      <alignment vertical="bottom"/>
    </xf>
    <xf borderId="19" fillId="32" fontId="74" numFmtId="10" xfId="0" applyAlignment="1" applyBorder="1" applyFont="1" applyNumberFormat="1">
      <alignment horizontal="center" vertical="bottom"/>
    </xf>
    <xf borderId="21" fillId="32" fontId="71" numFmtId="10" xfId="0" applyAlignment="1" applyBorder="1" applyFont="1" applyNumberFormat="1">
      <alignment horizontal="center" vertical="bottom"/>
    </xf>
    <xf borderId="18" fillId="32" fontId="71" numFmtId="10" xfId="0" applyAlignment="1" applyBorder="1" applyFont="1" applyNumberFormat="1">
      <alignment horizontal="center" vertical="bottom"/>
    </xf>
    <xf borderId="18" fillId="32" fontId="74" numFmtId="168" xfId="0" applyAlignment="1" applyBorder="1" applyFont="1" applyNumberFormat="1">
      <alignment horizontal="center" vertical="bottom"/>
    </xf>
    <xf borderId="18" fillId="32" fontId="71" numFmtId="168" xfId="0" applyAlignment="1" applyBorder="1" applyFont="1" applyNumberFormat="1">
      <alignment horizontal="center" vertical="bottom"/>
    </xf>
    <xf borderId="19" fillId="32" fontId="71" numFmtId="168" xfId="0" applyAlignment="1" applyBorder="1" applyFont="1" applyNumberFormat="1">
      <alignment horizontal="center" vertical="bottom"/>
    </xf>
    <xf borderId="3" fillId="32" fontId="71" numFmtId="168" xfId="0" applyAlignment="1" applyBorder="1" applyFont="1" applyNumberFormat="1">
      <alignment horizontal="center" vertical="bottom"/>
    </xf>
    <xf borderId="21" fillId="32" fontId="71" numFmtId="168" xfId="0" applyAlignment="1" applyBorder="1" applyFont="1" applyNumberFormat="1">
      <alignment horizontal="center" vertical="bottom"/>
    </xf>
    <xf borderId="0" fillId="0" fontId="75" numFmtId="0" xfId="0" applyAlignment="1" applyFont="1">
      <alignment readingOrder="0" vertical="center"/>
    </xf>
    <xf borderId="0" fillId="0" fontId="76" numFmtId="0" xfId="0" applyAlignment="1" applyFont="1">
      <alignment readingOrder="0" vertical="center"/>
    </xf>
    <xf borderId="18" fillId="30" fontId="77" numFmtId="0" xfId="0" applyBorder="1" applyFont="1"/>
    <xf borderId="18" fillId="30" fontId="2" numFmtId="0" xfId="0" applyBorder="1" applyFont="1"/>
    <xf borderId="89" fillId="0" fontId="3" numFmtId="0" xfId="0" applyBorder="1" applyFont="1"/>
    <xf borderId="19" fillId="29" fontId="73" numFmtId="0" xfId="0" applyAlignment="1" applyBorder="1" applyFont="1">
      <alignment vertical="bottom"/>
    </xf>
    <xf borderId="19" fillId="29" fontId="71" numFmtId="0" xfId="0" applyAlignment="1" applyBorder="1" applyFont="1">
      <alignment horizontal="center" vertical="bottom"/>
    </xf>
    <xf borderId="21" fillId="29" fontId="71" numFmtId="10" xfId="0" applyAlignment="1" applyBorder="1" applyFont="1" applyNumberFormat="1">
      <alignment horizontal="center" vertical="bottom"/>
    </xf>
    <xf borderId="18" fillId="29" fontId="71" numFmtId="10" xfId="0" applyAlignment="1" applyBorder="1" applyFont="1" applyNumberFormat="1">
      <alignment horizontal="center" vertical="bottom"/>
    </xf>
    <xf borderId="18" fillId="29" fontId="71" numFmtId="168" xfId="0" applyAlignment="1" applyBorder="1" applyFont="1" applyNumberFormat="1">
      <alignment horizontal="center" vertical="bottom"/>
    </xf>
    <xf borderId="19" fillId="29" fontId="71" numFmtId="168" xfId="0" applyAlignment="1" applyBorder="1" applyFont="1" applyNumberFormat="1">
      <alignment horizontal="center" vertical="bottom"/>
    </xf>
    <xf borderId="3" fillId="29" fontId="71" numFmtId="168" xfId="0" applyAlignment="1" applyBorder="1" applyFont="1" applyNumberFormat="1">
      <alignment horizontal="center" vertical="bottom"/>
    </xf>
    <xf borderId="21" fillId="29" fontId="71" numFmtId="168" xfId="0" applyAlignment="1" applyBorder="1" applyFont="1" applyNumberFormat="1">
      <alignment horizontal="center" vertical="bottom"/>
    </xf>
    <xf borderId="19" fillId="32" fontId="78" numFmtId="0" xfId="0" applyAlignment="1" applyBorder="1" applyFont="1">
      <alignment readingOrder="0"/>
    </xf>
    <xf borderId="86" fillId="0" fontId="3" numFmtId="0" xfId="0" applyBorder="1" applyFont="1"/>
    <xf borderId="0" fillId="0" fontId="79" numFmtId="0" xfId="0" applyAlignment="1" applyFont="1">
      <alignment vertical="center"/>
    </xf>
    <xf borderId="0" fillId="0" fontId="64" numFmtId="0" xfId="0" applyAlignment="1" applyFont="1">
      <alignment horizontal="center" vertical="center"/>
    </xf>
    <xf borderId="0" fillId="0" fontId="63" numFmtId="0" xfId="0" applyAlignment="1" applyFont="1">
      <alignment horizontal="center" vertical="center"/>
    </xf>
    <xf borderId="0" fillId="0" fontId="63" numFmtId="168" xfId="0" applyAlignment="1" applyFont="1" applyNumberFormat="1">
      <alignment horizontal="right" vertical="center"/>
    </xf>
    <xf borderId="91" fillId="30" fontId="72" numFmtId="0" xfId="0" applyAlignment="1" applyBorder="1" applyFont="1">
      <alignment horizontal="center" readingOrder="0" vertical="center"/>
    </xf>
    <xf borderId="91" fillId="30" fontId="72" numFmtId="0" xfId="0" applyAlignment="1" applyBorder="1" applyFont="1">
      <alignment horizontal="center" vertical="center"/>
    </xf>
    <xf borderId="91" fillId="30" fontId="72" numFmtId="0" xfId="0" applyAlignment="1" applyBorder="1" applyFont="1">
      <alignment horizontal="center" vertical="center"/>
    </xf>
    <xf borderId="68" fillId="30" fontId="80" numFmtId="0" xfId="0" applyAlignment="1" applyBorder="1" applyFont="1">
      <alignment horizontal="center" vertical="center"/>
    </xf>
    <xf borderId="92" fillId="33" fontId="68" numFmtId="0" xfId="0" applyAlignment="1" applyBorder="1" applyFill="1" applyFont="1">
      <alignment horizontal="center" readingOrder="0" vertical="center"/>
    </xf>
    <xf borderId="91" fillId="33" fontId="68" numFmtId="0" xfId="0" applyAlignment="1" applyBorder="1" applyFont="1">
      <alignment horizontal="center" readingOrder="0" vertical="center"/>
    </xf>
    <xf borderId="93" fillId="30" fontId="72" numFmtId="0" xfId="0" applyAlignment="1" applyBorder="1" applyFont="1">
      <alignment horizontal="center" readingOrder="0" vertical="center"/>
    </xf>
    <xf borderId="91" fillId="30" fontId="72" numFmtId="0" xfId="0" applyAlignment="1" applyBorder="1" applyFont="1">
      <alignment horizontal="left" readingOrder="0" vertical="center"/>
    </xf>
    <xf borderId="0" fillId="0" fontId="64" numFmtId="0" xfId="0" applyAlignment="1" applyFont="1">
      <alignment vertical="center"/>
    </xf>
    <xf borderId="0" fillId="30" fontId="81" numFmtId="171" xfId="0" applyAlignment="1" applyFont="1" applyNumberFormat="1">
      <alignment horizontal="center" shrinkToFit="0" vertical="center" wrapText="0"/>
    </xf>
    <xf borderId="22" fillId="22" fontId="43"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69" numFmtId="10" xfId="0" applyAlignment="1" applyBorder="1" applyFont="1" applyNumberFormat="1">
      <alignment horizontal="center" readingOrder="0" vertical="center"/>
    </xf>
    <xf borderId="0" fillId="34" fontId="81" numFmtId="0" xfId="0" applyAlignment="1" applyFill="1" applyFont="1">
      <alignment horizontal="center" readingOrder="0" vertical="center"/>
    </xf>
    <xf borderId="96" fillId="5" fontId="63" numFmtId="0" xfId="0" applyAlignment="1" applyBorder="1" applyFont="1">
      <alignment horizontal="center" readingOrder="0" vertical="center"/>
    </xf>
    <xf borderId="96" fillId="32" fontId="63" numFmtId="172" xfId="0" applyAlignment="1" applyBorder="1" applyFont="1" applyNumberFormat="1">
      <alignment horizontal="center" vertical="center"/>
    </xf>
    <xf borderId="96" fillId="32" fontId="63" numFmtId="0" xfId="0" applyAlignment="1" applyBorder="1" applyFont="1">
      <alignment horizontal="center" vertical="center"/>
    </xf>
    <xf borderId="94" fillId="5" fontId="63" numFmtId="0" xfId="0" applyAlignment="1" applyBorder="1" applyFont="1">
      <alignment horizontal="center" readingOrder="0" vertical="center"/>
    </xf>
    <xf borderId="96" fillId="5" fontId="63" numFmtId="0" xfId="0" applyAlignment="1" applyBorder="1" applyFont="1">
      <alignment horizontal="center" readingOrder="0" vertical="center"/>
    </xf>
    <xf borderId="96" fillId="5" fontId="63" numFmtId="0" xfId="0" applyAlignment="1" applyBorder="1" applyFont="1">
      <alignment horizontal="center" vertical="center"/>
    </xf>
    <xf borderId="94" fillId="5" fontId="63" numFmtId="0" xfId="0" applyAlignment="1" applyBorder="1" applyFont="1">
      <alignment horizontal="center" vertical="center"/>
    </xf>
    <xf borderId="96" fillId="5" fontId="63" numFmtId="0" xfId="0" applyAlignment="1" applyBorder="1" applyFont="1">
      <alignment horizontal="center" vertical="center"/>
    </xf>
    <xf borderId="96" fillId="2" fontId="63" numFmtId="168" xfId="0" applyAlignment="1" applyBorder="1" applyFont="1" applyNumberFormat="1">
      <alignment horizontal="center" vertical="center"/>
    </xf>
    <xf borderId="96" fillId="32" fontId="63" numFmtId="168" xfId="0" applyAlignment="1" applyBorder="1" applyFont="1" applyNumberFormat="1">
      <alignment horizontal="center" vertical="center"/>
    </xf>
    <xf borderId="96" fillId="32" fontId="63" numFmtId="173" xfId="0" applyAlignment="1" applyBorder="1" applyFont="1" applyNumberFormat="1">
      <alignment horizontal="center" vertical="center"/>
    </xf>
    <xf borderId="96" fillId="0" fontId="63" numFmtId="0" xfId="0" applyAlignment="1" applyBorder="1" applyFont="1">
      <alignment horizontal="left" vertical="center"/>
    </xf>
    <xf borderId="0" fillId="0" fontId="63" numFmtId="0" xfId="0" applyAlignment="1" applyFont="1">
      <alignment horizontal="left" vertical="center"/>
    </xf>
    <xf borderId="18" fillId="30" fontId="68" numFmtId="0" xfId="0" applyAlignment="1" applyBorder="1" applyFont="1">
      <alignment vertical="center"/>
    </xf>
    <xf borderId="18" fillId="30" fontId="68" numFmtId="0" xfId="0" applyAlignment="1" applyBorder="1" applyFont="1">
      <alignment horizontal="center" vertical="center"/>
    </xf>
    <xf borderId="0" fillId="0" fontId="82"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3" numFmtId="0" xfId="0" applyAlignment="1" applyBorder="1" applyFont="1">
      <alignment readingOrder="0" vertical="center"/>
    </xf>
    <xf borderId="96" fillId="29" fontId="63" numFmtId="0" xfId="0" applyAlignment="1" applyBorder="1" applyFont="1">
      <alignment horizontal="center" readingOrder="0" vertical="center"/>
    </xf>
    <xf borderId="96" fillId="14" fontId="63" numFmtId="0" xfId="0" applyAlignment="1" applyBorder="1" applyFont="1">
      <alignment horizontal="center" readingOrder="0" vertical="center"/>
    </xf>
    <xf borderId="96" fillId="14" fontId="63" numFmtId="0" xfId="0" applyAlignment="1" applyBorder="1" applyFont="1">
      <alignment horizontal="center" vertical="center"/>
    </xf>
    <xf borderId="96" fillId="14" fontId="63" numFmtId="0" xfId="0" applyAlignment="1" applyBorder="1" applyFont="1">
      <alignment horizontal="center" vertical="center"/>
    </xf>
    <xf borderId="18" fillId="0" fontId="63" numFmtId="0" xfId="0" applyAlignment="1" applyBorder="1" applyFont="1">
      <alignment readingOrder="0" vertical="center"/>
    </xf>
    <xf borderId="18" fillId="32" fontId="63" numFmtId="168" xfId="0" applyAlignment="1" applyBorder="1" applyFont="1" applyNumberFormat="1">
      <alignment vertical="center"/>
    </xf>
    <xf borderId="18" fillId="32" fontId="63" numFmtId="3" xfId="0" applyAlignment="1" applyBorder="1" applyFont="1" applyNumberFormat="1">
      <alignment vertical="center"/>
    </xf>
    <xf borderId="18" fillId="0" fontId="63" numFmtId="0" xfId="0" applyAlignment="1" applyBorder="1" applyFont="1">
      <alignment vertical="center"/>
    </xf>
    <xf borderId="18" fillId="32" fontId="63" numFmtId="168" xfId="0" applyAlignment="1" applyBorder="1" applyFont="1" applyNumberFormat="1">
      <alignment readingOrder="0" vertical="center"/>
    </xf>
    <xf borderId="18" fillId="32" fontId="63" numFmtId="3" xfId="0" applyAlignment="1" applyBorder="1" applyFont="1" applyNumberFormat="1">
      <alignment readingOrder="0" vertical="center"/>
    </xf>
    <xf borderId="96" fillId="5" fontId="63" numFmtId="172" xfId="0" applyAlignment="1" applyBorder="1" applyFont="1" applyNumberFormat="1">
      <alignment horizontal="center" vertical="center"/>
    </xf>
    <xf borderId="22" fillId="0" fontId="63" numFmtId="0" xfId="0" applyAlignment="1" applyBorder="1" applyFont="1">
      <alignment vertical="center"/>
    </xf>
    <xf borderId="22" fillId="32" fontId="63" numFmtId="168" xfId="0" applyAlignment="1" applyBorder="1" applyFont="1" applyNumberFormat="1">
      <alignment vertical="center"/>
    </xf>
    <xf borderId="22" fillId="32" fontId="63" numFmtId="3" xfId="0" applyAlignment="1" applyBorder="1" applyFont="1" applyNumberFormat="1">
      <alignment vertical="center"/>
    </xf>
    <xf borderId="96" fillId="29" fontId="63" numFmtId="172" xfId="0" applyAlignment="1" applyBorder="1" applyFont="1" applyNumberFormat="1">
      <alignment horizontal="center" vertical="center"/>
    </xf>
    <xf borderId="97" fillId="32" fontId="71" numFmtId="0" xfId="0" applyAlignment="1" applyBorder="1" applyFont="1">
      <alignment vertical="center"/>
    </xf>
    <xf borderId="98" fillId="32" fontId="63"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8" numFmtId="3" xfId="0" applyAlignment="1" applyBorder="1" applyFont="1" applyNumberFormat="1">
      <alignment vertical="center"/>
    </xf>
    <xf borderId="18" fillId="30" fontId="71" numFmtId="3" xfId="0" applyAlignment="1" applyBorder="1" applyFont="1" applyNumberFormat="1">
      <alignment vertical="center"/>
    </xf>
    <xf borderId="18" fillId="30" fontId="68" numFmtId="3" xfId="0" applyAlignment="1" applyBorder="1" applyFont="1" applyNumberFormat="1">
      <alignment horizontal="center" vertical="center"/>
    </xf>
    <xf borderId="18" fillId="30" fontId="71" numFmtId="0" xfId="0" applyAlignment="1" applyBorder="1" applyFont="1">
      <alignment vertical="center"/>
    </xf>
    <xf borderId="18" fillId="0" fontId="71" numFmtId="0" xfId="0" applyAlignment="1" applyBorder="1" applyFont="1">
      <alignment vertical="center"/>
    </xf>
    <xf borderId="19" fillId="32" fontId="63" numFmtId="168" xfId="0" applyAlignment="1" applyBorder="1" applyFont="1" applyNumberFormat="1">
      <alignment horizontal="right" vertical="center"/>
    </xf>
    <xf borderId="22" fillId="32" fontId="84" numFmtId="168" xfId="0" applyAlignment="1" applyBorder="1" applyFont="1" applyNumberFormat="1">
      <alignment horizontal="center" vertical="center"/>
    </xf>
    <xf borderId="18" fillId="0" fontId="71" numFmtId="0" xfId="0" applyAlignment="1" applyBorder="1" applyFont="1">
      <alignment vertical="center"/>
    </xf>
    <xf borderId="18" fillId="32" fontId="63" numFmtId="168" xfId="0" applyAlignment="1" applyBorder="1" applyFont="1" applyNumberFormat="1">
      <alignment horizontal="right" vertical="center"/>
    </xf>
    <xf borderId="101" fillId="0" fontId="3" numFmtId="0" xfId="0" applyBorder="1" applyFont="1"/>
    <xf borderId="19" fillId="0" fontId="63" numFmtId="168" xfId="0" applyAlignment="1" applyBorder="1" applyFont="1" applyNumberFormat="1">
      <alignment vertical="center"/>
    </xf>
    <xf borderId="19" fillId="32" fontId="63" numFmtId="168" xfId="0" applyAlignment="1" applyBorder="1" applyFont="1" applyNumberFormat="1">
      <alignment vertical="center"/>
    </xf>
    <xf borderId="0" fillId="0" fontId="82"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8" numFmtId="0" xfId="0" applyAlignment="1" applyBorder="1" applyFont="1">
      <alignment vertical="center"/>
    </xf>
    <xf borderId="18" fillId="30" fontId="68" numFmtId="0" xfId="0" applyAlignment="1" applyBorder="1" applyFont="1">
      <alignment horizontal="center" vertical="center"/>
    </xf>
    <xf borderId="19" fillId="30" fontId="68" numFmtId="0" xfId="0" applyAlignment="1" applyBorder="1" applyFont="1">
      <alignment vertical="center"/>
    </xf>
    <xf borderId="18" fillId="0" fontId="1" numFmtId="0" xfId="0" applyAlignment="1" applyBorder="1" applyFont="1">
      <alignment horizontal="left" vertical="center"/>
    </xf>
    <xf borderId="18" fillId="5" fontId="71" numFmtId="0" xfId="0" applyAlignment="1" applyBorder="1" applyFont="1">
      <alignment vertical="center"/>
    </xf>
    <xf borderId="18" fillId="32" fontId="63" numFmtId="168" xfId="0" applyAlignment="1" applyBorder="1" applyFont="1" applyNumberFormat="1">
      <alignment horizontal="center" vertical="center"/>
    </xf>
    <xf borderId="18" fillId="34" fontId="72" numFmtId="0" xfId="0" applyAlignment="1" applyBorder="1" applyFont="1">
      <alignment vertical="center"/>
    </xf>
    <xf borderId="18" fillId="34" fontId="72" numFmtId="168" xfId="0" applyAlignment="1" applyBorder="1" applyFont="1" applyNumberFormat="1">
      <alignment horizontal="center" vertical="center"/>
    </xf>
    <xf borderId="18" fillId="34" fontId="72" numFmtId="168" xfId="0" applyAlignment="1" applyBorder="1" applyFont="1" applyNumberFormat="1">
      <alignment vertical="center"/>
    </xf>
    <xf borderId="18" fillId="0" fontId="71" numFmtId="0" xfId="0" applyAlignment="1" applyBorder="1" applyFont="1">
      <alignment readingOrder="0" vertical="center"/>
    </xf>
    <xf borderId="18" fillId="32" fontId="63" numFmtId="168" xfId="0" applyAlignment="1" applyBorder="1" applyFont="1" applyNumberFormat="1">
      <alignment horizontal="right" readingOrder="0" vertical="center"/>
    </xf>
    <xf borderId="18" fillId="32" fontId="71" numFmtId="0" xfId="0" applyAlignment="1" applyBorder="1" applyFont="1">
      <alignment vertical="center"/>
    </xf>
    <xf borderId="18" fillId="0" fontId="63" numFmtId="168" xfId="0" applyAlignment="1" applyBorder="1" applyFont="1" applyNumberFormat="1">
      <alignment horizontal="right" vertical="center"/>
    </xf>
    <xf borderId="18" fillId="0" fontId="63" numFmtId="168" xfId="0" applyAlignment="1" applyBorder="1" applyFont="1" applyNumberFormat="1">
      <alignment vertical="center"/>
    </xf>
    <xf borderId="18" fillId="32" fontId="71" numFmtId="0" xfId="0" applyAlignment="1" applyBorder="1" applyFont="1">
      <alignment vertical="center"/>
    </xf>
    <xf borderId="22" fillId="32" fontId="71" numFmtId="0" xfId="0" applyAlignment="1" applyBorder="1" applyFont="1">
      <alignment vertical="center"/>
    </xf>
    <xf borderId="22" fillId="32" fontId="63" numFmtId="168" xfId="0" applyAlignment="1" applyBorder="1" applyFont="1" applyNumberFormat="1">
      <alignment horizontal="right" vertical="center"/>
    </xf>
    <xf borderId="96" fillId="14" fontId="63" numFmtId="0" xfId="0" applyAlignment="1" applyBorder="1" applyFont="1">
      <alignment horizontal="center" readingOrder="0" vertical="center"/>
    </xf>
    <xf borderId="0" fillId="0" fontId="63" numFmtId="0" xfId="0" applyAlignment="1" applyFont="1">
      <alignment vertical="center"/>
    </xf>
    <xf borderId="0" fillId="0" fontId="63" numFmtId="0" xfId="0" applyAlignment="1" applyFont="1">
      <alignment horizontal="left" readingOrder="0" vertical="center"/>
    </xf>
    <xf borderId="18" fillId="5" fontId="63" numFmtId="0" xfId="0" applyAlignment="1" applyBorder="1" applyFont="1">
      <alignment readingOrder="0" vertical="center"/>
    </xf>
    <xf borderId="18" fillId="32" fontId="63" numFmtId="174" xfId="0" applyAlignment="1" applyBorder="1" applyFont="1" applyNumberFormat="1">
      <alignment horizontal="center" readingOrder="0" vertical="center"/>
    </xf>
    <xf borderId="3" fillId="5" fontId="52" numFmtId="0" xfId="0" applyAlignment="1" applyBorder="1" applyFont="1">
      <alignment vertical="bottom"/>
    </xf>
    <xf borderId="3" fillId="32" fontId="52" numFmtId="168" xfId="0" applyAlignment="1" applyBorder="1" applyFont="1" applyNumberFormat="1">
      <alignment horizontal="right" vertical="bottom"/>
    </xf>
    <xf borderId="18" fillId="32" fontId="63" numFmtId="0" xfId="0" applyAlignment="1" applyBorder="1" applyFont="1">
      <alignment horizontal="center" readingOrder="0" vertical="center"/>
    </xf>
    <xf borderId="96" fillId="5" fontId="63" numFmtId="172" xfId="0" applyAlignment="1" applyBorder="1" applyFont="1" applyNumberFormat="1">
      <alignment horizontal="center" vertical="center"/>
    </xf>
    <xf borderId="18" fillId="32" fontId="63" numFmtId="0" xfId="0" applyAlignment="1" applyBorder="1" applyFont="1">
      <alignment vertical="center"/>
    </xf>
    <xf borderId="96" fillId="29" fontId="63" numFmtId="172" xfId="0" applyAlignment="1" applyBorder="1" applyFont="1" applyNumberFormat="1">
      <alignment horizontal="center" vertical="center"/>
    </xf>
    <xf borderId="102" fillId="30" fontId="64" numFmtId="0" xfId="0" applyAlignment="1" applyBorder="1" applyFont="1">
      <alignment horizontal="center" vertical="center"/>
    </xf>
    <xf borderId="103" fillId="30" fontId="68" numFmtId="0" xfId="0" applyAlignment="1" applyBorder="1" applyFont="1">
      <alignment horizontal="center" vertical="center"/>
    </xf>
    <xf borderId="104" fillId="0" fontId="3" numFmtId="0" xfId="0" applyBorder="1" applyFont="1"/>
    <xf borderId="96" fillId="30" fontId="68" numFmtId="0" xfId="0" applyAlignment="1" applyBorder="1" applyFont="1">
      <alignment horizontal="center" vertical="center"/>
    </xf>
    <xf borderId="96" fillId="33" fontId="68" numFmtId="0" xfId="0" applyAlignment="1" applyBorder="1" applyFont="1">
      <alignment horizontal="center" vertical="center"/>
    </xf>
    <xf borderId="96" fillId="33" fontId="68" numFmtId="168" xfId="0" applyAlignment="1" applyBorder="1" applyFont="1" applyNumberFormat="1">
      <alignment horizontal="center" vertical="center"/>
    </xf>
    <xf borderId="96" fillId="30" fontId="68" numFmtId="168" xfId="0" applyAlignment="1" applyBorder="1" applyFont="1" applyNumberFormat="1">
      <alignment horizontal="center" vertical="center"/>
    </xf>
    <xf borderId="96" fillId="30" fontId="68" numFmtId="10" xfId="0" applyAlignment="1" applyBorder="1" applyFont="1" applyNumberFormat="1">
      <alignment horizontal="center" readingOrder="0" vertical="center"/>
    </xf>
    <xf borderId="96" fillId="30" fontId="68" numFmtId="0" xfId="0" applyAlignment="1" applyBorder="1" applyFont="1">
      <alignment horizontal="left" vertical="center"/>
    </xf>
    <xf borderId="0" fillId="30" fontId="68" numFmtId="0" xfId="0" applyAlignment="1" applyFont="1">
      <alignment horizontal="left" vertical="center"/>
    </xf>
    <xf borderId="105" fillId="0" fontId="85" numFmtId="0" xfId="0" applyAlignment="1" applyBorder="1" applyFont="1">
      <alignment horizontal="center" vertical="center"/>
    </xf>
    <xf borderId="106" fillId="0" fontId="85" numFmtId="0" xfId="0" applyAlignment="1" applyBorder="1" applyFont="1">
      <alignment horizontal="center" vertical="center"/>
    </xf>
    <xf borderId="92" fillId="0" fontId="85" numFmtId="0" xfId="0" applyAlignment="1" applyBorder="1" applyFont="1">
      <alignment horizontal="center" vertical="center"/>
    </xf>
    <xf borderId="107" fillId="29" fontId="86" numFmtId="3" xfId="0" applyAlignment="1" applyBorder="1" applyFont="1" applyNumberFormat="1">
      <alignment horizontal="right" readingOrder="0" vertical="center"/>
    </xf>
    <xf borderId="108" fillId="0" fontId="3" numFmtId="0" xfId="0" applyBorder="1" applyFont="1"/>
    <xf borderId="96" fillId="29" fontId="63" numFmtId="168" xfId="0" applyAlignment="1" applyBorder="1" applyFont="1" applyNumberFormat="1">
      <alignment horizontal="center" vertical="center"/>
    </xf>
    <xf borderId="96" fillId="0" fontId="63" numFmtId="168" xfId="0" applyAlignment="1" applyBorder="1" applyFont="1" applyNumberFormat="1">
      <alignment horizontal="right" readingOrder="0" vertical="center"/>
    </xf>
    <xf borderId="96" fillId="29" fontId="63" numFmtId="168" xfId="0" applyAlignment="1" applyBorder="1" applyFont="1" applyNumberFormat="1">
      <alignment horizontal="right" readingOrder="0" vertical="center"/>
    </xf>
    <xf borderId="96" fillId="29" fontId="63" numFmtId="3" xfId="0" applyAlignment="1" applyBorder="1" applyFont="1" applyNumberFormat="1">
      <alignment horizontal="center" vertical="center"/>
    </xf>
    <xf borderId="96" fillId="29" fontId="63" numFmtId="168" xfId="0" applyAlignment="1" applyBorder="1" applyFont="1" applyNumberFormat="1">
      <alignment horizontal="center" readingOrder="0" vertical="center"/>
    </xf>
    <xf borderId="96" fillId="2" fontId="63" numFmtId="3" xfId="0" applyAlignment="1" applyBorder="1" applyFont="1" applyNumberFormat="1">
      <alignment horizontal="center" vertical="center"/>
    </xf>
    <xf borderId="96" fillId="32" fontId="64" numFmtId="0" xfId="0" applyAlignment="1" applyBorder="1" applyFont="1">
      <alignment horizontal="center" vertical="center"/>
    </xf>
    <xf borderId="96" fillId="30" fontId="64" numFmtId="0" xfId="0" applyAlignment="1" applyBorder="1" applyFont="1">
      <alignment horizontal="left" readingOrder="0" vertical="center"/>
    </xf>
    <xf borderId="0" fillId="30" fontId="64" numFmtId="0" xfId="0" applyAlignment="1" applyFont="1">
      <alignment horizontal="left" readingOrder="0" vertical="center"/>
    </xf>
    <xf borderId="109" fillId="0" fontId="85" numFmtId="0" xfId="0" applyAlignment="1" applyBorder="1" applyFont="1">
      <alignment horizontal="center" vertical="center"/>
    </xf>
    <xf borderId="0" fillId="0" fontId="85" numFmtId="0" xfId="0" applyAlignment="1" applyFont="1">
      <alignment horizontal="center" vertical="center"/>
    </xf>
    <xf borderId="110" fillId="0" fontId="85" numFmtId="0" xfId="0" applyAlignment="1" applyBorder="1" applyFont="1">
      <alignment horizontal="center" vertical="center"/>
    </xf>
    <xf borderId="107" fillId="32" fontId="86" numFmtId="3" xfId="0" applyAlignment="1" applyBorder="1" applyFont="1" applyNumberFormat="1">
      <alignment horizontal="right" readingOrder="0" vertical="center"/>
    </xf>
    <xf borderId="96" fillId="32" fontId="63" numFmtId="168" xfId="0" applyAlignment="1" applyBorder="1" applyFont="1" applyNumberFormat="1">
      <alignment horizontal="right" vertical="center"/>
    </xf>
    <xf borderId="96" fillId="32" fontId="87" numFmtId="168" xfId="0" applyAlignment="1" applyBorder="1" applyFont="1" applyNumberFormat="1">
      <alignment horizontal="center" vertical="center"/>
    </xf>
    <xf borderId="111" fillId="0" fontId="85" numFmtId="0" xfId="0" applyAlignment="1" applyBorder="1" applyFont="1">
      <alignment horizontal="center" vertical="center"/>
    </xf>
    <xf borderId="112" fillId="0" fontId="85" numFmtId="0" xfId="0" applyAlignment="1" applyBorder="1" applyFont="1">
      <alignment horizontal="center" vertical="center"/>
    </xf>
    <xf borderId="113" fillId="0" fontId="85" numFmtId="0" xfId="0" applyAlignment="1" applyBorder="1" applyFont="1">
      <alignment horizontal="center" vertical="center"/>
    </xf>
    <xf borderId="114" fillId="14" fontId="86" numFmtId="0" xfId="0" applyAlignment="1" applyBorder="1" applyFont="1">
      <alignment horizontal="right" readingOrder="0" vertical="center"/>
    </xf>
    <xf borderId="115" fillId="0" fontId="3" numFmtId="0" xfId="0" applyBorder="1" applyFont="1"/>
    <xf borderId="116" fillId="14" fontId="63" numFmtId="10" xfId="0" applyAlignment="1" applyBorder="1" applyFont="1" applyNumberFormat="1">
      <alignment horizontal="right" vertical="center"/>
    </xf>
    <xf borderId="116" fillId="14" fontId="63" numFmtId="10" xfId="0" applyAlignment="1" applyBorder="1" applyFont="1" applyNumberFormat="1">
      <alignment horizontal="center" vertical="center"/>
    </xf>
    <xf borderId="116" fillId="2" fontId="63" numFmtId="10" xfId="0" applyAlignment="1" applyBorder="1" applyFont="1" applyNumberFormat="1">
      <alignment horizontal="center" vertical="center"/>
    </xf>
    <xf borderId="116" fillId="32" fontId="63" numFmtId="168" xfId="0" applyAlignment="1" applyBorder="1" applyFont="1" applyNumberFormat="1">
      <alignment horizontal="center" vertical="center"/>
    </xf>
    <xf borderId="116" fillId="32" fontId="63" numFmtId="0" xfId="0" applyAlignment="1" applyBorder="1" applyFont="1">
      <alignment horizontal="center" vertical="center"/>
    </xf>
    <xf borderId="116" fillId="29" fontId="63" numFmtId="0" xfId="0" applyAlignment="1" applyBorder="1" applyFont="1">
      <alignment horizontal="left" vertical="center"/>
    </xf>
    <xf borderId="0" fillId="16" fontId="88" numFmtId="0" xfId="0" applyAlignment="1" applyFont="1">
      <alignment vertical="bottom"/>
    </xf>
    <xf borderId="0" fillId="0" fontId="63" numFmtId="10" xfId="0" applyAlignment="1" applyFont="1" applyNumberFormat="1">
      <alignment vertical="center"/>
    </xf>
    <xf borderId="0" fillId="0" fontId="1" numFmtId="0" xfId="0" applyAlignment="1" applyFont="1">
      <alignment horizontal="right" vertical="center"/>
    </xf>
    <xf borderId="0" fillId="0" fontId="89" numFmtId="0" xfId="0" applyAlignment="1" applyFont="1">
      <alignment horizontal="left" vertical="center"/>
    </xf>
    <xf borderId="0" fillId="0" fontId="90" numFmtId="0" xfId="0" applyAlignment="1" applyFont="1">
      <alignment vertical="center"/>
    </xf>
    <xf borderId="0" fillId="0" fontId="90" numFmtId="0" xfId="0" applyAlignment="1" applyFont="1">
      <alignment readingOrder="0" vertical="center"/>
    </xf>
    <xf borderId="0" fillId="0" fontId="91"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56" numFmtId="0" xfId="0" applyAlignment="1" applyFont="1">
      <alignment readingOrder="0" shrinkToFit="0" vertical="center" wrapText="0"/>
    </xf>
    <xf borderId="0" fillId="3" fontId="94" numFmtId="0" xfId="0" applyAlignment="1" applyFont="1">
      <alignment horizontal="left" readingOrder="0" shrinkToFit="0" vertical="center" wrapText="0"/>
    </xf>
    <xf borderId="0" fillId="3" fontId="1" numFmtId="0" xfId="0" applyAlignment="1" applyFont="1">
      <alignment readingOrder="0" vertical="center"/>
    </xf>
    <xf borderId="0" fillId="3" fontId="93" numFmtId="0" xfId="0" applyAlignment="1" applyFont="1">
      <alignment horizontal="center" readingOrder="0" shrinkToFit="0" vertical="center" wrapText="0"/>
    </xf>
    <xf borderId="0" fillId="3" fontId="1" numFmtId="0" xfId="0" applyFont="1"/>
    <xf borderId="0" fillId="3" fontId="95" numFmtId="0" xfId="0" applyAlignment="1" applyFont="1">
      <alignment vertical="center"/>
    </xf>
    <xf borderId="0" fillId="3" fontId="52" numFmtId="0" xfId="0" applyAlignment="1" applyFont="1">
      <alignment vertical="center"/>
    </xf>
    <xf borderId="18" fillId="35" fontId="52" numFmtId="0" xfId="0" applyAlignment="1" applyBorder="1" applyFill="1" applyFont="1">
      <alignment vertical="center"/>
    </xf>
    <xf borderId="18" fillId="0" fontId="52" numFmtId="0" xfId="0" applyAlignment="1" applyBorder="1" applyFont="1">
      <alignment vertical="center"/>
    </xf>
    <xf borderId="18" fillId="25" fontId="52" numFmtId="0" xfId="0" applyAlignment="1" applyBorder="1" applyFont="1">
      <alignment vertical="center"/>
    </xf>
    <xf borderId="0" fillId="0" fontId="88"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5" xfId="0" applyAlignment="1" applyFont="1" applyNumberFormat="1">
      <alignment horizontal="center" readingOrder="0" vertical="center"/>
    </xf>
    <xf borderId="0" fillId="36" fontId="91" numFmtId="175" xfId="0" applyAlignment="1" applyFont="1" applyNumberFormat="1">
      <alignment readingOrder="0" vertical="center"/>
    </xf>
    <xf borderId="0" fillId="5" fontId="98" numFmtId="0" xfId="0" applyAlignment="1" applyFont="1">
      <alignment horizontal="left" readingOrder="0" shrinkToFit="0" vertical="center" wrapText="0"/>
    </xf>
    <xf borderId="0" fillId="5" fontId="1" numFmtId="0" xfId="0" applyAlignment="1" applyFont="1">
      <alignment readingOrder="0" vertical="center"/>
    </xf>
    <xf borderId="0" fillId="5" fontId="93" numFmtId="0" xfId="0" applyAlignment="1" applyFont="1">
      <alignment horizontal="center" readingOrder="0" shrinkToFit="0" vertical="center" wrapText="0"/>
    </xf>
    <xf borderId="0" fillId="5" fontId="1" numFmtId="0" xfId="0" applyFont="1"/>
    <xf borderId="0" fillId="5" fontId="93" numFmtId="0" xfId="0" applyAlignment="1" applyFont="1">
      <alignment readingOrder="0" shrinkToFit="0" vertical="center" wrapText="0"/>
    </xf>
    <xf borderId="0" fillId="5" fontId="99" numFmtId="0" xfId="0" applyAlignment="1" applyFont="1">
      <alignment readingOrder="0" shrinkToFit="0" vertical="center" wrapText="0"/>
    </xf>
    <xf borderId="0" fillId="5" fontId="95" numFmtId="0" xfId="0" applyAlignment="1" applyFont="1">
      <alignment vertical="center"/>
    </xf>
    <xf borderId="0" fillId="0" fontId="95" numFmtId="0" xfId="0" applyAlignment="1" applyFont="1">
      <alignment vertical="center"/>
    </xf>
    <xf borderId="0" fillId="0" fontId="100" numFmtId="0" xfId="0" applyAlignment="1" applyFont="1">
      <alignment readingOrder="0" vertical="center"/>
    </xf>
    <xf borderId="0" fillId="0" fontId="88" numFmtId="0" xfId="0" applyAlignment="1" applyFont="1">
      <alignment vertical="center"/>
    </xf>
    <xf borderId="0" fillId="0" fontId="25" numFmtId="0" xfId="0" applyAlignment="1" applyFont="1">
      <alignment vertical="center"/>
    </xf>
    <xf borderId="3" fillId="37" fontId="101" numFmtId="0" xfId="0" applyAlignment="1" applyBorder="1" applyFill="1" applyFont="1">
      <alignment horizontal="center" readingOrder="0" vertical="center"/>
    </xf>
    <xf borderId="3" fillId="37" fontId="89" numFmtId="0" xfId="0" applyAlignment="1" applyBorder="1" applyFont="1">
      <alignment horizontal="center" vertical="center"/>
    </xf>
    <xf borderId="3" fillId="37" fontId="89" numFmtId="0" xfId="0" applyAlignment="1" applyBorder="1" applyFont="1">
      <alignment horizontal="center" readingOrder="0" vertical="center"/>
    </xf>
    <xf borderId="1" fillId="37" fontId="89" numFmtId="0" xfId="0" applyAlignment="1" applyBorder="1" applyFont="1">
      <alignment horizontal="center" readingOrder="0" vertical="center"/>
    </xf>
    <xf borderId="117" fillId="37" fontId="89" numFmtId="0" xfId="0" applyAlignment="1" applyBorder="1" applyFont="1">
      <alignment horizontal="center" readingOrder="0" vertical="center"/>
    </xf>
    <xf borderId="1" fillId="10" fontId="102" numFmtId="0" xfId="0" applyAlignment="1" applyBorder="1" applyFont="1">
      <alignment readingOrder="0" vertical="center"/>
    </xf>
    <xf borderId="0" fillId="0" fontId="91" numFmtId="171" xfId="0" applyAlignment="1" applyFont="1" applyNumberFormat="1">
      <alignment readingOrder="0"/>
    </xf>
    <xf borderId="0" fillId="0" fontId="103" numFmtId="0" xfId="0" applyAlignment="1" applyFont="1">
      <alignment readingOrder="0"/>
    </xf>
    <xf borderId="0" fillId="0" fontId="103" numFmtId="175" xfId="0" applyAlignment="1" applyFont="1" applyNumberFormat="1">
      <alignment horizontal="center" readingOrder="0" vertical="center"/>
    </xf>
    <xf borderId="0" fillId="0" fontId="103" numFmtId="175" xfId="0" applyAlignment="1" applyFont="1" applyNumberFormat="1">
      <alignment readingOrder="0" vertical="center"/>
    </xf>
    <xf borderId="0" fillId="0" fontId="103"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4" numFmtId="0" xfId="0" applyAlignment="1" applyFont="1">
      <alignment horizontal="left" readingOrder="0" shrinkToFit="0" vertical="center" wrapText="0"/>
    </xf>
    <xf borderId="118" fillId="21" fontId="105" numFmtId="0" xfId="0" applyAlignment="1" applyBorder="1" applyFont="1">
      <alignment horizontal="left" readingOrder="0" vertical="center"/>
    </xf>
    <xf borderId="119" fillId="21" fontId="105" numFmtId="0" xfId="0" applyAlignment="1" applyBorder="1" applyFont="1">
      <alignment readingOrder="0" vertical="center"/>
    </xf>
    <xf borderId="0" fillId="0" fontId="105" numFmtId="0" xfId="0" applyAlignment="1" applyFont="1">
      <alignment vertical="center"/>
    </xf>
    <xf borderId="120" fillId="23" fontId="67" numFmtId="0" xfId="0" applyAlignment="1" applyBorder="1" applyFont="1">
      <alignment horizontal="center" readingOrder="0" vertical="center"/>
    </xf>
    <xf borderId="0" fillId="0" fontId="105" numFmtId="0" xfId="0" applyAlignment="1" applyFont="1">
      <alignment readingOrder="0" vertical="center"/>
    </xf>
    <xf borderId="120" fillId="22" fontId="67" numFmtId="0" xfId="0" applyAlignment="1" applyBorder="1" applyFont="1">
      <alignment horizontal="center" readingOrder="0" vertical="center"/>
    </xf>
    <xf borderId="120" fillId="19" fontId="67" numFmtId="0" xfId="0" applyAlignment="1" applyBorder="1" applyFont="1">
      <alignment horizontal="center" readingOrder="0" vertical="center"/>
    </xf>
    <xf borderId="120" fillId="21" fontId="67"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3" fillId="14" fontId="107" numFmtId="0" xfId="0" applyAlignment="1" applyBorder="1" applyFont="1">
      <alignment horizontal="left" readingOrder="0" shrinkToFit="0" vertical="center" wrapText="1"/>
    </xf>
    <xf borderId="3" fillId="14" fontId="52" numFmtId="0" xfId="0" applyAlignment="1" applyBorder="1" applyFont="1">
      <alignment horizontal="center" vertical="center"/>
    </xf>
    <xf borderId="3" fillId="14" fontId="52" numFmtId="0" xfId="0" applyAlignment="1" applyBorder="1" applyFont="1">
      <alignment horizontal="center" readingOrder="0" vertical="center"/>
    </xf>
    <xf borderId="1" fillId="14" fontId="52" numFmtId="0" xfId="0" applyAlignment="1" applyBorder="1" applyFont="1">
      <alignment horizontal="center" readingOrder="0" vertical="center"/>
    </xf>
    <xf borderId="117" fillId="14" fontId="52" numFmtId="0" xfId="0" applyAlignment="1" applyBorder="1" applyFont="1">
      <alignment horizontal="center" vertical="center"/>
    </xf>
    <xf borderId="76" fillId="14" fontId="1" numFmtId="0" xfId="0" applyAlignment="1" applyBorder="1" applyFont="1">
      <alignment readingOrder="0"/>
    </xf>
    <xf borderId="121" fillId="21" fontId="108" numFmtId="0" xfId="0" applyAlignment="1" applyBorder="1" applyFont="1">
      <alignment horizontal="center" readingOrder="0" vertical="center"/>
    </xf>
    <xf borderId="122" fillId="0" fontId="3" numFmtId="0" xfId="0" applyBorder="1" applyFont="1"/>
    <xf borderId="121" fillId="38" fontId="108" numFmtId="0" xfId="0" applyAlignment="1" applyBorder="1" applyFill="1" applyFont="1">
      <alignment horizontal="center" readingOrder="0" vertical="center"/>
    </xf>
    <xf borderId="1" fillId="0" fontId="109" numFmtId="0" xfId="0" applyAlignment="1" applyBorder="1" applyFont="1">
      <alignment horizontal="center" readingOrder="0" vertical="center"/>
    </xf>
    <xf borderId="3" fillId="0" fontId="90"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8" fillId="14" fontId="105" numFmtId="0" xfId="0" applyAlignment="1" applyBorder="1" applyFont="1">
      <alignment horizontal="left" readingOrder="0" vertical="center"/>
    </xf>
    <xf borderId="119" fillId="14" fontId="105" numFmtId="0" xfId="0" applyAlignment="1" applyBorder="1" applyFont="1">
      <alignment readingOrder="0" vertical="center"/>
    </xf>
    <xf borderId="120" fillId="29" fontId="67" numFmtId="0" xfId="0" applyAlignment="1" applyBorder="1" applyFont="1">
      <alignment horizontal="center" readingOrder="0" vertical="center"/>
    </xf>
    <xf borderId="3" fillId="14" fontId="107"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0"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6"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1" xfId="0" applyAlignment="1" applyFont="1" applyNumberFormat="1">
      <alignment readingOrder="0" vertical="center"/>
    </xf>
    <xf borderId="127" fillId="4" fontId="113" numFmtId="177" xfId="0" applyAlignment="1" applyBorder="1" applyFont="1" applyNumberFormat="1">
      <alignment horizontal="center" readingOrder="0" vertical="center"/>
    </xf>
    <xf borderId="128" fillId="0" fontId="3" numFmtId="0" xfId="0" applyBorder="1" applyFont="1"/>
    <xf borderId="129" fillId="4" fontId="113"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89" numFmtId="0" xfId="0" applyAlignment="1" applyBorder="1" applyFill="1" applyFont="1">
      <alignment horizontal="center" readingOrder="0" vertical="center"/>
    </xf>
    <xf borderId="18" fillId="40" fontId="114" numFmtId="175" xfId="0" applyAlignment="1" applyBorder="1" applyFill="1" applyFont="1" applyNumberFormat="1">
      <alignment horizontal="center" readingOrder="0" vertical="center"/>
    </xf>
    <xf borderId="18" fillId="29" fontId="52"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5" numFmtId="176" xfId="0" applyAlignment="1" applyBorder="1" applyFont="1" applyNumberFormat="1">
      <alignment horizontal="center" vertical="center"/>
    </xf>
    <xf borderId="18" fillId="29" fontId="52" numFmtId="0" xfId="0" applyAlignment="1" applyBorder="1" applyFont="1">
      <alignment horizontal="center" vertical="center"/>
    </xf>
    <xf borderId="18" fillId="4" fontId="90" numFmtId="0" xfId="0" applyAlignment="1" applyBorder="1" applyFont="1">
      <alignment horizontal="center" readingOrder="0" vertical="center"/>
    </xf>
    <xf borderId="18" fillId="38" fontId="101" numFmtId="0" xfId="0" applyAlignment="1" applyBorder="1" applyFont="1">
      <alignment horizontal="center" readingOrder="0" vertical="center"/>
    </xf>
    <xf borderId="18" fillId="38" fontId="90" numFmtId="0" xfId="0" applyAlignment="1" applyBorder="1" applyFont="1">
      <alignment horizontal="center" readingOrder="0" vertical="center"/>
    </xf>
    <xf borderId="19" fillId="4" fontId="90" numFmtId="0" xfId="0" applyAlignment="1" applyBorder="1" applyFont="1">
      <alignment horizontal="center" readingOrder="0" vertical="center"/>
    </xf>
    <xf borderId="131" fillId="14" fontId="52" numFmtId="0" xfId="0" applyAlignment="1" applyBorder="1" applyFont="1">
      <alignment horizontal="center"/>
    </xf>
    <xf borderId="132" fillId="14" fontId="4" numFmtId="0" xfId="0" applyAlignment="1" applyBorder="1" applyFont="1">
      <alignment horizontal="center"/>
    </xf>
    <xf borderId="133" fillId="14" fontId="52"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5" numFmtId="0" xfId="0" applyAlignment="1" applyBorder="1" applyFont="1">
      <alignment horizontal="left" readingOrder="0" vertical="center"/>
    </xf>
    <xf borderId="18" fillId="4" fontId="101" numFmtId="0" xfId="0" applyAlignment="1" applyBorder="1" applyFont="1">
      <alignment horizontal="center" readingOrder="0" vertical="center"/>
    </xf>
    <xf borderId="19" fillId="4" fontId="101" numFmtId="0" xfId="0" applyAlignment="1" applyBorder="1" applyFont="1">
      <alignment horizontal="center" readingOrder="0" vertical="center"/>
    </xf>
    <xf borderId="131" fillId="14" fontId="89" numFmtId="0" xfId="0" applyAlignment="1" applyBorder="1" applyFont="1">
      <alignment horizontal="center" readingOrder="0" vertical="center"/>
    </xf>
    <xf borderId="132" fillId="14" fontId="1"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116" numFmtId="0" xfId="0" applyAlignment="1" applyBorder="1" applyFont="1">
      <alignment readingOrder="0" shrinkToFit="0" vertical="center" wrapText="1"/>
    </xf>
    <xf borderId="18" fillId="0" fontId="95" numFmtId="0" xfId="0" applyAlignment="1" applyBorder="1" applyFont="1">
      <alignment horizontal="center" vertical="center"/>
    </xf>
    <xf borderId="18" fillId="29" fontId="101" numFmtId="0" xfId="0" applyAlignment="1" applyBorder="1" applyFont="1">
      <alignment horizontal="center" readingOrder="0" vertical="center"/>
    </xf>
    <xf borderId="18" fillId="29" fontId="95" numFmtId="0" xfId="0" applyAlignment="1" applyBorder="1" applyFont="1">
      <alignment horizontal="center" vertical="center"/>
    </xf>
    <xf borderId="19" fillId="29" fontId="101" numFmtId="0" xfId="0" applyAlignment="1" applyBorder="1" applyFont="1">
      <alignment horizontal="center" shrinkToFit="0" vertical="center" wrapText="1"/>
    </xf>
    <xf borderId="18" fillId="0" fontId="116" numFmtId="0" xfId="0" applyAlignment="1" applyBorder="1" applyFont="1">
      <alignment shrinkToFit="0" vertical="center" wrapText="1"/>
    </xf>
    <xf borderId="18" fillId="0" fontId="95" numFmtId="0" xfId="0" applyAlignment="1" applyBorder="1" applyFont="1">
      <alignment horizontal="center" readingOrder="0" vertical="center"/>
    </xf>
    <xf borderId="18" fillId="4" fontId="90" numFmtId="0" xfId="0" applyAlignment="1" applyBorder="1" applyFont="1">
      <alignment horizontal="center" vertical="center"/>
    </xf>
    <xf borderId="18" fillId="0" fontId="101" numFmtId="0" xfId="0" applyAlignment="1" applyBorder="1" applyFont="1">
      <alignment horizontal="center" readingOrder="0" vertical="center"/>
    </xf>
    <xf borderId="18" fillId="0" fontId="90" numFmtId="0" xfId="0" applyAlignment="1" applyBorder="1" applyFont="1">
      <alignment horizontal="center" readingOrder="0" vertical="center"/>
    </xf>
    <xf borderId="19" fillId="0" fontId="101" numFmtId="0" xfId="0" applyAlignment="1" applyBorder="1" applyFont="1">
      <alignment horizontal="center" shrinkToFit="0" vertical="center" wrapText="1"/>
    </xf>
    <xf borderId="18" fillId="0" fontId="101" numFmtId="0" xfId="0" applyAlignment="1" applyBorder="1" applyFont="1">
      <alignment horizontal="center" vertical="center"/>
    </xf>
    <xf borderId="19" fillId="0" fontId="101" numFmtId="0" xfId="0" applyAlignment="1" applyBorder="1" applyFont="1">
      <alignment horizontal="center" readingOrder="0" shrinkToFit="0" vertical="center" wrapText="1"/>
    </xf>
    <xf borderId="0" fillId="0" fontId="91" numFmtId="0" xfId="0" applyAlignment="1" applyFont="1">
      <alignment vertical="center"/>
    </xf>
    <xf borderId="18" fillId="0" fontId="52"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2" numFmtId="0" xfId="0" applyAlignment="1" applyBorder="1" applyFont="1">
      <alignment horizontal="center" readingOrder="0" shrinkToFit="0" vertical="center" wrapText="1"/>
    </xf>
    <xf borderId="18" fillId="39" fontId="52" numFmtId="0" xfId="0" applyAlignment="1" applyBorder="1" applyFont="1">
      <alignment horizontal="left" readingOrder="0" vertical="center"/>
    </xf>
    <xf borderId="18" fillId="39" fontId="116" numFmtId="0" xfId="0" applyAlignment="1" applyBorder="1" applyFont="1">
      <alignment shrinkToFit="0" vertical="center" wrapText="1"/>
    </xf>
    <xf borderId="18" fillId="39" fontId="90" numFmtId="0" xfId="0" applyAlignment="1" applyBorder="1" applyFont="1">
      <alignment horizontal="center" readingOrder="0" vertical="center"/>
    </xf>
    <xf borderId="18" fillId="0" fontId="52" numFmtId="0" xfId="0" applyAlignment="1" applyBorder="1" applyFont="1">
      <alignment horizontal="left" vertical="center"/>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5" fillId="40" fontId="27" numFmtId="0" xfId="0" applyAlignment="1" applyBorder="1" applyFont="1">
      <alignment horizontal="center" shrinkToFit="0" vertical="center" wrapText="1"/>
    </xf>
    <xf borderId="1" fillId="5" fontId="117" numFmtId="0" xfId="0" applyAlignment="1" applyBorder="1" applyFont="1">
      <alignment readingOrder="0" vertical="center"/>
    </xf>
    <xf borderId="0" fillId="0" fontId="113" numFmtId="0" xfId="0" applyAlignment="1" applyFont="1">
      <alignment horizontal="center" readingOrder="0" vertical="center"/>
    </xf>
    <xf borderId="0" fillId="0" fontId="22" numFmtId="0" xfId="0" applyAlignment="1" applyFont="1">
      <alignment readingOrder="0" shrinkToFit="0" vertical="center" wrapText="1"/>
    </xf>
    <xf borderId="0" fillId="0" fontId="118"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3" numFmtId="0" xfId="0" applyAlignment="1" applyFont="1">
      <alignment horizontal="center" readingOrder="0" vertical="center"/>
    </xf>
    <xf borderId="32" fillId="4" fontId="113" numFmtId="0" xfId="0" applyAlignment="1" applyBorder="1" applyFont="1">
      <alignment readingOrder="0" shrinkToFit="0" vertical="center" wrapText="1"/>
    </xf>
    <xf borderId="135" fillId="0" fontId="3" numFmtId="0" xfId="0" applyBorder="1" applyFont="1"/>
    <xf borderId="136" fillId="42" fontId="119" numFmtId="171" xfId="0" applyAlignment="1" applyBorder="1" applyFill="1" applyFont="1" applyNumberFormat="1">
      <alignment horizontal="center" readingOrder="0" shrinkToFit="0" vertical="center" wrapText="1"/>
    </xf>
    <xf borderId="137" fillId="4" fontId="113" numFmtId="0" xfId="0" applyAlignment="1" applyBorder="1" applyFont="1">
      <alignment horizontal="center" readingOrder="0" shrinkToFit="0" vertical="center" wrapText="1"/>
    </xf>
    <xf borderId="136" fillId="14" fontId="113" numFmtId="0" xfId="0" applyAlignment="1" applyBorder="1" applyFont="1">
      <alignment readingOrder="0" shrinkToFit="0" vertical="center" wrapText="1"/>
    </xf>
    <xf borderId="39" fillId="0" fontId="3"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38" fillId="21" fontId="122" numFmtId="0" xfId="0" applyAlignment="1" applyBorder="1" applyFont="1">
      <alignment horizontal="center" readingOrder="0" shrinkToFit="0" vertical="center" wrapText="1"/>
    </xf>
    <xf borderId="139" fillId="21" fontId="122" numFmtId="0" xfId="0" applyAlignment="1" applyBorder="1" applyFont="1">
      <alignment horizontal="center" readingOrder="0" shrinkToFit="0" vertical="center" wrapText="1"/>
    </xf>
    <xf borderId="140" fillId="21" fontId="123" numFmtId="0" xfId="0" applyAlignment="1" applyBorder="1" applyFont="1">
      <alignment horizontal="center" readingOrder="0" shrinkToFit="0" vertical="center" wrapText="1"/>
    </xf>
    <xf borderId="139" fillId="28" fontId="122" numFmtId="0" xfId="0" applyAlignment="1" applyBorder="1" applyFont="1">
      <alignment horizontal="center" readingOrder="0" shrinkToFit="0" vertical="center" wrapText="1"/>
    </xf>
    <xf borderId="139" fillId="23" fontId="122"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2" numFmtId="0" xfId="0" applyAlignment="1" applyBorder="1" applyFill="1" applyFont="1">
      <alignment horizontal="center" readingOrder="0" shrinkToFit="0" vertical="center" wrapText="1"/>
    </xf>
    <xf borderId="143" fillId="4"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22" fillId="21" fontId="122" numFmtId="0" xfId="0" applyAlignment="1" applyBorder="1" applyFont="1">
      <alignment horizontal="center" readingOrder="0" shrinkToFit="0" vertical="center" wrapText="1"/>
    </xf>
    <xf borderId="18" fillId="21" fontId="23" numFmtId="0" xfId="0" applyAlignment="1" applyBorder="1" applyFont="1">
      <alignment readingOrder="0" shrinkToFit="0" vertical="center" wrapText="1"/>
    </xf>
    <xf borderId="0" fillId="0" fontId="120" numFmtId="0" xfId="0" applyAlignment="1" applyFont="1">
      <alignment horizontal="left" shrinkToFit="0" vertical="center" wrapText="1"/>
    </xf>
    <xf borderId="18" fillId="21" fontId="120"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3" numFmtId="0" xfId="0" applyAlignment="1" applyBorder="1" applyFont="1">
      <alignment horizontal="left" shrinkToFit="0" vertical="center" wrapText="1"/>
    </xf>
    <xf borderId="0" fillId="0" fontId="120" numFmtId="0" xfId="0" applyAlignment="1" applyFont="1">
      <alignment shrinkToFit="0" vertical="center" wrapText="1"/>
    </xf>
    <xf borderId="150" fillId="3" fontId="125" numFmtId="0" xfId="0" applyAlignment="1" applyBorder="1" applyFont="1">
      <alignment readingOrder="0" shrinkToFit="0" vertical="center" wrapText="0"/>
    </xf>
    <xf borderId="151" fillId="3" fontId="125" numFmtId="0" xfId="0" applyAlignment="1" applyBorder="1" applyFont="1">
      <alignment readingOrder="0" shrinkToFit="0" vertical="center" wrapText="0"/>
    </xf>
    <xf borderId="151" fillId="3" fontId="118" numFmtId="0" xfId="0" applyAlignment="1" applyBorder="1" applyFont="1">
      <alignment horizontal="center" readingOrder="0" shrinkToFit="0" vertical="center" wrapText="1"/>
    </xf>
    <xf borderId="151" fillId="3" fontId="118" numFmtId="0" xfId="0" applyAlignment="1" applyBorder="1" applyFont="1">
      <alignment readingOrder="0" shrinkToFit="0" vertical="center" wrapText="1"/>
    </xf>
    <xf borderId="151" fillId="3" fontId="125" numFmtId="179" xfId="0" applyAlignment="1" applyBorder="1" applyFont="1" applyNumberFormat="1">
      <alignment horizontal="center" readingOrder="0" shrinkToFit="0" vertical="center" wrapText="1"/>
    </xf>
    <xf borderId="151" fillId="3" fontId="125" numFmtId="0" xfId="0" applyAlignment="1" applyBorder="1" applyFont="1">
      <alignment horizontal="center" shrinkToFit="0" vertical="center" wrapText="1"/>
    </xf>
    <xf borderId="152" fillId="3" fontId="118" numFmtId="0" xfId="0" applyAlignment="1" applyBorder="1" applyFont="1">
      <alignment readingOrder="0" shrinkToFit="0" vertical="center" wrapText="1"/>
    </xf>
    <xf borderId="151" fillId="3" fontId="125" numFmtId="0" xfId="0" applyAlignment="1" applyBorder="1" applyFont="1">
      <alignment horizontal="center" readingOrder="0" shrinkToFit="0" vertical="center" wrapText="1"/>
    </xf>
    <xf borderId="151" fillId="3" fontId="118" numFmtId="0" xfId="0" applyAlignment="1" applyBorder="1" applyFont="1">
      <alignment shrinkToFit="0" vertical="center" wrapText="1"/>
    </xf>
    <xf borderId="153" fillId="3" fontId="118" numFmtId="0" xfId="0" applyAlignment="1" applyBorder="1" applyFont="1">
      <alignment shrinkToFit="0" vertical="center" wrapText="1"/>
    </xf>
    <xf borderId="18" fillId="0" fontId="126" numFmtId="0" xfId="0" applyAlignment="1" applyBorder="1" applyFont="1">
      <alignment shrinkToFit="0" vertical="center" wrapText="1"/>
    </xf>
    <xf borderId="0" fillId="0" fontId="89" numFmtId="171" xfId="0" applyAlignment="1" applyFont="1" applyNumberFormat="1">
      <alignment readingOrder="0" shrinkToFit="0" vertical="center" wrapText="1"/>
    </xf>
    <xf borderId="18" fillId="0" fontId="89" numFmtId="171" xfId="0" applyAlignment="1" applyBorder="1" applyFont="1" applyNumberFormat="1">
      <alignment horizontal="center" readingOrder="0" shrinkToFit="0" vertical="center" wrapText="1"/>
    </xf>
    <xf borderId="154" fillId="5" fontId="127" numFmtId="0" xfId="0" applyAlignment="1" applyBorder="1" applyFont="1">
      <alignment readingOrder="0" shrinkToFit="0" vertical="center" wrapText="1"/>
    </xf>
    <xf borderId="155" fillId="5" fontId="128" numFmtId="172" xfId="0" applyAlignment="1" applyBorder="1" applyFont="1" applyNumberFormat="1">
      <alignment horizontal="center" shrinkToFit="0" vertical="center" wrapText="1"/>
    </xf>
    <xf borderId="155" fillId="5" fontId="128" numFmtId="0" xfId="0" applyAlignment="1" applyBorder="1" applyFont="1">
      <alignment horizontal="center" shrinkToFit="0" vertical="center" wrapText="1"/>
    </xf>
    <xf borderId="155" fillId="5" fontId="120" numFmtId="0" xfId="0" applyAlignment="1" applyBorder="1" applyFont="1">
      <alignment readingOrder="0" shrinkToFit="0" vertical="center" wrapText="1"/>
    </xf>
    <xf borderId="155" fillId="5" fontId="120" numFmtId="0" xfId="0" applyAlignment="1" applyBorder="1" applyFont="1">
      <alignment horizontal="center" readingOrder="0" shrinkToFit="0" vertical="center" wrapText="1"/>
    </xf>
    <xf borderId="156" fillId="5" fontId="89" numFmtId="0" xfId="0" applyAlignment="1" applyBorder="1" applyFont="1">
      <alignment readingOrder="0" shrinkToFit="0" vertical="center" wrapText="1"/>
    </xf>
    <xf borderId="155" fillId="5" fontId="128" numFmtId="0" xfId="0" applyAlignment="1" applyBorder="1" applyFont="1">
      <alignment horizontal="center" readingOrder="0" shrinkToFit="0" vertical="center" wrapText="1"/>
    </xf>
    <xf borderId="155" fillId="5" fontId="128" numFmtId="179" xfId="0" applyAlignment="1" applyBorder="1" applyFont="1" applyNumberFormat="1">
      <alignment horizontal="center" readingOrder="0" shrinkToFit="0" vertical="center" wrapText="1"/>
    </xf>
    <xf borderId="145" fillId="5" fontId="89" numFmtId="0" xfId="0" applyAlignment="1" applyBorder="1" applyFont="1">
      <alignment readingOrder="0" shrinkToFit="0" vertical="center" wrapText="1"/>
    </xf>
    <xf borderId="157" fillId="5" fontId="89"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89" numFmtId="0" xfId="0" applyAlignment="1" applyBorder="1" applyFont="1">
      <alignment readingOrder="0" shrinkToFit="0" vertical="center" wrapText="1"/>
    </xf>
    <xf borderId="157" fillId="0" fontId="3" numFmtId="0" xfId="0" applyBorder="1" applyFont="1"/>
    <xf borderId="120" fillId="5" fontId="89" numFmtId="0" xfId="0" applyAlignment="1" applyBorder="1" applyFont="1">
      <alignment shrinkToFit="0" vertical="center" wrapText="1"/>
    </xf>
    <xf borderId="159" fillId="5" fontId="89" numFmtId="0" xfId="0" applyAlignment="1" applyBorder="1" applyFont="1">
      <alignment shrinkToFit="0" vertical="center" wrapText="1"/>
    </xf>
    <xf borderId="159" fillId="5" fontId="89"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0" numFmtId="0" xfId="0" applyAlignment="1" applyBorder="1" applyFont="1">
      <alignment horizontal="left" readingOrder="0" shrinkToFit="0" vertical="center" wrapText="1"/>
    </xf>
    <xf borderId="107" fillId="5" fontId="129" numFmtId="0" xfId="0" applyAlignment="1" applyBorder="1" applyFont="1">
      <alignment horizontal="left" readingOrder="0" shrinkToFit="0" vertical="center" wrapText="1"/>
    </xf>
    <xf borderId="107" fillId="0" fontId="3" numFmtId="0" xfId="0" applyBorder="1" applyFont="1"/>
    <xf borderId="162" fillId="5" fontId="129" numFmtId="0" xfId="0" applyAlignment="1" applyBorder="1" applyFont="1">
      <alignment horizontal="left" readingOrder="0" shrinkToFit="0" vertical="center" wrapText="1"/>
    </xf>
    <xf borderId="163" fillId="14" fontId="127" numFmtId="0" xfId="0" applyAlignment="1" applyBorder="1" applyFont="1">
      <alignment readingOrder="0" shrinkToFit="0" vertical="center" wrapText="1"/>
    </xf>
    <xf borderId="159" fillId="14" fontId="128" numFmtId="172" xfId="0" applyAlignment="1" applyBorder="1" applyFont="1" applyNumberFormat="1">
      <alignment horizontal="center" shrinkToFit="0" vertical="center" wrapText="1"/>
    </xf>
    <xf borderId="159" fillId="14" fontId="128" numFmtId="0" xfId="0" applyAlignment="1" applyBorder="1" applyFont="1">
      <alignment horizontal="center" shrinkToFit="0" vertical="center" wrapText="1"/>
    </xf>
    <xf borderId="159" fillId="14" fontId="120" numFmtId="0" xfId="0" applyAlignment="1" applyBorder="1" applyFont="1">
      <alignment readingOrder="0" shrinkToFit="0" vertical="center" wrapText="1"/>
    </xf>
    <xf borderId="155" fillId="14" fontId="120" numFmtId="0" xfId="0" applyAlignment="1" applyBorder="1" applyFont="1">
      <alignment horizontal="center" readingOrder="0" shrinkToFit="0" vertical="center" wrapText="1"/>
    </xf>
    <xf borderId="156" fillId="14" fontId="89" numFmtId="0" xfId="0" applyAlignment="1" applyBorder="1" applyFont="1">
      <alignment readingOrder="0" shrinkToFit="0" vertical="center" wrapText="1"/>
    </xf>
    <xf borderId="155" fillId="14" fontId="128" numFmtId="0" xfId="0" applyAlignment="1" applyBorder="1" applyFont="1">
      <alignment horizontal="center" readingOrder="0" shrinkToFit="0" vertical="center" wrapText="1"/>
    </xf>
    <xf borderId="155" fillId="14" fontId="128" numFmtId="179" xfId="0" applyAlignment="1" applyBorder="1" applyFont="1" applyNumberFormat="1">
      <alignment horizontal="center" readingOrder="0" shrinkToFit="0" vertical="center" wrapText="1"/>
    </xf>
    <xf borderId="155" fillId="14" fontId="128" numFmtId="0" xfId="0" applyAlignment="1" applyBorder="1" applyFont="1">
      <alignment horizontal="center" shrinkToFit="0" vertical="center" wrapText="1"/>
    </xf>
    <xf borderId="145" fillId="14" fontId="89" numFmtId="0" xfId="0" applyAlignment="1" applyBorder="1" applyFont="1">
      <alignment readingOrder="0" shrinkToFit="0" vertical="center" wrapText="1"/>
    </xf>
    <xf borderId="157" fillId="14" fontId="89" numFmtId="0" xfId="0" applyAlignment="1" applyBorder="1" applyFont="1">
      <alignment shrinkToFit="0" vertical="center" wrapText="1"/>
    </xf>
    <xf borderId="0" fillId="0" fontId="22" numFmtId="171" xfId="0" applyAlignment="1" applyFont="1" applyNumberFormat="1">
      <alignment readingOrder="0" shrinkToFit="0" vertical="center" wrapText="1"/>
    </xf>
    <xf borderId="120" fillId="14" fontId="89" numFmtId="0" xfId="0" applyAlignment="1" applyBorder="1" applyFont="1">
      <alignment readingOrder="0" shrinkToFit="0" vertical="center" wrapText="1"/>
    </xf>
    <xf borderId="120" fillId="14" fontId="89" numFmtId="0" xfId="0" applyAlignment="1" applyBorder="1" applyFont="1">
      <alignment shrinkToFit="0" vertical="center" wrapText="1"/>
    </xf>
    <xf borderId="18" fillId="0" fontId="89" numFmtId="0" xfId="0" applyAlignment="1" applyBorder="1" applyFont="1">
      <alignment horizontal="center" shrinkToFit="0" vertical="center" wrapText="1"/>
    </xf>
    <xf borderId="120" fillId="14" fontId="120" numFmtId="0" xfId="0" applyAlignment="1" applyBorder="1" applyFont="1">
      <alignment horizontal="left" readingOrder="0" shrinkToFit="0" vertical="center" wrapText="1"/>
    </xf>
    <xf borderId="107" fillId="14" fontId="129" numFmtId="0" xfId="0" applyAlignment="1" applyBorder="1" applyFont="1">
      <alignment horizontal="left" readingOrder="0" shrinkToFit="0" vertical="center" wrapText="1"/>
    </xf>
    <xf borderId="162" fillId="14" fontId="129" numFmtId="0" xfId="0" applyAlignment="1" applyBorder="1" applyFont="1">
      <alignment horizontal="left" readingOrder="0" shrinkToFit="0" vertical="center" wrapText="1"/>
    </xf>
    <xf borderId="163" fillId="0" fontId="127" numFmtId="0" xfId="0" applyAlignment="1" applyBorder="1" applyFont="1">
      <alignment readingOrder="0" shrinkToFit="0" vertical="center" wrapText="1"/>
    </xf>
    <xf borderId="159" fillId="0" fontId="128" numFmtId="172" xfId="0" applyAlignment="1" applyBorder="1" applyFont="1" applyNumberFormat="1">
      <alignment horizontal="center" shrinkToFit="0" vertical="center" wrapText="1"/>
    </xf>
    <xf borderId="159" fillId="0" fontId="128" numFmtId="0" xfId="0" applyAlignment="1" applyBorder="1" applyFont="1">
      <alignment horizontal="center" shrinkToFit="0" vertical="center" wrapText="1"/>
    </xf>
    <xf borderId="159" fillId="0" fontId="120" numFmtId="0" xfId="0" applyAlignment="1" applyBorder="1" applyFont="1">
      <alignment readingOrder="0" shrinkToFit="0" vertical="center" wrapText="1"/>
    </xf>
    <xf borderId="159" fillId="0" fontId="120" numFmtId="0" xfId="0" applyAlignment="1" applyBorder="1" applyFont="1">
      <alignment horizontal="center" readingOrder="0" shrinkToFit="0" vertical="center" wrapText="1"/>
    </xf>
    <xf borderId="164" fillId="0" fontId="89" numFmtId="0" xfId="0" applyAlignment="1" applyBorder="1" applyFont="1">
      <alignment readingOrder="0" shrinkToFit="0" vertical="center" wrapText="1"/>
    </xf>
    <xf borderId="159" fillId="0" fontId="128" numFmtId="0" xfId="0" applyAlignment="1" applyBorder="1" applyFont="1">
      <alignment horizontal="center" readingOrder="0" shrinkToFit="0" vertical="center" wrapText="1"/>
    </xf>
    <xf borderId="159" fillId="0" fontId="128" numFmtId="179" xfId="0" applyAlignment="1" applyBorder="1" applyFont="1" applyNumberFormat="1">
      <alignment horizontal="center" readingOrder="0" shrinkToFit="0" vertical="center" wrapText="1"/>
    </xf>
    <xf borderId="120" fillId="0" fontId="89" numFmtId="0" xfId="0" applyAlignment="1" applyBorder="1" applyFont="1">
      <alignment readingOrder="0" shrinkToFit="0" vertical="center" wrapText="1"/>
    </xf>
    <xf borderId="165" fillId="0" fontId="89" numFmtId="0" xfId="0" applyAlignment="1" applyBorder="1" applyFont="1">
      <alignment shrinkToFit="0" vertical="center" wrapText="1"/>
    </xf>
    <xf borderId="166" fillId="0" fontId="3" numFmtId="0" xfId="0" applyBorder="1" applyFont="1"/>
    <xf borderId="167" fillId="0" fontId="3" numFmtId="0" xfId="0" applyBorder="1" applyFont="1"/>
    <xf borderId="120" fillId="0" fontId="89" numFmtId="0" xfId="0" applyAlignment="1" applyBorder="1" applyFont="1">
      <alignment shrinkToFit="0" vertical="center" wrapText="1"/>
    </xf>
    <xf borderId="18" fillId="0" fontId="22" numFmtId="0" xfId="0" applyAlignment="1" applyBorder="1" applyFont="1">
      <alignment shrinkToFit="0" vertical="center" wrapText="1"/>
    </xf>
    <xf borderId="159" fillId="14" fontId="120" numFmtId="0" xfId="0" applyAlignment="1" applyBorder="1" applyFont="1">
      <alignment horizontal="center" readingOrder="0" shrinkToFit="0" vertical="center" wrapText="1"/>
    </xf>
    <xf borderId="164" fillId="14" fontId="89" numFmtId="0" xfId="0" applyAlignment="1" applyBorder="1" applyFont="1">
      <alignment readingOrder="0" shrinkToFit="0" vertical="center" wrapText="1"/>
    </xf>
    <xf borderId="159" fillId="14" fontId="128" numFmtId="0" xfId="0" applyAlignment="1" applyBorder="1" applyFont="1">
      <alignment horizontal="center" readingOrder="0" shrinkToFit="0" vertical="center" wrapText="1"/>
    </xf>
    <xf borderId="159" fillId="14" fontId="128" numFmtId="179" xfId="0" applyAlignment="1" applyBorder="1" applyFont="1" applyNumberFormat="1">
      <alignment horizontal="center" readingOrder="0" shrinkToFit="0" vertical="center" wrapText="1"/>
    </xf>
    <xf borderId="165" fillId="14" fontId="89" numFmtId="0" xfId="0" applyAlignment="1" applyBorder="1" applyFont="1">
      <alignment shrinkToFit="0" vertical="center" wrapText="1"/>
    </xf>
    <xf borderId="168" fillId="3" fontId="125" numFmtId="0" xfId="0" applyAlignment="1" applyBorder="1" applyFont="1">
      <alignment readingOrder="0" shrinkToFit="0" vertical="center" wrapText="0"/>
    </xf>
    <xf borderId="169" fillId="3" fontId="125" numFmtId="0" xfId="0" applyAlignment="1" applyBorder="1" applyFont="1">
      <alignment readingOrder="0" shrinkToFit="0" vertical="center" wrapText="0"/>
    </xf>
    <xf borderId="169" fillId="3" fontId="118" numFmtId="0" xfId="0" applyAlignment="1" applyBorder="1" applyFont="1">
      <alignment horizontal="center" readingOrder="0" shrinkToFit="0" vertical="center" wrapText="1"/>
    </xf>
    <xf borderId="169" fillId="3" fontId="118" numFmtId="0" xfId="0" applyAlignment="1" applyBorder="1" applyFont="1">
      <alignment readingOrder="0" shrinkToFit="0" vertical="center" wrapText="1"/>
    </xf>
    <xf borderId="169" fillId="3" fontId="125" numFmtId="179" xfId="0" applyAlignment="1" applyBorder="1" applyFont="1" applyNumberFormat="1">
      <alignment horizontal="center" readingOrder="0" shrinkToFit="0" vertical="center" wrapText="1"/>
    </xf>
    <xf borderId="169" fillId="3" fontId="125" numFmtId="0" xfId="0" applyAlignment="1" applyBorder="1" applyFont="1">
      <alignment horizontal="center" shrinkToFit="0" vertical="center" wrapText="1"/>
    </xf>
    <xf borderId="169" fillId="3" fontId="125" numFmtId="0" xfId="0" applyAlignment="1" applyBorder="1" applyFont="1">
      <alignment horizontal="center" readingOrder="0" shrinkToFit="0" vertical="center" wrapText="1"/>
    </xf>
    <xf borderId="169" fillId="3" fontId="118" numFmtId="0" xfId="0" applyAlignment="1" applyBorder="1" applyFont="1">
      <alignment shrinkToFit="0" vertical="center" wrapText="1"/>
    </xf>
    <xf borderId="170" fillId="3" fontId="118"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0" numFmtId="0" xfId="0" applyAlignment="1" applyBorder="1" applyFont="1">
      <alignment horizontal="left" readingOrder="0" shrinkToFit="0" vertical="center" wrapText="1"/>
    </xf>
    <xf borderId="174" fillId="5" fontId="129" numFmtId="0" xfId="0" applyAlignment="1" applyBorder="1" applyFont="1">
      <alignment horizontal="left" readingOrder="0" shrinkToFit="0" vertical="center" wrapText="1"/>
    </xf>
    <xf borderId="174" fillId="0" fontId="3" numFmtId="0" xfId="0" applyBorder="1" applyFont="1"/>
    <xf borderId="175" fillId="5" fontId="129" numFmtId="0" xfId="0" applyAlignment="1" applyBorder="1" applyFont="1">
      <alignment horizontal="left" readingOrder="0" shrinkToFit="0" vertical="center" wrapText="1"/>
    </xf>
    <xf borderId="0" fillId="0" fontId="120" numFmtId="172"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176" fillId="0" fontId="101" numFmtId="0" xfId="0" applyAlignment="1" applyBorder="1" applyFont="1">
      <alignment vertical="center"/>
    </xf>
    <xf borderId="0" fillId="0" fontId="101" numFmtId="0" xfId="0" applyAlignment="1" applyFont="1">
      <alignment vertical="center"/>
    </xf>
    <xf borderId="0" fillId="0" fontId="130" numFmtId="0" xfId="0" applyAlignment="1" applyFont="1">
      <alignment readingOrder="0" shrinkToFit="0" vertical="center" wrapText="0"/>
    </xf>
    <xf borderId="0" fillId="0" fontId="112" numFmtId="0" xfId="0" applyAlignment="1" applyFont="1">
      <alignment horizontal="center" readingOrder="0" vertical="center"/>
    </xf>
    <xf borderId="0" fillId="0" fontId="131" numFmtId="0" xfId="0" applyAlignment="1" applyFont="1">
      <alignment horizontal="center" readingOrder="0" vertical="center"/>
    </xf>
    <xf borderId="176" fillId="0" fontId="101" numFmtId="0" xfId="0" applyAlignment="1" applyBorder="1" applyFont="1">
      <alignment readingOrder="0" vertical="center"/>
    </xf>
    <xf borderId="0" fillId="0" fontId="101" numFmtId="0" xfId="0" applyAlignment="1" applyFont="1">
      <alignment readingOrder="0" vertical="center"/>
    </xf>
    <xf borderId="1" fillId="21" fontId="122" numFmtId="0" xfId="0" applyAlignment="1" applyBorder="1" applyFont="1">
      <alignment horizontal="left" readingOrder="0" shrinkToFit="0" vertical="center" wrapText="0"/>
    </xf>
    <xf borderId="2" fillId="21" fontId="122"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5" fillId="5" fontId="133" numFmtId="0" xfId="0" applyAlignment="1" applyBorder="1" applyFont="1">
      <alignment horizontal="center" readingOrder="0" vertical="center"/>
    </xf>
    <xf borderId="5" fillId="4" fontId="134" numFmtId="0" xfId="0" applyAlignment="1" applyBorder="1" applyFont="1">
      <alignment horizontal="center" readingOrder="0" vertical="center"/>
    </xf>
    <xf borderId="5" fillId="5" fontId="134"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136" numFmtId="0" xfId="0" applyAlignment="1" applyBorder="1" applyFont="1">
      <alignment horizontal="center" readingOrder="0" vertical="center"/>
    </xf>
    <xf borderId="0" fillId="0" fontId="137" numFmtId="0" xfId="0" applyAlignment="1" applyFont="1">
      <alignment horizontal="center" vertical="center"/>
    </xf>
    <xf borderId="0" fillId="45" fontId="97" numFmtId="0" xfId="0" applyAlignment="1" applyFill="1" applyFont="1">
      <alignment horizontal="center" readingOrder="0" vertical="center"/>
    </xf>
    <xf borderId="0" fillId="44" fontId="97" numFmtId="0" xfId="0" applyAlignment="1" applyFont="1">
      <alignment horizontal="center" readingOrder="0" vertical="center"/>
    </xf>
    <xf borderId="18" fillId="24" fontId="138"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6" fontId="128" numFmtId="0" xfId="0" applyAlignment="1" applyBorder="1" applyFill="1" applyFont="1">
      <alignment readingOrder="0" vertical="center"/>
    </xf>
    <xf borderId="0" fillId="0" fontId="137" numFmtId="0" xfId="0" applyAlignment="1" applyFont="1">
      <alignment horizontal="center" readingOrder="0" vertical="center"/>
    </xf>
    <xf borderId="1" fillId="47" fontId="128" numFmtId="0" xfId="0" applyAlignment="1" applyBorder="1" applyFill="1" applyFont="1">
      <alignment readingOrder="0" vertical="center"/>
    </xf>
    <xf borderId="1" fillId="48" fontId="113" numFmtId="0" xfId="0" applyAlignment="1" applyBorder="1" applyFill="1" applyFont="1">
      <alignment horizontal="left" readingOrder="0" vertical="center"/>
    </xf>
    <xf borderId="2" fillId="48" fontId="113" numFmtId="0" xfId="0" applyAlignment="1" applyBorder="1" applyFont="1">
      <alignment horizontal="left" readingOrder="0" vertical="center"/>
    </xf>
    <xf borderId="3" fillId="32" fontId="89" numFmtId="0" xfId="0" applyAlignment="1" applyBorder="1" applyFont="1">
      <alignment horizontal="left" readingOrder="0" vertical="center"/>
    </xf>
    <xf borderId="3" fillId="14" fontId="139" numFmtId="0" xfId="0" applyAlignment="1" applyBorder="1" applyFont="1">
      <alignment horizontal="center" readingOrder="0" vertical="center"/>
    </xf>
    <xf borderId="76" fillId="0" fontId="127" numFmtId="0" xfId="0" applyAlignment="1" applyBorder="1" applyFont="1">
      <alignment readingOrder="0" shrinkToFit="0" vertical="center" wrapText="1"/>
    </xf>
    <xf borderId="3" fillId="4" fontId="1" numFmtId="0" xfId="0" applyAlignment="1" applyBorder="1" applyFont="1">
      <alignment readingOrder="0" vertical="center"/>
    </xf>
    <xf borderId="3" fillId="4" fontId="89" numFmtId="0" xfId="0" applyAlignment="1" applyBorder="1" applyFont="1">
      <alignment horizontal="center" vertical="center"/>
    </xf>
    <xf borderId="3" fillId="4" fontId="89" numFmtId="0" xfId="0" applyAlignment="1" applyBorder="1" applyFont="1">
      <alignment horizontal="center" readingOrder="0" vertical="center"/>
    </xf>
    <xf borderId="70" fillId="0" fontId="3" numFmtId="0" xfId="0" applyBorder="1" applyFont="1"/>
    <xf borderId="3" fillId="48" fontId="24" numFmtId="0" xfId="0" applyAlignment="1" applyBorder="1" applyFont="1">
      <alignment readingOrder="0" vertical="center"/>
    </xf>
    <xf borderId="3" fillId="48" fontId="140" numFmtId="10" xfId="0" applyAlignment="1" applyBorder="1" applyFont="1" applyNumberFormat="1">
      <alignment horizontal="center" vertical="center"/>
    </xf>
    <xf borderId="3" fillId="48" fontId="140" numFmtId="168" xfId="0" applyAlignment="1" applyBorder="1" applyFont="1" applyNumberFormat="1">
      <alignment horizontal="center" vertical="center"/>
    </xf>
    <xf borderId="3" fillId="29" fontId="113" numFmtId="0" xfId="0" applyAlignment="1" applyBorder="1" applyFont="1">
      <alignment readingOrder="0" vertical="center"/>
    </xf>
    <xf borderId="3" fillId="29" fontId="101" numFmtId="10" xfId="0" applyAlignment="1" applyBorder="1" applyFont="1" applyNumberFormat="1">
      <alignment horizontal="center" vertical="center"/>
    </xf>
    <xf borderId="3" fillId="29" fontId="101" numFmtId="0" xfId="0" applyAlignment="1" applyBorder="1" applyFont="1">
      <alignment horizontal="center" vertical="center"/>
    </xf>
    <xf borderId="3" fillId="29" fontId="101" numFmtId="0" xfId="0" applyAlignment="1" applyBorder="1" applyFont="1">
      <alignment horizontal="center" readingOrder="0" vertical="center"/>
    </xf>
    <xf borderId="3" fillId="29" fontId="101" numFmtId="168" xfId="0" applyAlignment="1" applyBorder="1" applyFont="1" applyNumberFormat="1">
      <alignment horizontal="center" readingOrder="0" vertical="center"/>
    </xf>
    <xf borderId="3" fillId="29" fontId="101" numFmtId="168" xfId="0" applyAlignment="1" applyBorder="1" applyFont="1" applyNumberFormat="1">
      <alignment horizontal="center" vertical="center"/>
    </xf>
    <xf borderId="3" fillId="29" fontId="101" numFmtId="10" xfId="0" applyAlignment="1" applyBorder="1" applyFont="1" applyNumberFormat="1">
      <alignment horizontal="center" readingOrder="0" vertical="center"/>
    </xf>
    <xf borderId="0" fillId="0" fontId="137" numFmtId="0" xfId="0" applyAlignment="1" applyFont="1">
      <alignment horizontal="center"/>
    </xf>
    <xf borderId="1" fillId="27" fontId="113" numFmtId="0" xfId="0" applyAlignment="1" applyBorder="1" applyFont="1">
      <alignment horizontal="left" readingOrder="0" vertical="center"/>
    </xf>
    <xf borderId="2" fillId="27" fontId="113" numFmtId="0" xfId="0" applyAlignment="1" applyBorder="1" applyFont="1">
      <alignment horizontal="left" readingOrder="0" vertical="center"/>
    </xf>
    <xf borderId="3" fillId="7" fontId="89" numFmtId="0" xfId="0" applyAlignment="1" applyBorder="1" applyFont="1">
      <alignment horizontal="left" readingOrder="0" vertical="center"/>
    </xf>
    <xf borderId="3" fillId="14" fontId="89" numFmtId="0" xfId="0" applyAlignment="1" applyBorder="1" applyFont="1">
      <alignment horizontal="center" readingOrder="0" vertical="center"/>
    </xf>
    <xf borderId="3" fillId="7" fontId="1" numFmtId="0" xfId="0" applyAlignment="1" applyBorder="1" applyFont="1">
      <alignment readingOrder="0" vertical="center"/>
    </xf>
    <xf borderId="3" fillId="3" fontId="21" numFmtId="165" xfId="0" applyAlignment="1" applyBorder="1" applyFont="1" applyNumberFormat="1">
      <alignment horizontal="center" vertical="center"/>
    </xf>
    <xf borderId="6" fillId="4" fontId="89" numFmtId="0" xfId="0" applyAlignment="1" applyBorder="1" applyFont="1">
      <alignment horizontal="center" readingOrder="0" vertical="center"/>
    </xf>
    <xf borderId="177" fillId="4" fontId="89" numFmtId="0" xfId="0" applyAlignment="1" applyBorder="1" applyFont="1">
      <alignment horizontal="center" readingOrder="0" vertical="center"/>
    </xf>
    <xf borderId="3" fillId="35" fontId="134" numFmtId="0" xfId="0" applyAlignment="1" applyBorder="1" applyFont="1">
      <alignment horizontal="center" vertical="center"/>
    </xf>
    <xf borderId="91" fillId="7" fontId="18" numFmtId="180" xfId="0" applyAlignment="1" applyBorder="1" applyFont="1" applyNumberFormat="1">
      <alignment horizontal="center" vertical="center"/>
    </xf>
    <xf borderId="1" fillId="4" fontId="89" numFmtId="0" xfId="0" applyAlignment="1" applyBorder="1" applyFont="1">
      <alignment horizontal="center" readingOrder="0" vertical="center"/>
    </xf>
    <xf borderId="178" fillId="7" fontId="10" numFmtId="180" xfId="0" applyAlignment="1" applyBorder="1" applyFont="1" applyNumberFormat="1">
      <alignment horizontal="center" readingOrder="0" vertical="center"/>
    </xf>
    <xf borderId="1" fillId="35" fontId="134" numFmtId="0" xfId="0" applyAlignment="1" applyBorder="1" applyFont="1">
      <alignment horizontal="center" vertical="center"/>
    </xf>
    <xf borderId="179" fillId="7" fontId="18" numFmtId="180" xfId="0" applyAlignment="1" applyBorder="1" applyFont="1" applyNumberFormat="1">
      <alignment horizontal="center" vertical="center"/>
    </xf>
    <xf borderId="1" fillId="38" fontId="113" numFmtId="0" xfId="0" applyAlignment="1" applyBorder="1" applyFont="1">
      <alignment horizontal="left" readingOrder="0" vertical="center"/>
    </xf>
    <xf borderId="2" fillId="38" fontId="113" numFmtId="0" xfId="0" applyAlignment="1" applyBorder="1" applyFont="1">
      <alignment horizontal="left" readingOrder="0" vertical="center"/>
    </xf>
    <xf borderId="0" fillId="0" fontId="90" numFmtId="0" xfId="0" applyAlignment="1" applyFont="1">
      <alignment horizontal="left" readingOrder="0" vertical="center"/>
    </xf>
    <xf borderId="0" fillId="0" fontId="90" numFmtId="0" xfId="0" applyAlignment="1" applyFont="1">
      <alignment horizontal="center" readingOrder="0" vertical="center"/>
    </xf>
    <xf borderId="0" fillId="0" fontId="127" numFmtId="0" xfId="0" applyAlignment="1" applyFont="1">
      <alignment vertical="center"/>
    </xf>
    <xf borderId="3" fillId="0" fontId="134" numFmtId="0" xfId="0" applyAlignment="1" applyBorder="1" applyFont="1">
      <alignment horizontal="center" readingOrder="0" vertical="center"/>
    </xf>
    <xf borderId="3" fillId="0" fontId="134" numFmtId="0" xfId="0" applyAlignment="1" applyBorder="1" applyFont="1">
      <alignment horizontal="center" vertical="center"/>
    </xf>
    <xf borderId="3" fillId="14" fontId="21" numFmtId="181" xfId="0" applyAlignment="1" applyBorder="1" applyFont="1" applyNumberFormat="1">
      <alignment horizontal="center" vertical="center"/>
    </xf>
    <xf borderId="1" fillId="46" fontId="128" numFmtId="0" xfId="0" applyAlignment="1" applyBorder="1" applyFont="1">
      <alignment readingOrder="0" vertical="center"/>
    </xf>
    <xf borderId="1" fillId="13" fontId="141" numFmtId="0" xfId="0" applyAlignment="1" applyBorder="1" applyFont="1">
      <alignment horizontal="left" readingOrder="0" vertical="center"/>
    </xf>
    <xf borderId="68" fillId="13" fontId="141" numFmtId="0" xfId="0" applyAlignment="1" applyBorder="1" applyFont="1">
      <alignment horizontal="center" readingOrder="0" vertical="center"/>
    </xf>
    <xf borderId="0" fillId="0" fontId="141" numFmtId="0" xfId="0" applyAlignment="1" applyFont="1">
      <alignment horizontal="center" readingOrder="0" vertical="center"/>
    </xf>
    <xf borderId="3" fillId="4" fontId="90" numFmtId="0" xfId="0" applyAlignment="1" applyBorder="1" applyFont="1">
      <alignment horizontal="center" readingOrder="0" vertical="center"/>
    </xf>
    <xf borderId="1" fillId="4" fontId="90" numFmtId="0" xfId="0" applyAlignment="1" applyBorder="1" applyFont="1">
      <alignment horizontal="center" readingOrder="0" vertical="center"/>
    </xf>
    <xf borderId="3" fillId="0" fontId="90" numFmtId="181" xfId="0" applyAlignment="1" applyBorder="1" applyFont="1" applyNumberFormat="1">
      <alignment horizontal="center" readingOrder="0" vertical="center"/>
    </xf>
    <xf borderId="1" fillId="0" fontId="95" numFmtId="0" xfId="0" applyAlignment="1" applyBorder="1" applyFont="1">
      <alignment readingOrder="0" vertical="center"/>
    </xf>
    <xf borderId="1" fillId="0" fontId="90"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3" fontId="113" numFmtId="0" xfId="0" applyAlignment="1" applyBorder="1" applyFont="1">
      <alignment horizontal="left" readingOrder="0" vertical="center"/>
    </xf>
    <xf borderId="68" fillId="3" fontId="113" numFmtId="0" xfId="0" applyAlignment="1" applyBorder="1" applyFont="1">
      <alignment horizontal="left" readingOrder="0" vertical="center"/>
    </xf>
    <xf borderId="5" fillId="14" fontId="10" numFmtId="181" xfId="0" applyAlignment="1" applyBorder="1" applyFont="1" applyNumberFormat="1">
      <alignment horizontal="center" readingOrder="0" vertical="center"/>
    </xf>
    <xf borderId="76" fillId="32" fontId="113" numFmtId="0" xfId="0" applyAlignment="1" applyBorder="1" applyFont="1">
      <alignment horizontal="left" readingOrder="0" vertical="center"/>
    </xf>
    <xf borderId="68" fillId="32" fontId="113" numFmtId="0" xfId="0" applyAlignment="1" applyBorder="1" applyFont="1">
      <alignment horizontal="left" readingOrder="0" vertical="center"/>
    </xf>
    <xf borderId="85" fillId="4" fontId="90" numFmtId="0" xfId="0" applyAlignment="1" applyBorder="1" applyFont="1">
      <alignment horizontal="center" readingOrder="0" vertical="center"/>
    </xf>
    <xf borderId="84" fillId="4" fontId="90"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1" numFmtId="0" xfId="0" applyAlignment="1" applyBorder="1" applyFont="1">
      <alignment horizontal="left" readingOrder="0" vertical="center"/>
    </xf>
    <xf borderId="84" fillId="0" fontId="89" numFmtId="168" xfId="0" applyAlignment="1" applyBorder="1" applyFont="1" applyNumberFormat="1">
      <alignment horizontal="center" readingOrder="0" vertical="center"/>
    </xf>
    <xf borderId="84" fillId="0" fontId="101" numFmtId="0" xfId="0" applyAlignment="1" applyBorder="1" applyFont="1">
      <alignment horizontal="center" vertical="center"/>
    </xf>
    <xf borderId="176" fillId="0" fontId="142" numFmtId="0" xfId="0" applyAlignment="1" applyBorder="1" applyFont="1">
      <alignment vertical="center"/>
    </xf>
    <xf borderId="0" fillId="0" fontId="142" numFmtId="0" xfId="0" applyAlignment="1" applyFont="1">
      <alignment vertical="center"/>
    </xf>
    <xf borderId="84" fillId="0" fontId="101" numFmtId="0" xfId="0" applyAlignment="1" applyBorder="1" applyFont="1">
      <alignment horizontal="left" vertical="center"/>
    </xf>
    <xf borderId="84" fillId="0" fontId="89" numFmtId="168" xfId="0" applyAlignment="1" applyBorder="1" applyFont="1" applyNumberFormat="1">
      <alignment horizontal="center" vertical="center"/>
    </xf>
    <xf borderId="176" fillId="0" fontId="143" numFmtId="0" xfId="0" applyAlignment="1" applyBorder="1" applyFont="1">
      <alignment vertical="center"/>
    </xf>
    <xf borderId="0" fillId="0" fontId="143" numFmtId="0" xfId="0" applyAlignment="1" applyFont="1">
      <alignment vertical="center"/>
    </xf>
    <xf borderId="76" fillId="21" fontId="113" numFmtId="0" xfId="0" applyAlignment="1" applyBorder="1" applyFont="1">
      <alignment horizontal="left" readingOrder="0" vertical="center"/>
    </xf>
    <xf borderId="75" fillId="21" fontId="113" numFmtId="0" xfId="0" applyAlignment="1" applyBorder="1" applyFont="1">
      <alignment horizontal="left" readingOrder="0" vertical="center"/>
    </xf>
    <xf borderId="85" fillId="14" fontId="21" numFmtId="181" xfId="0" applyAlignment="1" applyBorder="1" applyFont="1" applyNumberFormat="1">
      <alignment horizontal="center" readingOrder="0" vertical="center"/>
    </xf>
    <xf borderId="85" fillId="0" fontId="101"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3" numFmtId="0" xfId="0" applyAlignment="1" applyBorder="1" applyFont="1">
      <alignment horizontal="left" readingOrder="0" vertical="center"/>
    </xf>
    <xf borderId="75" fillId="7" fontId="113" numFmtId="0" xfId="0" applyAlignment="1" applyBorder="1" applyFont="1">
      <alignment horizontal="left" readingOrder="0" vertical="center"/>
    </xf>
    <xf borderId="85" fillId="0" fontId="101" numFmtId="168" xfId="0" applyAlignment="1" applyBorder="1" applyFont="1" applyNumberFormat="1">
      <alignment horizontal="center" vertical="center"/>
    </xf>
    <xf borderId="84" fillId="0" fontId="95" numFmtId="0" xfId="0" applyAlignment="1" applyBorder="1" applyFont="1">
      <alignment readingOrder="0" vertical="center"/>
    </xf>
    <xf borderId="1" fillId="17" fontId="128" numFmtId="0" xfId="0" applyAlignment="1" applyBorder="1" applyFont="1">
      <alignment readingOrder="0" vertical="center"/>
    </xf>
    <xf borderId="0" fillId="0" fontId="127" numFmtId="0" xfId="0" applyAlignment="1" applyFont="1">
      <alignment readingOrder="0" shrinkToFit="0" vertical="center" wrapText="1"/>
    </xf>
    <xf borderId="1" fillId="3" fontId="128" numFmtId="0" xfId="0" applyAlignment="1" applyBorder="1" applyFont="1">
      <alignment horizontal="center" readingOrder="0" shrinkToFit="0" vertical="center" wrapText="1"/>
    </xf>
    <xf borderId="19" fillId="32" fontId="144" numFmtId="0" xfId="0" applyBorder="1" applyFont="1"/>
    <xf borderId="96" fillId="32" fontId="63" numFmtId="0" xfId="0" applyAlignment="1" applyBorder="1" applyFont="1">
      <alignment horizontal="center" readingOrder="0" vertical="center"/>
    </xf>
    <xf borderId="18" fillId="29" fontId="52"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89"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7"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5" numFmtId="0" xfId="0" applyAlignment="1" applyBorder="1" applyFont="1">
      <alignment horizontal="center" readingOrder="0" vertical="center"/>
    </xf>
    <xf borderId="19" fillId="0" fontId="95" numFmtId="0" xfId="0" applyAlignment="1" applyBorder="1" applyFont="1">
      <alignment horizontal="center" readingOrder="0" vertical="center"/>
    </xf>
    <xf borderId="3" fillId="0" fontId="95" numFmtId="0" xfId="0" applyAlignment="1" applyBorder="1" applyFont="1">
      <alignment horizontal="center" readingOrder="0" vertical="center"/>
    </xf>
    <xf borderId="20" fillId="0" fontId="95" numFmtId="0" xfId="0" applyAlignment="1" applyBorder="1" applyFont="1">
      <alignment horizontal="center" readingOrder="0" vertical="center"/>
    </xf>
    <xf borderId="48" fillId="0" fontId="95"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1"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1" numFmtId="182" xfId="0" applyAlignment="1" applyBorder="1" applyFont="1" applyNumberFormat="1">
      <alignment horizontal="center" readingOrder="0" vertical="center"/>
    </xf>
    <xf borderId="18" fillId="32" fontId="63" numFmtId="0" xfId="0" applyAlignment="1" applyBorder="1" applyFont="1">
      <alignment horizontal="center" vertical="center"/>
    </xf>
    <xf borderId="18" fillId="32" fontId="63" numFmtId="0" xfId="0" applyAlignment="1" applyBorder="1" applyFont="1">
      <alignment horizontal="center" vertical="center"/>
    </xf>
    <xf borderId="0" fillId="21" fontId="67" numFmtId="0" xfId="0" applyAlignment="1" applyFont="1">
      <alignment horizontal="center" readingOrder="0" vertical="center"/>
    </xf>
    <xf borderId="0" fillId="29" fontId="67"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7" numFmtId="0" xfId="0" applyAlignment="1" applyBorder="1" applyFont="1">
      <alignment horizontal="center" shrinkToFit="0" wrapText="1"/>
    </xf>
    <xf borderId="18" fillId="0" fontId="101" numFmtId="0" xfId="0" applyAlignment="1" applyBorder="1" applyFont="1">
      <alignment horizontal="center" shrinkToFit="0" vertical="center" wrapText="1"/>
    </xf>
    <xf borderId="156" fillId="0" fontId="89" numFmtId="0" xfId="0" applyAlignment="1" applyBorder="1" applyFont="1">
      <alignment readingOrder="0" shrinkToFit="0" vertical="center" wrapText="1"/>
    </xf>
    <xf borderId="146" fillId="0" fontId="89" numFmtId="0" xfId="0" applyAlignment="1" applyBorder="1" applyFont="1">
      <alignment readingOrder="0" shrinkToFit="0" vertical="center" wrapText="1"/>
    </xf>
    <xf borderId="164" fillId="14" fontId="89" numFmtId="0" xfId="0" applyAlignment="1" applyBorder="1" applyFont="1">
      <alignment readingOrder="0" shrinkToFit="0" vertical="top" wrapText="1"/>
    </xf>
    <xf borderId="159" fillId="14" fontId="110" numFmtId="0" xfId="0" applyAlignment="1" applyBorder="1" applyFont="1">
      <alignment readingOrder="0" shrinkToFit="0" vertical="center" wrapText="1"/>
    </xf>
    <xf borderId="159" fillId="14" fontId="128"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76" fillId="0" fontId="127" numFmtId="0" xfId="0" applyAlignment="1" applyBorder="1" applyFont="1">
      <alignment readingOrder="0" shrinkToFit="0" vertical="top" wrapText="1"/>
    </xf>
    <xf borderId="0" fillId="0" fontId="43" numFmtId="0" xfId="0" applyAlignment="1" applyFont="1">
      <alignment horizontal="center" readingOrder="0" vertical="center"/>
    </xf>
    <xf borderId="0" fillId="0" fontId="145" numFmtId="0" xfId="0" applyAlignment="1" applyFont="1">
      <alignment readingOrder="0" vertical="center"/>
    </xf>
    <xf borderId="0" fillId="40" fontId="119"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6"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7"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8"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8" numFmtId="0" xfId="0" applyAlignment="1" applyBorder="1" applyFill="1" applyFont="1">
      <alignment vertical="center"/>
    </xf>
    <xf borderId="18" fillId="34" fontId="148" numFmtId="0" xfId="0" applyAlignment="1" applyBorder="1" applyFont="1">
      <alignment vertical="center"/>
    </xf>
    <xf borderId="18" fillId="0" fontId="147" numFmtId="0" xfId="0" applyAlignment="1" applyBorder="1" applyFont="1">
      <alignment vertical="center"/>
    </xf>
    <xf borderId="0" fillId="0" fontId="147" numFmtId="0" xfId="0" applyAlignment="1" applyFont="1">
      <alignment vertical="center"/>
    </xf>
    <xf borderId="0" fillId="0" fontId="2" numFmtId="0" xfId="0" applyAlignment="1" applyFont="1">
      <alignment vertical="bottom"/>
    </xf>
    <xf borderId="0" fillId="0" fontId="47" numFmtId="0" xfId="0" applyFont="1"/>
    <xf borderId="0" fillId="0" fontId="47" numFmtId="0" xfId="0" applyAlignment="1" applyFont="1">
      <alignment vertical="bottom"/>
    </xf>
    <xf borderId="0" fillId="0" fontId="47"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9" numFmtId="0" xfId="0" applyFont="1"/>
    <xf borderId="3" fillId="0" fontId="149" numFmtId="0" xfId="0" applyBorder="1" applyFont="1"/>
    <xf borderId="3" fillId="53" fontId="149" numFmtId="0" xfId="0" applyAlignment="1" applyBorder="1" applyFill="1" applyFont="1">
      <alignment horizontal="right" vertical="bottom"/>
    </xf>
    <xf borderId="3" fillId="54" fontId="149" numFmtId="0" xfId="0" applyBorder="1" applyFill="1" applyFont="1"/>
    <xf borderId="3" fillId="16" fontId="149" numFmtId="0" xfId="0" applyAlignment="1" applyBorder="1" applyFont="1">
      <alignment horizontal="right"/>
    </xf>
    <xf borderId="3" fillId="3" fontId="149" numFmtId="177" xfId="0" applyAlignment="1" applyBorder="1" applyFont="1" applyNumberFormat="1">
      <alignment horizontal="right" vertical="bottom"/>
    </xf>
    <xf borderId="3" fillId="0" fontId="52" numFmtId="0" xfId="0" applyAlignment="1" applyBorder="1" applyFont="1">
      <alignment horizontal="right" vertical="bottom"/>
    </xf>
    <xf borderId="3" fillId="0" fontId="52" numFmtId="168" xfId="0" applyAlignment="1" applyBorder="1" applyFont="1" applyNumberFormat="1">
      <alignment horizontal="right" vertical="bottom"/>
    </xf>
    <xf borderId="3" fillId="0" fontId="52" numFmtId="10" xfId="0" applyAlignment="1" applyBorder="1" applyFont="1" applyNumberFormat="1">
      <alignment horizontal="right" vertical="bottom"/>
    </xf>
    <xf borderId="185" fillId="53" fontId="149" numFmtId="0" xfId="0" applyAlignment="1" applyBorder="1" applyFont="1">
      <alignment horizontal="right" vertical="bottom"/>
    </xf>
    <xf borderId="3" fillId="0" fontId="149" numFmtId="0" xfId="0" applyAlignment="1" applyBorder="1" applyFont="1">
      <alignment horizontal="right"/>
    </xf>
    <xf borderId="3" fillId="16" fontId="47" numFmtId="0" xfId="0" applyBorder="1" applyFont="1"/>
    <xf borderId="3" fillId="0" fontId="4" numFmtId="0" xfId="0" applyBorder="1" applyFont="1"/>
    <xf borderId="3" fillId="0" fontId="149" numFmtId="1" xfId="0" applyAlignment="1" applyBorder="1" applyFont="1" applyNumberFormat="1">
      <alignment horizontal="right"/>
    </xf>
    <xf borderId="3" fillId="0" fontId="149" numFmtId="14" xfId="0" applyAlignment="1" applyBorder="1" applyFont="1" applyNumberFormat="1">
      <alignment horizontal="right" vertical="bottom"/>
    </xf>
    <xf borderId="3" fillId="5" fontId="149" numFmtId="0" xfId="0" applyAlignment="1" applyBorder="1" applyFont="1">
      <alignment horizontal="right"/>
    </xf>
    <xf borderId="186" fillId="16" fontId="149" numFmtId="0" xfId="0" applyAlignment="1" applyBorder="1" applyFont="1">
      <alignment horizontal="right" readingOrder="0"/>
    </xf>
    <xf borderId="1" fillId="54" fontId="149" numFmtId="0" xfId="0" applyAlignment="1" applyBorder="1" applyFont="1">
      <alignment horizontal="center"/>
    </xf>
    <xf borderId="3" fillId="0" fontId="47" numFmtId="0" xfId="0" applyBorder="1" applyFont="1"/>
    <xf borderId="0" fillId="0" fontId="52" numFmtId="0" xfId="0" applyFont="1"/>
    <xf borderId="1" fillId="0" fontId="52" numFmtId="0" xfId="0" applyBorder="1" applyFont="1"/>
    <xf borderId="3" fillId="16" fontId="149" numFmtId="0" xfId="0" applyAlignment="1" applyBorder="1" applyFont="1">
      <alignment horizontal="right" shrinkToFit="0" wrapText="1"/>
    </xf>
    <xf borderId="187" fillId="54" fontId="149" numFmtId="0" xfId="0" applyAlignment="1" applyBorder="1" applyFont="1">
      <alignment horizontal="center"/>
    </xf>
    <xf borderId="3" fillId="0" fontId="149" numFmtId="10" xfId="0" applyAlignment="1" applyBorder="1" applyFont="1" applyNumberFormat="1">
      <alignment horizontal="right"/>
    </xf>
    <xf borderId="0" fillId="0" fontId="107" numFmtId="0" xfId="0" applyFont="1"/>
    <xf borderId="1" fillId="0" fontId="107" numFmtId="0" xfId="0" applyBorder="1" applyFont="1"/>
    <xf borderId="188" fillId="54" fontId="149" numFmtId="0" xfId="0" applyBorder="1" applyFont="1"/>
    <xf borderId="1" fillId="0" fontId="149" numFmtId="0" xfId="0" applyBorder="1" applyFont="1"/>
    <xf borderId="2" fillId="0" fontId="47" numFmtId="0" xfId="0" applyBorder="1" applyFont="1"/>
    <xf borderId="1" fillId="0" fontId="4" numFmtId="0" xfId="0" applyAlignment="1" applyBorder="1" applyFont="1">
      <alignment horizontal="center"/>
    </xf>
    <xf borderId="0" fillId="0" fontId="116" numFmtId="0" xfId="0" applyFont="1"/>
    <xf borderId="1" fillId="0" fontId="116" numFmtId="0" xfId="0" applyBorder="1" applyFont="1"/>
    <xf borderId="1" fillId="0" fontId="47" numFmtId="0" xfId="0" applyBorder="1" applyFont="1"/>
    <xf borderId="3" fillId="54" fontId="52" numFmtId="0" xfId="0" applyAlignment="1" applyBorder="1" applyFont="1">
      <alignment vertical="bottom"/>
    </xf>
    <xf borderId="188" fillId="16" fontId="149" numFmtId="0" xfId="0" applyAlignment="1" applyBorder="1" applyFont="1">
      <alignment horizontal="right"/>
    </xf>
    <xf borderId="3" fillId="54" fontId="52" numFmtId="0" xfId="0" applyAlignment="1" applyBorder="1" applyFont="1">
      <alignment shrinkToFit="0" vertical="bottom" wrapText="1"/>
    </xf>
    <xf borderId="188" fillId="16" fontId="149" numFmtId="1" xfId="0" applyAlignment="1" applyBorder="1" applyFont="1" applyNumberFormat="1">
      <alignment horizontal="right"/>
    </xf>
    <xf borderId="189" fillId="5" fontId="149" numFmtId="0" xfId="0" applyAlignment="1" applyBorder="1" applyFont="1">
      <alignment horizontal="right"/>
    </xf>
    <xf borderId="190" fillId="54" fontId="52" numFmtId="0" xfId="0" applyAlignment="1" applyBorder="1" applyFont="1">
      <alignment shrinkToFit="0" vertical="bottom" wrapText="1"/>
    </xf>
    <xf borderId="3" fillId="0" fontId="52" numFmtId="0" xfId="0" applyBorder="1" applyFont="1"/>
    <xf borderId="3" fillId="5" fontId="149" numFmtId="0" xfId="0" applyAlignment="1" applyBorder="1" applyFont="1">
      <alignment horizontal="right" readingOrder="0"/>
    </xf>
    <xf borderId="191" fillId="16" fontId="149" numFmtId="0" xfId="0" applyAlignment="1" applyBorder="1" applyFont="1">
      <alignment horizontal="right"/>
    </xf>
    <xf borderId="1" fillId="55" fontId="149" numFmtId="0" xfId="0" applyAlignment="1" applyBorder="1" applyFill="1" applyFont="1">
      <alignment horizontal="center"/>
    </xf>
    <xf borderId="187" fillId="54" fontId="4" numFmtId="0" xfId="0" applyAlignment="1" applyBorder="1" applyFont="1">
      <alignment horizontal="center"/>
    </xf>
    <xf borderId="185" fillId="16" fontId="149" numFmtId="0" xfId="0" applyAlignment="1" applyBorder="1" applyFont="1">
      <alignment horizontal="right"/>
    </xf>
    <xf borderId="177" fillId="0" fontId="52" numFmtId="0" xfId="0" applyBorder="1" applyFont="1"/>
    <xf borderId="0" fillId="0" fontId="47" numFmtId="0" xfId="0" applyAlignment="1" applyFont="1">
      <alignment horizontal="right"/>
    </xf>
    <xf borderId="3" fillId="5" fontId="47" numFmtId="0" xfId="0" applyBorder="1" applyFont="1"/>
    <xf borderId="1" fillId="54" fontId="149" numFmtId="0" xfId="0" applyAlignment="1" applyBorder="1" applyFont="1">
      <alignment horizontal="center" readingOrder="0"/>
    </xf>
    <xf borderId="186" fillId="16" fontId="149" numFmtId="0" xfId="0" applyAlignment="1" applyBorder="1" applyFont="1">
      <alignment horizontal="right"/>
    </xf>
    <xf borderId="0" fillId="0" fontId="102" numFmtId="0" xfId="0" applyAlignment="1" applyFont="1">
      <alignment readingOrder="0" vertical="center"/>
    </xf>
    <xf borderId="0" fillId="0" fontId="1" numFmtId="0" xfId="0" applyAlignment="1" applyFont="1">
      <alignment horizontal="center" readingOrder="0" vertical="center"/>
    </xf>
    <xf borderId="192" fillId="0" fontId="91"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 numFmtId="0" xfId="0" applyAlignment="1" applyFont="1">
      <alignment horizontal="center" readingOrder="0" vertical="bottom"/>
    </xf>
    <xf borderId="120" fillId="40" fontId="156" numFmtId="0" xfId="0" applyAlignment="1" applyBorder="1" applyFont="1">
      <alignment vertical="bottom"/>
    </xf>
    <xf borderId="120" fillId="40" fontId="156" numFmtId="0" xfId="0" applyAlignment="1" applyBorder="1" applyFont="1">
      <alignment horizontal="center" vertical="bottom"/>
    </xf>
    <xf borderId="120" fillId="40" fontId="156" numFmtId="184" xfId="0" applyAlignment="1" applyBorder="1" applyFont="1" applyNumberFormat="1">
      <alignment horizontal="center" vertical="bottom"/>
    </xf>
    <xf borderId="120" fillId="51" fontId="156" numFmtId="0" xfId="0" applyAlignment="1" applyBorder="1" applyFont="1">
      <alignment horizontal="center" vertical="bottom"/>
    </xf>
    <xf borderId="120" fillId="42" fontId="156" numFmtId="184" xfId="0" applyAlignment="1" applyBorder="1" applyFont="1" applyNumberFormat="1">
      <alignment horizontal="center" vertical="bottom"/>
    </xf>
    <xf borderId="18" fillId="24" fontId="43" numFmtId="0" xfId="0" applyAlignment="1" applyBorder="1" applyFont="1">
      <alignment horizontal="left" readingOrder="0" vertical="center"/>
    </xf>
    <xf borderId="18" fillId="47" fontId="56" numFmtId="171" xfId="0" applyAlignment="1" applyBorder="1" applyFont="1" applyNumberFormat="1">
      <alignment horizontal="left" readingOrder="0" vertical="center"/>
    </xf>
    <xf borderId="18" fillId="4" fontId="113" numFmtId="0" xfId="0" applyAlignment="1" applyBorder="1" applyFont="1">
      <alignment horizontal="center" readingOrder="0" vertical="center"/>
    </xf>
    <xf borderId="18" fillId="4" fontId="113" numFmtId="0" xfId="0" applyAlignment="1" applyBorder="1" applyFont="1">
      <alignment readingOrder="0" vertical="center"/>
    </xf>
    <xf borderId="0" fillId="0" fontId="43" numFmtId="0" xfId="0" applyAlignment="1" applyFont="1">
      <alignment vertical="center"/>
    </xf>
    <xf borderId="0" fillId="0" fontId="113" numFmtId="0" xfId="0" applyAlignment="1" applyFont="1">
      <alignment horizontal="center" readingOrder="0" vertical="center"/>
    </xf>
    <xf borderId="159" fillId="47" fontId="56" numFmtId="171" xfId="0" applyAlignment="1" applyBorder="1" applyFont="1" applyNumberFormat="1">
      <alignment horizontal="left" readingOrder="0" vertical="center"/>
    </xf>
    <xf borderId="18" fillId="4" fontId="113" numFmtId="0" xfId="0" applyAlignment="1" applyBorder="1" applyFont="1">
      <alignment horizontal="center" readingOrder="0" shrinkToFit="0" vertical="center" wrapText="0"/>
    </xf>
    <xf borderId="18" fillId="4" fontId="113"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7"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1"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8"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9"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2" numFmtId="0" xfId="0" applyAlignment="1" applyBorder="1" applyFont="1">
      <alignment readingOrder="0" vertical="center"/>
    </xf>
    <xf borderId="18" fillId="56" fontId="16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1" numFmtId="0" xfId="0" applyAlignment="1" applyBorder="1" applyFont="1">
      <alignment readingOrder="0" vertical="center"/>
    </xf>
    <xf borderId="18" fillId="56" fontId="162" numFmtId="0" xfId="0" applyAlignment="1" applyBorder="1" applyFont="1">
      <alignment readingOrder="0"/>
    </xf>
    <xf borderId="18" fillId="56" fontId="1" numFmtId="0" xfId="0" applyAlignment="1" applyBorder="1" applyFont="1">
      <alignment readingOrder="0" vertical="center"/>
    </xf>
    <xf borderId="192" fillId="0" fontId="91" numFmtId="0" xfId="0" applyAlignment="1" applyBorder="1" applyFont="1">
      <alignment readingOrder="0" vertical="center"/>
    </xf>
    <xf borderId="18" fillId="56" fontId="1" numFmtId="0" xfId="0" applyAlignment="1" applyBorder="1" applyFont="1">
      <alignment vertical="center"/>
    </xf>
    <xf borderId="18" fillId="0" fontId="163"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4" numFmtId="0" xfId="0" applyAlignment="1" applyBorder="1" applyFont="1">
      <alignment vertical="bottom"/>
    </xf>
    <xf borderId="120" fillId="0" fontId="4" numFmtId="0" xfId="0" applyAlignment="1" applyBorder="1" applyFont="1">
      <alignment vertical="bottom"/>
    </xf>
    <xf borderId="18" fillId="0" fontId="16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6"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7" numFmtId="174" xfId="0" applyAlignment="1" applyFont="1" applyNumberFormat="1">
      <alignment horizontal="center" readingOrder="0"/>
    </xf>
    <xf borderId="76" fillId="30" fontId="77" numFmtId="0" xfId="0" applyAlignment="1" applyBorder="1" applyFont="1">
      <alignment horizontal="center"/>
    </xf>
    <xf borderId="3" fillId="30" fontId="77" numFmtId="0" xfId="0" applyAlignment="1" applyBorder="1" applyFont="1">
      <alignment horizontal="center"/>
    </xf>
    <xf borderId="2" fillId="30" fontId="77" numFmtId="1" xfId="0" applyAlignment="1" applyBorder="1" applyFont="1" applyNumberFormat="1">
      <alignment horizontal="center"/>
    </xf>
    <xf borderId="2" fillId="30" fontId="77" numFmtId="0" xfId="0" applyAlignment="1" applyBorder="1" applyFont="1">
      <alignment horizontal="center"/>
    </xf>
    <xf borderId="6" fillId="32" fontId="52" numFmtId="0" xfId="0" applyAlignment="1" applyBorder="1" applyFont="1">
      <alignment horizontal="right"/>
    </xf>
    <xf borderId="31" fillId="32" fontId="52" numFmtId="9" xfId="0" applyAlignment="1" applyBorder="1" applyFont="1" applyNumberFormat="1">
      <alignment horizontal="right"/>
    </xf>
    <xf borderId="31" fillId="0" fontId="52" numFmtId="168" xfId="0" applyAlignment="1" applyBorder="1" applyFont="1" applyNumberFormat="1">
      <alignment horizontal="right" readingOrder="0"/>
    </xf>
    <xf borderId="31" fillId="32" fontId="52" numFmtId="10" xfId="0" applyAlignment="1" applyBorder="1" applyFont="1" applyNumberFormat="1">
      <alignment horizontal="right"/>
    </xf>
    <xf borderId="0" fillId="0" fontId="1" numFmtId="0" xfId="0" applyAlignment="1" applyFont="1">
      <alignment readingOrder="0"/>
    </xf>
    <xf borderId="94" fillId="5" fontId="63" numFmtId="0" xfId="0" applyAlignment="1" applyBorder="1" applyFont="1">
      <alignment horizontal="center" readingOrder="0" vertical="center"/>
    </xf>
    <xf borderId="18" fillId="5" fontId="63" numFmtId="0" xfId="0" applyAlignment="1" applyBorder="1" applyFont="1">
      <alignment vertical="center"/>
    </xf>
    <xf borderId="18" fillId="5" fontId="63" numFmtId="0" xfId="0" applyAlignment="1" applyBorder="1" applyFont="1">
      <alignment vertical="center"/>
    </xf>
    <xf borderId="116" fillId="14" fontId="63" numFmtId="9" xfId="0" applyAlignment="1" applyBorder="1" applyFont="1" applyNumberFormat="1">
      <alignment horizontal="right" vertical="center"/>
    </xf>
    <xf borderId="76" fillId="14" fontId="1" numFmtId="0" xfId="0" applyBorder="1" applyFont="1"/>
    <xf borderId="0" fillId="57" fontId="90" numFmtId="0" xfId="0" applyFill="1" applyFont="1"/>
    <xf borderId="0" fillId="5" fontId="90" numFmtId="0" xfId="0" applyAlignment="1" applyFont="1">
      <alignment readingOrder="0"/>
    </xf>
    <xf borderId="0" fillId="5" fontId="90" numFmtId="0" xfId="0" applyFont="1"/>
    <xf borderId="0" fillId="5" fontId="113" numFmtId="0" xfId="0" applyAlignment="1" applyFont="1">
      <alignment readingOrder="0"/>
    </xf>
    <xf borderId="0" fillId="0" fontId="90" numFmtId="0" xfId="0" applyFont="1"/>
    <xf borderId="0" fillId="0" fontId="90" numFmtId="0" xfId="0" applyAlignment="1" applyFont="1">
      <alignment readingOrder="0"/>
    </xf>
    <xf borderId="0" fillId="4" fontId="90"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3" fillId="0" fontId="90" numFmtId="0" xfId="0" applyBorder="1" applyFont="1"/>
    <xf borderId="3" fillId="27" fontId="90" numFmtId="0" xfId="0" applyAlignment="1" applyBorder="1" applyFont="1">
      <alignment readingOrder="0"/>
    </xf>
    <xf borderId="3" fillId="37" fontId="90" numFmtId="0" xfId="0" applyAlignment="1" applyBorder="1" applyFont="1">
      <alignment readingOrder="0"/>
    </xf>
    <xf borderId="0" fillId="4" fontId="90" numFmtId="0" xfId="0" applyAlignment="1" applyFont="1">
      <alignment readingOrder="0"/>
    </xf>
    <xf borderId="0" fillId="57" fontId="90" numFmtId="0" xfId="0" applyAlignment="1" applyFont="1">
      <alignment readingOrder="0"/>
    </xf>
    <xf borderId="3" fillId="29" fontId="90" numFmtId="0" xfId="0" applyAlignment="1" applyBorder="1" applyFont="1">
      <alignment horizontal="center" readingOrder="0"/>
    </xf>
    <xf borderId="3" fillId="29" fontId="90" numFmtId="168" xfId="0" applyBorder="1" applyFont="1" applyNumberFormat="1"/>
    <xf borderId="3" fillId="29" fontId="90" numFmtId="0" xfId="0" applyBorder="1" applyFont="1"/>
    <xf borderId="3" fillId="29" fontId="90" numFmtId="0" xfId="0" applyAlignment="1" applyBorder="1" applyFont="1">
      <alignment readingOrder="0"/>
    </xf>
    <xf borderId="3" fillId="29" fontId="90" numFmtId="10" xfId="0" applyAlignment="1" applyBorder="1" applyFont="1" applyNumberFormat="1">
      <alignment readingOrder="0"/>
    </xf>
    <xf borderId="3" fillId="46" fontId="90" numFmtId="0" xfId="0" applyAlignment="1" applyBorder="1" applyFont="1">
      <alignment readingOrder="0"/>
    </xf>
    <xf borderId="3" fillId="0" fontId="90" numFmtId="10" xfId="0" applyBorder="1" applyFont="1" applyNumberFormat="1"/>
    <xf borderId="3" fillId="0" fontId="90" numFmtId="168" xfId="0" applyBorder="1" applyFont="1" applyNumberFormat="1"/>
    <xf borderId="3" fillId="0" fontId="90" numFmtId="168" xfId="0" applyAlignment="1" applyBorder="1" applyFont="1" applyNumberFormat="1">
      <alignment readingOrder="0"/>
    </xf>
    <xf borderId="0" fillId="57" fontId="113" numFmtId="0" xfId="0" applyAlignment="1" applyFont="1">
      <alignment readingOrder="0"/>
    </xf>
    <xf borderId="3" fillId="58" fontId="90" numFmtId="0" xfId="0" applyAlignment="1" applyBorder="1" applyFill="1" applyFont="1">
      <alignment readingOrder="0"/>
    </xf>
    <xf borderId="3" fillId="3" fontId="90" numFmtId="168" xfId="0" applyBorder="1" applyFont="1" applyNumberFormat="1"/>
    <xf borderId="0" fillId="0" fontId="90" numFmtId="168" xfId="0" applyAlignment="1" applyFont="1" applyNumberFormat="1">
      <alignment readingOrder="0"/>
    </xf>
    <xf borderId="3" fillId="0" fontId="90" numFmtId="10" xfId="0" applyAlignment="1" applyBorder="1" applyFont="1" applyNumberFormat="1">
      <alignment readingOrder="0"/>
    </xf>
    <xf borderId="3" fillId="3" fontId="90" numFmtId="10" xfId="0" applyBorder="1" applyFont="1" applyNumberFormat="1"/>
    <xf borderId="0" fillId="0" fontId="90" numFmtId="10" xfId="0" applyAlignment="1" applyFont="1" applyNumberFormat="1">
      <alignment readingOrder="0"/>
    </xf>
    <xf borderId="193" fillId="3" fontId="168"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69" numFmtId="0" xfId="0" applyAlignment="1" applyFont="1">
      <alignment horizontal="center" readingOrder="0" vertical="bottom"/>
    </xf>
    <xf borderId="0" fillId="0" fontId="56" numFmtId="0" xfId="0" applyAlignment="1" applyFont="1">
      <alignment horizontal="center" readingOrder="0"/>
    </xf>
    <xf borderId="0" fillId="5" fontId="4" numFmtId="0" xfId="0" applyAlignment="1" applyFont="1">
      <alignment vertical="bottom"/>
    </xf>
    <xf borderId="129" fillId="4" fontId="170" numFmtId="0" xfId="0" applyAlignment="1" applyBorder="1" applyFont="1">
      <alignment horizontal="center" readingOrder="0" vertical="bottom"/>
    </xf>
    <xf borderId="195" fillId="0" fontId="3" numFmtId="0" xfId="0" applyBorder="1" applyFont="1"/>
    <xf borderId="129" fillId="5" fontId="170"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8" numFmtId="0" xfId="0" applyAlignment="1" applyBorder="1" applyFont="1">
      <alignment horizontal="center" shrinkToFit="0" vertical="bottom" wrapText="1"/>
    </xf>
    <xf borderId="30" fillId="4" fontId="48" numFmtId="0" xfId="0" applyAlignment="1" applyBorder="1" applyFont="1">
      <alignment horizontal="center" shrinkToFit="0" vertical="bottom" wrapText="1"/>
    </xf>
    <xf borderId="6" fillId="14" fontId="4" numFmtId="0" xfId="0" applyAlignment="1" applyBorder="1" applyFont="1">
      <alignment vertical="bottom"/>
    </xf>
    <xf borderId="6" fillId="14" fontId="48" numFmtId="0" xfId="0" applyAlignment="1" applyBorder="1" applyFont="1">
      <alignment horizontal="center" shrinkToFit="0" vertical="bottom" wrapText="1"/>
    </xf>
    <xf borderId="30" fillId="5" fontId="48" numFmtId="0" xfId="0" applyAlignment="1" applyBorder="1" applyFont="1">
      <alignment horizontal="center" shrinkToFit="0" vertical="bottom" wrapText="1"/>
    </xf>
    <xf borderId="197" fillId="14" fontId="48" numFmtId="0" xfId="0" applyAlignment="1" applyBorder="1" applyFont="1">
      <alignment horizontal="center" shrinkToFit="0" vertical="bottom" wrapText="1"/>
    </xf>
    <xf borderId="3" fillId="4" fontId="171" numFmtId="4" xfId="0" applyAlignment="1" applyBorder="1" applyFont="1" applyNumberFormat="1">
      <alignment horizontal="center" readingOrder="0" vertical="bottom"/>
    </xf>
    <xf borderId="3" fillId="4" fontId="149" numFmtId="0" xfId="0" applyAlignment="1" applyBorder="1" applyFont="1">
      <alignment horizontal="center" readingOrder="0" vertical="center"/>
    </xf>
    <xf borderId="3" fillId="4" fontId="149"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1" numFmtId="4" xfId="0" applyAlignment="1" applyBorder="1" applyFont="1" applyNumberFormat="1">
      <alignment horizontal="center" readingOrder="0" vertical="bottom"/>
    </xf>
    <xf borderId="3" fillId="5" fontId="149" numFmtId="3" xfId="0" applyAlignment="1" applyBorder="1" applyFont="1" applyNumberFormat="1">
      <alignment horizontal="center" vertical="center"/>
    </xf>
    <xf borderId="3" fillId="5" fontId="149"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1" numFmtId="4" xfId="0" applyAlignment="1" applyBorder="1" applyFont="1" applyNumberFormat="1">
      <alignment horizontal="center" vertical="bottom"/>
    </xf>
    <xf borderId="3" fillId="14" fontId="171"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69" numFmtId="0" xfId="0" applyAlignment="1" applyBorder="1" applyFont="1">
      <alignment horizontal="center" readingOrder="0" vertical="bottom"/>
    </xf>
    <xf borderId="72" fillId="0" fontId="169" numFmtId="0" xfId="0" applyAlignment="1" applyBorder="1" applyFont="1">
      <alignment horizontal="center" readingOrder="0" vertical="bottom"/>
    </xf>
    <xf borderId="193" fillId="0" fontId="56" numFmtId="0" xfId="0" applyAlignment="1" applyBorder="1" applyFont="1">
      <alignment horizontal="center" readingOrder="0"/>
    </xf>
    <xf borderId="194" fillId="0" fontId="56" numFmtId="0" xfId="0" applyAlignment="1" applyBorder="1" applyFont="1">
      <alignment horizontal="center" readingOrder="0"/>
    </xf>
    <xf borderId="72" fillId="0" fontId="56" numFmtId="0" xfId="0" applyAlignment="1" applyBorder="1" applyFont="1">
      <alignment horizontal="center" readingOrder="0"/>
    </xf>
    <xf borderId="5" fillId="4" fontId="171" numFmtId="4" xfId="0" applyAlignment="1" applyBorder="1" applyFont="1" applyNumberFormat="1">
      <alignment horizontal="center" vertical="bottom"/>
    </xf>
    <xf borderId="5" fillId="14" fontId="171"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69" numFmtId="0" xfId="0" applyAlignment="1" applyBorder="1" applyFont="1">
      <alignment horizontal="center" vertical="bottom"/>
    </xf>
    <xf borderId="202" fillId="4" fontId="169" numFmtId="49" xfId="0" applyAlignment="1" applyBorder="1" applyFont="1" applyNumberFormat="1">
      <alignment horizontal="center" vertical="bottom"/>
    </xf>
    <xf borderId="202" fillId="4" fontId="169" numFmtId="10" xfId="0" applyAlignment="1" applyBorder="1" applyFont="1" applyNumberFormat="1">
      <alignment horizontal="center" vertical="bottom"/>
    </xf>
    <xf borderId="202" fillId="4" fontId="172" numFmtId="10" xfId="0" applyAlignment="1" applyBorder="1" applyFont="1" applyNumberFormat="1">
      <alignment horizontal="center" vertical="bottom"/>
    </xf>
    <xf borderId="202" fillId="0" fontId="169" numFmtId="0" xfId="0" applyAlignment="1" applyBorder="1" applyFont="1">
      <alignment horizontal="center" vertical="bottom"/>
    </xf>
    <xf borderId="202" fillId="5" fontId="169" numFmtId="49" xfId="0" applyAlignment="1" applyBorder="1" applyFont="1" applyNumberFormat="1">
      <alignment horizontal="center" vertical="bottom"/>
    </xf>
    <xf borderId="202" fillId="5" fontId="169" numFmtId="10" xfId="0" applyAlignment="1" applyBorder="1" applyFont="1" applyNumberFormat="1">
      <alignment horizontal="center" vertical="bottom"/>
    </xf>
    <xf borderId="203" fillId="0" fontId="172"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3" numFmtId="0" xfId="0" applyAlignment="1" applyBorder="1" applyFont="1">
      <alignment horizontal="center" readingOrder="0"/>
    </xf>
    <xf borderId="207" fillId="0" fontId="173" numFmtId="0" xfId="0" applyAlignment="1" applyBorder="1" applyFont="1">
      <alignment horizontal="center"/>
    </xf>
    <xf borderId="208" fillId="0" fontId="173"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4" numFmtId="0" xfId="0" applyAlignment="1" applyBorder="1" applyFont="1">
      <alignment horizontal="center" vertical="bottom"/>
    </xf>
    <xf borderId="204" fillId="0" fontId="175" numFmtId="0" xfId="0" applyAlignment="1" applyBorder="1" applyFont="1">
      <alignment horizontal="center" vertical="bottom"/>
    </xf>
    <xf borderId="0" fillId="0" fontId="4" numFmtId="0" xfId="0" applyAlignment="1" applyFont="1">
      <alignment horizontal="center" vertical="bottom"/>
    </xf>
    <xf borderId="205" fillId="0" fontId="3" numFmtId="0" xfId="0" applyBorder="1" applyFont="1"/>
    <xf borderId="193" fillId="0" fontId="172"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2" numFmtId="0" xfId="0" applyAlignment="1" applyBorder="1" applyFont="1">
      <alignment horizontal="center" vertical="bottom"/>
    </xf>
    <xf borderId="213" fillId="0" fontId="172" numFmtId="0" xfId="0" applyAlignment="1" applyBorder="1" applyFont="1">
      <alignment horizontal="center" vertical="bottom"/>
    </xf>
    <xf borderId="177" fillId="0" fontId="172" numFmtId="0" xfId="0" applyAlignment="1" applyBorder="1" applyFont="1">
      <alignment horizontal="center" vertical="bottom"/>
    </xf>
    <xf borderId="213" fillId="0" fontId="172" numFmtId="0" xfId="0" applyAlignment="1" applyBorder="1" applyFont="1">
      <alignment horizontal="center" vertical="bottom"/>
    </xf>
    <xf borderId="214" fillId="0" fontId="172" numFmtId="0" xfId="0" applyAlignment="1" applyBorder="1" applyFont="1">
      <alignment horizontal="center" vertical="bottom"/>
    </xf>
    <xf borderId="215" fillId="0" fontId="4" numFmtId="0" xfId="0" applyAlignment="1" applyBorder="1" applyFont="1">
      <alignment horizontal="center" vertical="bottom"/>
    </xf>
    <xf borderId="71" fillId="0" fontId="172" numFmtId="0" xfId="0" applyAlignment="1" applyBorder="1" applyFont="1">
      <alignment horizontal="center" vertical="bottom"/>
    </xf>
    <xf borderId="216" fillId="0" fontId="172"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2"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4" numFmtId="0" xfId="0" applyAlignment="1" applyBorder="1" applyFont="1">
      <alignment horizontal="center" vertical="bottom"/>
    </xf>
    <xf borderId="224" fillId="0" fontId="175" numFmtId="0" xfId="0" applyAlignment="1" applyBorder="1" applyFont="1">
      <alignment horizontal="center" shrinkToFit="0" vertical="bottom" wrapText="1"/>
    </xf>
    <xf borderId="0" fillId="0" fontId="175" numFmtId="0" xfId="0" applyAlignment="1" applyFont="1">
      <alignment horizontal="center" vertical="bottom"/>
    </xf>
    <xf borderId="225" fillId="0" fontId="171" numFmtId="0" xfId="0" applyAlignment="1" applyBorder="1" applyFont="1">
      <alignment horizontal="center" vertical="bottom"/>
    </xf>
    <xf borderId="83" fillId="0" fontId="171" numFmtId="0" xfId="0" applyAlignment="1" applyBorder="1" applyFont="1">
      <alignment horizontal="center" vertical="bottom"/>
    </xf>
    <xf borderId="226" fillId="0" fontId="171" numFmtId="0" xfId="0" applyAlignment="1" applyBorder="1" applyFont="1">
      <alignment horizontal="center" vertical="bottom"/>
    </xf>
    <xf borderId="121" fillId="0" fontId="171"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37143296"/>
        <c:axId val="1272126600"/>
      </c:lineChart>
      <c:catAx>
        <c:axId val="12371432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72126600"/>
      </c:catAx>
      <c:valAx>
        <c:axId val="12721266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714329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85448724"/>
        <c:axId val="2112571062"/>
      </c:lineChart>
      <c:catAx>
        <c:axId val="10854487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2571062"/>
      </c:catAx>
      <c:valAx>
        <c:axId val="21125710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544872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87600961"/>
        <c:axId val="838993744"/>
      </c:lineChart>
      <c:catAx>
        <c:axId val="11876009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8993744"/>
      </c:catAx>
      <c:valAx>
        <c:axId val="8389937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76009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00171516"/>
        <c:axId val="2123366536"/>
      </c:barChart>
      <c:catAx>
        <c:axId val="14001715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23366536"/>
      </c:catAx>
      <c:valAx>
        <c:axId val="21233665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017151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80452783"/>
        <c:axId val="1804460185"/>
      </c:lineChart>
      <c:catAx>
        <c:axId val="1280452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4460185"/>
      </c:catAx>
      <c:valAx>
        <c:axId val="180446018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04527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44347168"/>
        <c:axId val="1075869421"/>
      </c:barChart>
      <c:catAx>
        <c:axId val="10443471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75869421"/>
      </c:catAx>
      <c:valAx>
        <c:axId val="10758694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434716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trip.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trip.com" TargetMode="External"/><Relationship Id="rId21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248" Type="http://schemas.openxmlformats.org/officeDocument/2006/relationships/drawing" Target="../drawings/drawing1.xml"/><Relationship Id="rId126" Type="http://schemas.openxmlformats.org/officeDocument/2006/relationships/hyperlink" Target="http://trip.com" TargetMode="External"/><Relationship Id="rId247"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booking.com" TargetMode="Externa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trip.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trip.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trip.com" TargetMode="External"/><Relationship Id="rId114" Type="http://schemas.openxmlformats.org/officeDocument/2006/relationships/hyperlink" Target="http://trip.com" TargetMode="External"/><Relationship Id="rId235" Type="http://schemas.openxmlformats.org/officeDocument/2006/relationships/hyperlink" Target="http://trip.com" TargetMode="External"/><Relationship Id="rId113" Type="http://schemas.openxmlformats.org/officeDocument/2006/relationships/hyperlink" Target="http://trip.com" TargetMode="External"/><Relationship Id="rId234" Type="http://schemas.openxmlformats.org/officeDocument/2006/relationships/hyperlink" Target="http://booking.com" TargetMode="External"/><Relationship Id="rId112" Type="http://schemas.openxmlformats.org/officeDocument/2006/relationships/hyperlink" Target="http://trip.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tg8t2GAXjsYk6rOxgDWrwwQMZFTcyfYYAKbUsQFlWkM/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W7kcW22zzcj8j9z88tFn5F4XyKwjCEnewA7tTyqsH_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oCuZCyPgFxCeujpk_UTci9uF9bUXgDFx8LeYBNAdHI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g8t2GAXjsYk6rOxgDWrwwQMZFTcyfYYAKbUsQFlWk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02月</v>
      </c>
      <c r="S2" s="6"/>
      <c r="T2" s="6"/>
    </row>
    <row r="3">
      <c r="B3" s="9" t="s">
        <v>2</v>
      </c>
      <c r="C3" s="10" t="s">
        <v>3</v>
      </c>
      <c r="D3" s="9" t="s">
        <v>4</v>
      </c>
      <c r="E3" s="11" t="s">
        <v>5</v>
      </c>
      <c r="F3" s="12" t="s">
        <v>6</v>
      </c>
      <c r="G3" s="13" t="s">
        <v>7</v>
      </c>
      <c r="H3" s="12" t="s">
        <v>8</v>
      </c>
      <c r="J3" s="5"/>
      <c r="Q3" s="7" t="str">
        <f t="shared" ref="Q3:R3" si="1">E3</f>
        <v>2026年</v>
      </c>
      <c r="R3" s="8" t="str">
        <f t="shared" si="1"/>
        <v>03月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IFERROR(__xludf.DUMMYFUNCTION("""COMPUTED_VALUE"""),10.0)</f>
        <v>10</v>
      </c>
      <c r="E6" s="19">
        <f>IFERROR(__xludf.DUMMYFUNCTION("""COMPUTED_VALUE"""),46112.0)</f>
        <v>46112</v>
      </c>
      <c r="F6" s="5"/>
      <c r="G6" s="20" t="str">
        <f>IFERROR(__xludf.DUMMYFUNCTION("""COMPUTED_VALUE"""),"地點方便，房間整潔，出水很大洗澡很舒適")</f>
        <v>地點方便，房間整潔，出水很大洗澡很舒適</v>
      </c>
      <c r="H6" s="21" t="str">
        <f>IFERROR(__xludf.DUMMYFUNCTION("""COMPUTED_VALUE"""),"沒有不滿意的地方")</f>
        <v>沒有不滿意的地方</v>
      </c>
      <c r="I6" s="20" t="str">
        <f>IFERROR(__xludf.DUMMYFUNCTION("""COMPUTED_VALUE"""),"")</f>
        <v/>
      </c>
      <c r="J6" s="22" t="str">
        <f>IFERROR(__xludf.DUMMYFUNCTION("""COMPUTED_VALUE"""),"立地が便利で、部屋は清潔で、水圧も強いので、シャワーがとても快適です。")</f>
        <v>立地が便利で、部屋は清潔で、水圧も強いので、シャワーがとても快適です。</v>
      </c>
      <c r="K6" s="23" t="str">
        <f>IFERROR(__xludf.DUMMYFUNCTION("""COMPUTED_VALUE"""),"不満な点は何もありません。")</f>
        <v>不満な点は何もありません。</v>
      </c>
      <c r="L6" s="24" t="str">
        <f>IFERROR(__xludf.DUMMYFUNCTION("""COMPUTED_VALUE"""),"Chia")</f>
        <v>Chia</v>
      </c>
      <c r="N6" s="24" t="b">
        <f>IFERROR(__xludf.DUMMYFUNCTION("IMPORTRANGE(C3,Q3&amp;R3&amp;T3)"),FALSE)</f>
        <v>0</v>
      </c>
      <c r="O6" s="18" t="str">
        <f>IFERROR(__xludf.DUMMYFUNCTION("""COMPUTED_VALUE"""),"Booking.com")</f>
        <v>Booking.com</v>
      </c>
      <c r="P6" s="24">
        <f>IFERROR(__xludf.DUMMYFUNCTION("""COMPUTED_VALUE"""),10.0)</f>
        <v>10</v>
      </c>
      <c r="Q6" s="25">
        <f>IFERROR(__xludf.DUMMYFUNCTION("""COMPUTED_VALUE"""),46112.0)</f>
        <v>46112</v>
      </c>
      <c r="R6" s="24"/>
      <c r="S6" s="24" t="str">
        <f>IFERROR(__xludf.DUMMYFUNCTION("""COMPUTED_VALUE"""),"地點方便，房間整潔，出水很大洗澡很舒適")</f>
        <v>地點方便，房間整潔，出水很大洗澡很舒適</v>
      </c>
      <c r="T6" s="24" t="str">
        <f>IFERROR(__xludf.DUMMYFUNCTION("""COMPUTED_VALUE"""),"沒有不滿意的地方")</f>
        <v>沒有不滿意的地方</v>
      </c>
      <c r="U6" s="24" t="str">
        <f>IFERROR(__xludf.DUMMYFUNCTION("""COMPUTED_VALUE"""),"")</f>
        <v/>
      </c>
      <c r="V6" s="24" t="str">
        <f>IFERROR(__xludf.DUMMYFUNCTION("""COMPUTED_VALUE"""),"立地が便利で、部屋は清潔で、水圧も強いので、シャワーがとても快適です。")</f>
        <v>立地が便利で、部屋は清潔で、水圧も強いので、シャワーがとても快適です。</v>
      </c>
      <c r="W6" s="24" t="str">
        <f>IFERROR(__xludf.DUMMYFUNCTION("""COMPUTED_VALUE"""),"不満な点は何もありません。")</f>
        <v>不満な点は何もありません。</v>
      </c>
      <c r="X6" s="24" t="str">
        <f>IFERROR(__xludf.DUMMYFUNCTION("""COMPUTED_VALUE"""),"Chia")</f>
        <v>Chia</v>
      </c>
    </row>
    <row r="7">
      <c r="B7" s="17" t="b">
        <f>IFERROR(__xludf.DUMMYFUNCTION("""COMPUTED_VALUE"""),FALSE)</f>
        <v>0</v>
      </c>
      <c r="C7" s="18" t="str">
        <f>IFERROR(__xludf.DUMMYFUNCTION("""COMPUTED_VALUE"""),"Booking.com")</f>
        <v>Booking.com</v>
      </c>
      <c r="D7" s="5">
        <f>IFERROR(__xludf.DUMMYFUNCTION("""COMPUTED_VALUE"""),7.0)</f>
        <v>7</v>
      </c>
      <c r="E7" s="19">
        <f>IFERROR(__xludf.DUMMYFUNCTION("""COMPUTED_VALUE"""),46112.0)</f>
        <v>46112</v>
      </c>
      <c r="F7" s="5"/>
      <c r="G7" s="26" t="str">
        <f>IFERROR(__xludf.DUMMYFUNCTION("""COMPUTED_VALUE"""),"一樓大廳提供泡澡球、面膜，跟其他常見的備品，但沒有浴帽跟牙刷。")</f>
        <v>一樓大廳提供泡澡球、面膜，跟其他常見的備品，但沒有浴帽跟牙刷。</v>
      </c>
      <c r="H7" s="21" t="str">
        <f>IFERROR(__xludf.DUMMYFUNCTION("""COMPUTED_VALUE"""),"早餐還不錯吃，但品項不多而且每天一樣，連住很多天會吃到膩，自動鬆餅機很有趣")</f>
        <v>早餐還不錯吃，但品項不多而且每天一樣，連住很多天會吃到膩，自動鬆餅機很有趣</v>
      </c>
      <c r="I7" s="5" t="str">
        <f>IFERROR(__xludf.DUMMYFUNCTION("""COMPUTED_VALUE"""),"")</f>
        <v/>
      </c>
      <c r="J7"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7" s="24"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L7" s="24" t="str">
        <f>IFERROR(__xludf.DUMMYFUNCTION("""COMPUTED_VALUE"""),"Chen")</f>
        <v>Chen</v>
      </c>
      <c r="N7" s="24" t="b">
        <f>IFERROR(__xludf.DUMMYFUNCTION("""COMPUTED_VALUE"""),FALSE)</f>
        <v>0</v>
      </c>
      <c r="O7" s="18" t="str">
        <f>IFERROR(__xludf.DUMMYFUNCTION("""COMPUTED_VALUE"""),"Booking.com")</f>
        <v>Booking.com</v>
      </c>
      <c r="P7" s="24">
        <f>IFERROR(__xludf.DUMMYFUNCTION("""COMPUTED_VALUE"""),7.0)</f>
        <v>7</v>
      </c>
      <c r="Q7" s="25">
        <f>IFERROR(__xludf.DUMMYFUNCTION("""COMPUTED_VALUE"""),46112.0)</f>
        <v>46112</v>
      </c>
      <c r="R7" s="24"/>
      <c r="S7" s="24" t="str">
        <f>IFERROR(__xludf.DUMMYFUNCTION("""COMPUTED_VALUE"""),"一樓大廳提供泡澡球、面膜，跟其他常見的備品，但沒有浴帽跟牙刷。")</f>
        <v>一樓大廳提供泡澡球、面膜，跟其他常見的備品，但沒有浴帽跟牙刷。</v>
      </c>
      <c r="T7" s="24" t="str">
        <f>IFERROR(__xludf.DUMMYFUNCTION("""COMPUTED_VALUE"""),"早餐還不錯吃，但品項不多而且每天一樣，連住很多天會吃到膩，自動鬆餅機很有趣")</f>
        <v>早餐還不錯吃，但品項不多而且每天一樣，連住很多天會吃到膩，自動鬆餅機很有趣</v>
      </c>
      <c r="U7" s="24" t="str">
        <f>IFERROR(__xludf.DUMMYFUNCTION("""COMPUTED_VALUE"""),"")</f>
        <v/>
      </c>
      <c r="V7"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7" s="24" t="str">
        <f>IFERROR(__xludf.DUMMYFUNCTION("""COMPUTED_VALUE"""),"朝食はまあまあだったが、種類が少なく、毎日同じものだったので、数日滞在すると飽きてしまうだろう。自動ワッフルメーカーはなかなか面白かった。")</f>
        <v>朝食はまあまあだったが、種類が少なく、毎日同じものだったので、数日滞在すると飽きてしまうだろう。自動ワッフルメーカーはなかなか面白かった。</v>
      </c>
      <c r="X7" s="24" t="str">
        <f>IFERROR(__xludf.DUMMYFUNCTION("""COMPUTED_VALUE"""),"Chen")</f>
        <v>Chen</v>
      </c>
    </row>
    <row r="8">
      <c r="B8" s="17" t="b">
        <f>IFERROR(__xludf.DUMMYFUNCTION("""COMPUTED_VALUE"""),FALSE)</f>
        <v>0</v>
      </c>
      <c r="C8" s="18" t="str">
        <f>IFERROR(__xludf.DUMMYFUNCTION("""COMPUTED_VALUE"""),"Booking.com")</f>
        <v>Booking.com</v>
      </c>
      <c r="D8" s="5">
        <f>IFERROR(__xludf.DUMMYFUNCTION("""COMPUTED_VALUE"""),10.0)</f>
        <v>10</v>
      </c>
      <c r="E8" s="19">
        <f>IFERROR(__xludf.DUMMYFUNCTION("""COMPUTED_VALUE"""),46112.0)</f>
        <v>46112</v>
      </c>
      <c r="F8" s="5"/>
      <c r="G8" s="5"/>
      <c r="H8" s="5"/>
      <c r="I8" s="5" t="str">
        <f>IFERROR(__xludf.DUMMYFUNCTION("""COMPUTED_VALUE"""),"")</f>
        <v/>
      </c>
      <c r="J8" s="5" t="str">
        <f>IFERROR(__xludf.DUMMYFUNCTION("""COMPUTED_VALUE"""),"")</f>
        <v/>
      </c>
      <c r="K8" s="24" t="str">
        <f>IFERROR(__xludf.DUMMYFUNCTION("""COMPUTED_VALUE"""),"")</f>
        <v/>
      </c>
      <c r="L8" s="24" t="str">
        <f>IFERROR(__xludf.DUMMYFUNCTION("""COMPUTED_VALUE"""),"Juan")</f>
        <v>Juan</v>
      </c>
      <c r="N8" s="24" t="b">
        <f>IFERROR(__xludf.DUMMYFUNCTION("""COMPUTED_VALUE"""),FALSE)</f>
        <v>0</v>
      </c>
      <c r="O8" s="18" t="str">
        <f>IFERROR(__xludf.DUMMYFUNCTION("""COMPUTED_VALUE"""),"Booking.com")</f>
        <v>Booking.com</v>
      </c>
      <c r="P8" s="24">
        <f>IFERROR(__xludf.DUMMYFUNCTION("""COMPUTED_VALUE"""),10.0)</f>
        <v>10</v>
      </c>
      <c r="Q8" s="25">
        <f>IFERROR(__xludf.DUMMYFUNCTION("""COMPUTED_VALUE"""),46112.0)</f>
        <v>46112</v>
      </c>
      <c r="R8" s="24"/>
      <c r="S8" s="24"/>
      <c r="T8" s="24"/>
      <c r="U8" s="24" t="str">
        <f>IFERROR(__xludf.DUMMYFUNCTION("""COMPUTED_VALUE"""),"")</f>
        <v/>
      </c>
      <c r="V8" s="24" t="str">
        <f>IFERROR(__xludf.DUMMYFUNCTION("""COMPUTED_VALUE"""),"")</f>
        <v/>
      </c>
      <c r="W8" s="24" t="str">
        <f>IFERROR(__xludf.DUMMYFUNCTION("""COMPUTED_VALUE"""),"")</f>
        <v/>
      </c>
      <c r="X8" s="24" t="str">
        <f>IFERROR(__xludf.DUMMYFUNCTION("""COMPUTED_VALUE"""),"Juan")</f>
        <v>Juan</v>
      </c>
    </row>
    <row r="9">
      <c r="B9" s="17" t="b">
        <f>IFERROR(__xludf.DUMMYFUNCTION("""COMPUTED_VALUE"""),FALSE)</f>
        <v>0</v>
      </c>
      <c r="C9" s="18" t="str">
        <f>IFERROR(__xludf.DUMMYFUNCTION("""COMPUTED_VALUE"""),"Booking.com")</f>
        <v>Booking.com</v>
      </c>
      <c r="D9" s="5">
        <f>IFERROR(__xludf.DUMMYFUNCTION("""COMPUTED_VALUE"""),9.0)</f>
        <v>9</v>
      </c>
      <c r="E9" s="19">
        <f>IFERROR(__xludf.DUMMYFUNCTION("""COMPUTED_VALUE"""),46112.0)</f>
        <v>46112</v>
      </c>
      <c r="F9" s="5"/>
      <c r="G9" s="5"/>
      <c r="H9" s="5"/>
      <c r="I9" s="5" t="str">
        <f>IFERROR(__xludf.DUMMYFUNCTION("""COMPUTED_VALUE"""),"")</f>
        <v/>
      </c>
      <c r="J9" s="5" t="str">
        <f>IFERROR(__xludf.DUMMYFUNCTION("""COMPUTED_VALUE"""),"")</f>
        <v/>
      </c>
      <c r="K9" s="24" t="str">
        <f>IFERROR(__xludf.DUMMYFUNCTION("""COMPUTED_VALUE"""),"")</f>
        <v/>
      </c>
      <c r="L9" s="24" t="str">
        <f>IFERROR(__xludf.DUMMYFUNCTION("""COMPUTED_VALUE"""),"Andrew")</f>
        <v>Andrew</v>
      </c>
      <c r="N9" s="24" t="b">
        <f>IFERROR(__xludf.DUMMYFUNCTION("""COMPUTED_VALUE"""),FALSE)</f>
        <v>0</v>
      </c>
      <c r="O9" s="18" t="str">
        <f>IFERROR(__xludf.DUMMYFUNCTION("""COMPUTED_VALUE"""),"Booking.com")</f>
        <v>Booking.com</v>
      </c>
      <c r="P9" s="24">
        <f>IFERROR(__xludf.DUMMYFUNCTION("""COMPUTED_VALUE"""),9.0)</f>
        <v>9</v>
      </c>
      <c r="Q9" s="25">
        <f>IFERROR(__xludf.DUMMYFUNCTION("""COMPUTED_VALUE"""),46112.0)</f>
        <v>46112</v>
      </c>
      <c r="R9" s="24"/>
      <c r="S9" s="24"/>
      <c r="T9" s="24"/>
      <c r="U9" s="24" t="str">
        <f>IFERROR(__xludf.DUMMYFUNCTION("""COMPUTED_VALUE"""),"")</f>
        <v/>
      </c>
      <c r="V9" s="24" t="str">
        <f>IFERROR(__xludf.DUMMYFUNCTION("""COMPUTED_VALUE"""),"")</f>
        <v/>
      </c>
      <c r="W9" s="24" t="str">
        <f>IFERROR(__xludf.DUMMYFUNCTION("""COMPUTED_VALUE"""),"")</f>
        <v/>
      </c>
      <c r="X9" s="24" t="str">
        <f>IFERROR(__xludf.DUMMYFUNCTION("""COMPUTED_VALUE"""),"Andrew")</f>
        <v>Andrew</v>
      </c>
    </row>
    <row r="10">
      <c r="B10" s="17" t="b">
        <f>IFERROR(__xludf.DUMMYFUNCTION("""COMPUTED_VALUE"""),FALSE)</f>
        <v>0</v>
      </c>
      <c r="C10" s="27" t="str">
        <f>IFERROR(__xludf.DUMMYFUNCTION("""COMPUTED_VALUE"""),"楽天トラベル")</f>
        <v>楽天トラベル</v>
      </c>
      <c r="D10" s="5">
        <f>IFERROR(__xludf.DUMMYFUNCTION("""COMPUTED_VALUE"""),4.0)</f>
        <v>4</v>
      </c>
      <c r="E10" s="19">
        <f>IFERROR(__xludf.DUMMYFUNCTION("""COMPUTED_VALUE"""),46112.0)</f>
        <v>46112</v>
      </c>
      <c r="F10"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10" s="5"/>
      <c r="H10" s="21"/>
      <c r="I10" s="28"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10" s="5" t="str">
        <f>IFERROR(__xludf.DUMMYFUNCTION("""COMPUTED_VALUE"""),"")</f>
        <v/>
      </c>
      <c r="K10" s="24" t="str">
        <f>IFERROR(__xludf.DUMMYFUNCTION("""COMPUTED_VALUE"""),"")</f>
        <v/>
      </c>
      <c r="L10" s="24" t="str">
        <f>IFERROR(__xludf.DUMMYFUNCTION("""COMPUTED_VALUE"""),"W220S55LKUNI")</f>
        <v>W220S55LKUNI</v>
      </c>
      <c r="N10" s="24" t="b">
        <f>IFERROR(__xludf.DUMMYFUNCTION("""COMPUTED_VALUE"""),FALSE)</f>
        <v>0</v>
      </c>
      <c r="O10" s="24" t="str">
        <f>IFERROR(__xludf.DUMMYFUNCTION("""COMPUTED_VALUE"""),"楽天トラベル")</f>
        <v>楽天トラベル</v>
      </c>
      <c r="P10" s="24">
        <f>IFERROR(__xludf.DUMMYFUNCTION("""COMPUTED_VALUE"""),4.0)</f>
        <v>4</v>
      </c>
      <c r="Q10" s="25">
        <f>IFERROR(__xludf.DUMMYFUNCTION("""COMPUTED_VALUE"""),46112.0)</f>
        <v>46112</v>
      </c>
      <c r="R10"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 s="24"/>
      <c r="T10" s="24"/>
      <c r="U10"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 s="24" t="str">
        <f>IFERROR(__xludf.DUMMYFUNCTION("""COMPUTED_VALUE"""),"")</f>
        <v/>
      </c>
      <c r="W10" s="24" t="str">
        <f>IFERROR(__xludf.DUMMYFUNCTION("""COMPUTED_VALUE"""),"")</f>
        <v/>
      </c>
      <c r="X10" s="24" t="str">
        <f>IFERROR(__xludf.DUMMYFUNCTION("""COMPUTED_VALUE"""),"W220S55LKUNI")</f>
        <v>W220S55LKUNI</v>
      </c>
    </row>
    <row r="11">
      <c r="B11" s="17" t="b">
        <f>IFERROR(__xludf.DUMMYFUNCTION("""COMPUTED_VALUE"""),FALSE)</f>
        <v>0</v>
      </c>
      <c r="C11" s="18" t="str">
        <f>IFERROR(__xludf.DUMMYFUNCTION("""COMPUTED_VALUE"""),"Booking.com")</f>
        <v>Booking.com</v>
      </c>
      <c r="D11" s="5">
        <f>IFERROR(__xludf.DUMMYFUNCTION("""COMPUTED_VALUE"""),8.0)</f>
        <v>8</v>
      </c>
      <c r="E11" s="19">
        <f>IFERROR(__xludf.DUMMYFUNCTION("""COMPUTED_VALUE"""),46111.0)</f>
        <v>46111</v>
      </c>
      <c r="F11" s="5"/>
      <c r="G11" s="5" t="str">
        <f>IFERROR(__xludf.DUMMYFUNCTION("""COMPUTED_VALUE"""),"交通方便，附近也有很多超商及24小時的樂天超市")</f>
        <v>交通方便，附近也有很多超商及24小時的樂天超市</v>
      </c>
      <c r="H11" s="5"/>
      <c r="I11" s="5" t="str">
        <f>IFERROR(__xludf.DUMMYFUNCTION("""COMPUTED_VALUE"""),"")</f>
        <v/>
      </c>
      <c r="J11"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11" s="24" t="str">
        <f>IFERROR(__xludf.DUMMYFUNCTION("""COMPUTED_VALUE"""),"")</f>
        <v/>
      </c>
      <c r="L11" s="24" t="str">
        <f>IFERROR(__xludf.DUMMYFUNCTION("""COMPUTED_VALUE"""),"家儀")</f>
        <v>家儀</v>
      </c>
      <c r="N11" s="24" t="b">
        <f>IFERROR(__xludf.DUMMYFUNCTION("""COMPUTED_VALUE"""),FALSE)</f>
        <v>0</v>
      </c>
      <c r="O11" s="18" t="str">
        <f>IFERROR(__xludf.DUMMYFUNCTION("""COMPUTED_VALUE"""),"Booking.com")</f>
        <v>Booking.com</v>
      </c>
      <c r="P11" s="24">
        <f>IFERROR(__xludf.DUMMYFUNCTION("""COMPUTED_VALUE"""),8.0)</f>
        <v>8</v>
      </c>
      <c r="Q11" s="25">
        <f>IFERROR(__xludf.DUMMYFUNCTION("""COMPUTED_VALUE"""),46111.0)</f>
        <v>46111</v>
      </c>
      <c r="R11" s="24"/>
      <c r="S11" s="24" t="str">
        <f>IFERROR(__xludf.DUMMYFUNCTION("""COMPUTED_VALUE"""),"交通方便，附近也有很多超商及24小時的樂天超市")</f>
        <v>交通方便，附近也有很多超商及24小時的樂天超市</v>
      </c>
      <c r="T11" s="24"/>
      <c r="U11" s="24" t="str">
        <f>IFERROR(__xludf.DUMMYFUNCTION("""COMPUTED_VALUE"""),"")</f>
        <v/>
      </c>
      <c r="V11"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1" s="24" t="str">
        <f>IFERROR(__xludf.DUMMYFUNCTION("""COMPUTED_VALUE"""),"")</f>
        <v/>
      </c>
      <c r="X11" s="24" t="str">
        <f>IFERROR(__xludf.DUMMYFUNCTION("""COMPUTED_VALUE"""),"家儀")</f>
        <v>家儀</v>
      </c>
    </row>
    <row r="12">
      <c r="B12" s="17" t="b">
        <f>IFERROR(__xludf.DUMMYFUNCTION("""COMPUTED_VALUE"""),FALSE)</f>
        <v>0</v>
      </c>
      <c r="C12" s="18" t="str">
        <f>IFERROR(__xludf.DUMMYFUNCTION("""COMPUTED_VALUE"""),"Trip.com")</f>
        <v>Trip.com</v>
      </c>
      <c r="D12" s="5">
        <f>IFERROR(__xludf.DUMMYFUNCTION("""COMPUTED_VALUE"""),9.0)</f>
        <v>9</v>
      </c>
      <c r="E12" s="19">
        <f>IFERROR(__xludf.DUMMYFUNCTION("""COMPUTED_VALUE"""),46111.0)</f>
        <v>46111</v>
      </c>
      <c r="F12" s="5" t="str">
        <f>IFERROR(__xludf.DUMMYFUNCTION("""COMPUTED_VALUE"""),"整體感覺相當滿意，離車站近，步行5分鐘左右就到！")</f>
        <v>整體感覺相當滿意，離車站近，步行5分鐘左右就到！</v>
      </c>
      <c r="G12" s="5"/>
      <c r="H12" s="5"/>
      <c r="I12" s="5" t="str">
        <f>IFERROR(__xludf.DUMMYFUNCTION("""COMPUTED_VALUE"""),"全体的にとても満足しています。駅からも近く、徒歩わずか5分ほどです！")</f>
        <v>全体的にとても満足しています。駅からも近く、徒歩わずか5分ほどです！</v>
      </c>
      <c r="J12" s="5" t="str">
        <f>IFERROR(__xludf.DUMMYFUNCTION("""COMPUTED_VALUE"""),"")</f>
        <v/>
      </c>
      <c r="K12" s="24" t="str">
        <f>IFERROR(__xludf.DUMMYFUNCTION("""COMPUTED_VALUE"""),"")</f>
        <v/>
      </c>
      <c r="L12" s="24" t="str">
        <f>IFERROR(__xludf.DUMMYFUNCTION("""COMPUTED_VALUE"""),"ゲ‍ス‍ト")</f>
        <v>ゲ‍ス‍ト</v>
      </c>
      <c r="N12" s="24" t="b">
        <f>IFERROR(__xludf.DUMMYFUNCTION("""COMPUTED_VALUE"""),FALSE)</f>
        <v>0</v>
      </c>
      <c r="O12" s="18" t="str">
        <f>IFERROR(__xludf.DUMMYFUNCTION("""COMPUTED_VALUE"""),"Trip.com")</f>
        <v>Trip.com</v>
      </c>
      <c r="P12" s="24">
        <f>IFERROR(__xludf.DUMMYFUNCTION("""COMPUTED_VALUE"""),9.0)</f>
        <v>9</v>
      </c>
      <c r="Q12" s="25">
        <f>IFERROR(__xludf.DUMMYFUNCTION("""COMPUTED_VALUE"""),46111.0)</f>
        <v>46111</v>
      </c>
      <c r="R12" s="24" t="str">
        <f>IFERROR(__xludf.DUMMYFUNCTION("""COMPUTED_VALUE"""),"整體感覺相當滿意，離車站近，步行5分鐘左右就到！")</f>
        <v>整體感覺相當滿意，離車站近，步行5分鐘左右就到！</v>
      </c>
      <c r="S12" s="24"/>
      <c r="T12" s="24"/>
      <c r="U12" s="24" t="str">
        <f>IFERROR(__xludf.DUMMYFUNCTION("""COMPUTED_VALUE"""),"全体的にとても満足しています。駅からも近く、徒歩わずか5分ほどです！")</f>
        <v>全体的にとても満足しています。駅からも近く、徒歩わずか5分ほどです！</v>
      </c>
      <c r="V12" s="24" t="str">
        <f>IFERROR(__xludf.DUMMYFUNCTION("""COMPUTED_VALUE"""),"")</f>
        <v/>
      </c>
      <c r="W12" s="24" t="str">
        <f>IFERROR(__xludf.DUMMYFUNCTION("""COMPUTED_VALUE"""),"")</f>
        <v/>
      </c>
      <c r="X12" s="24" t="str">
        <f>IFERROR(__xludf.DUMMYFUNCTION("""COMPUTED_VALUE"""),"ゲ‍ス‍ト")</f>
        <v>ゲ‍ス‍ト</v>
      </c>
    </row>
    <row r="13">
      <c r="B13" s="17" t="b">
        <f>IFERROR(__xludf.DUMMYFUNCTION("""COMPUTED_VALUE"""),FALSE)</f>
        <v>0</v>
      </c>
      <c r="C13" s="18" t="str">
        <f>IFERROR(__xludf.DUMMYFUNCTION("""COMPUTED_VALUE"""),"Trip.com")</f>
        <v>Trip.com</v>
      </c>
      <c r="D13" s="5">
        <f>IFERROR(__xludf.DUMMYFUNCTION("""COMPUTED_VALUE"""),10.0)</f>
        <v>10</v>
      </c>
      <c r="E13" s="19">
        <f>IFERROR(__xludf.DUMMYFUNCTION("""COMPUTED_VALUE"""),46111.0)</f>
        <v>46111</v>
      </c>
      <c r="F13"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13" s="5"/>
      <c r="H13" s="5"/>
      <c r="I13"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13" s="29" t="str">
        <f>IFERROR(__xludf.DUMMYFUNCTION("""COMPUTED_VALUE"""),"")</f>
        <v/>
      </c>
      <c r="K13" s="24" t="str">
        <f>IFERROR(__xludf.DUMMYFUNCTION("""COMPUTED_VALUE"""),"")</f>
        <v/>
      </c>
      <c r="L13" s="24" t="str">
        <f>IFERROR(__xludf.DUMMYFUNCTION("""COMPUTED_VALUE"""),"ゲ‍ス‍ト")</f>
        <v>ゲ‍ス‍ト</v>
      </c>
      <c r="N13" s="24" t="b">
        <f>IFERROR(__xludf.DUMMYFUNCTION("""COMPUTED_VALUE"""),FALSE)</f>
        <v>0</v>
      </c>
      <c r="O13" s="18" t="str">
        <f>IFERROR(__xludf.DUMMYFUNCTION("""COMPUTED_VALUE"""),"Trip.com")</f>
        <v>Trip.com</v>
      </c>
      <c r="P13" s="24">
        <f>IFERROR(__xludf.DUMMYFUNCTION("""COMPUTED_VALUE"""),10.0)</f>
        <v>10</v>
      </c>
      <c r="Q13" s="25">
        <f>IFERROR(__xludf.DUMMYFUNCTION("""COMPUTED_VALUE"""),46111.0)</f>
        <v>46111</v>
      </c>
      <c r="R13"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3" s="24"/>
      <c r="T13" s="24"/>
      <c r="U13"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3" s="24" t="str">
        <f>IFERROR(__xludf.DUMMYFUNCTION("""COMPUTED_VALUE"""),"")</f>
        <v/>
      </c>
      <c r="W13" s="24" t="str">
        <f>IFERROR(__xludf.DUMMYFUNCTION("""COMPUTED_VALUE"""),"")</f>
        <v/>
      </c>
      <c r="X13" s="24" t="str">
        <f>IFERROR(__xludf.DUMMYFUNCTION("""COMPUTED_VALUE"""),"ゲ‍ス‍ト")</f>
        <v>ゲ‍ス‍ト</v>
      </c>
    </row>
    <row r="14">
      <c r="B14" s="17" t="b">
        <f>IFERROR(__xludf.DUMMYFUNCTION("""COMPUTED_VALUE"""),FALSE)</f>
        <v>0</v>
      </c>
      <c r="C14" s="18" t="str">
        <f>IFERROR(__xludf.DUMMYFUNCTION("""COMPUTED_VALUE"""),"Trip.com")</f>
        <v>Trip.com</v>
      </c>
      <c r="D14" s="5">
        <f>IFERROR(__xludf.DUMMYFUNCTION("""COMPUTED_VALUE"""),10.0)</f>
        <v>10</v>
      </c>
      <c r="E14" s="19">
        <f>IFERROR(__xludf.DUMMYFUNCTION("""COMPUTED_VALUE"""),46111.0)</f>
        <v>46111</v>
      </c>
      <c r="F14" s="5" t="str">
        <f>IFERROR(__xludf.DUMMYFUNCTION("""COMPUTED_VALUE"""),"駅近ですが、静かで快適でした。")</f>
        <v>駅近ですが、静かで快適でした。</v>
      </c>
      <c r="G14" s="5"/>
      <c r="H14" s="5"/>
      <c r="I14" s="5" t="str">
        <f>IFERROR(__xludf.DUMMYFUNCTION("""COMPUTED_VALUE"""),"駅近ですが、静かで快適でした。")</f>
        <v>駅近ですが、静かで快適でした。</v>
      </c>
      <c r="J14" s="5" t="str">
        <f>IFERROR(__xludf.DUMMYFUNCTION("""COMPUTED_VALUE"""),"")</f>
        <v/>
      </c>
      <c r="K14" s="24" t="str">
        <f>IFERROR(__xludf.DUMMYFUNCTION("""COMPUTED_VALUE"""),"")</f>
        <v/>
      </c>
      <c r="L14" s="24" t="str">
        <f>IFERROR(__xludf.DUMMYFUNCTION("""COMPUTED_VALUE"""),"ゲ‍ス‍ト")</f>
        <v>ゲ‍ス‍ト</v>
      </c>
      <c r="N14" s="24" t="b">
        <f>IFERROR(__xludf.DUMMYFUNCTION("""COMPUTED_VALUE"""),FALSE)</f>
        <v>0</v>
      </c>
      <c r="O14" s="18" t="str">
        <f>IFERROR(__xludf.DUMMYFUNCTION("""COMPUTED_VALUE"""),"Trip.com")</f>
        <v>Trip.com</v>
      </c>
      <c r="P14" s="24">
        <f>IFERROR(__xludf.DUMMYFUNCTION("""COMPUTED_VALUE"""),10.0)</f>
        <v>10</v>
      </c>
      <c r="Q14" s="25">
        <f>IFERROR(__xludf.DUMMYFUNCTION("""COMPUTED_VALUE"""),46111.0)</f>
        <v>46111</v>
      </c>
      <c r="R14" s="24" t="str">
        <f>IFERROR(__xludf.DUMMYFUNCTION("""COMPUTED_VALUE"""),"駅近ですが、静かで快適でした。")</f>
        <v>駅近ですが、静かで快適でした。</v>
      </c>
      <c r="S14" s="24"/>
      <c r="T14" s="24"/>
      <c r="U14" s="24" t="str">
        <f>IFERROR(__xludf.DUMMYFUNCTION("""COMPUTED_VALUE"""),"駅近ですが、静かで快適でした。")</f>
        <v>駅近ですが、静かで快適でした。</v>
      </c>
      <c r="V14" s="24" t="str">
        <f>IFERROR(__xludf.DUMMYFUNCTION("""COMPUTED_VALUE"""),"")</f>
        <v/>
      </c>
      <c r="W14" s="24" t="str">
        <f>IFERROR(__xludf.DUMMYFUNCTION("""COMPUTED_VALUE"""),"")</f>
        <v/>
      </c>
      <c r="X14" s="24" t="str">
        <f>IFERROR(__xludf.DUMMYFUNCTION("""COMPUTED_VALUE"""),"ゲ‍ス‍ト")</f>
        <v>ゲ‍ス‍ト</v>
      </c>
    </row>
    <row r="15">
      <c r="B15" s="17" t="b">
        <f>IFERROR(__xludf.DUMMYFUNCTION("""COMPUTED_VALUE"""),FALSE)</f>
        <v>0</v>
      </c>
      <c r="C15" s="24" t="str">
        <f>IFERROR(__xludf.DUMMYFUNCTION("""COMPUTED_VALUE"""),"Google")</f>
        <v>Google</v>
      </c>
      <c r="D15" s="5">
        <f>IFERROR(__xludf.DUMMYFUNCTION("""COMPUTED_VALUE"""),4.0)</f>
        <v>4</v>
      </c>
      <c r="E15" s="19">
        <f>IFERROR(__xludf.DUMMYFUNCTION("""COMPUTED_VALUE"""),46111.0)</f>
        <v>46111</v>
      </c>
      <c r="F15" s="5" t="str">
        <f>IFERROR(__xludf.DUMMYFUNCTION("""COMPUTED_VALUE"""),"錦糸町駅から徒歩圏内の便利な立地にあるホテルです。")</f>
        <v>錦糸町駅から徒歩圏内の便利な立地にあるホテルです。</v>
      </c>
      <c r="G15" s="5"/>
      <c r="H15" s="5"/>
      <c r="I15" s="5" t="str">
        <f>IFERROR(__xludf.DUMMYFUNCTION("""COMPUTED_VALUE"""),"錦糸町駅から徒歩圏内の便利な立地にあるホテルです。")</f>
        <v>錦糸町駅から徒歩圏内の便利な立地にあるホテルです。</v>
      </c>
      <c r="J15" s="5" t="str">
        <f>IFERROR(__xludf.DUMMYFUNCTION("""COMPUTED_VALUE"""),"")</f>
        <v/>
      </c>
      <c r="K15" s="24" t="str">
        <f>IFERROR(__xludf.DUMMYFUNCTION("""COMPUTED_VALUE"""),"")</f>
        <v/>
      </c>
      <c r="L15" s="24" t="str">
        <f>IFERROR(__xludf.DUMMYFUNCTION("""COMPUTED_VALUE"""),"Shimla Diaries")</f>
        <v>Shimla Diaries</v>
      </c>
      <c r="N15" s="24" t="b">
        <f>IFERROR(__xludf.DUMMYFUNCTION("""COMPUTED_VALUE"""),FALSE)</f>
        <v>0</v>
      </c>
      <c r="O15" s="24" t="str">
        <f>IFERROR(__xludf.DUMMYFUNCTION("""COMPUTED_VALUE"""),"Google")</f>
        <v>Google</v>
      </c>
      <c r="P15" s="24">
        <f>IFERROR(__xludf.DUMMYFUNCTION("""COMPUTED_VALUE"""),4.0)</f>
        <v>4</v>
      </c>
      <c r="Q15" s="25">
        <f>IFERROR(__xludf.DUMMYFUNCTION("""COMPUTED_VALUE"""),46111.0)</f>
        <v>46111</v>
      </c>
      <c r="R15" s="24" t="str">
        <f>IFERROR(__xludf.DUMMYFUNCTION("""COMPUTED_VALUE"""),"錦糸町駅から徒歩圏内の便利な立地にあるホテルです。")</f>
        <v>錦糸町駅から徒歩圏内の便利な立地にあるホテルです。</v>
      </c>
      <c r="S15" s="24"/>
      <c r="T15" s="24"/>
      <c r="U15" s="24" t="str">
        <f>IFERROR(__xludf.DUMMYFUNCTION("""COMPUTED_VALUE"""),"錦糸町駅から徒歩圏内の便利な立地にあるホテルです。")</f>
        <v>錦糸町駅から徒歩圏内の便利な立地にあるホテルです。</v>
      </c>
      <c r="V15" s="24" t="str">
        <f>IFERROR(__xludf.DUMMYFUNCTION("""COMPUTED_VALUE"""),"")</f>
        <v/>
      </c>
      <c r="W15" s="24" t="str">
        <f>IFERROR(__xludf.DUMMYFUNCTION("""COMPUTED_VALUE"""),"")</f>
        <v/>
      </c>
      <c r="X15" s="24" t="str">
        <f>IFERROR(__xludf.DUMMYFUNCTION("""COMPUTED_VALUE"""),"Shimla Diaries")</f>
        <v>Shimla Diaries</v>
      </c>
    </row>
    <row r="16">
      <c r="B16" s="17" t="b">
        <f>IFERROR(__xludf.DUMMYFUNCTION("""COMPUTED_VALUE"""),FALSE)</f>
        <v>0</v>
      </c>
      <c r="C16" s="24" t="str">
        <f>IFERROR(__xludf.DUMMYFUNCTION("""COMPUTED_VALUE"""),"Google")</f>
        <v>Google</v>
      </c>
      <c r="D16" s="5">
        <f>IFERROR(__xludf.DUMMYFUNCTION("""COMPUTED_VALUE"""),4.0)</f>
        <v>4</v>
      </c>
      <c r="E16" s="19">
        <f>IFERROR(__xludf.DUMMYFUNCTION("""COMPUTED_VALUE"""),46111.0)</f>
        <v>46111</v>
      </c>
      <c r="F16" s="5" t="str">
        <f>IFERROR(__xludf.DUMMYFUNCTION("""COMPUTED_VALUE"""),"Perfectly located hotel centrally located and walking distance to Kinshichō station")</f>
        <v>Perfectly located hotel centrally located and walking distance to Kinshichō station</v>
      </c>
      <c r="G16" s="5"/>
      <c r="H16" s="5"/>
      <c r="I16" s="5" t="str">
        <f>IFERROR(__xludf.DUMMYFUNCTION("""COMPUTED_VALUE"""),"錦糸町駅から徒歩圏内の便利な立地にあるホテルです。")</f>
        <v>錦糸町駅から徒歩圏内の便利な立地にあるホテルです。</v>
      </c>
      <c r="J16" s="5" t="str">
        <f>IFERROR(__xludf.DUMMYFUNCTION("""COMPUTED_VALUE"""),"")</f>
        <v/>
      </c>
      <c r="K16" s="24" t="str">
        <f>IFERROR(__xludf.DUMMYFUNCTION("""COMPUTED_VALUE"""),"")</f>
        <v/>
      </c>
      <c r="L16" s="24" t="str">
        <f>IFERROR(__xludf.DUMMYFUNCTION("""COMPUTED_VALUE"""),"Shimla Diaries")</f>
        <v>Shimla Diaries</v>
      </c>
      <c r="N16" s="24" t="b">
        <f>IFERROR(__xludf.DUMMYFUNCTION("""COMPUTED_VALUE"""),FALSE)</f>
        <v>0</v>
      </c>
      <c r="O16" s="24" t="str">
        <f>IFERROR(__xludf.DUMMYFUNCTION("""COMPUTED_VALUE"""),"Google")</f>
        <v>Google</v>
      </c>
      <c r="P16" s="24">
        <f>IFERROR(__xludf.DUMMYFUNCTION("""COMPUTED_VALUE"""),4.0)</f>
        <v>4</v>
      </c>
      <c r="Q16" s="25">
        <f>IFERROR(__xludf.DUMMYFUNCTION("""COMPUTED_VALUE"""),46111.0)</f>
        <v>46111</v>
      </c>
      <c r="R16" s="24" t="str">
        <f>IFERROR(__xludf.DUMMYFUNCTION("""COMPUTED_VALUE"""),"Perfectly located hotel centrally located and walking distance to Kinshichō station")</f>
        <v>Perfectly located hotel centrally located and walking distance to Kinshichō station</v>
      </c>
      <c r="S16" s="24"/>
      <c r="T16" s="24"/>
      <c r="U16" s="24" t="str">
        <f>IFERROR(__xludf.DUMMYFUNCTION("""COMPUTED_VALUE"""),"錦糸町駅から徒歩圏内の便利な立地にあるホテルです。")</f>
        <v>錦糸町駅から徒歩圏内の便利な立地にあるホテルです。</v>
      </c>
      <c r="V16" s="24" t="str">
        <f>IFERROR(__xludf.DUMMYFUNCTION("""COMPUTED_VALUE"""),"")</f>
        <v/>
      </c>
      <c r="W16" s="24" t="str">
        <f>IFERROR(__xludf.DUMMYFUNCTION("""COMPUTED_VALUE"""),"")</f>
        <v/>
      </c>
      <c r="X16" s="24" t="str">
        <f>IFERROR(__xludf.DUMMYFUNCTION("""COMPUTED_VALUE"""),"Shimla Diaries")</f>
        <v>Shimla Diaries</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IFERROR(__xludf.DUMMYFUNCTION("""COMPUTED_VALUE"""),46110.0)</f>
        <v>46110</v>
      </c>
      <c r="F17" s="5" t="str">
        <f>IFERROR(__xludf.DUMMYFUNCTION("""COMPUTED_VALUE"""),"挺不錯的酒店👍")</f>
        <v>挺不錯的酒店👍</v>
      </c>
      <c r="G17" s="5"/>
      <c r="H17" s="5"/>
      <c r="I17" s="5" t="str">
        <f>IFERROR(__xludf.DUMMYFUNCTION("""COMPUTED_VALUE"""),"とても素敵なホテルですね👍")</f>
        <v>とても素敵なホテルですね👍</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IFERROR(__xludf.DUMMYFUNCTION("""COMPUTED_VALUE"""),46110.0)</f>
        <v>46110</v>
      </c>
      <c r="R17" s="24" t="str">
        <f>IFERROR(__xludf.DUMMYFUNCTION("""COMPUTED_VALUE"""),"挺不錯的酒店👍")</f>
        <v>挺不錯的酒店👍</v>
      </c>
      <c r="S17" s="24"/>
      <c r="T17" s="24"/>
      <c r="U17" s="24" t="str">
        <f>IFERROR(__xludf.DUMMYFUNCTION("""COMPUTED_VALUE"""),"とても素敵なホテルですね👍")</f>
        <v>とても素敵なホテルですね👍</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IFERROR(__xludf.DUMMYFUNCTION("""COMPUTED_VALUE"""),8.0)</f>
        <v>8</v>
      </c>
      <c r="E18" s="19">
        <f>IFERROR(__xludf.DUMMYFUNCTION("""COMPUTED_VALUE"""),46110.0)</f>
        <v>46110</v>
      </c>
      <c r="F18" s="5"/>
      <c r="G18" s="5" t="str">
        <f>IFERROR(__xludf.DUMMYFUNCTION("""COMPUTED_VALUE"""),"部屋がきれいだった")</f>
        <v>部屋がきれいだった</v>
      </c>
      <c r="H18" s="5" t="str">
        <f>IFERROR(__xludf.DUMMYFUNCTION("""COMPUTED_VALUE"""),"ちょっと高い")</f>
        <v>ちょっと高い</v>
      </c>
      <c r="I18" s="5" t="str">
        <f>IFERROR(__xludf.DUMMYFUNCTION("""COMPUTED_VALUE"""),"")</f>
        <v/>
      </c>
      <c r="J18" s="5" t="str">
        <f>IFERROR(__xludf.DUMMYFUNCTION("""COMPUTED_VALUE"""),"部屋がきれいだった")</f>
        <v>部屋がきれいだった</v>
      </c>
      <c r="K18" s="24" t="str">
        <f>IFERROR(__xludf.DUMMYFUNCTION("""COMPUTED_VALUE"""),"ちょっと高い")</f>
        <v>ちょっと高い</v>
      </c>
      <c r="L18" s="24" t="str">
        <f>IFERROR(__xludf.DUMMYFUNCTION("""COMPUTED_VALUE"""),"Rie")</f>
        <v>Rie</v>
      </c>
      <c r="N18" s="24" t="b">
        <f>IFERROR(__xludf.DUMMYFUNCTION("""COMPUTED_VALUE"""),FALSE)</f>
        <v>0</v>
      </c>
      <c r="O18" s="18" t="str">
        <f>IFERROR(__xludf.DUMMYFUNCTION("""COMPUTED_VALUE"""),"Booking.com")</f>
        <v>Booking.com</v>
      </c>
      <c r="P18" s="24">
        <f>IFERROR(__xludf.DUMMYFUNCTION("""COMPUTED_VALUE"""),8.0)</f>
        <v>8</v>
      </c>
      <c r="Q18" s="25">
        <f>IFERROR(__xludf.DUMMYFUNCTION("""COMPUTED_VALUE"""),46110.0)</f>
        <v>46110</v>
      </c>
      <c r="R18" s="24"/>
      <c r="S18" s="24" t="str">
        <f>IFERROR(__xludf.DUMMYFUNCTION("""COMPUTED_VALUE"""),"部屋がきれいだった")</f>
        <v>部屋がきれいだった</v>
      </c>
      <c r="T18" s="24" t="str">
        <f>IFERROR(__xludf.DUMMYFUNCTION("""COMPUTED_VALUE"""),"ちょっと高い")</f>
        <v>ちょっと高い</v>
      </c>
      <c r="U18" s="24" t="str">
        <f>IFERROR(__xludf.DUMMYFUNCTION("""COMPUTED_VALUE"""),"")</f>
        <v/>
      </c>
      <c r="V18" s="24" t="str">
        <f>IFERROR(__xludf.DUMMYFUNCTION("""COMPUTED_VALUE"""),"部屋がきれいだった")</f>
        <v>部屋がきれいだった</v>
      </c>
      <c r="W18" s="24" t="str">
        <f>IFERROR(__xludf.DUMMYFUNCTION("""COMPUTED_VALUE"""),"ちょっと高い")</f>
        <v>ちょっと高い</v>
      </c>
      <c r="X18" s="24" t="str">
        <f>IFERROR(__xludf.DUMMYFUNCTION("""COMPUTED_VALUE"""),"Rie")</f>
        <v>Rie</v>
      </c>
    </row>
    <row r="19">
      <c r="B19" s="17" t="b">
        <f>IFERROR(__xludf.DUMMYFUNCTION("""COMPUTED_VALUE"""),FALSE)</f>
        <v>0</v>
      </c>
      <c r="C19" s="18" t="str">
        <f>IFERROR(__xludf.DUMMYFUNCTION("""COMPUTED_VALUE"""),"Booking.com")</f>
        <v>Booking.com</v>
      </c>
      <c r="D19" s="5">
        <f>IFERROR(__xludf.DUMMYFUNCTION("""COMPUTED_VALUE"""),8.0)</f>
        <v>8</v>
      </c>
      <c r="E19" s="19">
        <f>IFERROR(__xludf.DUMMYFUNCTION("""COMPUTED_VALUE"""),46110.0)</f>
        <v>46110</v>
      </c>
      <c r="F19" s="5"/>
      <c r="G19"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19"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19" s="5" t="str">
        <f>IFERROR(__xludf.DUMMYFUNCTION("""COMPUTED_VALUE"""),"")</f>
        <v/>
      </c>
      <c r="J19"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19"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19" s="24" t="str">
        <f>IFERROR(__xludf.DUMMYFUNCTION("""COMPUTED_VALUE"""),"Pani")</f>
        <v>Pani</v>
      </c>
      <c r="N19" s="24" t="b">
        <f>IFERROR(__xludf.DUMMYFUNCTION("""COMPUTED_VALUE"""),FALSE)</f>
        <v>0</v>
      </c>
      <c r="O19" s="18" t="str">
        <f>IFERROR(__xludf.DUMMYFUNCTION("""COMPUTED_VALUE"""),"Booking.com")</f>
        <v>Booking.com</v>
      </c>
      <c r="P19" s="24">
        <f>IFERROR(__xludf.DUMMYFUNCTION("""COMPUTED_VALUE"""),8.0)</f>
        <v>8</v>
      </c>
      <c r="Q19" s="25">
        <f>IFERROR(__xludf.DUMMYFUNCTION("""COMPUTED_VALUE"""),46110.0)</f>
        <v>46110</v>
      </c>
      <c r="R19" s="24"/>
      <c r="S19"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9"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9" s="24" t="str">
        <f>IFERROR(__xludf.DUMMYFUNCTION("""COMPUTED_VALUE"""),"")</f>
        <v/>
      </c>
      <c r="V19"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9"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9" s="24" t="str">
        <f>IFERROR(__xludf.DUMMYFUNCTION("""COMPUTED_VALUE"""),"Pani")</f>
        <v>Pani</v>
      </c>
    </row>
    <row r="20">
      <c r="B20" s="17" t="b">
        <f>IFERROR(__xludf.DUMMYFUNCTION("""COMPUTED_VALUE"""),FALSE)</f>
        <v>0</v>
      </c>
      <c r="C20" s="18" t="str">
        <f>IFERROR(__xludf.DUMMYFUNCTION("""COMPUTED_VALUE"""),"Trip.com")</f>
        <v>Trip.com</v>
      </c>
      <c r="D20" s="5">
        <f>IFERROR(__xludf.DUMMYFUNCTION("""COMPUTED_VALUE"""),10.0)</f>
        <v>10</v>
      </c>
      <c r="E20" s="19">
        <f>IFERROR(__xludf.DUMMYFUNCTION("""COMPUTED_VALUE"""),46108.0)</f>
        <v>46108</v>
      </c>
      <c r="F20"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20" s="5"/>
      <c r="H20" s="5"/>
      <c r="I20"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J20" s="5" t="str">
        <f>IFERROR(__xludf.DUMMYFUNCTION("""COMPUTED_VALUE"""),"")</f>
        <v/>
      </c>
      <c r="K20" s="24" t="str">
        <f>IFERROR(__xludf.DUMMYFUNCTION("""COMPUTED_VALUE"""),"")</f>
        <v/>
      </c>
      <c r="L20" s="24" t="str">
        <f>IFERROR(__xludf.DUMMYFUNCTION("""COMPUTED_VALUE"""),"ゲ‍ス‍ト")</f>
        <v>ゲ‍ス‍ト</v>
      </c>
      <c r="N20" s="24" t="b">
        <f>IFERROR(__xludf.DUMMYFUNCTION("""COMPUTED_VALUE"""),FALSE)</f>
        <v>0</v>
      </c>
      <c r="O20" s="18" t="str">
        <f>IFERROR(__xludf.DUMMYFUNCTION("""COMPUTED_VALUE"""),"Trip.com")</f>
        <v>Trip.com</v>
      </c>
      <c r="P20" s="24">
        <f>IFERROR(__xludf.DUMMYFUNCTION("""COMPUTED_VALUE"""),10.0)</f>
        <v>10</v>
      </c>
      <c r="Q20" s="25">
        <f>IFERROR(__xludf.DUMMYFUNCTION("""COMPUTED_VALUE"""),46108.0)</f>
        <v>46108</v>
      </c>
      <c r="R20"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20" s="24"/>
      <c r="T20" s="24"/>
      <c r="U20"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V20" s="24" t="str">
        <f>IFERROR(__xludf.DUMMYFUNCTION("""COMPUTED_VALUE"""),"")</f>
        <v/>
      </c>
      <c r="W20" s="24" t="str">
        <f>IFERROR(__xludf.DUMMYFUNCTION("""COMPUTED_VALUE"""),"")</f>
        <v/>
      </c>
      <c r="X20" s="24" t="str">
        <f>IFERROR(__xludf.DUMMYFUNCTION("""COMPUTED_VALUE"""),"ゲ‍ス‍ト")</f>
        <v>ゲ‍ス‍ト</v>
      </c>
    </row>
    <row r="21">
      <c r="B21" s="17" t="b">
        <f>IFERROR(__xludf.DUMMYFUNCTION("""COMPUTED_VALUE"""),FALSE)</f>
        <v>0</v>
      </c>
      <c r="C21" s="18" t="str">
        <f>IFERROR(__xludf.DUMMYFUNCTION("""COMPUTED_VALUE"""),"Trip.com")</f>
        <v>Trip.com</v>
      </c>
      <c r="D21" s="5">
        <f>IFERROR(__xludf.DUMMYFUNCTION("""COMPUTED_VALUE"""),4.0)</f>
        <v>4</v>
      </c>
      <c r="E21" s="19">
        <f>IFERROR(__xludf.DUMMYFUNCTION("""COMPUTED_VALUE"""),46108.0)</f>
        <v>46108</v>
      </c>
      <c r="F21" s="5" t="str">
        <f>IFERROR(__xludf.DUMMYFUNCTION("""COMPUTED_VALUE"""),"有啲污糟，隔音好差")</f>
        <v>有啲污糟，隔音好差</v>
      </c>
      <c r="G21" s="5"/>
      <c r="H21" s="5"/>
      <c r="I21" s="5" t="str">
        <f>IFERROR(__xludf.DUMMYFUNCTION("""COMPUTED_VALUE"""),"少し汚れていて、防音性も低い。")</f>
        <v>少し汚れていて、防音性も低い。</v>
      </c>
      <c r="J21" s="5" t="str">
        <f>IFERROR(__xludf.DUMMYFUNCTION("""COMPUTED_VALUE"""),"")</f>
        <v/>
      </c>
      <c r="K21" s="24" t="str">
        <f>IFERROR(__xludf.DUMMYFUNCTION("""COMPUTED_VALUE"""),"")</f>
        <v/>
      </c>
      <c r="L21" s="24" t="str">
        <f>IFERROR(__xludf.DUMMYFUNCTION("""COMPUTED_VALUE"""),"i‍l‍o‍v‍e‍f‍r‍i‍e‍d‍r‍i‍c‍e")</f>
        <v>i‍l‍o‍v‍e‍f‍r‍i‍e‍d‍r‍i‍c‍e</v>
      </c>
      <c r="N21" s="24" t="b">
        <f>IFERROR(__xludf.DUMMYFUNCTION("""COMPUTED_VALUE"""),FALSE)</f>
        <v>0</v>
      </c>
      <c r="O21" s="18" t="str">
        <f>IFERROR(__xludf.DUMMYFUNCTION("""COMPUTED_VALUE"""),"Trip.com")</f>
        <v>Trip.com</v>
      </c>
      <c r="P21" s="24">
        <f>IFERROR(__xludf.DUMMYFUNCTION("""COMPUTED_VALUE"""),4.0)</f>
        <v>4</v>
      </c>
      <c r="Q21" s="25">
        <f>IFERROR(__xludf.DUMMYFUNCTION("""COMPUTED_VALUE"""),46108.0)</f>
        <v>46108</v>
      </c>
      <c r="R21" s="24" t="str">
        <f>IFERROR(__xludf.DUMMYFUNCTION("""COMPUTED_VALUE"""),"有啲污糟，隔音好差")</f>
        <v>有啲污糟，隔音好差</v>
      </c>
      <c r="S21" s="24"/>
      <c r="T21" s="24"/>
      <c r="U21" s="24" t="str">
        <f>IFERROR(__xludf.DUMMYFUNCTION("""COMPUTED_VALUE"""),"少し汚れていて、防音性も低い。")</f>
        <v>少し汚れていて、防音性も低い。</v>
      </c>
      <c r="V21" s="24" t="str">
        <f>IFERROR(__xludf.DUMMYFUNCTION("""COMPUTED_VALUE"""),"")</f>
        <v/>
      </c>
      <c r="W21" s="24" t="str">
        <f>IFERROR(__xludf.DUMMYFUNCTION("""COMPUTED_VALUE"""),"")</f>
        <v/>
      </c>
      <c r="X21" s="24" t="str">
        <f>IFERROR(__xludf.DUMMYFUNCTION("""COMPUTED_VALUE"""),"i‍l‍o‍v‍e‍f‍r‍i‍e‍d‍r‍i‍c‍e")</f>
        <v>i‍l‍o‍v‍e‍f‍r‍i‍e‍d‍r‍i‍c‍e</v>
      </c>
    </row>
    <row r="22">
      <c r="B22" s="17" t="b">
        <f>IFERROR(__xludf.DUMMYFUNCTION("""COMPUTED_VALUE"""),FALSE)</f>
        <v>0</v>
      </c>
      <c r="C22" s="18" t="str">
        <f>IFERROR(__xludf.DUMMYFUNCTION("""COMPUTED_VALUE"""),"Trip.com")</f>
        <v>Trip.com</v>
      </c>
      <c r="D22" s="5">
        <f>IFERROR(__xludf.DUMMYFUNCTION("""COMPUTED_VALUE"""),10.0)</f>
        <v>10</v>
      </c>
      <c r="E22" s="19">
        <f>IFERROR(__xludf.DUMMYFUNCTION("""COMPUTED_VALUE"""),46108.0)</f>
        <v>46108</v>
      </c>
      <c r="F22" s="5" t="str">
        <f>IFERROR(__xludf.DUMMYFUNCTION("""COMPUTED_VALUE"""),"Very good and interesting location and the great view of the city")</f>
        <v>Very good and interesting location and the great view of the city</v>
      </c>
      <c r="G22" s="5"/>
      <c r="H22" s="5"/>
      <c r="I22" s="5" t="str">
        <f>IFERROR(__xludf.DUMMYFUNCTION("""COMPUTED_VALUE"""),"立地が非常に良く、街の眺めも素晴らしい。")</f>
        <v>立地が非常に良く、街の眺めも素晴らしい。</v>
      </c>
      <c r="J22" s="5" t="str">
        <f>IFERROR(__xludf.DUMMYFUNCTION("""COMPUTED_VALUE"""),"")</f>
        <v/>
      </c>
      <c r="K22" s="24" t="str">
        <f>IFERROR(__xludf.DUMMYFUNCTION("""COMPUTED_VALUE"""),"")</f>
        <v/>
      </c>
      <c r="L22" s="24" t="str">
        <f>IFERROR(__xludf.DUMMYFUNCTION("""COMPUTED_VALUE"""),"A‍l‍e‍x‍e‍y‍ ‍P‍o‍l‍o‍v‍n‍i‍k‍o‍v")</f>
        <v>A‍l‍e‍x‍e‍y‍ ‍P‍o‍l‍o‍v‍n‍i‍k‍o‍v</v>
      </c>
      <c r="N22" s="24" t="b">
        <f>IFERROR(__xludf.DUMMYFUNCTION("""COMPUTED_VALUE"""),FALSE)</f>
        <v>0</v>
      </c>
      <c r="O22" s="18" t="str">
        <f>IFERROR(__xludf.DUMMYFUNCTION("""COMPUTED_VALUE"""),"Trip.com")</f>
        <v>Trip.com</v>
      </c>
      <c r="P22" s="24">
        <f>IFERROR(__xludf.DUMMYFUNCTION("""COMPUTED_VALUE"""),10.0)</f>
        <v>10</v>
      </c>
      <c r="Q22" s="25">
        <f>IFERROR(__xludf.DUMMYFUNCTION("""COMPUTED_VALUE"""),46108.0)</f>
        <v>46108</v>
      </c>
      <c r="R22" s="24" t="str">
        <f>IFERROR(__xludf.DUMMYFUNCTION("""COMPUTED_VALUE"""),"Very good and interesting location and the great view of the city")</f>
        <v>Very good and interesting location and the great view of the city</v>
      </c>
      <c r="S22" s="24"/>
      <c r="T22" s="24"/>
      <c r="U22" s="24" t="str">
        <f>IFERROR(__xludf.DUMMYFUNCTION("""COMPUTED_VALUE"""),"立地が非常に良く、街の眺めも素晴らしい。")</f>
        <v>立地が非常に良く、街の眺めも素晴らしい。</v>
      </c>
      <c r="V22" s="24" t="str">
        <f>IFERROR(__xludf.DUMMYFUNCTION("""COMPUTED_VALUE"""),"")</f>
        <v/>
      </c>
      <c r="W22" s="24" t="str">
        <f>IFERROR(__xludf.DUMMYFUNCTION("""COMPUTED_VALUE"""),"")</f>
        <v/>
      </c>
      <c r="X22" s="24" t="str">
        <f>IFERROR(__xludf.DUMMYFUNCTION("""COMPUTED_VALUE"""),"A‍l‍e‍x‍e‍y‍ ‍P‍o‍l‍o‍v‍n‍i‍k‍o‍v")</f>
        <v>A‍l‍e‍x‍e‍y‍ ‍P‍o‍l‍o‍v‍n‍i‍k‍o‍v</v>
      </c>
    </row>
    <row r="23">
      <c r="B23" s="17" t="b">
        <f>IFERROR(__xludf.DUMMYFUNCTION("""COMPUTED_VALUE"""),FALSE)</f>
        <v>0</v>
      </c>
      <c r="C23" s="18" t="str">
        <f>IFERROR(__xludf.DUMMYFUNCTION("""COMPUTED_VALUE"""),"Booking.com")</f>
        <v>Booking.com</v>
      </c>
      <c r="D23" s="5">
        <f>IFERROR(__xludf.DUMMYFUNCTION("""COMPUTED_VALUE"""),10.0)</f>
        <v>10</v>
      </c>
      <c r="E23" s="19">
        <f>IFERROR(__xludf.DUMMYFUNCTION("""COMPUTED_VALUE"""),46108.0)</f>
        <v>46108</v>
      </c>
      <c r="F23" s="5"/>
      <c r="G23" s="5"/>
      <c r="H23" s="5"/>
      <c r="I23" s="5" t="str">
        <f>IFERROR(__xludf.DUMMYFUNCTION("""COMPUTED_VALUE"""),"")</f>
        <v/>
      </c>
      <c r="J23" s="5" t="str">
        <f>IFERROR(__xludf.DUMMYFUNCTION("""COMPUTED_VALUE"""),"")</f>
        <v/>
      </c>
      <c r="K23" s="24" t="str">
        <f>IFERROR(__xludf.DUMMYFUNCTION("""COMPUTED_VALUE"""),"")</f>
        <v/>
      </c>
      <c r="L23" s="24" t="str">
        <f>IFERROR(__xludf.DUMMYFUNCTION("""COMPUTED_VALUE"""),"佳萾")</f>
        <v>佳萾</v>
      </c>
      <c r="N23" s="24" t="b">
        <f>IFERROR(__xludf.DUMMYFUNCTION("""COMPUTED_VALUE"""),FALSE)</f>
        <v>0</v>
      </c>
      <c r="O23" s="18" t="str">
        <f>IFERROR(__xludf.DUMMYFUNCTION("""COMPUTED_VALUE"""),"Booking.com")</f>
        <v>Booking.com</v>
      </c>
      <c r="P23" s="24">
        <f>IFERROR(__xludf.DUMMYFUNCTION("""COMPUTED_VALUE"""),10.0)</f>
        <v>10</v>
      </c>
      <c r="Q23" s="25">
        <f>IFERROR(__xludf.DUMMYFUNCTION("""COMPUTED_VALUE"""),46108.0)</f>
        <v>46108</v>
      </c>
      <c r="R23" s="24"/>
      <c r="S23" s="24"/>
      <c r="T23" s="24"/>
      <c r="U23" s="24" t="str">
        <f>IFERROR(__xludf.DUMMYFUNCTION("""COMPUTED_VALUE"""),"")</f>
        <v/>
      </c>
      <c r="V23" s="24" t="str">
        <f>IFERROR(__xludf.DUMMYFUNCTION("""COMPUTED_VALUE"""),"")</f>
        <v/>
      </c>
      <c r="W23" s="24" t="str">
        <f>IFERROR(__xludf.DUMMYFUNCTION("""COMPUTED_VALUE"""),"")</f>
        <v/>
      </c>
      <c r="X23" s="24" t="str">
        <f>IFERROR(__xludf.DUMMYFUNCTION("""COMPUTED_VALUE"""),"佳萾")</f>
        <v>佳萾</v>
      </c>
    </row>
    <row r="24">
      <c r="B24" s="17" t="b">
        <f>IFERROR(__xludf.DUMMYFUNCTION("""COMPUTED_VALUE"""),FALSE)</f>
        <v>0</v>
      </c>
      <c r="C24" s="18" t="str">
        <f>IFERROR(__xludf.DUMMYFUNCTION("""COMPUTED_VALUE"""),"Booking.com")</f>
        <v>Booking.com</v>
      </c>
      <c r="D24" s="5">
        <f>IFERROR(__xludf.DUMMYFUNCTION("""COMPUTED_VALUE"""),10.0)</f>
        <v>10</v>
      </c>
      <c r="E24" s="19">
        <f>IFERROR(__xludf.DUMMYFUNCTION("""COMPUTED_VALUE"""),46108.0)</f>
        <v>46108</v>
      </c>
      <c r="F24" s="5"/>
      <c r="G24" s="5"/>
      <c r="H24" s="5"/>
      <c r="I24" s="5" t="str">
        <f>IFERROR(__xludf.DUMMYFUNCTION("""COMPUTED_VALUE"""),"")</f>
        <v/>
      </c>
      <c r="J24" s="5" t="str">
        <f>IFERROR(__xludf.DUMMYFUNCTION("""COMPUTED_VALUE"""),"")</f>
        <v/>
      </c>
      <c r="K24" s="24" t="str">
        <f>IFERROR(__xludf.DUMMYFUNCTION("""COMPUTED_VALUE"""),"")</f>
        <v/>
      </c>
      <c r="L24" s="24" t="str">
        <f>IFERROR(__xludf.DUMMYFUNCTION("""COMPUTED_VALUE"""),"Jade")</f>
        <v>Jade</v>
      </c>
      <c r="N24" s="24" t="b">
        <f>IFERROR(__xludf.DUMMYFUNCTION("""COMPUTED_VALUE"""),FALSE)</f>
        <v>0</v>
      </c>
      <c r="O24" s="18" t="str">
        <f>IFERROR(__xludf.DUMMYFUNCTION("""COMPUTED_VALUE"""),"Booking.com")</f>
        <v>Booking.com</v>
      </c>
      <c r="P24" s="24">
        <f>IFERROR(__xludf.DUMMYFUNCTION("""COMPUTED_VALUE"""),10.0)</f>
        <v>10</v>
      </c>
      <c r="Q24" s="25">
        <f>IFERROR(__xludf.DUMMYFUNCTION("""COMPUTED_VALUE"""),46108.0)</f>
        <v>46108</v>
      </c>
      <c r="R24" s="24"/>
      <c r="S24" s="24"/>
      <c r="T24" s="24"/>
      <c r="U24" s="24" t="str">
        <f>IFERROR(__xludf.DUMMYFUNCTION("""COMPUTED_VALUE"""),"")</f>
        <v/>
      </c>
      <c r="V24" s="24" t="str">
        <f>IFERROR(__xludf.DUMMYFUNCTION("""COMPUTED_VALUE"""),"")</f>
        <v/>
      </c>
      <c r="W24" s="24" t="str">
        <f>IFERROR(__xludf.DUMMYFUNCTION("""COMPUTED_VALUE"""),"")</f>
        <v/>
      </c>
      <c r="X24" s="24" t="str">
        <f>IFERROR(__xludf.DUMMYFUNCTION("""COMPUTED_VALUE"""),"Jade")</f>
        <v>Jade</v>
      </c>
    </row>
    <row r="25">
      <c r="B25" s="17" t="b">
        <f>IFERROR(__xludf.DUMMYFUNCTION("""COMPUTED_VALUE"""),FALSE)</f>
        <v>0</v>
      </c>
      <c r="C25" s="18" t="str">
        <f>IFERROR(__xludf.DUMMYFUNCTION("""COMPUTED_VALUE"""),"Trip.com")</f>
        <v>Trip.com</v>
      </c>
      <c r="D25" s="5">
        <f>IFERROR(__xludf.DUMMYFUNCTION("""COMPUTED_VALUE"""),10.0)</f>
        <v>10</v>
      </c>
      <c r="E25" s="19">
        <f>IFERROR(__xludf.DUMMYFUNCTION("""COMPUTED_VALUE"""),46107.0)</f>
        <v>46107</v>
      </c>
      <c r="F25"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25" s="5"/>
      <c r="H25" s="5"/>
      <c r="I25"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25" s="5" t="str">
        <f>IFERROR(__xludf.DUMMYFUNCTION("""COMPUTED_VALUE"""),"")</f>
        <v/>
      </c>
      <c r="K25" s="24" t="str">
        <f>IFERROR(__xludf.DUMMYFUNCTION("""COMPUTED_VALUE"""),"")</f>
        <v/>
      </c>
      <c r="L25" s="24" t="str">
        <f>IFERROR(__xludf.DUMMYFUNCTION("""COMPUTED_VALUE"""),"ゲ‍ス‍ト")</f>
        <v>ゲ‍ス‍ト</v>
      </c>
      <c r="N25" s="24" t="b">
        <f>IFERROR(__xludf.DUMMYFUNCTION("""COMPUTED_VALUE"""),FALSE)</f>
        <v>0</v>
      </c>
      <c r="O25" s="18" t="str">
        <f>IFERROR(__xludf.DUMMYFUNCTION("""COMPUTED_VALUE"""),"Trip.com")</f>
        <v>Trip.com</v>
      </c>
      <c r="P25" s="24">
        <f>IFERROR(__xludf.DUMMYFUNCTION("""COMPUTED_VALUE"""),10.0)</f>
        <v>10</v>
      </c>
      <c r="Q25" s="25">
        <f>IFERROR(__xludf.DUMMYFUNCTION("""COMPUTED_VALUE"""),46107.0)</f>
        <v>46107</v>
      </c>
      <c r="R25"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25" s="24"/>
      <c r="T25" s="24"/>
      <c r="U25"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25" s="24" t="str">
        <f>IFERROR(__xludf.DUMMYFUNCTION("""COMPUTED_VALUE"""),"")</f>
        <v/>
      </c>
      <c r="W25" s="24" t="str">
        <f>IFERROR(__xludf.DUMMYFUNCTION("""COMPUTED_VALUE"""),"")</f>
        <v/>
      </c>
      <c r="X25" s="24" t="str">
        <f>IFERROR(__xludf.DUMMYFUNCTION("""COMPUTED_VALUE"""),"ゲ‍ス‍ト")</f>
        <v>ゲ‍ス‍ト</v>
      </c>
    </row>
    <row r="26">
      <c r="B26" s="17" t="b">
        <f>IFERROR(__xludf.DUMMYFUNCTION("""COMPUTED_VALUE"""),FALSE)</f>
        <v>0</v>
      </c>
      <c r="C26" s="18" t="str">
        <f>IFERROR(__xludf.DUMMYFUNCTION("""COMPUTED_VALUE"""),"Trip.com")</f>
        <v>Trip.com</v>
      </c>
      <c r="D26" s="5">
        <f>IFERROR(__xludf.DUMMYFUNCTION("""COMPUTED_VALUE"""),10.0)</f>
        <v>10</v>
      </c>
      <c r="E26" s="19">
        <f>IFERROR(__xludf.DUMMYFUNCTION("""COMPUTED_VALUE"""),46107.0)</f>
        <v>46107</v>
      </c>
      <c r="F26"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26" s="5"/>
      <c r="H26" s="5"/>
      <c r="I26"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26" s="5" t="str">
        <f>IFERROR(__xludf.DUMMYFUNCTION("""COMPUTED_VALUE"""),"")</f>
        <v/>
      </c>
      <c r="K26" s="24" t="str">
        <f>IFERROR(__xludf.DUMMYFUNCTION("""COMPUTED_VALUE"""),"")</f>
        <v/>
      </c>
      <c r="L26" s="24" t="str">
        <f>IFERROR(__xludf.DUMMYFUNCTION("""COMPUTED_VALUE"""),"ゲ‍ス‍ト")</f>
        <v>ゲ‍ス‍ト</v>
      </c>
      <c r="N26" s="24" t="b">
        <f>IFERROR(__xludf.DUMMYFUNCTION("""COMPUTED_VALUE"""),FALSE)</f>
        <v>0</v>
      </c>
      <c r="O26" s="18" t="str">
        <f>IFERROR(__xludf.DUMMYFUNCTION("""COMPUTED_VALUE"""),"Trip.com")</f>
        <v>Trip.com</v>
      </c>
      <c r="P26" s="24">
        <f>IFERROR(__xludf.DUMMYFUNCTION("""COMPUTED_VALUE"""),10.0)</f>
        <v>10</v>
      </c>
      <c r="Q26" s="25">
        <f>IFERROR(__xludf.DUMMYFUNCTION("""COMPUTED_VALUE"""),46107.0)</f>
        <v>46107</v>
      </c>
      <c r="R26"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26" s="24"/>
      <c r="T26" s="24"/>
      <c r="U26" s="24"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26" s="24" t="str">
        <f>IFERROR(__xludf.DUMMYFUNCTION("""COMPUTED_VALUE"""),"")</f>
        <v/>
      </c>
      <c r="W26" s="24" t="str">
        <f>IFERROR(__xludf.DUMMYFUNCTION("""COMPUTED_VALUE"""),"")</f>
        <v/>
      </c>
      <c r="X26" s="24" t="str">
        <f>IFERROR(__xludf.DUMMYFUNCTION("""COMPUTED_VALUE"""),"ゲ‍ス‍ト")</f>
        <v>ゲ‍ス‍ト</v>
      </c>
    </row>
    <row r="27">
      <c r="B27" s="17" t="b">
        <f>IFERROR(__xludf.DUMMYFUNCTION("""COMPUTED_VALUE"""),FALSE)</f>
        <v>0</v>
      </c>
      <c r="C27" s="18" t="str">
        <f>IFERROR(__xludf.DUMMYFUNCTION("""COMPUTED_VALUE"""),"Trip.com")</f>
        <v>Trip.com</v>
      </c>
      <c r="D27" s="5">
        <f>IFERROR(__xludf.DUMMYFUNCTION("""COMPUTED_VALUE"""),10.0)</f>
        <v>10</v>
      </c>
      <c r="E27" s="19">
        <f>IFERROR(__xludf.DUMMYFUNCTION("""COMPUTED_VALUE"""),46107.0)</f>
        <v>46107</v>
      </c>
      <c r="F27"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27" s="5"/>
      <c r="H27" s="5"/>
      <c r="I27"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27" s="5" t="str">
        <f>IFERROR(__xludf.DUMMYFUNCTION("""COMPUTED_VALUE"""),"")</f>
        <v/>
      </c>
      <c r="K27" s="24" t="str">
        <f>IFERROR(__xludf.DUMMYFUNCTION("""COMPUTED_VALUE"""),"")</f>
        <v/>
      </c>
      <c r="L27" s="24" t="str">
        <f>IFERROR(__xludf.DUMMYFUNCTION("""COMPUTED_VALUE"""),"匿‍名‍ユ‍ー‍ザ‍ー")</f>
        <v>匿‍名‍ユ‍ー‍ザ‍ー</v>
      </c>
      <c r="N27" s="24" t="b">
        <f>IFERROR(__xludf.DUMMYFUNCTION("""COMPUTED_VALUE"""),FALSE)</f>
        <v>0</v>
      </c>
      <c r="O27" s="18" t="str">
        <f>IFERROR(__xludf.DUMMYFUNCTION("""COMPUTED_VALUE"""),"Trip.com")</f>
        <v>Trip.com</v>
      </c>
      <c r="P27" s="24">
        <f>IFERROR(__xludf.DUMMYFUNCTION("""COMPUTED_VALUE"""),10.0)</f>
        <v>10</v>
      </c>
      <c r="Q27" s="25">
        <f>IFERROR(__xludf.DUMMYFUNCTION("""COMPUTED_VALUE"""),46107.0)</f>
        <v>46107</v>
      </c>
      <c r="R27"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27" s="24"/>
      <c r="T27" s="24"/>
      <c r="U27"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27" s="24" t="str">
        <f>IFERROR(__xludf.DUMMYFUNCTION("""COMPUTED_VALUE"""),"")</f>
        <v/>
      </c>
      <c r="W27" s="24" t="str">
        <f>IFERROR(__xludf.DUMMYFUNCTION("""COMPUTED_VALUE"""),"")</f>
        <v/>
      </c>
      <c r="X27" s="24" t="str">
        <f>IFERROR(__xludf.DUMMYFUNCTION("""COMPUTED_VALUE"""),"匿‍名‍ユ‍ー‍ザ‍ー")</f>
        <v>匿‍名‍ユ‍ー‍ザ‍ー</v>
      </c>
    </row>
    <row r="28">
      <c r="B28" s="17" t="b">
        <f>IFERROR(__xludf.DUMMYFUNCTION("""COMPUTED_VALUE"""),FALSE)</f>
        <v>0</v>
      </c>
      <c r="C28" s="18" t="str">
        <f>IFERROR(__xludf.DUMMYFUNCTION("""COMPUTED_VALUE"""),"Booking.com")</f>
        <v>Booking.com</v>
      </c>
      <c r="D28" s="5">
        <f>IFERROR(__xludf.DUMMYFUNCTION("""COMPUTED_VALUE"""),10.0)</f>
        <v>10</v>
      </c>
      <c r="E28" s="19">
        <f>IFERROR(__xludf.DUMMYFUNCTION("""COMPUTED_VALUE"""),46107.0)</f>
        <v>46107</v>
      </c>
      <c r="F28" s="5"/>
      <c r="G28" s="5"/>
      <c r="H28" s="5"/>
      <c r="I28" s="5" t="str">
        <f>IFERROR(__xludf.DUMMYFUNCTION("""COMPUTED_VALUE"""),"")</f>
        <v/>
      </c>
      <c r="J28" s="5" t="str">
        <f>IFERROR(__xludf.DUMMYFUNCTION("""COMPUTED_VALUE"""),"")</f>
        <v/>
      </c>
      <c r="K28" s="24" t="str">
        <f>IFERROR(__xludf.DUMMYFUNCTION("""COMPUTED_VALUE"""),"")</f>
        <v/>
      </c>
      <c r="L28" s="24" t="str">
        <f>IFERROR(__xludf.DUMMYFUNCTION("""COMPUTED_VALUE"""),"Liyu")</f>
        <v>Liyu</v>
      </c>
      <c r="N28" s="24" t="b">
        <f>IFERROR(__xludf.DUMMYFUNCTION("""COMPUTED_VALUE"""),FALSE)</f>
        <v>0</v>
      </c>
      <c r="O28" s="18" t="str">
        <f>IFERROR(__xludf.DUMMYFUNCTION("""COMPUTED_VALUE"""),"Booking.com")</f>
        <v>Booking.com</v>
      </c>
      <c r="P28" s="24">
        <f>IFERROR(__xludf.DUMMYFUNCTION("""COMPUTED_VALUE"""),10.0)</f>
        <v>10</v>
      </c>
      <c r="Q28" s="25">
        <f>IFERROR(__xludf.DUMMYFUNCTION("""COMPUTED_VALUE"""),46107.0)</f>
        <v>46107</v>
      </c>
      <c r="R28" s="24"/>
      <c r="S28" s="24"/>
      <c r="T28" s="24"/>
      <c r="U28" s="24" t="str">
        <f>IFERROR(__xludf.DUMMYFUNCTION("""COMPUTED_VALUE"""),"")</f>
        <v/>
      </c>
      <c r="V28" s="24" t="str">
        <f>IFERROR(__xludf.DUMMYFUNCTION("""COMPUTED_VALUE"""),"")</f>
        <v/>
      </c>
      <c r="W28" s="24" t="str">
        <f>IFERROR(__xludf.DUMMYFUNCTION("""COMPUTED_VALUE"""),"")</f>
        <v/>
      </c>
      <c r="X28" s="24" t="str">
        <f>IFERROR(__xludf.DUMMYFUNCTION("""COMPUTED_VALUE"""),"Liyu")</f>
        <v>Liyu</v>
      </c>
    </row>
    <row r="29">
      <c r="B29" s="17" t="b">
        <f>IFERROR(__xludf.DUMMYFUNCTION("""COMPUTED_VALUE"""),FALSE)</f>
        <v>0</v>
      </c>
      <c r="C29" s="18" t="str">
        <f>IFERROR(__xludf.DUMMYFUNCTION("""COMPUTED_VALUE"""),"Trip.com")</f>
        <v>Trip.com</v>
      </c>
      <c r="D29" s="5">
        <f>IFERROR(__xludf.DUMMYFUNCTION("""COMPUTED_VALUE"""),9.0)</f>
        <v>9</v>
      </c>
      <c r="E29" s="19">
        <f>IFERROR(__xludf.DUMMYFUNCTION("""COMPUTED_VALUE"""),46107.0)</f>
        <v>46107</v>
      </c>
      <c r="F29"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29" s="5"/>
      <c r="H29" s="5"/>
      <c r="I29"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29" s="30" t="str">
        <f>IFERROR(__xludf.DUMMYFUNCTION("""COMPUTED_VALUE"""),"")</f>
        <v/>
      </c>
      <c r="K29" s="24" t="str">
        <f>IFERROR(__xludf.DUMMYFUNCTION("""COMPUTED_VALUE"""),"")</f>
        <v/>
      </c>
      <c r="L29" s="24" t="str">
        <f>IFERROR(__xludf.DUMMYFUNCTION("""COMPUTED_VALUE"""),"み‍ゆ‍か")</f>
        <v>み‍ゆ‍か</v>
      </c>
      <c r="N29" s="24" t="b">
        <f>IFERROR(__xludf.DUMMYFUNCTION("""COMPUTED_VALUE"""),FALSE)</f>
        <v>0</v>
      </c>
      <c r="O29" s="18" t="str">
        <f>IFERROR(__xludf.DUMMYFUNCTION("""COMPUTED_VALUE"""),"Trip.com")</f>
        <v>Trip.com</v>
      </c>
      <c r="P29" s="24">
        <f>IFERROR(__xludf.DUMMYFUNCTION("""COMPUTED_VALUE"""),9.0)</f>
        <v>9</v>
      </c>
      <c r="Q29" s="25">
        <f>IFERROR(__xludf.DUMMYFUNCTION("""COMPUTED_VALUE"""),46107.0)</f>
        <v>46107</v>
      </c>
      <c r="R29"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29" s="24"/>
      <c r="T29" s="24"/>
      <c r="U29"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29" s="24" t="str">
        <f>IFERROR(__xludf.DUMMYFUNCTION("""COMPUTED_VALUE"""),"")</f>
        <v/>
      </c>
      <c r="W29" s="24" t="str">
        <f>IFERROR(__xludf.DUMMYFUNCTION("""COMPUTED_VALUE"""),"")</f>
        <v/>
      </c>
      <c r="X29" s="24" t="str">
        <f>IFERROR(__xludf.DUMMYFUNCTION("""COMPUTED_VALUE"""),"み‍ゆ‍か")</f>
        <v>み‍ゆ‍か</v>
      </c>
    </row>
    <row r="30">
      <c r="B30" s="17" t="b">
        <f>IFERROR(__xludf.DUMMYFUNCTION("""COMPUTED_VALUE"""),FALSE)</f>
        <v>0</v>
      </c>
      <c r="C30" s="24" t="str">
        <f>IFERROR(__xludf.DUMMYFUNCTION("""COMPUTED_VALUE"""),"Google")</f>
        <v>Google</v>
      </c>
      <c r="D30" s="5">
        <f>IFERROR(__xludf.DUMMYFUNCTION("""COMPUTED_VALUE"""),5.0)</f>
        <v>5</v>
      </c>
      <c r="E30" s="19">
        <f>IFERROR(__xludf.DUMMYFUNCTION("""COMPUTED_VALUE"""),46106.0)</f>
        <v>46106</v>
      </c>
      <c r="F30"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30" s="5"/>
      <c r="H30" s="5"/>
      <c r="I30"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30" s="5" t="str">
        <f>IFERROR(__xludf.DUMMYFUNCTION("""COMPUTED_VALUE"""),"")</f>
        <v/>
      </c>
      <c r="K30" s="24" t="str">
        <f>IFERROR(__xludf.DUMMYFUNCTION("""COMPUTED_VALUE"""),"")</f>
        <v/>
      </c>
      <c r="L30" s="24" t="str">
        <f>IFERROR(__xludf.DUMMYFUNCTION("""COMPUTED_VALUE"""),"Muay Arandyarak")</f>
        <v>Muay Arandyarak</v>
      </c>
      <c r="N30" s="24" t="b">
        <f>IFERROR(__xludf.DUMMYFUNCTION("""COMPUTED_VALUE"""),FALSE)</f>
        <v>0</v>
      </c>
      <c r="O30" s="24" t="str">
        <f>IFERROR(__xludf.DUMMYFUNCTION("""COMPUTED_VALUE"""),"Google")</f>
        <v>Google</v>
      </c>
      <c r="P30" s="24">
        <f>IFERROR(__xludf.DUMMYFUNCTION("""COMPUTED_VALUE"""),5.0)</f>
        <v>5</v>
      </c>
      <c r="Q30" s="25">
        <f>IFERROR(__xludf.DUMMYFUNCTION("""COMPUTED_VALUE"""),46106.0)</f>
        <v>46106</v>
      </c>
      <c r="R30"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30" s="24"/>
      <c r="T30" s="24"/>
      <c r="U30"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30" s="24" t="str">
        <f>IFERROR(__xludf.DUMMYFUNCTION("""COMPUTED_VALUE"""),"")</f>
        <v/>
      </c>
      <c r="W30" s="24" t="str">
        <f>IFERROR(__xludf.DUMMYFUNCTION("""COMPUTED_VALUE"""),"")</f>
        <v/>
      </c>
      <c r="X30" s="24" t="str">
        <f>IFERROR(__xludf.DUMMYFUNCTION("""COMPUTED_VALUE"""),"Muay Arandyarak")</f>
        <v>Muay Arandyarak</v>
      </c>
    </row>
    <row r="31">
      <c r="B31" s="17" t="b">
        <f>IFERROR(__xludf.DUMMYFUNCTION("""COMPUTED_VALUE"""),FALSE)</f>
        <v>0</v>
      </c>
      <c r="C31" s="18" t="str">
        <f>IFERROR(__xludf.DUMMYFUNCTION("""COMPUTED_VALUE"""),"Trip.com")</f>
        <v>Trip.com</v>
      </c>
      <c r="D31" s="5">
        <f>IFERROR(__xludf.DUMMYFUNCTION("""COMPUTED_VALUE"""),10.0)</f>
        <v>10</v>
      </c>
      <c r="E31" s="19">
        <f>IFERROR(__xludf.DUMMYFUNCTION("""COMPUTED_VALUE"""),46106.0)</f>
        <v>46106</v>
      </c>
      <c r="F31"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31" s="5"/>
      <c r="H31" s="5"/>
      <c r="I31"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31" s="5" t="str">
        <f>IFERROR(__xludf.DUMMYFUNCTION("""COMPUTED_VALUE"""),"")</f>
        <v/>
      </c>
      <c r="K31" s="24" t="str">
        <f>IFERROR(__xludf.DUMMYFUNCTION("""COMPUTED_VALUE"""),"")</f>
        <v/>
      </c>
      <c r="L31" s="24" t="str">
        <f>IFERROR(__xludf.DUMMYFUNCTION("""COMPUTED_VALUE"""),"A‍m‍y‍ ‍ ‍Ł‍î‍a‍o")</f>
        <v>A‍m‍y‍ ‍ ‍Ł‍î‍a‍o</v>
      </c>
      <c r="N31" s="24" t="b">
        <f>IFERROR(__xludf.DUMMYFUNCTION("""COMPUTED_VALUE"""),FALSE)</f>
        <v>0</v>
      </c>
      <c r="O31" s="18" t="str">
        <f>IFERROR(__xludf.DUMMYFUNCTION("""COMPUTED_VALUE"""),"Trip.com")</f>
        <v>Trip.com</v>
      </c>
      <c r="P31" s="24">
        <f>IFERROR(__xludf.DUMMYFUNCTION("""COMPUTED_VALUE"""),10.0)</f>
        <v>10</v>
      </c>
      <c r="Q31" s="25">
        <f>IFERROR(__xludf.DUMMYFUNCTION("""COMPUTED_VALUE"""),46106.0)</f>
        <v>46106</v>
      </c>
      <c r="R31"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31" s="24"/>
      <c r="T31" s="24"/>
      <c r="U31"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31" s="24" t="str">
        <f>IFERROR(__xludf.DUMMYFUNCTION("""COMPUTED_VALUE"""),"")</f>
        <v/>
      </c>
      <c r="W31" s="24" t="str">
        <f>IFERROR(__xludf.DUMMYFUNCTION("""COMPUTED_VALUE"""),"")</f>
        <v/>
      </c>
      <c r="X31" s="24" t="str">
        <f>IFERROR(__xludf.DUMMYFUNCTION("""COMPUTED_VALUE"""),"A‍m‍y‍ ‍ ‍Ł‍î‍a‍o")</f>
        <v>A‍m‍y‍ ‍ ‍Ł‍î‍a‍o</v>
      </c>
    </row>
    <row r="32">
      <c r="B32" s="17" t="b">
        <f>IFERROR(__xludf.DUMMYFUNCTION("""COMPUTED_VALUE"""),FALSE)</f>
        <v>0</v>
      </c>
      <c r="C32" s="18" t="str">
        <f>IFERROR(__xludf.DUMMYFUNCTION("""COMPUTED_VALUE"""),"Trip.com")</f>
        <v>Trip.com</v>
      </c>
      <c r="D32" s="5">
        <f>IFERROR(__xludf.DUMMYFUNCTION("""COMPUTED_VALUE"""),7.0)</f>
        <v>7</v>
      </c>
      <c r="E32" s="19">
        <f>IFERROR(__xludf.DUMMYFUNCTION("""COMPUTED_VALUE"""),46106.0)</f>
        <v>46106</v>
      </c>
      <c r="F32" s="5" t="str">
        <f>IFERROR(__xludf.DUMMYFUNCTION("""COMPUTED_VALUE"""),"気持ちよく利用できました")</f>
        <v>気持ちよく利用できました</v>
      </c>
      <c r="G32" s="5"/>
      <c r="H32" s="5"/>
      <c r="I32" s="5" t="str">
        <f>IFERROR(__xludf.DUMMYFUNCTION("""COMPUTED_VALUE"""),"気持ちよく利用できました")</f>
        <v>気持ちよく利用できました</v>
      </c>
      <c r="J32" s="5" t="str">
        <f>IFERROR(__xludf.DUMMYFUNCTION("""COMPUTED_VALUE"""),"")</f>
        <v/>
      </c>
      <c r="K32" s="24" t="str">
        <f>IFERROR(__xludf.DUMMYFUNCTION("""COMPUTED_VALUE"""),"")</f>
        <v/>
      </c>
      <c r="L32" s="24" t="str">
        <f>IFERROR(__xludf.DUMMYFUNCTION("""COMPUTED_VALUE"""),"ゲ‍ス‍ト")</f>
        <v>ゲ‍ス‍ト</v>
      </c>
      <c r="N32" s="24" t="b">
        <f>IFERROR(__xludf.DUMMYFUNCTION("""COMPUTED_VALUE"""),FALSE)</f>
        <v>0</v>
      </c>
      <c r="O32" s="18" t="str">
        <f>IFERROR(__xludf.DUMMYFUNCTION("""COMPUTED_VALUE"""),"Trip.com")</f>
        <v>Trip.com</v>
      </c>
      <c r="P32" s="24">
        <f>IFERROR(__xludf.DUMMYFUNCTION("""COMPUTED_VALUE"""),7.0)</f>
        <v>7</v>
      </c>
      <c r="Q32" s="25">
        <f>IFERROR(__xludf.DUMMYFUNCTION("""COMPUTED_VALUE"""),46106.0)</f>
        <v>46106</v>
      </c>
      <c r="R32" s="24" t="str">
        <f>IFERROR(__xludf.DUMMYFUNCTION("""COMPUTED_VALUE"""),"気持ちよく利用できました")</f>
        <v>気持ちよく利用できました</v>
      </c>
      <c r="S32" s="24"/>
      <c r="T32" s="24"/>
      <c r="U32" s="24" t="str">
        <f>IFERROR(__xludf.DUMMYFUNCTION("""COMPUTED_VALUE"""),"気持ちよく利用できました")</f>
        <v>気持ちよく利用できました</v>
      </c>
      <c r="V32" s="24" t="str">
        <f>IFERROR(__xludf.DUMMYFUNCTION("""COMPUTED_VALUE"""),"")</f>
        <v/>
      </c>
      <c r="W32" s="24" t="str">
        <f>IFERROR(__xludf.DUMMYFUNCTION("""COMPUTED_VALUE"""),"")</f>
        <v/>
      </c>
      <c r="X32" s="24" t="str">
        <f>IFERROR(__xludf.DUMMYFUNCTION("""COMPUTED_VALUE"""),"ゲ‍ス‍ト")</f>
        <v>ゲ‍ス‍ト</v>
      </c>
    </row>
    <row r="33">
      <c r="B33" s="17" t="b">
        <f>IFERROR(__xludf.DUMMYFUNCTION("""COMPUTED_VALUE"""),FALSE)</f>
        <v>0</v>
      </c>
      <c r="C33" s="18" t="str">
        <f>IFERROR(__xludf.DUMMYFUNCTION("""COMPUTED_VALUE"""),"Booking.com")</f>
        <v>Booking.com</v>
      </c>
      <c r="D33" s="5">
        <f>IFERROR(__xludf.DUMMYFUNCTION("""COMPUTED_VALUE"""),10.0)</f>
        <v>10</v>
      </c>
      <c r="E33" s="19">
        <f>IFERROR(__xludf.DUMMYFUNCTION("""COMPUTED_VALUE"""),46106.0)</f>
        <v>46106</v>
      </c>
      <c r="F33" s="5"/>
      <c r="G33" s="5" t="str">
        <f>IFERROR(__xludf.DUMMYFUNCTION("""COMPUTED_VALUE"""),"La proximité avec la gare, Le petit déjeuner, L'accueil et la gentillesse du personnel")</f>
        <v>La proximité avec la gare, Le petit déjeuner, L'accueil et la gentillesse du personnel</v>
      </c>
      <c r="H33" s="5"/>
      <c r="I33" s="5" t="str">
        <f>IFERROR(__xludf.DUMMYFUNCTION("""COMPUTED_VALUE"""),"")</f>
        <v/>
      </c>
      <c r="J33" s="5" t="str">
        <f>IFERROR(__xludf.DUMMYFUNCTION("""COMPUTED_VALUE"""),"駅に近いこと、朝食、スタッフの温かい歓迎と親切さ")</f>
        <v>駅に近いこと、朝食、スタッフの温かい歓迎と親切さ</v>
      </c>
      <c r="K33" s="24" t="str">
        <f>IFERROR(__xludf.DUMMYFUNCTION("""COMPUTED_VALUE"""),"")</f>
        <v/>
      </c>
      <c r="L33" s="24" t="str">
        <f>IFERROR(__xludf.DUMMYFUNCTION("""COMPUTED_VALUE"""),"Thomas")</f>
        <v>Thomas</v>
      </c>
      <c r="N33" s="24" t="b">
        <f>IFERROR(__xludf.DUMMYFUNCTION("""COMPUTED_VALUE"""),FALSE)</f>
        <v>0</v>
      </c>
      <c r="O33" s="18" t="str">
        <f>IFERROR(__xludf.DUMMYFUNCTION("""COMPUTED_VALUE"""),"Booking.com")</f>
        <v>Booking.com</v>
      </c>
      <c r="P33" s="24">
        <f>IFERROR(__xludf.DUMMYFUNCTION("""COMPUTED_VALUE"""),10.0)</f>
        <v>10</v>
      </c>
      <c r="Q33" s="25">
        <f>IFERROR(__xludf.DUMMYFUNCTION("""COMPUTED_VALUE"""),46106.0)</f>
        <v>46106</v>
      </c>
      <c r="R33" s="24"/>
      <c r="S33" s="24" t="str">
        <f>IFERROR(__xludf.DUMMYFUNCTION("""COMPUTED_VALUE"""),"La proximité avec la gare, Le petit déjeuner, L'accueil et la gentillesse du personnel")</f>
        <v>La proximité avec la gare, Le petit déjeuner, L'accueil et la gentillesse du personnel</v>
      </c>
      <c r="T33" s="24"/>
      <c r="U33" s="24" t="str">
        <f>IFERROR(__xludf.DUMMYFUNCTION("""COMPUTED_VALUE"""),"")</f>
        <v/>
      </c>
      <c r="V33" s="24" t="str">
        <f>IFERROR(__xludf.DUMMYFUNCTION("""COMPUTED_VALUE"""),"駅に近いこと、朝食、スタッフの温かい歓迎と親切さ")</f>
        <v>駅に近いこと、朝食、スタッフの温かい歓迎と親切さ</v>
      </c>
      <c r="W33" s="24" t="str">
        <f>IFERROR(__xludf.DUMMYFUNCTION("""COMPUTED_VALUE"""),"")</f>
        <v/>
      </c>
      <c r="X33" s="24" t="str">
        <f>IFERROR(__xludf.DUMMYFUNCTION("""COMPUTED_VALUE"""),"Thomas")</f>
        <v>Thomas</v>
      </c>
    </row>
    <row r="34">
      <c r="B34" s="17" t="b">
        <f>IFERROR(__xludf.DUMMYFUNCTION("""COMPUTED_VALUE"""),FALSE)</f>
        <v>0</v>
      </c>
      <c r="C34" s="24" t="str">
        <f>IFERROR(__xludf.DUMMYFUNCTION("""COMPUTED_VALUE"""),"Google")</f>
        <v>Google</v>
      </c>
      <c r="D34" s="5">
        <f>IFERROR(__xludf.DUMMYFUNCTION("""COMPUTED_VALUE"""),5.0)</f>
        <v>5</v>
      </c>
      <c r="E34" s="19">
        <f>IFERROR(__xludf.DUMMYFUNCTION("""COMPUTED_VALUE"""),46106.0)</f>
        <v>46106</v>
      </c>
      <c r="F34"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34" s="5"/>
      <c r="H34" s="5"/>
      <c r="I3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34" s="5" t="str">
        <f>IFERROR(__xludf.DUMMYFUNCTION("""COMPUTED_VALUE"""),"")</f>
        <v/>
      </c>
      <c r="K34" s="24" t="str">
        <f>IFERROR(__xludf.DUMMYFUNCTION("""COMPUTED_VALUE"""),"")</f>
        <v/>
      </c>
      <c r="L34" s="24" t="str">
        <f>IFERROR(__xludf.DUMMYFUNCTION("""COMPUTED_VALUE"""),"Muay Arandyarak")</f>
        <v>Muay Arandyarak</v>
      </c>
      <c r="N34" s="24" t="b">
        <f>IFERROR(__xludf.DUMMYFUNCTION("""COMPUTED_VALUE"""),FALSE)</f>
        <v>0</v>
      </c>
      <c r="O34" s="24" t="str">
        <f>IFERROR(__xludf.DUMMYFUNCTION("""COMPUTED_VALUE"""),"Google")</f>
        <v>Google</v>
      </c>
      <c r="P34" s="24">
        <f>IFERROR(__xludf.DUMMYFUNCTION("""COMPUTED_VALUE"""),5.0)</f>
        <v>5</v>
      </c>
      <c r="Q34" s="25">
        <f>IFERROR(__xludf.DUMMYFUNCTION("""COMPUTED_VALUE"""),46106.0)</f>
        <v>46106</v>
      </c>
      <c r="R34"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34" s="24"/>
      <c r="T34" s="24"/>
      <c r="U3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34" s="24" t="str">
        <f>IFERROR(__xludf.DUMMYFUNCTION("""COMPUTED_VALUE"""),"")</f>
        <v/>
      </c>
      <c r="W34" s="24" t="str">
        <f>IFERROR(__xludf.DUMMYFUNCTION("""COMPUTED_VALUE"""),"")</f>
        <v/>
      </c>
      <c r="X34" s="24" t="str">
        <f>IFERROR(__xludf.DUMMYFUNCTION("""COMPUTED_VALUE"""),"Muay Arandyarak")</f>
        <v>Muay Arandyarak</v>
      </c>
    </row>
    <row r="35">
      <c r="B35" s="17" t="b">
        <f>IFERROR(__xludf.DUMMYFUNCTION("""COMPUTED_VALUE"""),FALSE)</f>
        <v>0</v>
      </c>
      <c r="C35" s="18" t="str">
        <f>IFERROR(__xludf.DUMMYFUNCTION("""COMPUTED_VALUE"""),"Booking.com")</f>
        <v>Booking.com</v>
      </c>
      <c r="D35" s="5">
        <f>IFERROR(__xludf.DUMMYFUNCTION("""COMPUTED_VALUE"""),10.0)</f>
        <v>10</v>
      </c>
      <c r="E35" s="19">
        <f>IFERROR(__xludf.DUMMYFUNCTION("""COMPUTED_VALUE"""),46105.0)</f>
        <v>46105</v>
      </c>
      <c r="F35" s="5"/>
      <c r="G35"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35" s="5"/>
      <c r="I35" s="5" t="str">
        <f>IFERROR(__xludf.DUMMYFUNCTION("""COMPUTED_VALUE"""),"")</f>
        <v/>
      </c>
      <c r="J35"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35" s="24" t="str">
        <f>IFERROR(__xludf.DUMMYFUNCTION("""COMPUTED_VALUE"""),"")</f>
        <v/>
      </c>
      <c r="L35" s="24" t="str">
        <f>IFERROR(__xludf.DUMMYFUNCTION("""COMPUTED_VALUE"""),"Aleksandr")</f>
        <v>Aleksandr</v>
      </c>
      <c r="N35" s="24" t="b">
        <f>IFERROR(__xludf.DUMMYFUNCTION("""COMPUTED_VALUE"""),FALSE)</f>
        <v>0</v>
      </c>
      <c r="O35" s="18" t="str">
        <f>IFERROR(__xludf.DUMMYFUNCTION("""COMPUTED_VALUE"""),"Booking.com")</f>
        <v>Booking.com</v>
      </c>
      <c r="P35" s="24">
        <f>IFERROR(__xludf.DUMMYFUNCTION("""COMPUTED_VALUE"""),10.0)</f>
        <v>10</v>
      </c>
      <c r="Q35" s="25">
        <f>IFERROR(__xludf.DUMMYFUNCTION("""COMPUTED_VALUE"""),46105.0)</f>
        <v>46105</v>
      </c>
      <c r="R35" s="24"/>
      <c r="S35"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35" s="24"/>
      <c r="U35" s="24" t="str">
        <f>IFERROR(__xludf.DUMMYFUNCTION("""COMPUTED_VALUE"""),"")</f>
        <v/>
      </c>
      <c r="V35"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35" s="24" t="str">
        <f>IFERROR(__xludf.DUMMYFUNCTION("""COMPUTED_VALUE"""),"")</f>
        <v/>
      </c>
      <c r="X35" s="24" t="str">
        <f>IFERROR(__xludf.DUMMYFUNCTION("""COMPUTED_VALUE"""),"Aleksandr")</f>
        <v>Aleksandr</v>
      </c>
    </row>
    <row r="36">
      <c r="B36" s="17" t="b">
        <f>IFERROR(__xludf.DUMMYFUNCTION("""COMPUTED_VALUE"""),FALSE)</f>
        <v>0</v>
      </c>
      <c r="C36" s="18" t="str">
        <f>IFERROR(__xludf.DUMMYFUNCTION("""COMPUTED_VALUE"""),"Booking.com")</f>
        <v>Booking.com</v>
      </c>
      <c r="D36" s="5">
        <f>IFERROR(__xludf.DUMMYFUNCTION("""COMPUTED_VALUE"""),10.0)</f>
        <v>10</v>
      </c>
      <c r="E36" s="19">
        <f>IFERROR(__xludf.DUMMYFUNCTION("""COMPUTED_VALUE"""),46105.0)</f>
        <v>46105</v>
      </c>
      <c r="F36" s="5"/>
      <c r="G36" s="5"/>
      <c r="H36" s="5"/>
      <c r="I36" s="5" t="str">
        <f>IFERROR(__xludf.DUMMYFUNCTION("""COMPUTED_VALUE"""),"")</f>
        <v/>
      </c>
      <c r="J36" s="5" t="str">
        <f>IFERROR(__xludf.DUMMYFUNCTION("""COMPUTED_VALUE"""),"")</f>
        <v/>
      </c>
      <c r="K36" s="24" t="str">
        <f>IFERROR(__xludf.DUMMYFUNCTION("""COMPUTED_VALUE"""),"")</f>
        <v/>
      </c>
      <c r="L36" s="24" t="str">
        <f>IFERROR(__xludf.DUMMYFUNCTION("""COMPUTED_VALUE"""),"江口")</f>
        <v>江口</v>
      </c>
      <c r="N36" s="24" t="b">
        <f>IFERROR(__xludf.DUMMYFUNCTION("""COMPUTED_VALUE"""),FALSE)</f>
        <v>0</v>
      </c>
      <c r="O36" s="18" t="str">
        <f>IFERROR(__xludf.DUMMYFUNCTION("""COMPUTED_VALUE"""),"Booking.com")</f>
        <v>Booking.com</v>
      </c>
      <c r="P36" s="24">
        <f>IFERROR(__xludf.DUMMYFUNCTION("""COMPUTED_VALUE"""),10.0)</f>
        <v>10</v>
      </c>
      <c r="Q36" s="25">
        <f>IFERROR(__xludf.DUMMYFUNCTION("""COMPUTED_VALUE"""),46105.0)</f>
        <v>46105</v>
      </c>
      <c r="R36" s="24"/>
      <c r="S36" s="24"/>
      <c r="T36" s="24"/>
      <c r="U36" s="24" t="str">
        <f>IFERROR(__xludf.DUMMYFUNCTION("""COMPUTED_VALUE"""),"")</f>
        <v/>
      </c>
      <c r="V36" s="24" t="str">
        <f>IFERROR(__xludf.DUMMYFUNCTION("""COMPUTED_VALUE"""),"")</f>
        <v/>
      </c>
      <c r="W36" s="24" t="str">
        <f>IFERROR(__xludf.DUMMYFUNCTION("""COMPUTED_VALUE"""),"")</f>
        <v/>
      </c>
      <c r="X36" s="24" t="str">
        <f>IFERROR(__xludf.DUMMYFUNCTION("""COMPUTED_VALUE"""),"江口")</f>
        <v>江口</v>
      </c>
    </row>
    <row r="37">
      <c r="B37" s="17" t="b">
        <f>IFERROR(__xludf.DUMMYFUNCTION("""COMPUTED_VALUE"""),FALSE)</f>
        <v>0</v>
      </c>
      <c r="C37" s="18" t="str">
        <f>IFERROR(__xludf.DUMMYFUNCTION("""COMPUTED_VALUE"""),"Trip.com")</f>
        <v>Trip.com</v>
      </c>
      <c r="D37" s="5">
        <f>IFERROR(__xludf.DUMMYFUNCTION("""COMPUTED_VALUE"""),10.0)</f>
        <v>10</v>
      </c>
      <c r="E37" s="19">
        <f>IFERROR(__xludf.DUMMYFUNCTION("""COMPUTED_VALUE"""),46104.0)</f>
        <v>46104</v>
      </c>
      <c r="F37" s="5" t="str">
        <f>IFERROR(__xludf.DUMMYFUNCTION("""COMPUTED_VALUE"""),"酒店員工服務態度良好，房間乾淨企理。整體不錯。")</f>
        <v>酒店員工服務態度良好，房間乾淨企理。整體不錯。</v>
      </c>
      <c r="G37" s="5"/>
      <c r="H37" s="5"/>
      <c r="I37"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37" s="5" t="str">
        <f>IFERROR(__xludf.DUMMYFUNCTION("""COMPUTED_VALUE"""),"")</f>
        <v/>
      </c>
      <c r="K37" s="24" t="str">
        <f>IFERROR(__xludf.DUMMYFUNCTION("""COMPUTED_VALUE"""),"")</f>
        <v/>
      </c>
      <c r="L37" s="24" t="str">
        <f>IFERROR(__xludf.DUMMYFUNCTION("""COMPUTED_VALUE"""),"ゲ‍ス‍ト")</f>
        <v>ゲ‍ス‍ト</v>
      </c>
      <c r="N37" s="24" t="b">
        <f>IFERROR(__xludf.DUMMYFUNCTION("""COMPUTED_VALUE"""),FALSE)</f>
        <v>0</v>
      </c>
      <c r="O37" s="18" t="str">
        <f>IFERROR(__xludf.DUMMYFUNCTION("""COMPUTED_VALUE"""),"Trip.com")</f>
        <v>Trip.com</v>
      </c>
      <c r="P37" s="24">
        <f>IFERROR(__xludf.DUMMYFUNCTION("""COMPUTED_VALUE"""),10.0)</f>
        <v>10</v>
      </c>
      <c r="Q37" s="25">
        <f>IFERROR(__xludf.DUMMYFUNCTION("""COMPUTED_VALUE"""),46104.0)</f>
        <v>46104</v>
      </c>
      <c r="R37" s="24" t="str">
        <f>IFERROR(__xludf.DUMMYFUNCTION("""COMPUTED_VALUE"""),"酒店員工服務態度良好，房間乾淨企理。整體不錯。")</f>
        <v>酒店員工服務態度良好，房間乾淨企理。整體不錯。</v>
      </c>
      <c r="S37" s="24"/>
      <c r="T37" s="24"/>
      <c r="U37"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37" s="24" t="str">
        <f>IFERROR(__xludf.DUMMYFUNCTION("""COMPUTED_VALUE"""),"")</f>
        <v/>
      </c>
      <c r="W37" s="24" t="str">
        <f>IFERROR(__xludf.DUMMYFUNCTION("""COMPUTED_VALUE"""),"")</f>
        <v/>
      </c>
      <c r="X37" s="24" t="str">
        <f>IFERROR(__xludf.DUMMYFUNCTION("""COMPUTED_VALUE"""),"ゲ‍ス‍ト")</f>
        <v>ゲ‍ス‍ト</v>
      </c>
    </row>
    <row r="38">
      <c r="B38" s="17" t="b">
        <f>IFERROR(__xludf.DUMMYFUNCTION("""COMPUTED_VALUE"""),FALSE)</f>
        <v>0</v>
      </c>
      <c r="C38" s="18" t="str">
        <f>IFERROR(__xludf.DUMMYFUNCTION("""COMPUTED_VALUE"""),"Booking.com")</f>
        <v>Booking.com</v>
      </c>
      <c r="D38" s="5">
        <f>IFERROR(__xludf.DUMMYFUNCTION("""COMPUTED_VALUE"""),9.0)</f>
        <v>9</v>
      </c>
      <c r="E38" s="19">
        <f>IFERROR(__xludf.DUMMYFUNCTION("""COMPUTED_VALUE"""),46104.0)</f>
        <v>46104</v>
      </c>
      <c r="F38" s="5"/>
      <c r="G38" s="5" t="str">
        <f>IFERROR(__xludf.DUMMYFUNCTION("""COMPUTED_VALUE"""),"部屋が広い、風呂が洗い場が別で、使い良い")</f>
        <v>部屋が広い、風呂が洗い場が別で、使い良い</v>
      </c>
      <c r="H38" s="5" t="str">
        <f>IFERROR(__xludf.DUMMYFUNCTION("""COMPUTED_VALUE"""),"無し")</f>
        <v>無し</v>
      </c>
      <c r="I38" s="5" t="str">
        <f>IFERROR(__xludf.DUMMYFUNCTION("""COMPUTED_VALUE"""),"")</f>
        <v/>
      </c>
      <c r="J38" s="5" t="str">
        <f>IFERROR(__xludf.DUMMYFUNCTION("""COMPUTED_VALUE"""),"部屋が広い、風呂が洗い場が別で、使い良い")</f>
        <v>部屋が広い、風呂が洗い場が別で、使い良い</v>
      </c>
      <c r="K38" s="24" t="str">
        <f>IFERROR(__xludf.DUMMYFUNCTION("""COMPUTED_VALUE"""),"無し")</f>
        <v>無し</v>
      </c>
      <c r="L38" s="24" t="str">
        <f>IFERROR(__xludf.DUMMYFUNCTION("""COMPUTED_VALUE"""),"Seiichi")</f>
        <v>Seiichi</v>
      </c>
      <c r="N38" s="24" t="b">
        <f>IFERROR(__xludf.DUMMYFUNCTION("""COMPUTED_VALUE"""),FALSE)</f>
        <v>0</v>
      </c>
      <c r="O38" s="18" t="str">
        <f>IFERROR(__xludf.DUMMYFUNCTION("""COMPUTED_VALUE"""),"Booking.com")</f>
        <v>Booking.com</v>
      </c>
      <c r="P38" s="24">
        <f>IFERROR(__xludf.DUMMYFUNCTION("""COMPUTED_VALUE"""),9.0)</f>
        <v>9</v>
      </c>
      <c r="Q38" s="25">
        <f>IFERROR(__xludf.DUMMYFUNCTION("""COMPUTED_VALUE"""),46104.0)</f>
        <v>46104</v>
      </c>
      <c r="R38" s="24"/>
      <c r="S38" s="24" t="str">
        <f>IFERROR(__xludf.DUMMYFUNCTION("""COMPUTED_VALUE"""),"部屋が広い、風呂が洗い場が別で、使い良い")</f>
        <v>部屋が広い、風呂が洗い場が別で、使い良い</v>
      </c>
      <c r="T38" s="24" t="str">
        <f>IFERROR(__xludf.DUMMYFUNCTION("""COMPUTED_VALUE"""),"無し")</f>
        <v>無し</v>
      </c>
      <c r="U38" s="24" t="str">
        <f>IFERROR(__xludf.DUMMYFUNCTION("""COMPUTED_VALUE"""),"")</f>
        <v/>
      </c>
      <c r="V38" s="24" t="str">
        <f>IFERROR(__xludf.DUMMYFUNCTION("""COMPUTED_VALUE"""),"部屋が広い、風呂が洗い場が別で、使い良い")</f>
        <v>部屋が広い、風呂が洗い場が別で、使い良い</v>
      </c>
      <c r="W38" s="24" t="str">
        <f>IFERROR(__xludf.DUMMYFUNCTION("""COMPUTED_VALUE"""),"無し")</f>
        <v>無し</v>
      </c>
      <c r="X38" s="24" t="str">
        <f>IFERROR(__xludf.DUMMYFUNCTION("""COMPUTED_VALUE"""),"Seiichi")</f>
        <v>Seiichi</v>
      </c>
    </row>
    <row r="39">
      <c r="B39" s="17" t="b">
        <f>IFERROR(__xludf.DUMMYFUNCTION("""COMPUTED_VALUE"""),FALSE)</f>
        <v>0</v>
      </c>
      <c r="C39" s="18" t="str">
        <f>IFERROR(__xludf.DUMMYFUNCTION("""COMPUTED_VALUE"""),"Booking.com")</f>
        <v>Booking.com</v>
      </c>
      <c r="D39" s="5">
        <f>IFERROR(__xludf.DUMMYFUNCTION("""COMPUTED_VALUE"""),8.0)</f>
        <v>8</v>
      </c>
      <c r="E39" s="19">
        <f>IFERROR(__xludf.DUMMYFUNCTION("""COMPUTED_VALUE"""),46104.0)</f>
        <v>46104</v>
      </c>
      <c r="F39" s="5"/>
      <c r="G39" s="5" t="str">
        <f>IFERROR(__xludf.DUMMYFUNCTION("""COMPUTED_VALUE"""),"お風呂場が広くて快適だった。")</f>
        <v>お風呂場が広くて快適だった。</v>
      </c>
      <c r="H39" s="5" t="str">
        <f>IFERROR(__xludf.DUMMYFUNCTION("""COMPUTED_VALUE"""),"特になし")</f>
        <v>特になし</v>
      </c>
      <c r="I39" s="5" t="str">
        <f>IFERROR(__xludf.DUMMYFUNCTION("""COMPUTED_VALUE"""),"")</f>
        <v/>
      </c>
      <c r="J39" s="5" t="str">
        <f>IFERROR(__xludf.DUMMYFUNCTION("""COMPUTED_VALUE"""),"お風呂場が広くて快適だった。")</f>
        <v>お風呂場が広くて快適だった。</v>
      </c>
      <c r="K39" s="24" t="str">
        <f>IFERROR(__xludf.DUMMYFUNCTION("""COMPUTED_VALUE"""),"特になし")</f>
        <v>特になし</v>
      </c>
      <c r="L39" s="24" t="str">
        <f>IFERROR(__xludf.DUMMYFUNCTION("""COMPUTED_VALUE"""),"H")</f>
        <v>H</v>
      </c>
      <c r="N39" s="24" t="b">
        <f>IFERROR(__xludf.DUMMYFUNCTION("""COMPUTED_VALUE"""),FALSE)</f>
        <v>0</v>
      </c>
      <c r="O39" s="18" t="str">
        <f>IFERROR(__xludf.DUMMYFUNCTION("""COMPUTED_VALUE"""),"Booking.com")</f>
        <v>Booking.com</v>
      </c>
      <c r="P39" s="24">
        <f>IFERROR(__xludf.DUMMYFUNCTION("""COMPUTED_VALUE"""),8.0)</f>
        <v>8</v>
      </c>
      <c r="Q39" s="25">
        <f>IFERROR(__xludf.DUMMYFUNCTION("""COMPUTED_VALUE"""),46104.0)</f>
        <v>46104</v>
      </c>
      <c r="R39" s="24"/>
      <c r="S39" s="24" t="str">
        <f>IFERROR(__xludf.DUMMYFUNCTION("""COMPUTED_VALUE"""),"お風呂場が広くて快適だった。")</f>
        <v>お風呂場が広くて快適だった。</v>
      </c>
      <c r="T39" s="24" t="str">
        <f>IFERROR(__xludf.DUMMYFUNCTION("""COMPUTED_VALUE"""),"特になし")</f>
        <v>特になし</v>
      </c>
      <c r="U39" s="24" t="str">
        <f>IFERROR(__xludf.DUMMYFUNCTION("""COMPUTED_VALUE"""),"")</f>
        <v/>
      </c>
      <c r="V39" s="24" t="str">
        <f>IFERROR(__xludf.DUMMYFUNCTION("""COMPUTED_VALUE"""),"お風呂場が広くて快適だった。")</f>
        <v>お風呂場が広くて快適だった。</v>
      </c>
      <c r="W39" s="24" t="str">
        <f>IFERROR(__xludf.DUMMYFUNCTION("""COMPUTED_VALUE"""),"特になし")</f>
        <v>特になし</v>
      </c>
      <c r="X39" s="24" t="str">
        <f>IFERROR(__xludf.DUMMYFUNCTION("""COMPUTED_VALUE"""),"H")</f>
        <v>H</v>
      </c>
    </row>
    <row r="40">
      <c r="B40" s="17" t="b">
        <f>IFERROR(__xludf.DUMMYFUNCTION("""COMPUTED_VALUE"""),FALSE)</f>
        <v>0</v>
      </c>
      <c r="C40" s="18" t="str">
        <f>IFERROR(__xludf.DUMMYFUNCTION("""COMPUTED_VALUE"""),"Booking.com")</f>
        <v>Booking.com</v>
      </c>
      <c r="D40" s="5">
        <f>IFERROR(__xludf.DUMMYFUNCTION("""COMPUTED_VALUE"""),9.0)</f>
        <v>9</v>
      </c>
      <c r="E40" s="19">
        <f>IFERROR(__xludf.DUMMYFUNCTION("""COMPUTED_VALUE"""),46104.0)</f>
        <v>46104</v>
      </c>
      <c r="F40" s="5"/>
      <c r="G40" s="5"/>
      <c r="H40" s="5"/>
      <c r="I40" s="5" t="str">
        <f>IFERROR(__xludf.DUMMYFUNCTION("""COMPUTED_VALUE"""),"")</f>
        <v/>
      </c>
      <c r="J40" s="5" t="str">
        <f>IFERROR(__xludf.DUMMYFUNCTION("""COMPUTED_VALUE"""),"")</f>
        <v/>
      </c>
      <c r="K40" s="24" t="str">
        <f>IFERROR(__xludf.DUMMYFUNCTION("""COMPUTED_VALUE"""),"")</f>
        <v/>
      </c>
      <c r="L40" s="24" t="str">
        <f>IFERROR(__xludf.DUMMYFUNCTION("""COMPUTED_VALUE"""),"Kc")</f>
        <v>Kc</v>
      </c>
      <c r="N40" s="24" t="b">
        <f>IFERROR(__xludf.DUMMYFUNCTION("""COMPUTED_VALUE"""),FALSE)</f>
        <v>0</v>
      </c>
      <c r="O40" s="18" t="str">
        <f>IFERROR(__xludf.DUMMYFUNCTION("""COMPUTED_VALUE"""),"Booking.com")</f>
        <v>Booking.com</v>
      </c>
      <c r="P40" s="24">
        <f>IFERROR(__xludf.DUMMYFUNCTION("""COMPUTED_VALUE"""),9.0)</f>
        <v>9</v>
      </c>
      <c r="Q40" s="25">
        <f>IFERROR(__xludf.DUMMYFUNCTION("""COMPUTED_VALUE"""),46104.0)</f>
        <v>46104</v>
      </c>
      <c r="R40" s="24"/>
      <c r="S40" s="24"/>
      <c r="T40" s="24"/>
      <c r="U40" s="24" t="str">
        <f>IFERROR(__xludf.DUMMYFUNCTION("""COMPUTED_VALUE"""),"")</f>
        <v/>
      </c>
      <c r="V40" s="24" t="str">
        <f>IFERROR(__xludf.DUMMYFUNCTION("""COMPUTED_VALUE"""),"")</f>
        <v/>
      </c>
      <c r="W40" s="24" t="str">
        <f>IFERROR(__xludf.DUMMYFUNCTION("""COMPUTED_VALUE"""),"")</f>
        <v/>
      </c>
      <c r="X40" s="24" t="str">
        <f>IFERROR(__xludf.DUMMYFUNCTION("""COMPUTED_VALUE"""),"Kc")</f>
        <v>Kc</v>
      </c>
    </row>
    <row r="41">
      <c r="B41" s="17" t="b">
        <f>IFERROR(__xludf.DUMMYFUNCTION("""COMPUTED_VALUE"""),FALSE)</f>
        <v>0</v>
      </c>
      <c r="C41" s="18" t="str">
        <f>IFERROR(__xludf.DUMMYFUNCTION("""COMPUTED_VALUE"""),"Trip.com")</f>
        <v>Trip.com</v>
      </c>
      <c r="D41" s="5">
        <f>IFERROR(__xludf.DUMMYFUNCTION("""COMPUTED_VALUE"""),8.0)</f>
        <v>8</v>
      </c>
      <c r="E41" s="19">
        <f>IFERROR(__xludf.DUMMYFUNCTION("""COMPUTED_VALUE"""),46103.0)</f>
        <v>46103</v>
      </c>
      <c r="F41"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41" s="5"/>
      <c r="H41" s="5"/>
      <c r="I41"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41" s="5" t="str">
        <f>IFERROR(__xludf.DUMMYFUNCTION("""COMPUTED_VALUE"""),"")</f>
        <v/>
      </c>
      <c r="K41" s="24" t="str">
        <f>IFERROR(__xludf.DUMMYFUNCTION("""COMPUTED_VALUE"""),"")</f>
        <v/>
      </c>
      <c r="L41" s="24" t="str">
        <f>IFERROR(__xludf.DUMMYFUNCTION("""COMPUTED_VALUE"""),"O‍w‍s‍ ‍O‍w‍l‍s")</f>
        <v>O‍w‍s‍ ‍O‍w‍l‍s</v>
      </c>
      <c r="N41" s="24" t="b">
        <f>IFERROR(__xludf.DUMMYFUNCTION("""COMPUTED_VALUE"""),FALSE)</f>
        <v>0</v>
      </c>
      <c r="O41" s="18" t="str">
        <f>IFERROR(__xludf.DUMMYFUNCTION("""COMPUTED_VALUE"""),"Trip.com")</f>
        <v>Trip.com</v>
      </c>
      <c r="P41" s="24">
        <f>IFERROR(__xludf.DUMMYFUNCTION("""COMPUTED_VALUE"""),8.0)</f>
        <v>8</v>
      </c>
      <c r="Q41" s="25">
        <f>IFERROR(__xludf.DUMMYFUNCTION("""COMPUTED_VALUE"""),46103.0)</f>
        <v>46103</v>
      </c>
      <c r="R41"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41" s="24"/>
      <c r="T41" s="24"/>
      <c r="U41"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41" s="24" t="str">
        <f>IFERROR(__xludf.DUMMYFUNCTION("""COMPUTED_VALUE"""),"")</f>
        <v/>
      </c>
      <c r="W41" s="24" t="str">
        <f>IFERROR(__xludf.DUMMYFUNCTION("""COMPUTED_VALUE"""),"")</f>
        <v/>
      </c>
      <c r="X41" s="24" t="str">
        <f>IFERROR(__xludf.DUMMYFUNCTION("""COMPUTED_VALUE"""),"O‍w‍s‍ ‍O‍w‍l‍s")</f>
        <v>O‍w‍s‍ ‍O‍w‍l‍s</v>
      </c>
    </row>
    <row r="42">
      <c r="B42" s="17" t="b">
        <f>IFERROR(__xludf.DUMMYFUNCTION("""COMPUTED_VALUE"""),FALSE)</f>
        <v>0</v>
      </c>
      <c r="C42" s="18" t="str">
        <f>IFERROR(__xludf.DUMMYFUNCTION("""COMPUTED_VALUE"""),"Booking.com")</f>
        <v>Booking.com</v>
      </c>
      <c r="D42" s="5">
        <f>IFERROR(__xludf.DUMMYFUNCTION("""COMPUTED_VALUE"""),10.0)</f>
        <v>10</v>
      </c>
      <c r="E42" s="19">
        <f>IFERROR(__xludf.DUMMYFUNCTION("""COMPUTED_VALUE"""),46103.0)</f>
        <v>46103</v>
      </c>
      <c r="F42" s="5"/>
      <c r="G42" s="5"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42" s="5"/>
      <c r="I42" s="5" t="str">
        <f>IFERROR(__xludf.DUMMYFUNCTION("""COMPUTED_VALUE"""),"")</f>
        <v/>
      </c>
      <c r="J42"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42" s="24" t="str">
        <f>IFERROR(__xludf.DUMMYFUNCTION("""COMPUTED_VALUE"""),"")</f>
        <v/>
      </c>
      <c r="L42" s="24" t="str">
        <f>IFERROR(__xludf.DUMMYFUNCTION("""COMPUTED_VALUE"""),"Celia")</f>
        <v>Celia</v>
      </c>
      <c r="N42" s="24" t="b">
        <f>IFERROR(__xludf.DUMMYFUNCTION("""COMPUTED_VALUE"""),FALSE)</f>
        <v>0</v>
      </c>
      <c r="O42" s="18" t="str">
        <f>IFERROR(__xludf.DUMMYFUNCTION("""COMPUTED_VALUE"""),"Booking.com")</f>
        <v>Booking.com</v>
      </c>
      <c r="P42" s="24">
        <f>IFERROR(__xludf.DUMMYFUNCTION("""COMPUTED_VALUE"""),10.0)</f>
        <v>10</v>
      </c>
      <c r="Q42" s="25">
        <f>IFERROR(__xludf.DUMMYFUNCTION("""COMPUTED_VALUE"""),46103.0)</f>
        <v>46103</v>
      </c>
      <c r="R42" s="24"/>
      <c r="S42"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42" s="24"/>
      <c r="U42" s="24" t="str">
        <f>IFERROR(__xludf.DUMMYFUNCTION("""COMPUTED_VALUE"""),"")</f>
        <v/>
      </c>
      <c r="V42"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42" s="24" t="str">
        <f>IFERROR(__xludf.DUMMYFUNCTION("""COMPUTED_VALUE"""),"")</f>
        <v/>
      </c>
      <c r="X42" s="24" t="str">
        <f>IFERROR(__xludf.DUMMYFUNCTION("""COMPUTED_VALUE"""),"Celia")</f>
        <v>Celia</v>
      </c>
    </row>
    <row r="43">
      <c r="B43" s="17" t="b">
        <f>IFERROR(__xludf.DUMMYFUNCTION("""COMPUTED_VALUE"""),FALSE)</f>
        <v>0</v>
      </c>
      <c r="C43" s="24" t="str">
        <f>IFERROR(__xludf.DUMMYFUNCTION("""COMPUTED_VALUE"""),"Google")</f>
        <v>Google</v>
      </c>
      <c r="D43" s="5">
        <f>IFERROR(__xludf.DUMMYFUNCTION("""COMPUTED_VALUE"""),5.0)</f>
        <v>5</v>
      </c>
      <c r="E43" s="19">
        <f>IFERROR(__xludf.DUMMYFUNCTION("""COMPUTED_VALUE"""),46103.0)</f>
        <v>46103</v>
      </c>
      <c r="F43" s="5" t="str">
        <f>IFERROR(__xludf.DUMMYFUNCTION("""COMPUTED_VALUE"""),"駅やショッピングエリアからはまだ少し距離があります。")</f>
        <v>駅やショッピングエリアからはまだ少し距離があります。</v>
      </c>
      <c r="G43" s="5"/>
      <c r="H43" s="5"/>
      <c r="I43" s="5" t="str">
        <f>IFERROR(__xludf.DUMMYFUNCTION("""COMPUTED_VALUE"""),"駅やショッピングエリアからはまだ少し距離があります。")</f>
        <v>駅やショッピングエリアからはまだ少し距離があります。</v>
      </c>
      <c r="J43" s="5" t="str">
        <f>IFERROR(__xludf.DUMMYFUNCTION("""COMPUTED_VALUE"""),"")</f>
        <v/>
      </c>
      <c r="K43" s="24" t="str">
        <f>IFERROR(__xludf.DUMMYFUNCTION("""COMPUTED_VALUE"""),"")</f>
        <v/>
      </c>
      <c r="L43" s="24" t="str">
        <f>IFERROR(__xludf.DUMMYFUNCTION("""COMPUTED_VALUE"""),"Aj KouNaMi")</f>
        <v>Aj KouNaMi</v>
      </c>
      <c r="N43" s="24" t="b">
        <f>IFERROR(__xludf.DUMMYFUNCTION("""COMPUTED_VALUE"""),FALSE)</f>
        <v>0</v>
      </c>
      <c r="O43" s="24" t="str">
        <f>IFERROR(__xludf.DUMMYFUNCTION("""COMPUTED_VALUE"""),"Google")</f>
        <v>Google</v>
      </c>
      <c r="P43" s="24">
        <f>IFERROR(__xludf.DUMMYFUNCTION("""COMPUTED_VALUE"""),5.0)</f>
        <v>5</v>
      </c>
      <c r="Q43" s="25">
        <f>IFERROR(__xludf.DUMMYFUNCTION("""COMPUTED_VALUE"""),46103.0)</f>
        <v>46103</v>
      </c>
      <c r="R43" s="24" t="str">
        <f>IFERROR(__xludf.DUMMYFUNCTION("""COMPUTED_VALUE"""),"駅やショッピングエリアからはまだ少し距離があります。")</f>
        <v>駅やショッピングエリアからはまだ少し距離があります。</v>
      </c>
      <c r="S43" s="24"/>
      <c r="T43" s="24"/>
      <c r="U43" s="24" t="str">
        <f>IFERROR(__xludf.DUMMYFUNCTION("""COMPUTED_VALUE"""),"駅やショッピングエリアからはまだ少し距離があります。")</f>
        <v>駅やショッピングエリアからはまだ少し距離があります。</v>
      </c>
      <c r="V43" s="24" t="str">
        <f>IFERROR(__xludf.DUMMYFUNCTION("""COMPUTED_VALUE"""),"")</f>
        <v/>
      </c>
      <c r="W43" s="24" t="str">
        <f>IFERROR(__xludf.DUMMYFUNCTION("""COMPUTED_VALUE"""),"")</f>
        <v/>
      </c>
      <c r="X43" s="24" t="str">
        <f>IFERROR(__xludf.DUMMYFUNCTION("""COMPUTED_VALUE"""),"Aj KouNaMi")</f>
        <v>Aj KouNaMi</v>
      </c>
    </row>
    <row r="44">
      <c r="B44" s="17" t="b">
        <f>IFERROR(__xludf.DUMMYFUNCTION("""COMPUTED_VALUE"""),FALSE)</f>
        <v>0</v>
      </c>
      <c r="C44" s="18" t="str">
        <f>IFERROR(__xludf.DUMMYFUNCTION("""COMPUTED_VALUE"""),"Trip.com")</f>
        <v>Trip.com</v>
      </c>
      <c r="D44" s="5">
        <f>IFERROR(__xludf.DUMMYFUNCTION("""COMPUTED_VALUE"""),9.0)</f>
        <v>9</v>
      </c>
      <c r="E44" s="19">
        <f>IFERROR(__xludf.DUMMYFUNCTION("""COMPUTED_VALUE"""),46103.0)</f>
        <v>46103</v>
      </c>
      <c r="F44"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44" s="5"/>
      <c r="H44" s="5"/>
      <c r="I44"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44" s="5" t="str">
        <f>IFERROR(__xludf.DUMMYFUNCTION("""COMPUTED_VALUE"""),"")</f>
        <v/>
      </c>
      <c r="K44" s="24" t="str">
        <f>IFERROR(__xludf.DUMMYFUNCTION("""COMPUTED_VALUE"""),"")</f>
        <v/>
      </c>
      <c r="L44" s="24" t="str">
        <f>IFERROR(__xludf.DUMMYFUNCTION("""COMPUTED_VALUE"""),"A‍n‍n‍(‍*‍¯‍︶‍¯‍*‍)")</f>
        <v>A‍n‍n‍(‍*‍¯‍︶‍¯‍*‍)</v>
      </c>
      <c r="N44" s="24" t="b">
        <f>IFERROR(__xludf.DUMMYFUNCTION("""COMPUTED_VALUE"""),FALSE)</f>
        <v>0</v>
      </c>
      <c r="O44" s="18" t="str">
        <f>IFERROR(__xludf.DUMMYFUNCTION("""COMPUTED_VALUE"""),"Trip.com")</f>
        <v>Trip.com</v>
      </c>
      <c r="P44" s="24">
        <f>IFERROR(__xludf.DUMMYFUNCTION("""COMPUTED_VALUE"""),9.0)</f>
        <v>9</v>
      </c>
      <c r="Q44" s="25">
        <f>IFERROR(__xludf.DUMMYFUNCTION("""COMPUTED_VALUE"""),46103.0)</f>
        <v>46103</v>
      </c>
      <c r="R44"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44" s="24"/>
      <c r="T44" s="24"/>
      <c r="U44"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44" s="24" t="str">
        <f>IFERROR(__xludf.DUMMYFUNCTION("""COMPUTED_VALUE"""),"")</f>
        <v/>
      </c>
      <c r="W44" s="24" t="str">
        <f>IFERROR(__xludf.DUMMYFUNCTION("""COMPUTED_VALUE"""),"")</f>
        <v/>
      </c>
      <c r="X44" s="24" t="str">
        <f>IFERROR(__xludf.DUMMYFUNCTION("""COMPUTED_VALUE"""),"A‍n‍n‍(‍*‍¯‍︶‍¯‍*‍)")</f>
        <v>A‍n‍n‍(‍*‍¯‍︶‍¯‍*‍)</v>
      </c>
    </row>
    <row r="45">
      <c r="B45" s="17" t="b">
        <f>IFERROR(__xludf.DUMMYFUNCTION("""COMPUTED_VALUE"""),FALSE)</f>
        <v>0</v>
      </c>
      <c r="C45" s="24" t="str">
        <f>IFERROR(__xludf.DUMMYFUNCTION("""COMPUTED_VALUE"""),"Google")</f>
        <v>Google</v>
      </c>
      <c r="D45" s="5">
        <f>IFERROR(__xludf.DUMMYFUNCTION("""COMPUTED_VALUE"""),5.0)</f>
        <v>5</v>
      </c>
      <c r="E45" s="19">
        <f>IFERROR(__xludf.DUMMYFUNCTION("""COMPUTED_VALUE"""),46103.0)</f>
        <v>46103</v>
      </c>
      <c r="F45" s="5" t="str">
        <f>IFERROR(__xludf.DUMMYFUNCTION("""COMPUTED_VALUE"""),"距離車站還有逛街地點還是有點距離")</f>
        <v>距離車站還有逛街地點還是有點距離</v>
      </c>
      <c r="G45" s="5"/>
      <c r="H45" s="5"/>
      <c r="I45" s="5" t="str">
        <f>IFERROR(__xludf.DUMMYFUNCTION("""COMPUTED_VALUE"""),"駅やショッピングエリアからはまだ少し距離があります。")</f>
        <v>駅やショッピングエリアからはまだ少し距離があります。</v>
      </c>
      <c r="J45" s="5" t="str">
        <f>IFERROR(__xludf.DUMMYFUNCTION("""COMPUTED_VALUE"""),"")</f>
        <v/>
      </c>
      <c r="K45" s="24" t="str">
        <f>IFERROR(__xludf.DUMMYFUNCTION("""COMPUTED_VALUE"""),"")</f>
        <v/>
      </c>
      <c r="L45" s="24" t="str">
        <f>IFERROR(__xludf.DUMMYFUNCTION("""COMPUTED_VALUE"""),"Aj KouNaMi")</f>
        <v>Aj KouNaMi</v>
      </c>
      <c r="N45" s="24" t="b">
        <f>IFERROR(__xludf.DUMMYFUNCTION("""COMPUTED_VALUE"""),FALSE)</f>
        <v>0</v>
      </c>
      <c r="O45" s="24" t="str">
        <f>IFERROR(__xludf.DUMMYFUNCTION("""COMPUTED_VALUE"""),"Google")</f>
        <v>Google</v>
      </c>
      <c r="P45" s="24">
        <f>IFERROR(__xludf.DUMMYFUNCTION("""COMPUTED_VALUE"""),5.0)</f>
        <v>5</v>
      </c>
      <c r="Q45" s="25">
        <f>IFERROR(__xludf.DUMMYFUNCTION("""COMPUTED_VALUE"""),46103.0)</f>
        <v>46103</v>
      </c>
      <c r="R45" s="24" t="str">
        <f>IFERROR(__xludf.DUMMYFUNCTION("""COMPUTED_VALUE"""),"距離車站還有逛街地點還是有點距離")</f>
        <v>距離車站還有逛街地點還是有點距離</v>
      </c>
      <c r="S45" s="24"/>
      <c r="T45" s="24"/>
      <c r="U45" s="24" t="str">
        <f>IFERROR(__xludf.DUMMYFUNCTION("""COMPUTED_VALUE"""),"駅やショッピングエリアからはまだ少し距離があります。")</f>
        <v>駅やショッピングエリアからはまだ少し距離があります。</v>
      </c>
      <c r="V45" s="24" t="str">
        <f>IFERROR(__xludf.DUMMYFUNCTION("""COMPUTED_VALUE"""),"")</f>
        <v/>
      </c>
      <c r="W45" s="24" t="str">
        <f>IFERROR(__xludf.DUMMYFUNCTION("""COMPUTED_VALUE"""),"")</f>
        <v/>
      </c>
      <c r="X45" s="24" t="str">
        <f>IFERROR(__xludf.DUMMYFUNCTION("""COMPUTED_VALUE"""),"Aj KouNaMi")</f>
        <v>Aj KouNaMi</v>
      </c>
    </row>
    <row r="46">
      <c r="B46" s="17" t="b">
        <f>IFERROR(__xludf.DUMMYFUNCTION("""COMPUTED_VALUE"""),FALSE)</f>
        <v>0</v>
      </c>
      <c r="C46" s="18" t="str">
        <f>IFERROR(__xludf.DUMMYFUNCTION("""COMPUTED_VALUE"""),"Trip.com")</f>
        <v>Trip.com</v>
      </c>
      <c r="D46" s="5">
        <f>IFERROR(__xludf.DUMMYFUNCTION("""COMPUTED_VALUE"""),9.0)</f>
        <v>9</v>
      </c>
      <c r="E46" s="19">
        <f>IFERROR(__xludf.DUMMYFUNCTION("""COMPUTED_VALUE"""),46102.0)</f>
        <v>46102</v>
      </c>
      <c r="F46"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46" s="5"/>
      <c r="H46" s="5"/>
      <c r="I46" s="5"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J46" s="5" t="str">
        <f>IFERROR(__xludf.DUMMYFUNCTION("""COMPUTED_VALUE"""),"")</f>
        <v/>
      </c>
      <c r="K46" s="24" t="str">
        <f>IFERROR(__xludf.DUMMYFUNCTION("""COMPUTED_VALUE"""),"")</f>
        <v/>
      </c>
      <c r="L46" s="24" t="str">
        <f>IFERROR(__xludf.DUMMYFUNCTION("""COMPUTED_VALUE"""),"ゲ‍ス‍ト")</f>
        <v>ゲ‍ス‍ト</v>
      </c>
      <c r="N46" s="24" t="b">
        <f>IFERROR(__xludf.DUMMYFUNCTION("""COMPUTED_VALUE"""),FALSE)</f>
        <v>0</v>
      </c>
      <c r="O46" s="18" t="str">
        <f>IFERROR(__xludf.DUMMYFUNCTION("""COMPUTED_VALUE"""),"Trip.com")</f>
        <v>Trip.com</v>
      </c>
      <c r="P46" s="24">
        <f>IFERROR(__xludf.DUMMYFUNCTION("""COMPUTED_VALUE"""),9.0)</f>
        <v>9</v>
      </c>
      <c r="Q46" s="25">
        <f>IFERROR(__xludf.DUMMYFUNCTION("""COMPUTED_VALUE"""),46102.0)</f>
        <v>46102</v>
      </c>
      <c r="R46"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46" s="24"/>
      <c r="T46" s="24"/>
      <c r="U46" s="24"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V46" s="24" t="str">
        <f>IFERROR(__xludf.DUMMYFUNCTION("""COMPUTED_VALUE"""),"")</f>
        <v/>
      </c>
      <c r="W46" s="24" t="str">
        <f>IFERROR(__xludf.DUMMYFUNCTION("""COMPUTED_VALUE"""),"")</f>
        <v/>
      </c>
      <c r="X46" s="24" t="str">
        <f>IFERROR(__xludf.DUMMYFUNCTION("""COMPUTED_VALUE"""),"ゲ‍ス‍ト")</f>
        <v>ゲ‍ス‍ト</v>
      </c>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IFERROR(__xludf.DUMMYFUNCTION("""COMPUTED_VALUE"""),46102.0)</f>
        <v>46102</v>
      </c>
      <c r="F47"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47" s="5"/>
      <c r="H47" s="5"/>
      <c r="I47"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47" s="5" t="str">
        <f>IFERROR(__xludf.DUMMYFUNCTION("""COMPUTED_VALUE"""),"")</f>
        <v/>
      </c>
      <c r="K47" s="24" t="str">
        <f>IFERROR(__xludf.DUMMYFUNCTION("""COMPUTED_VALUE"""),"")</f>
        <v/>
      </c>
      <c r="L47" s="24" t="str">
        <f>IFERROR(__xludf.DUMMYFUNCTION("""COMPUTED_VALUE"""),"ゲ‍ス‍ト")</f>
        <v>ゲ‍ス‍ト</v>
      </c>
      <c r="N47" s="24" t="b">
        <f>IFERROR(__xludf.DUMMYFUNCTION("""COMPUTED_VALUE"""),FALSE)</f>
        <v>0</v>
      </c>
      <c r="O47" s="18" t="str">
        <f>IFERROR(__xludf.DUMMYFUNCTION("""COMPUTED_VALUE"""),"Trip.com")</f>
        <v>Trip.com</v>
      </c>
      <c r="P47" s="24">
        <f>IFERROR(__xludf.DUMMYFUNCTION("""COMPUTED_VALUE"""),10.0)</f>
        <v>10</v>
      </c>
      <c r="Q47" s="25">
        <f>IFERROR(__xludf.DUMMYFUNCTION("""COMPUTED_VALUE"""),46102.0)</f>
        <v>46102</v>
      </c>
      <c r="R47"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47" s="24"/>
      <c r="T47" s="24"/>
      <c r="U47"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47" s="24" t="str">
        <f>IFERROR(__xludf.DUMMYFUNCTION("""COMPUTED_VALUE"""),"")</f>
        <v/>
      </c>
      <c r="W47" s="24" t="str">
        <f>IFERROR(__xludf.DUMMYFUNCTION("""COMPUTED_VALUE"""),"")</f>
        <v/>
      </c>
      <c r="X47" s="24" t="str">
        <f>IFERROR(__xludf.DUMMYFUNCTION("""COMPUTED_VALUE"""),"ゲ‍ス‍ト")</f>
        <v>ゲ‍ス‍ト</v>
      </c>
    </row>
    <row r="48">
      <c r="B48" s="17" t="b">
        <f>IFERROR(__xludf.DUMMYFUNCTION("""COMPUTED_VALUE"""),FALSE)</f>
        <v>0</v>
      </c>
      <c r="C48" s="18" t="str">
        <f>IFERROR(__xludf.DUMMYFUNCTION("""COMPUTED_VALUE"""),"Trip.com")</f>
        <v>Trip.com</v>
      </c>
      <c r="D48" s="5">
        <f>IFERROR(__xludf.DUMMYFUNCTION("""COMPUTED_VALUE"""),10.0)</f>
        <v>10</v>
      </c>
      <c r="E48" s="19">
        <f>IFERROR(__xludf.DUMMYFUNCTION("""COMPUTED_VALUE"""),46101.0)</f>
        <v>46101</v>
      </c>
      <c r="F48" s="5" t="str">
        <f>IFERROR(__xludf.DUMMYFUNCTION("""COMPUTED_VALUE"""),"房間大 乾淨 有乾濕分離")</f>
        <v>房間大 乾淨 有乾濕分離</v>
      </c>
      <c r="G48" s="5"/>
      <c r="H48" s="5"/>
      <c r="I48" s="5" t="str">
        <f>IFERROR(__xludf.DUMMYFUNCTION("""COMPUTED_VALUE"""),"部屋は広くて清潔で、濡れた場所と乾いた場所が分かれている。")</f>
        <v>部屋は広くて清潔で、濡れた場所と乾いた場所が分かれている。</v>
      </c>
      <c r="J48" s="5" t="str">
        <f>IFERROR(__xludf.DUMMYFUNCTION("""COMPUTED_VALUE"""),"")</f>
        <v/>
      </c>
      <c r="K48" s="24" t="str">
        <f>IFERROR(__xludf.DUMMYFUNCTION("""COMPUTED_VALUE"""),"")</f>
        <v/>
      </c>
      <c r="L48" s="24" t="str">
        <f>IFERROR(__xludf.DUMMYFUNCTION("""COMPUTED_VALUE"""),"ゲ‍ス‍ト")</f>
        <v>ゲ‍ス‍ト</v>
      </c>
      <c r="N48" s="24" t="b">
        <f>IFERROR(__xludf.DUMMYFUNCTION("""COMPUTED_VALUE"""),FALSE)</f>
        <v>0</v>
      </c>
      <c r="O48" s="18" t="str">
        <f>IFERROR(__xludf.DUMMYFUNCTION("""COMPUTED_VALUE"""),"Trip.com")</f>
        <v>Trip.com</v>
      </c>
      <c r="P48" s="24">
        <f>IFERROR(__xludf.DUMMYFUNCTION("""COMPUTED_VALUE"""),10.0)</f>
        <v>10</v>
      </c>
      <c r="Q48" s="25">
        <f>IFERROR(__xludf.DUMMYFUNCTION("""COMPUTED_VALUE"""),46101.0)</f>
        <v>46101</v>
      </c>
      <c r="R48" s="24" t="str">
        <f>IFERROR(__xludf.DUMMYFUNCTION("""COMPUTED_VALUE"""),"房間大 乾淨 有乾濕分離")</f>
        <v>房間大 乾淨 有乾濕分離</v>
      </c>
      <c r="S48" s="24"/>
      <c r="T48" s="24"/>
      <c r="U48" s="24" t="str">
        <f>IFERROR(__xludf.DUMMYFUNCTION("""COMPUTED_VALUE"""),"部屋は広くて清潔で、濡れた場所と乾いた場所が分かれている。")</f>
        <v>部屋は広くて清潔で、濡れた場所と乾いた場所が分かれている。</v>
      </c>
      <c r="V48" s="24" t="str">
        <f>IFERROR(__xludf.DUMMYFUNCTION("""COMPUTED_VALUE"""),"")</f>
        <v/>
      </c>
      <c r="W48" s="24" t="str">
        <f>IFERROR(__xludf.DUMMYFUNCTION("""COMPUTED_VALUE"""),"")</f>
        <v/>
      </c>
      <c r="X48" s="24" t="str">
        <f>IFERROR(__xludf.DUMMYFUNCTION("""COMPUTED_VALUE"""),"ゲ‍ス‍ト")</f>
        <v>ゲ‍ス‍ト</v>
      </c>
    </row>
    <row r="49">
      <c r="B49" s="17" t="b">
        <f>IFERROR(__xludf.DUMMYFUNCTION("""COMPUTED_VALUE"""),FALSE)</f>
        <v>0</v>
      </c>
      <c r="C49" s="18" t="str">
        <f>IFERROR(__xludf.DUMMYFUNCTION("""COMPUTED_VALUE"""),"Trip.com")</f>
        <v>Trip.com</v>
      </c>
      <c r="D49" s="5">
        <f>IFERROR(__xludf.DUMMYFUNCTION("""COMPUTED_VALUE"""),10.0)</f>
        <v>10</v>
      </c>
      <c r="E49" s="19">
        <f>IFERROR(__xludf.DUMMYFUNCTION("""COMPUTED_VALUE"""),46101.0)</f>
        <v>46101</v>
      </c>
      <c r="F49" s="5" t="str">
        <f>IFERROR(__xludf.DUMMYFUNCTION("""COMPUTED_VALUE"""),"Perfect location and room size for a family of 4. Highly recommended")</f>
        <v>Perfect location and room size for a family of 4. Highly recommended</v>
      </c>
      <c r="G49" s="5"/>
      <c r="H49" s="5"/>
      <c r="I49" s="5" t="str">
        <f>IFERROR(__xludf.DUMMYFUNCTION("""COMPUTED_VALUE"""),"4人家族に最適な立地と部屋の広さ。非常におすすめです。")</f>
        <v>4人家族に最適な立地と部屋の広さ。非常におすすめです。</v>
      </c>
      <c r="J49" s="5" t="str">
        <f>IFERROR(__xludf.DUMMYFUNCTION("""COMPUTED_VALUE"""),"")</f>
        <v/>
      </c>
      <c r="K49" s="24" t="str">
        <f>IFERROR(__xludf.DUMMYFUNCTION("""COMPUTED_VALUE"""),"")</f>
        <v/>
      </c>
      <c r="L49" s="24" t="str">
        <f>IFERROR(__xludf.DUMMYFUNCTION("""COMPUTED_VALUE"""),"R‍i‍c‍k‍y‍ ‍S‍u‍t‍a‍n‍t‍o")</f>
        <v>R‍i‍c‍k‍y‍ ‍S‍u‍t‍a‍n‍t‍o</v>
      </c>
      <c r="N49" s="24" t="b">
        <f>IFERROR(__xludf.DUMMYFUNCTION("""COMPUTED_VALUE"""),FALSE)</f>
        <v>0</v>
      </c>
      <c r="O49" s="18" t="str">
        <f>IFERROR(__xludf.DUMMYFUNCTION("""COMPUTED_VALUE"""),"Trip.com")</f>
        <v>Trip.com</v>
      </c>
      <c r="P49" s="24">
        <f>IFERROR(__xludf.DUMMYFUNCTION("""COMPUTED_VALUE"""),10.0)</f>
        <v>10</v>
      </c>
      <c r="Q49" s="25">
        <f>IFERROR(__xludf.DUMMYFUNCTION("""COMPUTED_VALUE"""),46101.0)</f>
        <v>46101</v>
      </c>
      <c r="R49" s="24" t="str">
        <f>IFERROR(__xludf.DUMMYFUNCTION("""COMPUTED_VALUE"""),"Perfect location and room size for a family of 4. Highly recommended")</f>
        <v>Perfect location and room size for a family of 4. Highly recommended</v>
      </c>
      <c r="S49" s="24"/>
      <c r="T49" s="24"/>
      <c r="U49" s="24" t="str">
        <f>IFERROR(__xludf.DUMMYFUNCTION("""COMPUTED_VALUE"""),"4人家族に最適な立地と部屋の広さ。非常におすすめです。")</f>
        <v>4人家族に最適な立地と部屋の広さ。非常におすすめです。</v>
      </c>
      <c r="V49" s="24" t="str">
        <f>IFERROR(__xludf.DUMMYFUNCTION("""COMPUTED_VALUE"""),"")</f>
        <v/>
      </c>
      <c r="W49" s="24" t="str">
        <f>IFERROR(__xludf.DUMMYFUNCTION("""COMPUTED_VALUE"""),"")</f>
        <v/>
      </c>
      <c r="X49" s="24" t="str">
        <f>IFERROR(__xludf.DUMMYFUNCTION("""COMPUTED_VALUE"""),"R‍i‍c‍k‍y‍ ‍S‍u‍t‍a‍n‍t‍o")</f>
        <v>R‍i‍c‍k‍y‍ ‍S‍u‍t‍a‍n‍t‍o</v>
      </c>
    </row>
    <row r="50">
      <c r="B50" s="17" t="b">
        <f>IFERROR(__xludf.DUMMYFUNCTION("""COMPUTED_VALUE"""),FALSE)</f>
        <v>0</v>
      </c>
      <c r="C50" s="24" t="str">
        <f>IFERROR(__xludf.DUMMYFUNCTION("""COMPUTED_VALUE"""),"Google")</f>
        <v>Google</v>
      </c>
      <c r="D50" s="5">
        <f>IFERROR(__xludf.DUMMYFUNCTION("""COMPUTED_VALUE"""),4.0)</f>
        <v>4</v>
      </c>
      <c r="E50" s="19">
        <f>IFERROR(__xludf.DUMMYFUNCTION("""COMPUTED_VALUE"""),46101.0)</f>
        <v>46101</v>
      </c>
      <c r="F50" s="5"/>
      <c r="G50" s="5"/>
      <c r="H50" s="5"/>
      <c r="I50" s="5" t="str">
        <f>IFERROR(__xludf.DUMMYFUNCTION("""COMPUTED_VALUE"""),"")</f>
        <v/>
      </c>
      <c r="J50" s="5" t="str">
        <f>IFERROR(__xludf.DUMMYFUNCTION("""COMPUTED_VALUE"""),"")</f>
        <v/>
      </c>
      <c r="K50" s="24" t="str">
        <f>IFERROR(__xludf.DUMMYFUNCTION("""COMPUTED_VALUE"""),"")</f>
        <v/>
      </c>
      <c r="L50" s="24" t="str">
        <f>IFERROR(__xludf.DUMMYFUNCTION("""COMPUTED_VALUE"""),"印藤泉")</f>
        <v>印藤泉</v>
      </c>
      <c r="N50" s="24" t="b">
        <f>IFERROR(__xludf.DUMMYFUNCTION("""COMPUTED_VALUE"""),FALSE)</f>
        <v>0</v>
      </c>
      <c r="O50" s="24" t="str">
        <f>IFERROR(__xludf.DUMMYFUNCTION("""COMPUTED_VALUE"""),"Google")</f>
        <v>Google</v>
      </c>
      <c r="P50" s="24">
        <f>IFERROR(__xludf.DUMMYFUNCTION("""COMPUTED_VALUE"""),4.0)</f>
        <v>4</v>
      </c>
      <c r="Q50" s="25">
        <f>IFERROR(__xludf.DUMMYFUNCTION("""COMPUTED_VALUE"""),46101.0)</f>
        <v>46101</v>
      </c>
      <c r="R50" s="24"/>
      <c r="S50" s="24"/>
      <c r="T50" s="24"/>
      <c r="U50" s="24" t="str">
        <f>IFERROR(__xludf.DUMMYFUNCTION("""COMPUTED_VALUE"""),"")</f>
        <v/>
      </c>
      <c r="V50" s="24" t="str">
        <f>IFERROR(__xludf.DUMMYFUNCTION("""COMPUTED_VALUE"""),"")</f>
        <v/>
      </c>
      <c r="W50" s="24" t="str">
        <f>IFERROR(__xludf.DUMMYFUNCTION("""COMPUTED_VALUE"""),"")</f>
        <v/>
      </c>
      <c r="X50" s="24" t="str">
        <f>IFERROR(__xludf.DUMMYFUNCTION("""COMPUTED_VALUE"""),"印藤泉")</f>
        <v>印藤泉</v>
      </c>
    </row>
    <row r="51">
      <c r="B51" s="17" t="b">
        <f>IFERROR(__xludf.DUMMYFUNCTION("""COMPUTED_VALUE"""),FALSE)</f>
        <v>0</v>
      </c>
      <c r="C51" s="18" t="str">
        <f>IFERROR(__xludf.DUMMYFUNCTION("""COMPUTED_VALUE"""),"Trip.com")</f>
        <v>Trip.com</v>
      </c>
      <c r="D51" s="5">
        <f>IFERROR(__xludf.DUMMYFUNCTION("""COMPUTED_VALUE"""),10.0)</f>
        <v>10</v>
      </c>
      <c r="E51" s="19">
        <f>IFERROR(__xludf.DUMMYFUNCTION("""COMPUTED_VALUE"""),46101.0)</f>
        <v>46101</v>
      </c>
      <c r="F51"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51" s="5"/>
      <c r="H51" s="5"/>
      <c r="I51" s="5"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J51" s="5" t="str">
        <f>IFERROR(__xludf.DUMMYFUNCTION("""COMPUTED_VALUE"""),"")</f>
        <v/>
      </c>
      <c r="K51" s="24" t="str">
        <f>IFERROR(__xludf.DUMMYFUNCTION("""COMPUTED_VALUE"""),"")</f>
        <v/>
      </c>
      <c r="L51" s="24" t="str">
        <f>IFERROR(__xludf.DUMMYFUNCTION("""COMPUTED_VALUE"""),"吳‍思‍宏")</f>
        <v>吳‍思‍宏</v>
      </c>
      <c r="N51" s="24" t="b">
        <f>IFERROR(__xludf.DUMMYFUNCTION("""COMPUTED_VALUE"""),FALSE)</f>
        <v>0</v>
      </c>
      <c r="O51" s="18" t="str">
        <f>IFERROR(__xludf.DUMMYFUNCTION("""COMPUTED_VALUE"""),"Trip.com")</f>
        <v>Trip.com</v>
      </c>
      <c r="P51" s="24">
        <f>IFERROR(__xludf.DUMMYFUNCTION("""COMPUTED_VALUE"""),10.0)</f>
        <v>10</v>
      </c>
      <c r="Q51" s="25">
        <f>IFERROR(__xludf.DUMMYFUNCTION("""COMPUTED_VALUE"""),46101.0)</f>
        <v>46101</v>
      </c>
      <c r="R51"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51" s="24"/>
      <c r="T51" s="24"/>
      <c r="U51" s="24"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V51" s="24" t="str">
        <f>IFERROR(__xludf.DUMMYFUNCTION("""COMPUTED_VALUE"""),"")</f>
        <v/>
      </c>
      <c r="W51" s="24" t="str">
        <f>IFERROR(__xludf.DUMMYFUNCTION("""COMPUTED_VALUE"""),"")</f>
        <v/>
      </c>
      <c r="X51" s="24" t="str">
        <f>IFERROR(__xludf.DUMMYFUNCTION("""COMPUTED_VALUE"""),"吳‍思‍宏")</f>
        <v>吳‍思‍宏</v>
      </c>
    </row>
    <row r="52">
      <c r="B52" s="17" t="b">
        <f>IFERROR(__xludf.DUMMYFUNCTION("""COMPUTED_VALUE"""),FALSE)</f>
        <v>0</v>
      </c>
      <c r="C52" s="18" t="str">
        <f>IFERROR(__xludf.DUMMYFUNCTION("""COMPUTED_VALUE"""),"Booking.com")</f>
        <v>Booking.com</v>
      </c>
      <c r="D52" s="5">
        <f>IFERROR(__xludf.DUMMYFUNCTION("""COMPUTED_VALUE"""),10.0)</f>
        <v>10</v>
      </c>
      <c r="E52" s="19">
        <f>IFERROR(__xludf.DUMMYFUNCTION("""COMPUTED_VALUE"""),46100.0)</f>
        <v>46100</v>
      </c>
      <c r="F52" s="5"/>
      <c r="G52" s="5" t="str">
        <f>IFERROR(__xludf.DUMMYFUNCTION("""COMPUTED_VALUE"""),"入り口の紅茶が良かった")</f>
        <v>入り口の紅茶が良かった</v>
      </c>
      <c r="H52" s="5"/>
      <c r="I52" s="5" t="str">
        <f>IFERROR(__xludf.DUMMYFUNCTION("""COMPUTED_VALUE"""),"")</f>
        <v/>
      </c>
      <c r="J52" s="5" t="str">
        <f>IFERROR(__xludf.DUMMYFUNCTION("""COMPUTED_VALUE"""),"入り口の紅茶が良かった")</f>
        <v>入り口の紅茶が良かった</v>
      </c>
      <c r="K52" s="24" t="str">
        <f>IFERROR(__xludf.DUMMYFUNCTION("""COMPUTED_VALUE"""),"")</f>
        <v/>
      </c>
      <c r="L52" s="24" t="str">
        <f>IFERROR(__xludf.DUMMYFUNCTION("""COMPUTED_VALUE"""),"Yuko")</f>
        <v>Yuko</v>
      </c>
      <c r="N52" s="24" t="b">
        <f>IFERROR(__xludf.DUMMYFUNCTION("""COMPUTED_VALUE"""),FALSE)</f>
        <v>0</v>
      </c>
      <c r="O52" s="18" t="str">
        <f>IFERROR(__xludf.DUMMYFUNCTION("""COMPUTED_VALUE"""),"Booking.com")</f>
        <v>Booking.com</v>
      </c>
      <c r="P52" s="24">
        <f>IFERROR(__xludf.DUMMYFUNCTION("""COMPUTED_VALUE"""),10.0)</f>
        <v>10</v>
      </c>
      <c r="Q52" s="25">
        <f>IFERROR(__xludf.DUMMYFUNCTION("""COMPUTED_VALUE"""),46100.0)</f>
        <v>46100</v>
      </c>
      <c r="R52" s="24"/>
      <c r="S52" s="24" t="str">
        <f>IFERROR(__xludf.DUMMYFUNCTION("""COMPUTED_VALUE"""),"入り口の紅茶が良かった")</f>
        <v>入り口の紅茶が良かった</v>
      </c>
      <c r="T52" s="24"/>
      <c r="U52" s="24" t="str">
        <f>IFERROR(__xludf.DUMMYFUNCTION("""COMPUTED_VALUE"""),"")</f>
        <v/>
      </c>
      <c r="V52" s="24" t="str">
        <f>IFERROR(__xludf.DUMMYFUNCTION("""COMPUTED_VALUE"""),"入り口の紅茶が良かった")</f>
        <v>入り口の紅茶が良かった</v>
      </c>
      <c r="W52" s="24" t="str">
        <f>IFERROR(__xludf.DUMMYFUNCTION("""COMPUTED_VALUE"""),"")</f>
        <v/>
      </c>
      <c r="X52" s="24" t="str">
        <f>IFERROR(__xludf.DUMMYFUNCTION("""COMPUTED_VALUE"""),"Yuko")</f>
        <v>Yuko</v>
      </c>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IFERROR(__xludf.DUMMYFUNCTION("""COMPUTED_VALUE"""),46100.0)</f>
        <v>46100</v>
      </c>
      <c r="F53" s="5" t="str">
        <f>IFERROR(__xludf.DUMMYFUNCTION("""COMPUTED_VALUE"""),"離地鐵站非常近，樓下化粧品自助，面膜自助非常棒，周邊吃，買都很方便")</f>
        <v>離地鐵站非常近，樓下化粧品自助，面膜自助非常棒，周邊吃，買都很方便</v>
      </c>
      <c r="G53" s="5"/>
      <c r="H53" s="5"/>
      <c r="I53"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53" s="5" t="str">
        <f>IFERROR(__xludf.DUMMYFUNCTION("""COMPUTED_VALUE"""),"")</f>
        <v/>
      </c>
      <c r="K53" s="24" t="str">
        <f>IFERROR(__xludf.DUMMYFUNCTION("""COMPUTED_VALUE"""),"")</f>
        <v/>
      </c>
      <c r="L53" s="24" t="str">
        <f>IFERROR(__xludf.DUMMYFUNCTION("""COMPUTED_VALUE"""),"ゲ‍ス‍ト")</f>
        <v>ゲ‍ス‍ト</v>
      </c>
      <c r="N53" s="24" t="b">
        <f>IFERROR(__xludf.DUMMYFUNCTION("""COMPUTED_VALUE"""),FALSE)</f>
        <v>0</v>
      </c>
      <c r="O53" s="18" t="str">
        <f>IFERROR(__xludf.DUMMYFUNCTION("""COMPUTED_VALUE"""),"Trip.com")</f>
        <v>Trip.com</v>
      </c>
      <c r="P53" s="24">
        <f>IFERROR(__xludf.DUMMYFUNCTION("""COMPUTED_VALUE"""),10.0)</f>
        <v>10</v>
      </c>
      <c r="Q53" s="25">
        <f>IFERROR(__xludf.DUMMYFUNCTION("""COMPUTED_VALUE"""),46100.0)</f>
        <v>46100</v>
      </c>
      <c r="R53" s="24" t="str">
        <f>IFERROR(__xludf.DUMMYFUNCTION("""COMPUTED_VALUE"""),"離地鐵站非常近，樓下化粧品自助，面膜自助非常棒，周邊吃，買都很方便")</f>
        <v>離地鐵站非常近，樓下化粧品自助，面膜自助非常棒，周邊吃，買都很方便</v>
      </c>
      <c r="S53" s="24"/>
      <c r="T53" s="24"/>
      <c r="U53"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53" s="24" t="str">
        <f>IFERROR(__xludf.DUMMYFUNCTION("""COMPUTED_VALUE"""),"")</f>
        <v/>
      </c>
      <c r="W53" s="24" t="str">
        <f>IFERROR(__xludf.DUMMYFUNCTION("""COMPUTED_VALUE"""),"")</f>
        <v/>
      </c>
      <c r="X53" s="24" t="str">
        <f>IFERROR(__xludf.DUMMYFUNCTION("""COMPUTED_VALUE"""),"ゲ‍ス‍ト")</f>
        <v>ゲ‍ス‍ト</v>
      </c>
    </row>
    <row r="54">
      <c r="B54" s="17" t="b">
        <f>IFERROR(__xludf.DUMMYFUNCTION("""COMPUTED_VALUE"""),FALSE)</f>
        <v>0</v>
      </c>
      <c r="C54" s="18" t="str">
        <f>IFERROR(__xludf.DUMMYFUNCTION("""COMPUTED_VALUE"""),"Trip.com")</f>
        <v>Trip.com</v>
      </c>
      <c r="D54" s="5">
        <f>IFERROR(__xludf.DUMMYFUNCTION("""COMPUTED_VALUE"""),9.0)</f>
        <v>9</v>
      </c>
      <c r="E54" s="19">
        <f>IFERROR(__xludf.DUMMYFUNCTION("""COMPUTED_VALUE"""),46099.0)</f>
        <v>46099</v>
      </c>
      <c r="F54"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54" s="5"/>
      <c r="H54" s="5"/>
      <c r="I54"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54" s="5" t="str">
        <f>IFERROR(__xludf.DUMMYFUNCTION("""COMPUTED_VALUE"""),"")</f>
        <v/>
      </c>
      <c r="K54" s="24" t="str">
        <f>IFERROR(__xludf.DUMMYFUNCTION("""COMPUTED_VALUE"""),"")</f>
        <v/>
      </c>
      <c r="L54" s="24" t="str">
        <f>IFERROR(__xludf.DUMMYFUNCTION("""COMPUTED_VALUE"""),"み‍ゆ‍か")</f>
        <v>み‍ゆ‍か</v>
      </c>
      <c r="N54" s="24" t="b">
        <f>IFERROR(__xludf.DUMMYFUNCTION("""COMPUTED_VALUE"""),FALSE)</f>
        <v>0</v>
      </c>
      <c r="O54" s="18" t="str">
        <f>IFERROR(__xludf.DUMMYFUNCTION("""COMPUTED_VALUE"""),"Trip.com")</f>
        <v>Trip.com</v>
      </c>
      <c r="P54" s="24">
        <f>IFERROR(__xludf.DUMMYFUNCTION("""COMPUTED_VALUE"""),9.0)</f>
        <v>9</v>
      </c>
      <c r="Q54" s="25">
        <f>IFERROR(__xludf.DUMMYFUNCTION("""COMPUTED_VALUE"""),46099.0)</f>
        <v>46099</v>
      </c>
      <c r="R54"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54" s="24"/>
      <c r="T54" s="24"/>
      <c r="U54"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54" s="24" t="str">
        <f>IFERROR(__xludf.DUMMYFUNCTION("""COMPUTED_VALUE"""),"")</f>
        <v/>
      </c>
      <c r="W54" s="24" t="str">
        <f>IFERROR(__xludf.DUMMYFUNCTION("""COMPUTED_VALUE"""),"")</f>
        <v/>
      </c>
      <c r="X54" s="24" t="str">
        <f>IFERROR(__xludf.DUMMYFUNCTION("""COMPUTED_VALUE"""),"み‍ゆ‍か")</f>
        <v>み‍ゆ‍か</v>
      </c>
    </row>
    <row r="55">
      <c r="B55" s="17" t="b">
        <f>IFERROR(__xludf.DUMMYFUNCTION("""COMPUTED_VALUE"""),FALSE)</f>
        <v>0</v>
      </c>
      <c r="C55" s="18" t="str">
        <f>IFERROR(__xludf.DUMMYFUNCTION("""COMPUTED_VALUE"""),"Trip.com")</f>
        <v>Trip.com</v>
      </c>
      <c r="D55" s="5">
        <f>IFERROR(__xludf.DUMMYFUNCTION("""COMPUTED_VALUE"""),10.0)</f>
        <v>10</v>
      </c>
      <c r="E55" s="19">
        <f>IFERROR(__xludf.DUMMYFUNCTION("""COMPUTED_VALUE"""),46098.0)</f>
        <v>46098</v>
      </c>
      <c r="F55" s="5" t="str">
        <f>IFERROR(__xludf.DUMMYFUNCTION("""COMPUTED_VALUE"""),"Wir waren sehr zufrieden 😃 Alles 👍. Kann ich nur weiterempfehlen")</f>
        <v>Wir waren sehr zufrieden 😃 Alles 👍. Kann ich nur weiterempfehlen</v>
      </c>
      <c r="G55" s="5"/>
      <c r="H55" s="5"/>
      <c r="I55" s="5" t="str">
        <f>IFERROR(__xludf.DUMMYFUNCTION("""COMPUTED_VALUE"""),"とても満足しました😃 全てが素晴らしかったです👍。ぜひお勧めします。")</f>
        <v>とても満足しました😃 全てが素晴らしかったです👍。ぜひお勧めします。</v>
      </c>
      <c r="J55" s="5" t="str">
        <f>IFERROR(__xludf.DUMMYFUNCTION("""COMPUTED_VALUE"""),"")</f>
        <v/>
      </c>
      <c r="K55" s="24" t="str">
        <f>IFERROR(__xludf.DUMMYFUNCTION("""COMPUTED_VALUE"""),"")</f>
        <v/>
      </c>
      <c r="L55" s="24" t="str">
        <f>IFERROR(__xludf.DUMMYFUNCTION("""COMPUTED_VALUE"""),"ゲ‍ス‍ト")</f>
        <v>ゲ‍ス‍ト</v>
      </c>
      <c r="N55" s="24" t="b">
        <f>IFERROR(__xludf.DUMMYFUNCTION("""COMPUTED_VALUE"""),FALSE)</f>
        <v>0</v>
      </c>
      <c r="O55" s="18" t="str">
        <f>IFERROR(__xludf.DUMMYFUNCTION("""COMPUTED_VALUE"""),"Trip.com")</f>
        <v>Trip.com</v>
      </c>
      <c r="P55" s="24">
        <f>IFERROR(__xludf.DUMMYFUNCTION("""COMPUTED_VALUE"""),10.0)</f>
        <v>10</v>
      </c>
      <c r="Q55" s="25">
        <f>IFERROR(__xludf.DUMMYFUNCTION("""COMPUTED_VALUE"""),46098.0)</f>
        <v>46098</v>
      </c>
      <c r="R55" s="24" t="str">
        <f>IFERROR(__xludf.DUMMYFUNCTION("""COMPUTED_VALUE"""),"Wir waren sehr zufrieden 😃 Alles 👍. Kann ich nur weiterempfehlen")</f>
        <v>Wir waren sehr zufrieden 😃 Alles 👍. Kann ich nur weiterempfehlen</v>
      </c>
      <c r="S55" s="24"/>
      <c r="T55" s="24"/>
      <c r="U55" s="24" t="str">
        <f>IFERROR(__xludf.DUMMYFUNCTION("""COMPUTED_VALUE"""),"とても満足しました😃 全てが素晴らしかったです👍。ぜひお勧めします。")</f>
        <v>とても満足しました😃 全てが素晴らしかったです👍。ぜひお勧めします。</v>
      </c>
      <c r="V55" s="24" t="str">
        <f>IFERROR(__xludf.DUMMYFUNCTION("""COMPUTED_VALUE"""),"")</f>
        <v/>
      </c>
      <c r="W55" s="24" t="str">
        <f>IFERROR(__xludf.DUMMYFUNCTION("""COMPUTED_VALUE"""),"")</f>
        <v/>
      </c>
      <c r="X55" s="24" t="str">
        <f>IFERROR(__xludf.DUMMYFUNCTION("""COMPUTED_VALUE"""),"ゲ‍ス‍ト")</f>
        <v>ゲ‍ス‍ト</v>
      </c>
    </row>
    <row r="56">
      <c r="B56" s="17" t="b">
        <f>IFERROR(__xludf.DUMMYFUNCTION("""COMPUTED_VALUE"""),FALSE)</f>
        <v>0</v>
      </c>
      <c r="C56" s="18" t="str">
        <f>IFERROR(__xludf.DUMMYFUNCTION("""COMPUTED_VALUE"""),"Booking.com")</f>
        <v>Booking.com</v>
      </c>
      <c r="D56" s="5">
        <f>IFERROR(__xludf.DUMMYFUNCTION("""COMPUTED_VALUE"""),10.0)</f>
        <v>10</v>
      </c>
      <c r="E56" s="19">
        <f>IFERROR(__xludf.DUMMYFUNCTION("""COMPUTED_VALUE"""),46098.0)</f>
        <v>46098</v>
      </c>
      <c r="F56" s="5"/>
      <c r="G56" s="5" t="str">
        <f>IFERROR(__xludf.DUMMYFUNCTION("""COMPUTED_VALUE"""),"Instalaciones cómodas , zona muy tranquila y relativamente cerca de una estación grande.")</f>
        <v>Instalaciones cómodas , zona muy tranquila y relativamente cerca de una estación grande.</v>
      </c>
      <c r="H56" s="5" t="str">
        <f>IFERROR(__xludf.DUMMYFUNCTION("""COMPUTED_VALUE"""),"Todo bien")</f>
        <v>Todo bien</v>
      </c>
      <c r="I56" s="5" t="str">
        <f>IFERROR(__xludf.DUMMYFUNCTION("""COMPUTED_VALUE"""),"")</f>
        <v/>
      </c>
      <c r="J56" s="5" t="str">
        <f>IFERROR(__xludf.DUMMYFUNCTION("""COMPUTED_VALUE"""),"快適な設備、非常に静かなエリア、そして大きな駅からも比較的近い。")</f>
        <v>快適な設備、非常に静かなエリア、そして大きな駅からも比較的近い。</v>
      </c>
      <c r="K56" s="24" t="str">
        <f>IFERROR(__xludf.DUMMYFUNCTION("""COMPUTED_VALUE"""),"すべて順調です")</f>
        <v>すべて順調です</v>
      </c>
      <c r="L56" s="24" t="str">
        <f>IFERROR(__xludf.DUMMYFUNCTION("""COMPUTED_VALUE"""),"Aylin")</f>
        <v>Aylin</v>
      </c>
      <c r="N56" s="24" t="b">
        <f>IFERROR(__xludf.DUMMYFUNCTION("""COMPUTED_VALUE"""),FALSE)</f>
        <v>0</v>
      </c>
      <c r="O56" s="18" t="str">
        <f>IFERROR(__xludf.DUMMYFUNCTION("""COMPUTED_VALUE"""),"Booking.com")</f>
        <v>Booking.com</v>
      </c>
      <c r="P56" s="24">
        <f>IFERROR(__xludf.DUMMYFUNCTION("""COMPUTED_VALUE"""),10.0)</f>
        <v>10</v>
      </c>
      <c r="Q56" s="25">
        <f>IFERROR(__xludf.DUMMYFUNCTION("""COMPUTED_VALUE"""),46098.0)</f>
        <v>46098</v>
      </c>
      <c r="R56" s="24"/>
      <c r="S56" s="24" t="str">
        <f>IFERROR(__xludf.DUMMYFUNCTION("""COMPUTED_VALUE"""),"Instalaciones cómodas , zona muy tranquila y relativamente cerca de una estación grande.")</f>
        <v>Instalaciones cómodas , zona muy tranquila y relativamente cerca de una estación grande.</v>
      </c>
      <c r="T56" s="24" t="str">
        <f>IFERROR(__xludf.DUMMYFUNCTION("""COMPUTED_VALUE"""),"Todo bien")</f>
        <v>Todo bien</v>
      </c>
      <c r="U56" s="24" t="str">
        <f>IFERROR(__xludf.DUMMYFUNCTION("""COMPUTED_VALUE"""),"")</f>
        <v/>
      </c>
      <c r="V56" s="24" t="str">
        <f>IFERROR(__xludf.DUMMYFUNCTION("""COMPUTED_VALUE"""),"快適な設備、非常に静かなエリア、そして大きな駅からも比較的近い。")</f>
        <v>快適な設備、非常に静かなエリア、そして大きな駅からも比較的近い。</v>
      </c>
      <c r="W56" s="24" t="str">
        <f>IFERROR(__xludf.DUMMYFUNCTION("""COMPUTED_VALUE"""),"すべて順調です")</f>
        <v>すべて順調です</v>
      </c>
      <c r="X56" s="24" t="str">
        <f>IFERROR(__xludf.DUMMYFUNCTION("""COMPUTED_VALUE"""),"Aylin")</f>
        <v>Aylin</v>
      </c>
    </row>
    <row r="57">
      <c r="B57" s="17" t="b">
        <f>IFERROR(__xludf.DUMMYFUNCTION("""COMPUTED_VALUE"""),FALSE)</f>
        <v>0</v>
      </c>
      <c r="C57" s="18" t="str">
        <f>IFERROR(__xludf.DUMMYFUNCTION("""COMPUTED_VALUE"""),"Trip.com")</f>
        <v>Trip.com</v>
      </c>
      <c r="D57" s="5">
        <f>IFERROR(__xludf.DUMMYFUNCTION("""COMPUTED_VALUE"""),10.0)</f>
        <v>10</v>
      </c>
      <c r="E57" s="19">
        <f>IFERROR(__xludf.DUMMYFUNCTION("""COMPUTED_VALUE"""),46098.0)</f>
        <v>46098</v>
      </c>
      <c r="F57"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57" s="5"/>
      <c r="H57" s="5"/>
      <c r="I57"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57" s="5" t="str">
        <f>IFERROR(__xludf.DUMMYFUNCTION("""COMPUTED_VALUE"""),"")</f>
        <v/>
      </c>
      <c r="K57" s="24" t="str">
        <f>IFERROR(__xludf.DUMMYFUNCTION("""COMPUTED_VALUE"""),"")</f>
        <v/>
      </c>
      <c r="L57" s="24" t="str">
        <f>IFERROR(__xludf.DUMMYFUNCTION("""COMPUTED_VALUE"""),"香‍宝‍y‍a")</f>
        <v>香‍宝‍y‍a</v>
      </c>
      <c r="N57" s="24" t="b">
        <f>IFERROR(__xludf.DUMMYFUNCTION("""COMPUTED_VALUE"""),FALSE)</f>
        <v>0</v>
      </c>
      <c r="O57" s="18" t="str">
        <f>IFERROR(__xludf.DUMMYFUNCTION("""COMPUTED_VALUE"""),"Trip.com")</f>
        <v>Trip.com</v>
      </c>
      <c r="P57" s="24">
        <f>IFERROR(__xludf.DUMMYFUNCTION("""COMPUTED_VALUE"""),10.0)</f>
        <v>10</v>
      </c>
      <c r="Q57" s="25">
        <f>IFERROR(__xludf.DUMMYFUNCTION("""COMPUTED_VALUE"""),46098.0)</f>
        <v>46098</v>
      </c>
      <c r="R57"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57" s="24"/>
      <c r="T57" s="24"/>
      <c r="U57"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57" s="24" t="str">
        <f>IFERROR(__xludf.DUMMYFUNCTION("""COMPUTED_VALUE"""),"")</f>
        <v/>
      </c>
      <c r="W57" s="24" t="str">
        <f>IFERROR(__xludf.DUMMYFUNCTION("""COMPUTED_VALUE"""),"")</f>
        <v/>
      </c>
      <c r="X57" s="24" t="str">
        <f>IFERROR(__xludf.DUMMYFUNCTION("""COMPUTED_VALUE"""),"香‍宝‍y‍a")</f>
        <v>香‍宝‍y‍a</v>
      </c>
    </row>
    <row r="58">
      <c r="B58" s="17" t="b">
        <f>IFERROR(__xludf.DUMMYFUNCTION("""COMPUTED_VALUE"""),FALSE)</f>
        <v>0</v>
      </c>
      <c r="C58" s="18" t="str">
        <f>IFERROR(__xludf.DUMMYFUNCTION("""COMPUTED_VALUE"""),"Booking.com")</f>
        <v>Booking.com</v>
      </c>
      <c r="D58" s="5">
        <f>IFERROR(__xludf.DUMMYFUNCTION("""COMPUTED_VALUE"""),8.0)</f>
        <v>8</v>
      </c>
      <c r="E58" s="19">
        <f>IFERROR(__xludf.DUMMYFUNCTION("""COMPUTED_VALUE"""),46098.0)</f>
        <v>46098</v>
      </c>
      <c r="F58" s="5"/>
      <c r="G58" s="5" t="str">
        <f>IFERROR(__xludf.DUMMYFUNCTION("""COMPUTED_VALUE"""),"キレイなホテルでした")</f>
        <v>キレイなホテルでした</v>
      </c>
      <c r="H58" s="5" t="str">
        <f>IFERROR(__xludf.DUMMYFUNCTION("""COMPUTED_VALUE"""),"特にありません。")</f>
        <v>特にありません。</v>
      </c>
      <c r="I58" s="5" t="str">
        <f>IFERROR(__xludf.DUMMYFUNCTION("""COMPUTED_VALUE"""),"")</f>
        <v/>
      </c>
      <c r="J58" s="5" t="str">
        <f>IFERROR(__xludf.DUMMYFUNCTION("""COMPUTED_VALUE"""),"キレイなホテルでした")</f>
        <v>キレイなホテルでした</v>
      </c>
      <c r="K58" s="24" t="str">
        <f>IFERROR(__xludf.DUMMYFUNCTION("""COMPUTED_VALUE"""),"特にありません。")</f>
        <v>特にありません。</v>
      </c>
      <c r="L58" s="24" t="str">
        <f>IFERROR(__xludf.DUMMYFUNCTION("""COMPUTED_VALUE"""),"英一")</f>
        <v>英一</v>
      </c>
      <c r="N58" s="24" t="b">
        <f>IFERROR(__xludf.DUMMYFUNCTION("""COMPUTED_VALUE"""),FALSE)</f>
        <v>0</v>
      </c>
      <c r="O58" s="18" t="str">
        <f>IFERROR(__xludf.DUMMYFUNCTION("""COMPUTED_VALUE"""),"Booking.com")</f>
        <v>Booking.com</v>
      </c>
      <c r="P58" s="24">
        <f>IFERROR(__xludf.DUMMYFUNCTION("""COMPUTED_VALUE"""),8.0)</f>
        <v>8</v>
      </c>
      <c r="Q58" s="25">
        <f>IFERROR(__xludf.DUMMYFUNCTION("""COMPUTED_VALUE"""),46098.0)</f>
        <v>46098</v>
      </c>
      <c r="R58" s="24"/>
      <c r="S58" s="24" t="str">
        <f>IFERROR(__xludf.DUMMYFUNCTION("""COMPUTED_VALUE"""),"キレイなホテルでした")</f>
        <v>キレイなホテルでした</v>
      </c>
      <c r="T58" s="24" t="str">
        <f>IFERROR(__xludf.DUMMYFUNCTION("""COMPUTED_VALUE"""),"特にありません。")</f>
        <v>特にありません。</v>
      </c>
      <c r="U58" s="24" t="str">
        <f>IFERROR(__xludf.DUMMYFUNCTION("""COMPUTED_VALUE"""),"")</f>
        <v/>
      </c>
      <c r="V58" s="24" t="str">
        <f>IFERROR(__xludf.DUMMYFUNCTION("""COMPUTED_VALUE"""),"キレイなホテルでした")</f>
        <v>キレイなホテルでした</v>
      </c>
      <c r="W58" s="24" t="str">
        <f>IFERROR(__xludf.DUMMYFUNCTION("""COMPUTED_VALUE"""),"特にありません。")</f>
        <v>特にありません。</v>
      </c>
      <c r="X58" s="24" t="str">
        <f>IFERROR(__xludf.DUMMYFUNCTION("""COMPUTED_VALUE"""),"英一")</f>
        <v>英一</v>
      </c>
    </row>
    <row r="59">
      <c r="B59" s="24" t="b">
        <f>IFERROR(__xludf.DUMMYFUNCTION("""COMPUTED_VALUE"""),FALSE)</f>
        <v>0</v>
      </c>
      <c r="C59" s="18" t="str">
        <f>IFERROR(__xludf.DUMMYFUNCTION("""COMPUTED_VALUE"""),"Booking.com")</f>
        <v>Booking.com</v>
      </c>
      <c r="D59" s="5">
        <f>IFERROR(__xludf.DUMMYFUNCTION("""COMPUTED_VALUE"""),9.0)</f>
        <v>9</v>
      </c>
      <c r="E59" s="19">
        <f>IFERROR(__xludf.DUMMYFUNCTION("""COMPUTED_VALUE"""),46098.0)</f>
        <v>46098</v>
      </c>
      <c r="F59" s="5"/>
      <c r="G59" s="24"/>
      <c r="H59" s="5"/>
      <c r="I59" s="5" t="str">
        <f>IFERROR(__xludf.DUMMYFUNCTION("""COMPUTED_VALUE"""),"")</f>
        <v/>
      </c>
      <c r="J59" s="5" t="str">
        <f>IFERROR(__xludf.DUMMYFUNCTION("""COMPUTED_VALUE"""),"")</f>
        <v/>
      </c>
      <c r="K59" s="24" t="str">
        <f>IFERROR(__xludf.DUMMYFUNCTION("""COMPUTED_VALUE"""),"")</f>
        <v/>
      </c>
      <c r="L59" s="24" t="str">
        <f>IFERROR(__xludf.DUMMYFUNCTION("""COMPUTED_VALUE"""),"Jhang-jie")</f>
        <v>Jhang-jie</v>
      </c>
      <c r="N59" s="24" t="b">
        <f>IFERROR(__xludf.DUMMYFUNCTION("""COMPUTED_VALUE"""),FALSE)</f>
        <v>0</v>
      </c>
      <c r="O59" s="18" t="str">
        <f>IFERROR(__xludf.DUMMYFUNCTION("""COMPUTED_VALUE"""),"Booking.com")</f>
        <v>Booking.com</v>
      </c>
      <c r="P59" s="24">
        <f>IFERROR(__xludf.DUMMYFUNCTION("""COMPUTED_VALUE"""),9.0)</f>
        <v>9</v>
      </c>
      <c r="Q59" s="25">
        <f>IFERROR(__xludf.DUMMYFUNCTION("""COMPUTED_VALUE"""),46098.0)</f>
        <v>46098</v>
      </c>
      <c r="R59" s="24"/>
      <c r="S59" s="24"/>
      <c r="T59" s="24"/>
      <c r="U59" s="24" t="str">
        <f>IFERROR(__xludf.DUMMYFUNCTION("""COMPUTED_VALUE"""),"")</f>
        <v/>
      </c>
      <c r="V59" s="24" t="str">
        <f>IFERROR(__xludf.DUMMYFUNCTION("""COMPUTED_VALUE"""),"")</f>
        <v/>
      </c>
      <c r="W59" s="24" t="str">
        <f>IFERROR(__xludf.DUMMYFUNCTION("""COMPUTED_VALUE"""),"")</f>
        <v/>
      </c>
      <c r="X59" s="24" t="str">
        <f>IFERROR(__xludf.DUMMYFUNCTION("""COMPUTED_VALUE"""),"Jhang-jie")</f>
        <v>Jhang-jie</v>
      </c>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IFERROR(__xludf.DUMMYFUNCTION("""COMPUTED_VALUE"""),46098.0)</f>
        <v>46098</v>
      </c>
      <c r="F60" s="5"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60" s="24"/>
      <c r="H60" s="5"/>
      <c r="I60"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60" s="5" t="str">
        <f>IFERROR(__xludf.DUMMYFUNCTION("""COMPUTED_VALUE"""),"")</f>
        <v/>
      </c>
      <c r="K60" s="24" t="str">
        <f>IFERROR(__xludf.DUMMYFUNCTION("""COMPUTED_VALUE"""),"")</f>
        <v/>
      </c>
      <c r="L60" s="24" t="str">
        <f>IFERROR(__xludf.DUMMYFUNCTION("""COMPUTED_VALUE"""),"ゲ‍ス‍ト")</f>
        <v>ゲ‍ス‍ト</v>
      </c>
      <c r="N60" s="24" t="b">
        <f>IFERROR(__xludf.DUMMYFUNCTION("""COMPUTED_VALUE"""),FALSE)</f>
        <v>0</v>
      </c>
      <c r="O60" s="18" t="str">
        <f>IFERROR(__xludf.DUMMYFUNCTION("""COMPUTED_VALUE"""),"Trip.com")</f>
        <v>Trip.com</v>
      </c>
      <c r="P60" s="24">
        <f>IFERROR(__xludf.DUMMYFUNCTION("""COMPUTED_VALUE"""),10.0)</f>
        <v>10</v>
      </c>
      <c r="Q60" s="25">
        <f>IFERROR(__xludf.DUMMYFUNCTION("""COMPUTED_VALUE"""),46098.0)</f>
        <v>46098</v>
      </c>
      <c r="R60"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60" s="24"/>
      <c r="T60" s="24"/>
      <c r="U60"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60" s="24" t="str">
        <f>IFERROR(__xludf.DUMMYFUNCTION("""COMPUTED_VALUE"""),"")</f>
        <v/>
      </c>
      <c r="W60" s="24" t="str">
        <f>IFERROR(__xludf.DUMMYFUNCTION("""COMPUTED_VALUE"""),"")</f>
        <v/>
      </c>
      <c r="X60" s="24" t="str">
        <f>IFERROR(__xludf.DUMMYFUNCTION("""COMPUTED_VALUE"""),"ゲ‍ス‍ト")</f>
        <v>ゲ‍ス‍ト</v>
      </c>
    </row>
    <row r="61">
      <c r="B61" s="24" t="b">
        <f>IFERROR(__xludf.DUMMYFUNCTION("""COMPUTED_VALUE"""),FALSE)</f>
        <v>0</v>
      </c>
      <c r="C61" s="18" t="str">
        <f>IFERROR(__xludf.DUMMYFUNCTION("""COMPUTED_VALUE"""),"Booking.com")</f>
        <v>Booking.com</v>
      </c>
      <c r="D61" s="5">
        <f>IFERROR(__xludf.DUMMYFUNCTION("""COMPUTED_VALUE"""),7.0)</f>
        <v>7</v>
      </c>
      <c r="E61" s="19">
        <f>IFERROR(__xludf.DUMMYFUNCTION("""COMPUTED_VALUE"""),46097.0)</f>
        <v>46097</v>
      </c>
      <c r="F61" s="5"/>
      <c r="G61" s="24"/>
      <c r="H61" s="5" t="str">
        <f>IFERROR(__xludf.DUMMYFUNCTION("""COMPUTED_VALUE"""),"いつも使うので、特別な価格サービスをお願いできればありがたいです。")</f>
        <v>いつも使うので、特別な価格サービスをお願いできればありがたいです。</v>
      </c>
      <c r="I61" s="5" t="str">
        <f>IFERROR(__xludf.DUMMYFUNCTION("""COMPUTED_VALUE"""),"")</f>
        <v/>
      </c>
      <c r="J61" s="5" t="str">
        <f>IFERROR(__xludf.DUMMYFUNCTION("""COMPUTED_VALUE"""),"")</f>
        <v/>
      </c>
      <c r="K61" s="24" t="str">
        <f>IFERROR(__xludf.DUMMYFUNCTION("""COMPUTED_VALUE"""),"いつも使うので、特別な価格サービスをお願いできればありがたいです。")</f>
        <v>いつも使うので、特別な価格サービスをお願いできればありがたいです。</v>
      </c>
      <c r="L61" s="24" t="str">
        <f>IFERROR(__xludf.DUMMYFUNCTION("""COMPUTED_VALUE"""),"吉田")</f>
        <v>吉田</v>
      </c>
      <c r="N61" s="24" t="b">
        <f>IFERROR(__xludf.DUMMYFUNCTION("""COMPUTED_VALUE"""),FALSE)</f>
        <v>0</v>
      </c>
      <c r="O61" s="18" t="str">
        <f>IFERROR(__xludf.DUMMYFUNCTION("""COMPUTED_VALUE"""),"Booking.com")</f>
        <v>Booking.com</v>
      </c>
      <c r="P61" s="24">
        <f>IFERROR(__xludf.DUMMYFUNCTION("""COMPUTED_VALUE"""),7.0)</f>
        <v>7</v>
      </c>
      <c r="Q61" s="25">
        <f>IFERROR(__xludf.DUMMYFUNCTION("""COMPUTED_VALUE"""),46097.0)</f>
        <v>46097</v>
      </c>
      <c r="R61" s="24"/>
      <c r="S61" s="24"/>
      <c r="T61" s="24" t="str">
        <f>IFERROR(__xludf.DUMMYFUNCTION("""COMPUTED_VALUE"""),"いつも使うので、特別な価格サービスをお願いできればありがたいです。")</f>
        <v>いつも使うので、特別な価格サービスをお願いできればありがたいです。</v>
      </c>
      <c r="U61" s="24" t="str">
        <f>IFERROR(__xludf.DUMMYFUNCTION("""COMPUTED_VALUE"""),"")</f>
        <v/>
      </c>
      <c r="V61" s="24" t="str">
        <f>IFERROR(__xludf.DUMMYFUNCTION("""COMPUTED_VALUE"""),"")</f>
        <v/>
      </c>
      <c r="W61" s="24" t="str">
        <f>IFERROR(__xludf.DUMMYFUNCTION("""COMPUTED_VALUE"""),"いつも使うので、特別な価格サービスをお願いできればありがたいです。")</f>
        <v>いつも使うので、特別な価格サービスをお願いできればありがたいです。</v>
      </c>
      <c r="X61" s="24" t="str">
        <f>IFERROR(__xludf.DUMMYFUNCTION("""COMPUTED_VALUE"""),"吉田")</f>
        <v>吉田</v>
      </c>
    </row>
    <row r="62">
      <c r="B62" s="24" t="b">
        <f>IFERROR(__xludf.DUMMYFUNCTION("""COMPUTED_VALUE"""),FALSE)</f>
        <v>0</v>
      </c>
      <c r="C62" s="18" t="str">
        <f>IFERROR(__xludf.DUMMYFUNCTION("""COMPUTED_VALUE"""),"Trip.com")</f>
        <v>Trip.com</v>
      </c>
      <c r="D62" s="5">
        <f>IFERROR(__xludf.DUMMYFUNCTION("""COMPUTED_VALUE"""),10.0)</f>
        <v>10</v>
      </c>
      <c r="E62" s="19">
        <f>IFERROR(__xludf.DUMMYFUNCTION("""COMPUTED_VALUE"""),46096.0)</f>
        <v>46096</v>
      </c>
      <c r="F62" s="5"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62" s="24"/>
      <c r="H62" s="5"/>
      <c r="I62"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62" s="5" t="str">
        <f>IFERROR(__xludf.DUMMYFUNCTION("""COMPUTED_VALUE"""),"")</f>
        <v/>
      </c>
      <c r="K62" s="24" t="str">
        <f>IFERROR(__xludf.DUMMYFUNCTION("""COMPUTED_VALUE"""),"")</f>
        <v/>
      </c>
      <c r="L62" s="24" t="str">
        <f>IFERROR(__xludf.DUMMYFUNCTION("""COMPUTED_VALUE"""),"ゲ‍ス‍ト")</f>
        <v>ゲ‍ス‍ト</v>
      </c>
      <c r="N62" s="24" t="b">
        <f>IFERROR(__xludf.DUMMYFUNCTION("""COMPUTED_VALUE"""),FALSE)</f>
        <v>0</v>
      </c>
      <c r="O62" s="18" t="str">
        <f>IFERROR(__xludf.DUMMYFUNCTION("""COMPUTED_VALUE"""),"Trip.com")</f>
        <v>Trip.com</v>
      </c>
      <c r="P62" s="24">
        <f>IFERROR(__xludf.DUMMYFUNCTION("""COMPUTED_VALUE"""),10.0)</f>
        <v>10</v>
      </c>
      <c r="Q62" s="25">
        <f>IFERROR(__xludf.DUMMYFUNCTION("""COMPUTED_VALUE"""),46096.0)</f>
        <v>46096</v>
      </c>
      <c r="R62"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62" s="24"/>
      <c r="T62" s="24"/>
      <c r="U62"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62" s="24" t="str">
        <f>IFERROR(__xludf.DUMMYFUNCTION("""COMPUTED_VALUE"""),"")</f>
        <v/>
      </c>
      <c r="W62" s="24" t="str">
        <f>IFERROR(__xludf.DUMMYFUNCTION("""COMPUTED_VALUE"""),"")</f>
        <v/>
      </c>
      <c r="X62" s="24" t="str">
        <f>IFERROR(__xludf.DUMMYFUNCTION("""COMPUTED_VALUE"""),"ゲ‍ス‍ト")</f>
        <v>ゲ‍ス‍ト</v>
      </c>
    </row>
    <row r="63">
      <c r="B63" s="24" t="b">
        <f>IFERROR(__xludf.DUMMYFUNCTION("""COMPUTED_VALUE"""),FALSE)</f>
        <v>0</v>
      </c>
      <c r="C63" s="18" t="str">
        <f>IFERROR(__xludf.DUMMYFUNCTION("""COMPUTED_VALUE"""),"Booking.com")</f>
        <v>Booking.com</v>
      </c>
      <c r="D63" s="5">
        <f>IFERROR(__xludf.DUMMYFUNCTION("""COMPUTED_VALUE"""),9.0)</f>
        <v>9</v>
      </c>
      <c r="E63" s="19">
        <f>IFERROR(__xludf.DUMMYFUNCTION("""COMPUTED_VALUE"""),46096.0)</f>
        <v>46096</v>
      </c>
      <c r="F63" s="5"/>
      <c r="G63"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63" s="5" t="str">
        <f>IFERROR(__xludf.DUMMYFUNCTION("""COMPUTED_VALUE"""),"Parlano poco inglese.  Poca offerta di cose nella colazione.")</f>
        <v>Parlano poco inglese.  Poca offerta di cose nella colazione.</v>
      </c>
      <c r="I63" s="5" t="str">
        <f>IFERROR(__xludf.DUMMYFUNCTION("""COMPUTED_VALUE"""),"")</f>
        <v/>
      </c>
      <c r="J63"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K63" s="24" t="str">
        <f>IFERROR(__xludf.DUMMYFUNCTION("""COMPUTED_VALUE"""),"彼らは英語をほとんど話しません。朝食の種類は限られています。")</f>
        <v>彼らは英語をほとんど話しません。朝食の種類は限られています。</v>
      </c>
      <c r="L63" s="24" t="str">
        <f>IFERROR(__xludf.DUMMYFUNCTION("""COMPUTED_VALUE"""),"Bruno")</f>
        <v>Bruno</v>
      </c>
      <c r="N63" s="24" t="b">
        <f>IFERROR(__xludf.DUMMYFUNCTION("""COMPUTED_VALUE"""),FALSE)</f>
        <v>0</v>
      </c>
      <c r="O63" s="18" t="str">
        <f>IFERROR(__xludf.DUMMYFUNCTION("""COMPUTED_VALUE"""),"Booking.com")</f>
        <v>Booking.com</v>
      </c>
      <c r="P63" s="24">
        <f>IFERROR(__xludf.DUMMYFUNCTION("""COMPUTED_VALUE"""),9.0)</f>
        <v>9</v>
      </c>
      <c r="Q63" s="25">
        <f>IFERROR(__xludf.DUMMYFUNCTION("""COMPUTED_VALUE"""),46096.0)</f>
        <v>46096</v>
      </c>
      <c r="R63" s="24"/>
      <c r="S63"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63" s="24" t="str">
        <f>IFERROR(__xludf.DUMMYFUNCTION("""COMPUTED_VALUE"""),"Parlano poco inglese.  Poca offerta di cose nella colazione.")</f>
        <v>Parlano poco inglese.  Poca offerta di cose nella colazione.</v>
      </c>
      <c r="U63" s="24" t="str">
        <f>IFERROR(__xludf.DUMMYFUNCTION("""COMPUTED_VALUE"""),"")</f>
        <v/>
      </c>
      <c r="V63"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W63" s="24" t="str">
        <f>IFERROR(__xludf.DUMMYFUNCTION("""COMPUTED_VALUE"""),"彼らは英語をほとんど話しません。朝食の種類は限られています。")</f>
        <v>彼らは英語をほとんど話しません。朝食の種類は限られています。</v>
      </c>
      <c r="X63" s="24" t="str">
        <f>IFERROR(__xludf.DUMMYFUNCTION("""COMPUTED_VALUE"""),"Bruno")</f>
        <v>Bruno</v>
      </c>
    </row>
    <row r="64">
      <c r="B64" s="24" t="b">
        <f>IFERROR(__xludf.DUMMYFUNCTION("""COMPUTED_VALUE"""),FALSE)</f>
        <v>0</v>
      </c>
      <c r="C64" s="18" t="str">
        <f>IFERROR(__xludf.DUMMYFUNCTION("""COMPUTED_VALUE"""),"Booking.com")</f>
        <v>Booking.com</v>
      </c>
      <c r="D64" s="5">
        <f>IFERROR(__xludf.DUMMYFUNCTION("""COMPUTED_VALUE"""),9.0)</f>
        <v>9</v>
      </c>
      <c r="E64" s="19">
        <f>IFERROR(__xludf.DUMMYFUNCTION("""COMPUTED_VALUE"""),46096.0)</f>
        <v>46096</v>
      </c>
      <c r="F64" s="5"/>
      <c r="G64" s="24"/>
      <c r="H64" s="5"/>
      <c r="I64" s="5" t="str">
        <f>IFERROR(__xludf.DUMMYFUNCTION("""COMPUTED_VALUE"""),"")</f>
        <v/>
      </c>
      <c r="J64" s="5" t="str">
        <f>IFERROR(__xludf.DUMMYFUNCTION("""COMPUTED_VALUE"""),"")</f>
        <v/>
      </c>
      <c r="K64" s="24" t="str">
        <f>IFERROR(__xludf.DUMMYFUNCTION("""COMPUTED_VALUE"""),"")</f>
        <v/>
      </c>
      <c r="L64" s="24" t="str">
        <f>IFERROR(__xludf.DUMMYFUNCTION("""COMPUTED_VALUE"""),"Michel")</f>
        <v>Michel</v>
      </c>
      <c r="N64" s="24" t="b">
        <f>IFERROR(__xludf.DUMMYFUNCTION("""COMPUTED_VALUE"""),FALSE)</f>
        <v>0</v>
      </c>
      <c r="O64" s="18" t="str">
        <f>IFERROR(__xludf.DUMMYFUNCTION("""COMPUTED_VALUE"""),"Booking.com")</f>
        <v>Booking.com</v>
      </c>
      <c r="P64" s="24">
        <f>IFERROR(__xludf.DUMMYFUNCTION("""COMPUTED_VALUE"""),9.0)</f>
        <v>9</v>
      </c>
      <c r="Q64" s="25">
        <f>IFERROR(__xludf.DUMMYFUNCTION("""COMPUTED_VALUE"""),46096.0)</f>
        <v>46096</v>
      </c>
      <c r="R64" s="24"/>
      <c r="S64" s="24"/>
      <c r="T64" s="24"/>
      <c r="U64" s="24" t="str">
        <f>IFERROR(__xludf.DUMMYFUNCTION("""COMPUTED_VALUE"""),"")</f>
        <v/>
      </c>
      <c r="V64" s="24" t="str">
        <f>IFERROR(__xludf.DUMMYFUNCTION("""COMPUTED_VALUE"""),"")</f>
        <v/>
      </c>
      <c r="W64" s="24" t="str">
        <f>IFERROR(__xludf.DUMMYFUNCTION("""COMPUTED_VALUE"""),"")</f>
        <v/>
      </c>
      <c r="X64" s="24" t="str">
        <f>IFERROR(__xludf.DUMMYFUNCTION("""COMPUTED_VALUE"""),"Michel")</f>
        <v>Michel</v>
      </c>
    </row>
    <row r="65">
      <c r="B65" s="24" t="b">
        <f>IFERROR(__xludf.DUMMYFUNCTION("""COMPUTED_VALUE"""),FALSE)</f>
        <v>0</v>
      </c>
      <c r="C65" s="18" t="str">
        <f>IFERROR(__xludf.DUMMYFUNCTION("""COMPUTED_VALUE"""),"Booking.com")</f>
        <v>Booking.com</v>
      </c>
      <c r="D65" s="5">
        <f>IFERROR(__xludf.DUMMYFUNCTION("""COMPUTED_VALUE"""),9.0)</f>
        <v>9</v>
      </c>
      <c r="E65" s="19">
        <f>IFERROR(__xludf.DUMMYFUNCTION("""COMPUTED_VALUE"""),46095.0)</f>
        <v>46095</v>
      </c>
      <c r="F65" s="5"/>
      <c r="G65" s="24"/>
      <c r="H65" s="5"/>
      <c r="I65" s="5" t="str">
        <f>IFERROR(__xludf.DUMMYFUNCTION("""COMPUTED_VALUE"""),"")</f>
        <v/>
      </c>
      <c r="J65" s="5" t="str">
        <f>IFERROR(__xludf.DUMMYFUNCTION("""COMPUTED_VALUE"""),"")</f>
        <v/>
      </c>
      <c r="K65" s="24" t="str">
        <f>IFERROR(__xludf.DUMMYFUNCTION("""COMPUTED_VALUE"""),"")</f>
        <v/>
      </c>
      <c r="L65" s="24" t="str">
        <f>IFERROR(__xludf.DUMMYFUNCTION("""COMPUTED_VALUE"""),"佾闈")</f>
        <v>佾闈</v>
      </c>
      <c r="N65" s="24" t="b">
        <f>IFERROR(__xludf.DUMMYFUNCTION("""COMPUTED_VALUE"""),FALSE)</f>
        <v>0</v>
      </c>
      <c r="O65" s="18" t="str">
        <f>IFERROR(__xludf.DUMMYFUNCTION("""COMPUTED_VALUE"""),"Booking.com")</f>
        <v>Booking.com</v>
      </c>
      <c r="P65" s="24">
        <f>IFERROR(__xludf.DUMMYFUNCTION("""COMPUTED_VALUE"""),9.0)</f>
        <v>9</v>
      </c>
      <c r="Q65" s="25">
        <f>IFERROR(__xludf.DUMMYFUNCTION("""COMPUTED_VALUE"""),46095.0)</f>
        <v>46095</v>
      </c>
      <c r="R65" s="24"/>
      <c r="S65" s="24"/>
      <c r="T65" s="24"/>
      <c r="U65" s="24" t="str">
        <f>IFERROR(__xludf.DUMMYFUNCTION("""COMPUTED_VALUE"""),"")</f>
        <v/>
      </c>
      <c r="V65" s="24" t="str">
        <f>IFERROR(__xludf.DUMMYFUNCTION("""COMPUTED_VALUE"""),"")</f>
        <v/>
      </c>
      <c r="W65" s="24" t="str">
        <f>IFERROR(__xludf.DUMMYFUNCTION("""COMPUTED_VALUE"""),"")</f>
        <v/>
      </c>
      <c r="X65" s="24" t="str">
        <f>IFERROR(__xludf.DUMMYFUNCTION("""COMPUTED_VALUE"""),"佾闈")</f>
        <v>佾闈</v>
      </c>
    </row>
    <row r="66">
      <c r="B66" s="24" t="b">
        <f>IFERROR(__xludf.DUMMYFUNCTION("""COMPUTED_VALUE"""),FALSE)</f>
        <v>0</v>
      </c>
      <c r="C66" s="18" t="str">
        <f>IFERROR(__xludf.DUMMYFUNCTION("""COMPUTED_VALUE"""),"Trip.com")</f>
        <v>Trip.com</v>
      </c>
      <c r="D66" s="5">
        <f>IFERROR(__xludf.DUMMYFUNCTION("""COMPUTED_VALUE"""),10.0)</f>
        <v>10</v>
      </c>
      <c r="E66" s="19">
        <f>IFERROR(__xludf.DUMMYFUNCTION("""COMPUTED_VALUE"""),46094.0)</f>
        <v>46094</v>
      </c>
      <c r="F66" s="5"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66" s="24"/>
      <c r="H66" s="5"/>
      <c r="I66"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66" s="5" t="str">
        <f>IFERROR(__xludf.DUMMYFUNCTION("""COMPUTED_VALUE"""),"")</f>
        <v/>
      </c>
      <c r="K66" s="24" t="str">
        <f>IFERROR(__xludf.DUMMYFUNCTION("""COMPUTED_VALUE"""),"")</f>
        <v/>
      </c>
      <c r="L66" s="24" t="str">
        <f>IFERROR(__xludf.DUMMYFUNCTION("""COMPUTED_VALUE"""),"C‍K‍M‍S")</f>
        <v>C‍K‍M‍S</v>
      </c>
      <c r="N66" s="24" t="b">
        <f>IFERROR(__xludf.DUMMYFUNCTION("""COMPUTED_VALUE"""),FALSE)</f>
        <v>0</v>
      </c>
      <c r="O66" s="18" t="str">
        <f>IFERROR(__xludf.DUMMYFUNCTION("""COMPUTED_VALUE"""),"Trip.com")</f>
        <v>Trip.com</v>
      </c>
      <c r="P66" s="24">
        <f>IFERROR(__xludf.DUMMYFUNCTION("""COMPUTED_VALUE"""),10.0)</f>
        <v>10</v>
      </c>
      <c r="Q66" s="25">
        <f>IFERROR(__xludf.DUMMYFUNCTION("""COMPUTED_VALUE"""),46094.0)</f>
        <v>46094</v>
      </c>
      <c r="R66"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66" s="24"/>
      <c r="T66" s="24"/>
      <c r="U66"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66" s="24" t="str">
        <f>IFERROR(__xludf.DUMMYFUNCTION("""COMPUTED_VALUE"""),"")</f>
        <v/>
      </c>
      <c r="W66" s="24" t="str">
        <f>IFERROR(__xludf.DUMMYFUNCTION("""COMPUTED_VALUE"""),"")</f>
        <v/>
      </c>
      <c r="X66" s="24" t="str">
        <f>IFERROR(__xludf.DUMMYFUNCTION("""COMPUTED_VALUE"""),"C‍K‍M‍S")</f>
        <v>C‍K‍M‍S</v>
      </c>
    </row>
    <row r="67">
      <c r="B67" s="24" t="b">
        <f>IFERROR(__xludf.DUMMYFUNCTION("""COMPUTED_VALUE"""),FALSE)</f>
        <v>0</v>
      </c>
      <c r="C67" s="18" t="str">
        <f>IFERROR(__xludf.DUMMYFUNCTION("""COMPUTED_VALUE"""),"Booking.com")</f>
        <v>Booking.com</v>
      </c>
      <c r="D67" s="5">
        <f>IFERROR(__xludf.DUMMYFUNCTION("""COMPUTED_VALUE"""),8.0)</f>
        <v>8</v>
      </c>
      <c r="E67" s="19">
        <f>IFERROR(__xludf.DUMMYFUNCTION("""COMPUTED_VALUE"""),46094.0)</f>
        <v>46094</v>
      </c>
      <c r="F67" s="5"/>
      <c r="G67" s="24" t="str">
        <f>IFERROR(__xludf.DUMMYFUNCTION("""COMPUTED_VALUE"""),"住宿地離車站近，工作人員親切")</f>
        <v>住宿地離車站近，工作人員親切</v>
      </c>
      <c r="H67" s="5" t="str">
        <f>IFERROR(__xludf.DUMMYFUNCTION("""COMPUTED_VALUE"""),"房間枕頭有的太扁或太硬，睡不習慣")</f>
        <v>房間枕頭有的太扁或太硬，睡不習慣</v>
      </c>
      <c r="I67" s="5" t="str">
        <f>IFERROR(__xludf.DUMMYFUNCTION("""COMPUTED_VALUE"""),"")</f>
        <v/>
      </c>
      <c r="J67" s="5" t="str">
        <f>IFERROR(__xludf.DUMMYFUNCTION("""COMPUTED_VALUE"""),"宿泊施設は駅に近く、スタッフも親切だった。")</f>
        <v>宿泊施設は駅に近く、スタッフも親切だった。</v>
      </c>
      <c r="K67"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67" s="24" t="str">
        <f>IFERROR(__xludf.DUMMYFUNCTION("""COMPUTED_VALUE"""),"Chehua")</f>
        <v>Chehua</v>
      </c>
      <c r="N67" s="24" t="b">
        <f>IFERROR(__xludf.DUMMYFUNCTION("""COMPUTED_VALUE"""),FALSE)</f>
        <v>0</v>
      </c>
      <c r="O67" s="18" t="str">
        <f>IFERROR(__xludf.DUMMYFUNCTION("""COMPUTED_VALUE"""),"Booking.com")</f>
        <v>Booking.com</v>
      </c>
      <c r="P67" s="24">
        <f>IFERROR(__xludf.DUMMYFUNCTION("""COMPUTED_VALUE"""),8.0)</f>
        <v>8</v>
      </c>
      <c r="Q67" s="25">
        <f>IFERROR(__xludf.DUMMYFUNCTION("""COMPUTED_VALUE"""),46094.0)</f>
        <v>46094</v>
      </c>
      <c r="R67" s="24"/>
      <c r="S67" s="24" t="str">
        <f>IFERROR(__xludf.DUMMYFUNCTION("""COMPUTED_VALUE"""),"住宿地離車站近，工作人員親切")</f>
        <v>住宿地離車站近，工作人員親切</v>
      </c>
      <c r="T67" s="24" t="str">
        <f>IFERROR(__xludf.DUMMYFUNCTION("""COMPUTED_VALUE"""),"房間枕頭有的太扁或太硬，睡不習慣")</f>
        <v>房間枕頭有的太扁或太硬，睡不習慣</v>
      </c>
      <c r="U67" s="24" t="str">
        <f>IFERROR(__xludf.DUMMYFUNCTION("""COMPUTED_VALUE"""),"")</f>
        <v/>
      </c>
      <c r="V67" s="24" t="str">
        <f>IFERROR(__xludf.DUMMYFUNCTION("""COMPUTED_VALUE"""),"宿泊施設は駅に近く、スタッフも親切だった。")</f>
        <v>宿泊施設は駅に近く、スタッフも親切だった。</v>
      </c>
      <c r="W67"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67" s="24" t="str">
        <f>IFERROR(__xludf.DUMMYFUNCTION("""COMPUTED_VALUE"""),"Chehua")</f>
        <v>Chehua</v>
      </c>
    </row>
    <row r="68">
      <c r="B68" s="24" t="b">
        <f>IFERROR(__xludf.DUMMYFUNCTION("""COMPUTED_VALUE"""),FALSE)</f>
        <v>0</v>
      </c>
      <c r="C68" s="18" t="str">
        <f>IFERROR(__xludf.DUMMYFUNCTION("""COMPUTED_VALUE"""),"Booking.com")</f>
        <v>Booking.com</v>
      </c>
      <c r="D68" s="5">
        <f>IFERROR(__xludf.DUMMYFUNCTION("""COMPUTED_VALUE"""),10.0)</f>
        <v>10</v>
      </c>
      <c r="E68" s="19">
        <f>IFERROR(__xludf.DUMMYFUNCTION("""COMPUTED_VALUE"""),46094.0)</f>
        <v>46094</v>
      </c>
      <c r="F68" s="5"/>
      <c r="G68" s="24" t="str">
        <f>IFERROR(__xludf.DUMMYFUNCTION("""COMPUTED_VALUE"""),"location and pricing very good")</f>
        <v>location and pricing very good</v>
      </c>
      <c r="H68" s="5"/>
      <c r="I68" s="5" t="str">
        <f>IFERROR(__xludf.DUMMYFUNCTION("""COMPUTED_VALUE"""),"")</f>
        <v/>
      </c>
      <c r="J68" s="5" t="str">
        <f>IFERROR(__xludf.DUMMYFUNCTION("""COMPUTED_VALUE"""),"立地と価格設定が非常に良い")</f>
        <v>立地と価格設定が非常に良い</v>
      </c>
      <c r="K68" s="24" t="str">
        <f>IFERROR(__xludf.DUMMYFUNCTION("""COMPUTED_VALUE"""),"")</f>
        <v/>
      </c>
      <c r="L68" s="24" t="str">
        <f>IFERROR(__xludf.DUMMYFUNCTION("""COMPUTED_VALUE"""),"Binod")</f>
        <v>Binod</v>
      </c>
      <c r="N68" s="24" t="b">
        <f>IFERROR(__xludf.DUMMYFUNCTION("""COMPUTED_VALUE"""),FALSE)</f>
        <v>0</v>
      </c>
      <c r="O68" s="18" t="str">
        <f>IFERROR(__xludf.DUMMYFUNCTION("""COMPUTED_VALUE"""),"Booking.com")</f>
        <v>Booking.com</v>
      </c>
      <c r="P68" s="24">
        <f>IFERROR(__xludf.DUMMYFUNCTION("""COMPUTED_VALUE"""),10.0)</f>
        <v>10</v>
      </c>
      <c r="Q68" s="25">
        <f>IFERROR(__xludf.DUMMYFUNCTION("""COMPUTED_VALUE"""),46094.0)</f>
        <v>46094</v>
      </c>
      <c r="R68" s="24"/>
      <c r="S68" s="24" t="str">
        <f>IFERROR(__xludf.DUMMYFUNCTION("""COMPUTED_VALUE"""),"location and pricing very good")</f>
        <v>location and pricing very good</v>
      </c>
      <c r="T68" s="24"/>
      <c r="U68" s="24" t="str">
        <f>IFERROR(__xludf.DUMMYFUNCTION("""COMPUTED_VALUE"""),"")</f>
        <v/>
      </c>
      <c r="V68" s="24" t="str">
        <f>IFERROR(__xludf.DUMMYFUNCTION("""COMPUTED_VALUE"""),"立地と価格設定が非常に良い")</f>
        <v>立地と価格設定が非常に良い</v>
      </c>
      <c r="W68" s="24" t="str">
        <f>IFERROR(__xludf.DUMMYFUNCTION("""COMPUTED_VALUE"""),"")</f>
        <v/>
      </c>
      <c r="X68" s="24" t="str">
        <f>IFERROR(__xludf.DUMMYFUNCTION("""COMPUTED_VALUE"""),"Binod")</f>
        <v>Binod</v>
      </c>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IFERROR(__xludf.DUMMYFUNCTION("""COMPUTED_VALUE"""),46094.0)</f>
        <v>46094</v>
      </c>
      <c r="F69" s="5" t="str">
        <f>IFERROR(__xludf.DUMMYFUNCTION("""COMPUTED_VALUE"""),"房間很大，位置好又鄰近地鐵和jr線，不用擔心轉乘問題，值得推薦住的飯店")</f>
        <v>房間很大，位置好又鄰近地鐵和jr線，不用擔心轉乘問題，值得推薦住的飯店</v>
      </c>
      <c r="G69" s="24"/>
      <c r="H69" s="5"/>
      <c r="I69"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69" s="5" t="str">
        <f>IFERROR(__xludf.DUMMYFUNCTION("""COMPUTED_VALUE"""),"")</f>
        <v/>
      </c>
      <c r="K69" s="24" t="str">
        <f>IFERROR(__xludf.DUMMYFUNCTION("""COMPUTED_VALUE"""),"")</f>
        <v/>
      </c>
      <c r="L69" s="24" t="str">
        <f>IFERROR(__xludf.DUMMYFUNCTION("""COMPUTED_VALUE"""),"ゲ‍ス‍ト")</f>
        <v>ゲ‍ス‍ト</v>
      </c>
      <c r="N69" s="24" t="b">
        <f>IFERROR(__xludf.DUMMYFUNCTION("""COMPUTED_VALUE"""),FALSE)</f>
        <v>0</v>
      </c>
      <c r="O69" s="18" t="str">
        <f>IFERROR(__xludf.DUMMYFUNCTION("""COMPUTED_VALUE"""),"Trip.com")</f>
        <v>Trip.com</v>
      </c>
      <c r="P69" s="24">
        <f>IFERROR(__xludf.DUMMYFUNCTION("""COMPUTED_VALUE"""),10.0)</f>
        <v>10</v>
      </c>
      <c r="Q69" s="25">
        <f>IFERROR(__xludf.DUMMYFUNCTION("""COMPUTED_VALUE"""),46094.0)</f>
        <v>46094</v>
      </c>
      <c r="R69" s="24" t="str">
        <f>IFERROR(__xludf.DUMMYFUNCTION("""COMPUTED_VALUE"""),"房間很大，位置好又鄰近地鐵和jr線，不用擔心轉乘問題，值得推薦住的飯店")</f>
        <v>房間很大，位置好又鄰近地鐵和jr線，不用擔心轉乘問題，值得推薦住的飯店</v>
      </c>
      <c r="S69" s="24"/>
      <c r="T69" s="24"/>
      <c r="U69"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69" s="24" t="str">
        <f>IFERROR(__xludf.DUMMYFUNCTION("""COMPUTED_VALUE"""),"")</f>
        <v/>
      </c>
      <c r="W69" s="24" t="str">
        <f>IFERROR(__xludf.DUMMYFUNCTION("""COMPUTED_VALUE"""),"")</f>
        <v/>
      </c>
      <c r="X69" s="24" t="str">
        <f>IFERROR(__xludf.DUMMYFUNCTION("""COMPUTED_VALUE"""),"ゲ‍ス‍ト")</f>
        <v>ゲ‍ス‍ト</v>
      </c>
    </row>
    <row r="70">
      <c r="B70" s="24" t="b">
        <f>IFERROR(__xludf.DUMMYFUNCTION("""COMPUTED_VALUE"""),FALSE)</f>
        <v>0</v>
      </c>
      <c r="C70" s="24" t="str">
        <f>IFERROR(__xludf.DUMMYFUNCTION("""COMPUTED_VALUE"""),"Google")</f>
        <v>Google</v>
      </c>
      <c r="D70" s="5">
        <f>IFERROR(__xludf.DUMMYFUNCTION("""COMPUTED_VALUE"""),4.0)</f>
        <v>4</v>
      </c>
      <c r="E70" s="19">
        <f>IFERROR(__xludf.DUMMYFUNCTION("""COMPUTED_VALUE"""),46093.0)</f>
        <v>46093</v>
      </c>
      <c r="F70" s="5"/>
      <c r="G70" s="24"/>
      <c r="H70" s="5"/>
      <c r="I70" s="5" t="str">
        <f>IFERROR(__xludf.DUMMYFUNCTION("""COMPUTED_VALUE"""),"")</f>
        <v/>
      </c>
      <c r="J70" s="5" t="str">
        <f>IFERROR(__xludf.DUMMYFUNCTION("""COMPUTED_VALUE"""),"")</f>
        <v/>
      </c>
      <c r="K70" s="24" t="str">
        <f>IFERROR(__xludf.DUMMYFUNCTION("""COMPUTED_VALUE"""),"")</f>
        <v/>
      </c>
      <c r="L70" s="24" t="str">
        <f>IFERROR(__xludf.DUMMYFUNCTION("""COMPUTED_VALUE"""),"siu yuki")</f>
        <v>siu yuki</v>
      </c>
      <c r="N70" s="24" t="b">
        <f>IFERROR(__xludf.DUMMYFUNCTION("""COMPUTED_VALUE"""),FALSE)</f>
        <v>0</v>
      </c>
      <c r="O70" s="24" t="str">
        <f>IFERROR(__xludf.DUMMYFUNCTION("""COMPUTED_VALUE"""),"Google")</f>
        <v>Google</v>
      </c>
      <c r="P70" s="24">
        <f>IFERROR(__xludf.DUMMYFUNCTION("""COMPUTED_VALUE"""),4.0)</f>
        <v>4</v>
      </c>
      <c r="Q70" s="25">
        <f>IFERROR(__xludf.DUMMYFUNCTION("""COMPUTED_VALUE"""),46093.0)</f>
        <v>46093</v>
      </c>
      <c r="R70" s="24"/>
      <c r="S70" s="24"/>
      <c r="T70" s="24"/>
      <c r="U70" s="24" t="str">
        <f>IFERROR(__xludf.DUMMYFUNCTION("""COMPUTED_VALUE"""),"")</f>
        <v/>
      </c>
      <c r="V70" s="24" t="str">
        <f>IFERROR(__xludf.DUMMYFUNCTION("""COMPUTED_VALUE"""),"")</f>
        <v/>
      </c>
      <c r="W70" s="24" t="str">
        <f>IFERROR(__xludf.DUMMYFUNCTION("""COMPUTED_VALUE"""),"")</f>
        <v/>
      </c>
      <c r="X70" s="24" t="str">
        <f>IFERROR(__xludf.DUMMYFUNCTION("""COMPUTED_VALUE"""),"siu yuki")</f>
        <v>siu yuki</v>
      </c>
    </row>
    <row r="71">
      <c r="B71" s="24" t="b">
        <f>IFERROR(__xludf.DUMMYFUNCTION("""COMPUTED_VALUE"""),FALSE)</f>
        <v>0</v>
      </c>
      <c r="C71" s="18" t="str">
        <f>IFERROR(__xludf.DUMMYFUNCTION("""COMPUTED_VALUE"""),"Trip.com")</f>
        <v>Trip.com</v>
      </c>
      <c r="D71" s="5">
        <f>IFERROR(__xludf.DUMMYFUNCTION("""COMPUTED_VALUE"""),10.0)</f>
        <v>10</v>
      </c>
      <c r="E71" s="19">
        <f>IFERROR(__xludf.DUMMYFUNCTION("""COMPUTED_VALUE"""),46092.0)</f>
        <v>46092</v>
      </c>
      <c r="F71" s="5" t="str">
        <f>IFERROR(__xludf.DUMMYFUNCTION("""COMPUTED_VALUE"""),"Good location and service, facilities in very good condition. Small room, but with everything you need.")</f>
        <v>Good location and service, facilities in very good condition. Small room, but with everything you need.</v>
      </c>
      <c r="G71" s="24"/>
      <c r="H71" s="5"/>
      <c r="I71"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71" s="5" t="str">
        <f>IFERROR(__xludf.DUMMYFUNCTION("""COMPUTED_VALUE"""),"")</f>
        <v/>
      </c>
      <c r="K71" s="24" t="str">
        <f>IFERROR(__xludf.DUMMYFUNCTION("""COMPUTED_VALUE"""),"")</f>
        <v/>
      </c>
      <c r="L71" s="24" t="str">
        <f>IFERROR(__xludf.DUMMYFUNCTION("""COMPUTED_VALUE"""),"ゲ‍ス‍ト")</f>
        <v>ゲ‍ス‍ト</v>
      </c>
      <c r="N71" s="24" t="b">
        <f>IFERROR(__xludf.DUMMYFUNCTION("""COMPUTED_VALUE"""),FALSE)</f>
        <v>0</v>
      </c>
      <c r="O71" s="18" t="str">
        <f>IFERROR(__xludf.DUMMYFUNCTION("""COMPUTED_VALUE"""),"Trip.com")</f>
        <v>Trip.com</v>
      </c>
      <c r="P71" s="24">
        <f>IFERROR(__xludf.DUMMYFUNCTION("""COMPUTED_VALUE"""),10.0)</f>
        <v>10</v>
      </c>
      <c r="Q71" s="25">
        <f>IFERROR(__xludf.DUMMYFUNCTION("""COMPUTED_VALUE"""),46092.0)</f>
        <v>46092</v>
      </c>
      <c r="R71" s="24" t="str">
        <f>IFERROR(__xludf.DUMMYFUNCTION("""COMPUTED_VALUE"""),"Good location and service, facilities in very good condition. Small room, but with everything you need.")</f>
        <v>Good location and service, facilities in very good condition. Small room, but with everything you need.</v>
      </c>
      <c r="S71" s="24"/>
      <c r="T71" s="24"/>
      <c r="U71"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71" s="24" t="str">
        <f>IFERROR(__xludf.DUMMYFUNCTION("""COMPUTED_VALUE"""),"")</f>
        <v/>
      </c>
      <c r="W71" s="24" t="str">
        <f>IFERROR(__xludf.DUMMYFUNCTION("""COMPUTED_VALUE"""),"")</f>
        <v/>
      </c>
      <c r="X71" s="24" t="str">
        <f>IFERROR(__xludf.DUMMYFUNCTION("""COMPUTED_VALUE"""),"ゲ‍ス‍ト")</f>
        <v>ゲ‍ス‍ト</v>
      </c>
    </row>
    <row r="72">
      <c r="B72" s="24" t="b">
        <f>IFERROR(__xludf.DUMMYFUNCTION("""COMPUTED_VALUE"""),FALSE)</f>
        <v>0</v>
      </c>
      <c r="C72" s="18" t="str">
        <f>IFERROR(__xludf.DUMMYFUNCTION("""COMPUTED_VALUE"""),"Booking.com")</f>
        <v>Booking.com</v>
      </c>
      <c r="D72" s="5">
        <f>IFERROR(__xludf.DUMMYFUNCTION("""COMPUTED_VALUE"""),10.0)</f>
        <v>10</v>
      </c>
      <c r="E72" s="19">
        <f>IFERROR(__xludf.DUMMYFUNCTION("""COMPUTED_VALUE"""),46092.0)</f>
        <v>46092</v>
      </c>
      <c r="F72" s="5"/>
      <c r="G72" s="24"/>
      <c r="H72" s="5"/>
      <c r="I72" s="5" t="str">
        <f>IFERROR(__xludf.DUMMYFUNCTION("""COMPUTED_VALUE"""),"")</f>
        <v/>
      </c>
      <c r="J72" s="5" t="str">
        <f>IFERROR(__xludf.DUMMYFUNCTION("""COMPUTED_VALUE"""),"")</f>
        <v/>
      </c>
      <c r="K72" s="24" t="str">
        <f>IFERROR(__xludf.DUMMYFUNCTION("""COMPUTED_VALUE"""),"")</f>
        <v/>
      </c>
      <c r="L72" s="24" t="str">
        <f>IFERROR(__xludf.DUMMYFUNCTION("""COMPUTED_VALUE"""),"Chien")</f>
        <v>Chien</v>
      </c>
      <c r="N72" s="24" t="b">
        <f>IFERROR(__xludf.DUMMYFUNCTION("""COMPUTED_VALUE"""),FALSE)</f>
        <v>0</v>
      </c>
      <c r="O72" s="18" t="str">
        <f>IFERROR(__xludf.DUMMYFUNCTION("""COMPUTED_VALUE"""),"Booking.com")</f>
        <v>Booking.com</v>
      </c>
      <c r="P72" s="24">
        <f>IFERROR(__xludf.DUMMYFUNCTION("""COMPUTED_VALUE"""),10.0)</f>
        <v>10</v>
      </c>
      <c r="Q72" s="25">
        <f>IFERROR(__xludf.DUMMYFUNCTION("""COMPUTED_VALUE"""),46092.0)</f>
        <v>46092</v>
      </c>
      <c r="R72" s="24"/>
      <c r="S72" s="24"/>
      <c r="T72" s="24"/>
      <c r="U72" s="24" t="str">
        <f>IFERROR(__xludf.DUMMYFUNCTION("""COMPUTED_VALUE"""),"")</f>
        <v/>
      </c>
      <c r="V72" s="24" t="str">
        <f>IFERROR(__xludf.DUMMYFUNCTION("""COMPUTED_VALUE"""),"")</f>
        <v/>
      </c>
      <c r="W72" s="24" t="str">
        <f>IFERROR(__xludf.DUMMYFUNCTION("""COMPUTED_VALUE"""),"")</f>
        <v/>
      </c>
      <c r="X72" s="24" t="str">
        <f>IFERROR(__xludf.DUMMYFUNCTION("""COMPUTED_VALUE"""),"Chien")</f>
        <v>Chien</v>
      </c>
    </row>
    <row r="73">
      <c r="B73" s="24" t="b">
        <f>IFERROR(__xludf.DUMMYFUNCTION("""COMPUTED_VALUE"""),FALSE)</f>
        <v>0</v>
      </c>
      <c r="C73" s="18" t="str">
        <f>IFERROR(__xludf.DUMMYFUNCTION("""COMPUTED_VALUE"""),"Booking.com")</f>
        <v>Booking.com</v>
      </c>
      <c r="D73" s="5">
        <f>IFERROR(__xludf.DUMMYFUNCTION("""COMPUTED_VALUE"""),9.0)</f>
        <v>9</v>
      </c>
      <c r="E73" s="19">
        <f>IFERROR(__xludf.DUMMYFUNCTION("""COMPUTED_VALUE"""),46092.0)</f>
        <v>46092</v>
      </c>
      <c r="F73" s="5"/>
      <c r="G73" s="24" t="str">
        <f>IFERROR(__xludf.DUMMYFUNCTION("""COMPUTED_VALUE"""),"清潔")</f>
        <v>清潔</v>
      </c>
      <c r="H73" s="5" t="str">
        <f>IFERROR(__xludf.DUMMYFUNCTION("""COMPUTED_VALUE"""),"特になし")</f>
        <v>特になし</v>
      </c>
      <c r="I73" s="5" t="str">
        <f>IFERROR(__xludf.DUMMYFUNCTION("""COMPUTED_VALUE"""),"")</f>
        <v/>
      </c>
      <c r="J73" s="5" t="str">
        <f>IFERROR(__xludf.DUMMYFUNCTION("""COMPUTED_VALUE"""),"クリーン")</f>
        <v>クリーン</v>
      </c>
      <c r="K73" s="24" t="str">
        <f>IFERROR(__xludf.DUMMYFUNCTION("""COMPUTED_VALUE"""),"特になし")</f>
        <v>特になし</v>
      </c>
      <c r="L73" s="24" t="str">
        <f>IFERROR(__xludf.DUMMYFUNCTION("""COMPUTED_VALUE"""),"Onodera")</f>
        <v>Onodera</v>
      </c>
      <c r="N73" s="24" t="b">
        <f>IFERROR(__xludf.DUMMYFUNCTION("""COMPUTED_VALUE"""),FALSE)</f>
        <v>0</v>
      </c>
      <c r="O73" s="18" t="str">
        <f>IFERROR(__xludf.DUMMYFUNCTION("""COMPUTED_VALUE"""),"Booking.com")</f>
        <v>Booking.com</v>
      </c>
      <c r="P73" s="24">
        <f>IFERROR(__xludf.DUMMYFUNCTION("""COMPUTED_VALUE"""),9.0)</f>
        <v>9</v>
      </c>
      <c r="Q73" s="25">
        <f>IFERROR(__xludf.DUMMYFUNCTION("""COMPUTED_VALUE"""),46092.0)</f>
        <v>46092</v>
      </c>
      <c r="R73" s="24"/>
      <c r="S73" s="24" t="str">
        <f>IFERROR(__xludf.DUMMYFUNCTION("""COMPUTED_VALUE"""),"清潔")</f>
        <v>清潔</v>
      </c>
      <c r="T73" s="24" t="str">
        <f>IFERROR(__xludf.DUMMYFUNCTION("""COMPUTED_VALUE"""),"特になし")</f>
        <v>特になし</v>
      </c>
      <c r="U73" s="24" t="str">
        <f>IFERROR(__xludf.DUMMYFUNCTION("""COMPUTED_VALUE"""),"")</f>
        <v/>
      </c>
      <c r="V73" s="24" t="str">
        <f>IFERROR(__xludf.DUMMYFUNCTION("""COMPUTED_VALUE"""),"クリーン")</f>
        <v>クリーン</v>
      </c>
      <c r="W73" s="24" t="str">
        <f>IFERROR(__xludf.DUMMYFUNCTION("""COMPUTED_VALUE"""),"特になし")</f>
        <v>特になし</v>
      </c>
      <c r="X73" s="24" t="str">
        <f>IFERROR(__xludf.DUMMYFUNCTION("""COMPUTED_VALUE"""),"Onodera")</f>
        <v>Onodera</v>
      </c>
    </row>
    <row r="74">
      <c r="B74" s="24" t="b">
        <f>IFERROR(__xludf.DUMMYFUNCTION("""COMPUTED_VALUE"""),FALSE)</f>
        <v>0</v>
      </c>
      <c r="C74" s="18" t="str">
        <f>IFERROR(__xludf.DUMMYFUNCTION("""COMPUTED_VALUE"""),"Trip.com")</f>
        <v>Trip.com</v>
      </c>
      <c r="D74" s="5">
        <f>IFERROR(__xludf.DUMMYFUNCTION("""COMPUTED_VALUE"""),10.0)</f>
        <v>10</v>
      </c>
      <c r="E74" s="19">
        <f>IFERROR(__xludf.DUMMYFUNCTION("""COMPUTED_VALUE"""),46092.0)</f>
        <v>46092</v>
      </c>
      <c r="F74" s="5"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74" s="24"/>
      <c r="H74" s="5"/>
      <c r="I74"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74" s="5" t="str">
        <f>IFERROR(__xludf.DUMMYFUNCTION("""COMPUTED_VALUE"""),"")</f>
        <v/>
      </c>
      <c r="K74" s="24" t="str">
        <f>IFERROR(__xludf.DUMMYFUNCTION("""COMPUTED_VALUE"""),"")</f>
        <v/>
      </c>
      <c r="L74" s="24" t="str">
        <f>IFERROR(__xludf.DUMMYFUNCTION("""COMPUTED_VALUE"""),"陸‍零‍柒")</f>
        <v>陸‍零‍柒</v>
      </c>
      <c r="N74" s="24" t="b">
        <f>IFERROR(__xludf.DUMMYFUNCTION("""COMPUTED_VALUE"""),FALSE)</f>
        <v>0</v>
      </c>
      <c r="O74" s="18" t="str">
        <f>IFERROR(__xludf.DUMMYFUNCTION("""COMPUTED_VALUE"""),"Trip.com")</f>
        <v>Trip.com</v>
      </c>
      <c r="P74" s="24">
        <f>IFERROR(__xludf.DUMMYFUNCTION("""COMPUTED_VALUE"""),10.0)</f>
        <v>10</v>
      </c>
      <c r="Q74" s="25">
        <f>IFERROR(__xludf.DUMMYFUNCTION("""COMPUTED_VALUE"""),46092.0)</f>
        <v>46092</v>
      </c>
      <c r="R74"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74" s="24"/>
      <c r="T74" s="24"/>
      <c r="U74"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74" s="24" t="str">
        <f>IFERROR(__xludf.DUMMYFUNCTION("""COMPUTED_VALUE"""),"")</f>
        <v/>
      </c>
      <c r="W74" s="24" t="str">
        <f>IFERROR(__xludf.DUMMYFUNCTION("""COMPUTED_VALUE"""),"")</f>
        <v/>
      </c>
      <c r="X74" s="24" t="str">
        <f>IFERROR(__xludf.DUMMYFUNCTION("""COMPUTED_VALUE"""),"陸‍零‍柒")</f>
        <v>陸‍零‍柒</v>
      </c>
    </row>
    <row r="75">
      <c r="B75" s="24" t="b">
        <f>IFERROR(__xludf.DUMMYFUNCTION("""COMPUTED_VALUE"""),FALSE)</f>
        <v>0</v>
      </c>
      <c r="C75" s="18" t="str">
        <f>IFERROR(__xludf.DUMMYFUNCTION("""COMPUTED_VALUE"""),"Booking.com")</f>
        <v>Booking.com</v>
      </c>
      <c r="D75" s="5">
        <f>IFERROR(__xludf.DUMMYFUNCTION("""COMPUTED_VALUE"""),7.0)</f>
        <v>7</v>
      </c>
      <c r="E75" s="19">
        <f>IFERROR(__xludf.DUMMYFUNCTION("""COMPUTED_VALUE"""),46091.0)</f>
        <v>46091</v>
      </c>
      <c r="F75" s="5"/>
      <c r="G75" s="24" t="str">
        <f>IFERROR(__xludf.DUMMYFUNCTION("""COMPUTED_VALUE"""),"乾淨整潔 床好睡")</f>
        <v>乾淨整潔 床好睡</v>
      </c>
      <c r="H75" s="5"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75" s="5" t="str">
        <f>IFERROR(__xludf.DUMMYFUNCTION("""COMPUTED_VALUE"""),"")</f>
        <v/>
      </c>
      <c r="J75" s="5" t="str">
        <f>IFERROR(__xludf.DUMMYFUNCTION("""COMPUTED_VALUE"""),"清潔で整頓されており、快適なベッドで眠ることができます。")</f>
        <v>清潔で整頓されており、快適なベッドで眠ることができます。</v>
      </c>
      <c r="K75"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75" s="24" t="str">
        <f>IFERROR(__xludf.DUMMYFUNCTION("""COMPUTED_VALUE"""),"Sulien")</f>
        <v>Sulien</v>
      </c>
      <c r="N75" s="24" t="b">
        <f>IFERROR(__xludf.DUMMYFUNCTION("""COMPUTED_VALUE"""),FALSE)</f>
        <v>0</v>
      </c>
      <c r="O75" s="18" t="str">
        <f>IFERROR(__xludf.DUMMYFUNCTION("""COMPUTED_VALUE"""),"Booking.com")</f>
        <v>Booking.com</v>
      </c>
      <c r="P75" s="24">
        <f>IFERROR(__xludf.DUMMYFUNCTION("""COMPUTED_VALUE"""),7.0)</f>
        <v>7</v>
      </c>
      <c r="Q75" s="25">
        <f>IFERROR(__xludf.DUMMYFUNCTION("""COMPUTED_VALUE"""),46091.0)</f>
        <v>46091</v>
      </c>
      <c r="R75" s="24"/>
      <c r="S75" s="24" t="str">
        <f>IFERROR(__xludf.DUMMYFUNCTION("""COMPUTED_VALUE"""),"乾淨整潔 床好睡")</f>
        <v>乾淨整潔 床好睡</v>
      </c>
      <c r="T75"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75" s="24" t="str">
        <f>IFERROR(__xludf.DUMMYFUNCTION("""COMPUTED_VALUE"""),"")</f>
        <v/>
      </c>
      <c r="V75" s="24" t="str">
        <f>IFERROR(__xludf.DUMMYFUNCTION("""COMPUTED_VALUE"""),"清潔で整頓されており、快適なベッドで眠ることができます。")</f>
        <v>清潔で整頓されており、快適なベッドで眠ることができます。</v>
      </c>
      <c r="W75"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75" s="24" t="str">
        <f>IFERROR(__xludf.DUMMYFUNCTION("""COMPUTED_VALUE"""),"Sulien")</f>
        <v>Sulien</v>
      </c>
    </row>
    <row r="76">
      <c r="B76" s="24" t="b">
        <f>IFERROR(__xludf.DUMMYFUNCTION("""COMPUTED_VALUE"""),FALSE)</f>
        <v>0</v>
      </c>
      <c r="C76" s="18" t="str">
        <f>IFERROR(__xludf.DUMMYFUNCTION("""COMPUTED_VALUE"""),"Booking.com")</f>
        <v>Booking.com</v>
      </c>
      <c r="D76" s="5">
        <f>IFERROR(__xludf.DUMMYFUNCTION("""COMPUTED_VALUE"""),7.0)</f>
        <v>7</v>
      </c>
      <c r="E76" s="19">
        <f>IFERROR(__xludf.DUMMYFUNCTION("""COMPUTED_VALUE"""),46091.0)</f>
        <v>46091</v>
      </c>
      <c r="F76" s="5"/>
      <c r="G76" s="24" t="str">
        <f>IFERROR(__xludf.DUMMYFUNCTION("""COMPUTED_VALUE"""),"交通地點很好 房間很舒適 早餐雖然簡單但都很好吃")</f>
        <v>交通地點很好 房間很舒適 早餐雖然簡單但都很好吃</v>
      </c>
      <c r="H76" s="5" t="str">
        <f>IFERROR(__xludf.DUMMYFUNCTION("""COMPUTED_VALUE"""),"沒有")</f>
        <v>沒有</v>
      </c>
      <c r="I76" s="5" t="str">
        <f>IFERROR(__xludf.DUMMYFUNCTION("""COMPUTED_VALUE"""),"")</f>
        <v/>
      </c>
      <c r="J76" s="5" t="str">
        <f>IFERROR(__xludf.DUMMYFUNCTION("""COMPUTED_VALUE"""),"立地は最高で、部屋は快適、朝食はシンプルながらも美味しい。")</f>
        <v>立地は最高で、部屋は快適、朝食はシンプルながらも美味しい。</v>
      </c>
      <c r="K76" s="24" t="str">
        <f>IFERROR(__xludf.DUMMYFUNCTION("""COMPUTED_VALUE"""),"いいえ")</f>
        <v>いいえ</v>
      </c>
      <c r="L76" s="24" t="str">
        <f>IFERROR(__xludf.DUMMYFUNCTION("""COMPUTED_VALUE"""),"Sulien")</f>
        <v>Sulien</v>
      </c>
      <c r="N76" s="24" t="b">
        <f>IFERROR(__xludf.DUMMYFUNCTION("""COMPUTED_VALUE"""),FALSE)</f>
        <v>0</v>
      </c>
      <c r="O76" s="18" t="str">
        <f>IFERROR(__xludf.DUMMYFUNCTION("""COMPUTED_VALUE"""),"Booking.com")</f>
        <v>Booking.com</v>
      </c>
      <c r="P76" s="24">
        <f>IFERROR(__xludf.DUMMYFUNCTION("""COMPUTED_VALUE"""),7.0)</f>
        <v>7</v>
      </c>
      <c r="Q76" s="25">
        <f>IFERROR(__xludf.DUMMYFUNCTION("""COMPUTED_VALUE"""),46091.0)</f>
        <v>46091</v>
      </c>
      <c r="R76" s="24"/>
      <c r="S76" s="24" t="str">
        <f>IFERROR(__xludf.DUMMYFUNCTION("""COMPUTED_VALUE"""),"交通地點很好 房間很舒適 早餐雖然簡單但都很好吃")</f>
        <v>交通地點很好 房間很舒適 早餐雖然簡單但都很好吃</v>
      </c>
      <c r="T76" s="24" t="str">
        <f>IFERROR(__xludf.DUMMYFUNCTION("""COMPUTED_VALUE"""),"沒有")</f>
        <v>沒有</v>
      </c>
      <c r="U76" s="24" t="str">
        <f>IFERROR(__xludf.DUMMYFUNCTION("""COMPUTED_VALUE"""),"")</f>
        <v/>
      </c>
      <c r="V76" s="24" t="str">
        <f>IFERROR(__xludf.DUMMYFUNCTION("""COMPUTED_VALUE"""),"立地は最高で、部屋は快適、朝食はシンプルながらも美味しい。")</f>
        <v>立地は最高で、部屋は快適、朝食はシンプルながらも美味しい。</v>
      </c>
      <c r="W76" s="24" t="str">
        <f>IFERROR(__xludf.DUMMYFUNCTION("""COMPUTED_VALUE"""),"いいえ")</f>
        <v>いいえ</v>
      </c>
      <c r="X76" s="24" t="str">
        <f>IFERROR(__xludf.DUMMYFUNCTION("""COMPUTED_VALUE"""),"Sulien")</f>
        <v>Sulien</v>
      </c>
    </row>
    <row r="77">
      <c r="B77" s="24" t="b">
        <f>IFERROR(__xludf.DUMMYFUNCTION("""COMPUTED_VALUE"""),FALSE)</f>
        <v>0</v>
      </c>
      <c r="C77" s="18" t="str">
        <f>IFERROR(__xludf.DUMMYFUNCTION("""COMPUTED_VALUE"""),"Trip.com")</f>
        <v>Trip.com</v>
      </c>
      <c r="D77" s="5">
        <f>IFERROR(__xludf.DUMMYFUNCTION("""COMPUTED_VALUE"""),10.0)</f>
        <v>10</v>
      </c>
      <c r="E77" s="19">
        <f>IFERROR(__xludf.DUMMYFUNCTION("""COMPUTED_VALUE"""),46091.0)</f>
        <v>46091</v>
      </c>
      <c r="F77" s="5"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77" s="24"/>
      <c r="H77" s="5"/>
      <c r="I77"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77" s="5" t="str">
        <f>IFERROR(__xludf.DUMMYFUNCTION("""COMPUTED_VALUE"""),"")</f>
        <v/>
      </c>
      <c r="K77" s="24" t="str">
        <f>IFERROR(__xludf.DUMMYFUNCTION("""COMPUTED_VALUE"""),"")</f>
        <v/>
      </c>
      <c r="L77" s="24" t="str">
        <f>IFERROR(__xludf.DUMMYFUNCTION("""COMPUTED_VALUE"""),"B‍h‍a‍v‍i‍k‍ ‍K‍a‍c‍h‍a‍r‍e")</f>
        <v>B‍h‍a‍v‍i‍k‍ ‍K‍a‍c‍h‍a‍r‍e</v>
      </c>
      <c r="N77" s="24" t="b">
        <f>IFERROR(__xludf.DUMMYFUNCTION("""COMPUTED_VALUE"""),FALSE)</f>
        <v>0</v>
      </c>
      <c r="O77" s="18" t="str">
        <f>IFERROR(__xludf.DUMMYFUNCTION("""COMPUTED_VALUE"""),"Trip.com")</f>
        <v>Trip.com</v>
      </c>
      <c r="P77" s="24">
        <f>IFERROR(__xludf.DUMMYFUNCTION("""COMPUTED_VALUE"""),10.0)</f>
        <v>10</v>
      </c>
      <c r="Q77" s="25">
        <f>IFERROR(__xludf.DUMMYFUNCTION("""COMPUTED_VALUE"""),46091.0)</f>
        <v>46091</v>
      </c>
      <c r="R77"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77" s="24"/>
      <c r="T77" s="24"/>
      <c r="U77"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77" s="24" t="str">
        <f>IFERROR(__xludf.DUMMYFUNCTION("""COMPUTED_VALUE"""),"")</f>
        <v/>
      </c>
      <c r="W77" s="24" t="str">
        <f>IFERROR(__xludf.DUMMYFUNCTION("""COMPUTED_VALUE"""),"")</f>
        <v/>
      </c>
      <c r="X77" s="24" t="str">
        <f>IFERROR(__xludf.DUMMYFUNCTION("""COMPUTED_VALUE"""),"B‍h‍a‍v‍i‍k‍ ‍K‍a‍c‍h‍a‍r‍e")</f>
        <v>B‍h‍a‍v‍i‍k‍ ‍K‍a‍c‍h‍a‍r‍e</v>
      </c>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IFERROR(__xludf.DUMMYFUNCTION("""COMPUTED_VALUE"""),46090.0)</f>
        <v>46090</v>
      </c>
      <c r="F78" s="5"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78" s="24"/>
      <c r="H78" s="5"/>
      <c r="I78" s="5"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78" s="5" t="str">
        <f>IFERROR(__xludf.DUMMYFUNCTION("""COMPUTED_VALUE"""),"")</f>
        <v/>
      </c>
      <c r="K78" s="24" t="str">
        <f>IFERROR(__xludf.DUMMYFUNCTION("""COMPUTED_VALUE"""),"")</f>
        <v/>
      </c>
      <c r="L78" s="24" t="str">
        <f>IFERROR(__xludf.DUMMYFUNCTION("""COMPUTED_VALUE"""),"j‍e‍j‍e‍n‍g")</f>
        <v>j‍e‍j‍e‍n‍g</v>
      </c>
      <c r="N78" s="24" t="b">
        <f>IFERROR(__xludf.DUMMYFUNCTION("""COMPUTED_VALUE"""),FALSE)</f>
        <v>0</v>
      </c>
      <c r="O78" s="18" t="str">
        <f>IFERROR(__xludf.DUMMYFUNCTION("""COMPUTED_VALUE"""),"Trip.com")</f>
        <v>Trip.com</v>
      </c>
      <c r="P78" s="24">
        <f>IFERROR(__xludf.DUMMYFUNCTION("""COMPUTED_VALUE"""),10.0)</f>
        <v>10</v>
      </c>
      <c r="Q78" s="25">
        <f>IFERROR(__xludf.DUMMYFUNCTION("""COMPUTED_VALUE"""),46090.0)</f>
        <v>46090</v>
      </c>
      <c r="R78"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78" s="24"/>
      <c r="T78" s="24"/>
      <c r="U78"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78" s="24" t="str">
        <f>IFERROR(__xludf.DUMMYFUNCTION("""COMPUTED_VALUE"""),"")</f>
        <v/>
      </c>
      <c r="W78" s="24" t="str">
        <f>IFERROR(__xludf.DUMMYFUNCTION("""COMPUTED_VALUE"""),"")</f>
        <v/>
      </c>
      <c r="X78" s="24" t="str">
        <f>IFERROR(__xludf.DUMMYFUNCTION("""COMPUTED_VALUE"""),"j‍e‍j‍e‍n‍g")</f>
        <v>j‍e‍j‍e‍n‍g</v>
      </c>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IFERROR(__xludf.DUMMYFUNCTION("""COMPUTED_VALUE"""),46090.0)</f>
        <v>46090</v>
      </c>
      <c r="F79" s="5" t="str">
        <f>IFERROR(__xludf.DUMMYFUNCTION("""COMPUTED_VALUE"""),"整體感覺很好")</f>
        <v>整體感覺很好</v>
      </c>
      <c r="G79" s="24"/>
      <c r="H79" s="5"/>
      <c r="I79" s="5" t="str">
        <f>IFERROR(__xludf.DUMMYFUNCTION("""COMPUTED_VALUE"""),"全体的に、とても良かった。")</f>
        <v>全体的に、とても良かった。</v>
      </c>
      <c r="J79" s="5" t="str">
        <f>IFERROR(__xludf.DUMMYFUNCTION("""COMPUTED_VALUE"""),"")</f>
        <v/>
      </c>
      <c r="K79" s="24" t="str">
        <f>IFERROR(__xludf.DUMMYFUNCTION("""COMPUTED_VALUE"""),"")</f>
        <v/>
      </c>
      <c r="L79" s="24" t="str">
        <f>IFERROR(__xludf.DUMMYFUNCTION("""COMPUTED_VALUE"""),"ゲ‍ス‍ト")</f>
        <v>ゲ‍ス‍ト</v>
      </c>
      <c r="N79" s="24" t="b">
        <f>IFERROR(__xludf.DUMMYFUNCTION("""COMPUTED_VALUE"""),FALSE)</f>
        <v>0</v>
      </c>
      <c r="O79" s="18" t="str">
        <f>IFERROR(__xludf.DUMMYFUNCTION("""COMPUTED_VALUE"""),"Trip.com")</f>
        <v>Trip.com</v>
      </c>
      <c r="P79" s="24">
        <f>IFERROR(__xludf.DUMMYFUNCTION("""COMPUTED_VALUE"""),10.0)</f>
        <v>10</v>
      </c>
      <c r="Q79" s="25">
        <f>IFERROR(__xludf.DUMMYFUNCTION("""COMPUTED_VALUE"""),46090.0)</f>
        <v>46090</v>
      </c>
      <c r="R79" s="24" t="str">
        <f>IFERROR(__xludf.DUMMYFUNCTION("""COMPUTED_VALUE"""),"整體感覺很好")</f>
        <v>整體感覺很好</v>
      </c>
      <c r="S79" s="24"/>
      <c r="T79" s="24"/>
      <c r="U79" s="24" t="str">
        <f>IFERROR(__xludf.DUMMYFUNCTION("""COMPUTED_VALUE"""),"全体的に、とても良かった。")</f>
        <v>全体的に、とても良かった。</v>
      </c>
      <c r="V79" s="24" t="str">
        <f>IFERROR(__xludf.DUMMYFUNCTION("""COMPUTED_VALUE"""),"")</f>
        <v/>
      </c>
      <c r="W79" s="24" t="str">
        <f>IFERROR(__xludf.DUMMYFUNCTION("""COMPUTED_VALUE"""),"")</f>
        <v/>
      </c>
      <c r="X79" s="24" t="str">
        <f>IFERROR(__xludf.DUMMYFUNCTION("""COMPUTED_VALUE"""),"ゲ‍ス‍ト")</f>
        <v>ゲ‍ス‍ト</v>
      </c>
    </row>
    <row r="80">
      <c r="B80" s="24" t="b">
        <f>IFERROR(__xludf.DUMMYFUNCTION("""COMPUTED_VALUE"""),FALSE)</f>
        <v>0</v>
      </c>
      <c r="C80" s="18" t="str">
        <f>IFERROR(__xludf.DUMMYFUNCTION("""COMPUTED_VALUE"""),"Booking.com")</f>
        <v>Booking.com</v>
      </c>
      <c r="D80" s="5">
        <f>IFERROR(__xludf.DUMMYFUNCTION("""COMPUTED_VALUE"""),7.0)</f>
        <v>7</v>
      </c>
      <c r="E80" s="19">
        <f>IFERROR(__xludf.DUMMYFUNCTION("""COMPUTED_VALUE"""),46081.0)</f>
        <v>46081</v>
      </c>
      <c r="F80" s="5"/>
      <c r="G80" s="24"/>
      <c r="H80" s="5"/>
      <c r="I80" s="5" t="str">
        <f>IFERROR(__xludf.DUMMYFUNCTION("""COMPUTED_VALUE"""),"")</f>
        <v/>
      </c>
      <c r="J80" s="5" t="str">
        <f>IFERROR(__xludf.DUMMYFUNCTION("""COMPUTED_VALUE"""),"")</f>
        <v/>
      </c>
      <c r="K80" s="24" t="str">
        <f>IFERROR(__xludf.DUMMYFUNCTION("""COMPUTED_VALUE"""),"")</f>
        <v/>
      </c>
      <c r="L80" s="24" t="str">
        <f>IFERROR(__xludf.DUMMYFUNCTION("""COMPUTED_VALUE"""),"Yoichi")</f>
        <v>Yoichi</v>
      </c>
    </row>
    <row r="81">
      <c r="B81" s="24" t="b">
        <f>IFERROR(__xludf.DUMMYFUNCTION("""COMPUTED_VALUE"""),FALSE)</f>
        <v>0</v>
      </c>
      <c r="C81" s="18" t="str">
        <f>IFERROR(__xludf.DUMMYFUNCTION("""COMPUTED_VALUE"""),"Booking.com")</f>
        <v>Booking.com</v>
      </c>
      <c r="D81" s="5">
        <f>IFERROR(__xludf.DUMMYFUNCTION("""COMPUTED_VALUE"""),9.0)</f>
        <v>9</v>
      </c>
      <c r="E81" s="25">
        <f>IFERROR(__xludf.DUMMYFUNCTION("""COMPUTED_VALUE"""),46081.0)</f>
        <v>46081</v>
      </c>
      <c r="F81" s="24"/>
      <c r="G81" s="24" t="str">
        <f>IFERROR(__xludf.DUMMYFUNCTION("""COMPUTED_VALUE"""),"位於市中心，生活機能很方便！")</f>
        <v>位於市中心，生活機能很方便！</v>
      </c>
      <c r="H81" s="5" t="str">
        <f>IFERROR(__xludf.DUMMYFUNCTION("""COMPUTED_VALUE"""),"無。")</f>
        <v>無。</v>
      </c>
      <c r="I81" s="5" t="str">
        <f>IFERROR(__xludf.DUMMYFUNCTION("""COMPUTED_VALUE"""),"")</f>
        <v/>
      </c>
      <c r="J81" s="5" t="str">
        <f>IFERROR(__xludf.DUMMYFUNCTION("""COMPUTED_VALUE"""),"市内中心部に位置し、日用品のすべてに簡単にアクセスできます！")</f>
        <v>市内中心部に位置し、日用品のすべてに簡単にアクセスできます！</v>
      </c>
      <c r="K81" s="24" t="str">
        <f>IFERROR(__xludf.DUMMYFUNCTION("""COMPUTED_VALUE"""),"なし。")</f>
        <v>なし。</v>
      </c>
      <c r="L81" s="24" t="str">
        <f>IFERROR(__xludf.DUMMYFUNCTION("""COMPUTED_VALUE"""),"Zhe")</f>
        <v>Zhe</v>
      </c>
    </row>
    <row r="82">
      <c r="B82" s="24" t="b">
        <f>IFERROR(__xludf.DUMMYFUNCTION("""COMPUTED_VALUE"""),FALSE)</f>
        <v>0</v>
      </c>
      <c r="C82" s="18" t="str">
        <f>IFERROR(__xludf.DUMMYFUNCTION("""COMPUTED_VALUE"""),"Booking.com")</f>
        <v>Booking.com</v>
      </c>
      <c r="D82" s="5">
        <f>IFERROR(__xludf.DUMMYFUNCTION("""COMPUTED_VALUE"""),10.0)</f>
        <v>10</v>
      </c>
      <c r="E82" s="25">
        <f>IFERROR(__xludf.DUMMYFUNCTION("""COMPUTED_VALUE"""),46081.0)</f>
        <v>46081</v>
      </c>
      <c r="F82" s="24"/>
      <c r="G82" s="24"/>
      <c r="H82" s="5"/>
      <c r="I82" s="5" t="str">
        <f>IFERROR(__xludf.DUMMYFUNCTION("""COMPUTED_VALUE"""),"")</f>
        <v/>
      </c>
      <c r="J82" s="5" t="str">
        <f>IFERROR(__xludf.DUMMYFUNCTION("""COMPUTED_VALUE"""),"")</f>
        <v/>
      </c>
      <c r="K82" s="24" t="str">
        <f>IFERROR(__xludf.DUMMYFUNCTION("""COMPUTED_VALUE"""),"")</f>
        <v/>
      </c>
      <c r="L82" s="24" t="str">
        <f>IFERROR(__xludf.DUMMYFUNCTION("""COMPUTED_VALUE"""),"Sungjoong")</f>
        <v>Sungjoong</v>
      </c>
    </row>
    <row r="83">
      <c r="B83" s="24" t="b">
        <f>IFERROR(__xludf.DUMMYFUNCTION("""COMPUTED_VALUE"""),FALSE)</f>
        <v>0</v>
      </c>
      <c r="C83" s="18" t="str">
        <f>IFERROR(__xludf.DUMMYFUNCTION("""COMPUTED_VALUE"""),"Trip.com")</f>
        <v>Trip.com</v>
      </c>
      <c r="D83" s="5">
        <f>IFERROR(__xludf.DUMMYFUNCTION("""COMPUTED_VALUE"""),8.0)</f>
        <v>8</v>
      </c>
      <c r="E83" s="25">
        <f>IFERROR(__xludf.DUMMYFUNCTION("""COMPUTED_VALUE"""),46080.0)</f>
        <v>46080</v>
      </c>
      <c r="F83" s="24" t="str">
        <f>IFERROR(__xludf.DUMMYFUNCTION("""COMPUTED_VALUE"""),"房間挺大的，距離t3客運大樓非常近，步行7分鐘，適合早班航班出行，酒店內一樓有自助餐廳，性價比也蠻好，看到用餐人不少，同時有超市買東西很方便。")</f>
        <v>房間挺大的，距離t3客運大樓非常近，步行7分鐘，適合早班航班出行，酒店內一樓有自助餐廳，性價比也蠻好，看到用餐人不少，同時有超市買東西很方便。</v>
      </c>
      <c r="G83" s="24"/>
      <c r="H83" s="5"/>
      <c r="I83" s="5" t="str">
        <f>IFERROR(__xludf.DUMMYFUNCTION("""COMPUTED_VALUE"""),"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f>
        <v>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v>
      </c>
      <c r="J83" s="5" t="str">
        <f>IFERROR(__xludf.DUMMYFUNCTION("""COMPUTED_VALUE"""),"")</f>
        <v/>
      </c>
      <c r="K83" s="24" t="str">
        <f>IFERROR(__xludf.DUMMYFUNCTION("""COMPUTED_VALUE"""),"")</f>
        <v/>
      </c>
      <c r="L83" s="24" t="str">
        <f>IFERROR(__xludf.DUMMYFUNCTION("""COMPUTED_VALUE"""),"ゲ‍ス‍ト")</f>
        <v>ゲ‍ス‍ト</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IFERROR(__xludf.DUMMYFUNCTION("""COMPUTED_VALUE"""),46080.0)</f>
        <v>46080</v>
      </c>
      <c r="F84" s="24" t="str">
        <f>IFERROR(__xludf.DUMMYFUNCTION("""COMPUTED_VALUE"""),"房內空間很優秀，也很明亮！ 附近吃東西方便")</f>
        <v>房內空間很優秀，也很明亮！ 附近吃東西方便</v>
      </c>
      <c r="G84" s="24"/>
      <c r="H84" s="5"/>
      <c r="I84" s="5" t="str">
        <f>IFERROR(__xludf.DUMMYFUNCTION("""COMPUTED_VALUE"""),"部屋は広々としていて明るいです！近くには便利なレストランがたくさんあります。")</f>
        <v>部屋は広々としていて明るいです！近くには便利なレストランがたくさんあります。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IFERROR(__xludf.DUMMYFUNCTION("""COMPUTED_VALUE"""),"Trip.com")</f>
        <v>Trip.com</v>
      </c>
      <c r="D85" s="24">
        <f>IFERROR(__xludf.DUMMYFUNCTION("""COMPUTED_VALUE"""),9.0)</f>
        <v>9</v>
      </c>
      <c r="E85" s="25">
        <f>IFERROR(__xludf.DUMMYFUNCTION("""COMPUTED_VALUE"""),46080.0)</f>
        <v>46080</v>
      </c>
      <c r="F8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G85" s="24"/>
      <c r="H85" s="5"/>
      <c r="I85" s="5"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J85" s="5" t="str">
        <f>IFERROR(__xludf.DUMMYFUNCTION("""COMPUTED_VALUE"""),"")</f>
        <v/>
      </c>
      <c r="K85" s="24" t="str">
        <f>IFERROR(__xludf.DUMMYFUNCTION("""COMPUTED_VALUE"""),"")</f>
        <v/>
      </c>
      <c r="L85" s="24" t="str">
        <f>IFERROR(__xludf.DUMMYFUNCTION("""COMPUTED_VALUE"""),"み‍ゆ‍か")</f>
        <v>み‍ゆ‍か</v>
      </c>
    </row>
    <row r="86">
      <c r="B86" s="24" t="b">
        <f>IFERROR(__xludf.DUMMYFUNCTION("""COMPUTED_VALUE"""),FALSE)</f>
        <v>0</v>
      </c>
      <c r="C86" s="18" t="str">
        <f>IFERROR(__xludf.DUMMYFUNCTION("""COMPUTED_VALUE"""),"Trip.com")</f>
        <v>Trip.com</v>
      </c>
      <c r="D86" s="24">
        <f>IFERROR(__xludf.DUMMYFUNCTION("""COMPUTED_VALUE"""),10.0)</f>
        <v>10</v>
      </c>
      <c r="E86" s="25">
        <f>IFERROR(__xludf.DUMMYFUNCTION("""COMPUTED_VALUE"""),46079.0)</f>
        <v>46079</v>
      </c>
      <c r="F86" s="24" t="str">
        <f>IFERROR(__xludf.DUMMYFUNCTION("""COMPUTED_VALUE"""),"""Excellent service and friendly staff! The rooms are larger and cheaper than city-center hotels. Breakfast is good enough for a morning meal. While it’s a short walk from the station, the value for money is unbeatable—especially with the free bath salts "&amp;"and face masks provided. Definitely recommended!""")</f>
        <v>"Excellent service and friendly staff! The rooms are larger and cheaper than city-center hotels. Breakfast is good enough for a morning meal. While it’s a short walk from the station, the value for money is unbeatable—especially with the free bath salts and face masks provided. Definitely recommended!"</v>
      </c>
      <c r="G86" s="24"/>
      <c r="H86" s="5"/>
      <c r="I86" s="5" t="str">
        <f>IFERROR(__xludf.DUMMYFUNCTION("""COMPUTED_VALUE"""),"「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f>
        <v>「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v>
      </c>
      <c r="J86" s="5" t="str">
        <f>IFERROR(__xludf.DUMMYFUNCTION("""COMPUTED_VALUE"""),"")</f>
        <v/>
      </c>
      <c r="K86" s="24" t="str">
        <f>IFERROR(__xludf.DUMMYFUNCTION("""COMPUTED_VALUE"""),"")</f>
        <v/>
      </c>
      <c r="L86" s="24" t="str">
        <f>IFERROR(__xludf.DUMMYFUNCTION("""COMPUTED_VALUE"""),"ゲ‍ス‍ト")</f>
        <v>ゲ‍ス‍ト</v>
      </c>
    </row>
    <row r="87">
      <c r="B87" s="24" t="b">
        <f>IFERROR(__xludf.DUMMYFUNCTION("""COMPUTED_VALUE"""),FALSE)</f>
        <v>0</v>
      </c>
      <c r="C87" s="24" t="str">
        <f>IFERROR(__xludf.DUMMYFUNCTION("""COMPUTED_VALUE"""),"Google")</f>
        <v>Google</v>
      </c>
      <c r="D87" s="24">
        <f>IFERROR(__xludf.DUMMYFUNCTION("""COMPUTED_VALUE"""),4.0)</f>
        <v>4</v>
      </c>
      <c r="E87" s="25">
        <f>IFERROR(__xludf.DUMMYFUNCTION("""COMPUTED_VALUE"""),46079.0)</f>
        <v>46079</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IFERROR(__xludf.DUMMYFUNCTION("""COMPUTED_VALUE"""),"JIN LIN")</f>
        <v>JIN LIN</v>
      </c>
    </row>
    <row r="88">
      <c r="B88" s="24" t="b">
        <f>IFERROR(__xludf.DUMMYFUNCTION("""COMPUTED_VALUE"""),FALSE)</f>
        <v>0</v>
      </c>
      <c r="C88" s="18" t="str">
        <f>IFERROR(__xludf.DUMMYFUNCTION("""COMPUTED_VALUE"""),"Booking.com")</f>
        <v>Booking.com</v>
      </c>
      <c r="D88" s="24">
        <f>IFERROR(__xludf.DUMMYFUNCTION("""COMPUTED_VALUE"""),8.0)</f>
        <v>8</v>
      </c>
      <c r="E88" s="25">
        <f>IFERROR(__xludf.DUMMYFUNCTION("""COMPUTED_VALUE"""),46078.0)</f>
        <v>46078</v>
      </c>
      <c r="F88" s="24"/>
      <c r="G88" s="24"/>
      <c r="H88" s="5"/>
      <c r="I88" s="5" t="str">
        <f>IFERROR(__xludf.DUMMYFUNCTION("""COMPUTED_VALUE"""),"")</f>
        <v/>
      </c>
      <c r="J88" s="5" t="str">
        <f>IFERROR(__xludf.DUMMYFUNCTION("""COMPUTED_VALUE"""),"")</f>
        <v/>
      </c>
      <c r="K88" s="24" t="str">
        <f>IFERROR(__xludf.DUMMYFUNCTION("""COMPUTED_VALUE"""),"")</f>
        <v/>
      </c>
      <c r="L88" s="24" t="str">
        <f>IFERROR(__xludf.DUMMYFUNCTION("""COMPUTED_VALUE"""),"Koes")</f>
        <v>Koes</v>
      </c>
    </row>
    <row r="89">
      <c r="B89" s="24" t="b">
        <f>IFERROR(__xludf.DUMMYFUNCTION("""COMPUTED_VALUE"""),FALSE)</f>
        <v>0</v>
      </c>
      <c r="C89" s="24" t="str">
        <f>IFERROR(__xludf.DUMMYFUNCTION("""COMPUTED_VALUE"""),"楽天トラベル")</f>
        <v>楽天トラベル</v>
      </c>
      <c r="D89" s="24">
        <f>IFERROR(__xludf.DUMMYFUNCTION("""COMPUTED_VALUE"""),4.0)</f>
        <v>4</v>
      </c>
      <c r="E89" s="25">
        <f>IFERROR(__xludf.DUMMYFUNCTION("""COMPUTED_VALUE"""),46078.0)</f>
        <v>46078</v>
      </c>
      <c r="F8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G89" s="24"/>
      <c r="H89" s="24"/>
      <c r="I89" s="5"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J89" s="5" t="str">
        <f>IFERROR(__xludf.DUMMYFUNCTION("""COMPUTED_VALUE"""),"")</f>
        <v/>
      </c>
      <c r="K89" s="24" t="str">
        <f>IFERROR(__xludf.DUMMYFUNCTION("""COMPUTED_VALUE"""),"")</f>
        <v/>
      </c>
      <c r="L89" s="24" t="str">
        <f>IFERROR(__xludf.DUMMYFUNCTION("""COMPUTED_VALUE"""),"ののじぃ5926")</f>
        <v>ののじぃ5926</v>
      </c>
    </row>
    <row r="90">
      <c r="B90" s="24" t="b">
        <f>IFERROR(__xludf.DUMMYFUNCTION("""COMPUTED_VALUE"""),FALSE)</f>
        <v>0</v>
      </c>
      <c r="C90" s="24" t="str">
        <f>IFERROR(__xludf.DUMMYFUNCTION("""COMPUTED_VALUE"""),"楽天トラベル")</f>
        <v>楽天トラベル</v>
      </c>
      <c r="D90" s="24">
        <f>IFERROR(__xludf.DUMMYFUNCTION("""COMPUTED_VALUE"""),3.0)</f>
        <v>3</v>
      </c>
      <c r="E90" s="25">
        <f>IFERROR(__xludf.DUMMYFUNCTION("""COMPUTED_VALUE"""),46078.0)</f>
        <v>46078</v>
      </c>
      <c r="F9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G90" s="24"/>
      <c r="H90" s="24"/>
      <c r="I90" s="5"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J90" s="5" t="str">
        <f>IFERROR(__xludf.DUMMYFUNCTION("""COMPUTED_VALUE"""),"")</f>
        <v/>
      </c>
      <c r="K90" s="24" t="str">
        <f>IFERROR(__xludf.DUMMYFUNCTION("""COMPUTED_VALUE"""),"")</f>
        <v/>
      </c>
      <c r="L90" s="24" t="str">
        <f>IFERROR(__xludf.DUMMYFUNCTION("""COMPUTED_VALUE"""),"ichigo☆")</f>
        <v>ichigo☆</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IFERROR(__xludf.DUMMYFUNCTION("""COMPUTED_VALUE"""),46078.0)</f>
        <v>46078</v>
      </c>
      <c r="F91" s="24" t="str">
        <f>IFERROR(__xludf.DUMMYFUNCTION("""COMPUTED_VALUE"""),"We really enjoyed our stay. The hotel was clean and comfortable, and the staff were very accommodating, especially for families. The location was great and accessible to transport and nearby amenities. We would definitely stay here again.")</f>
        <v>We really enjoyed our stay. The hotel was clean and comfortable, and the staff were very accommodating, especially for families. The location was great and accessible to transport and nearby amenities. We would definitely stay here again.</v>
      </c>
      <c r="G91" s="24"/>
      <c r="H91" s="24"/>
      <c r="I91" s="5" t="str">
        <f>IFERROR(__xludf.DUMMYFUNCTION("""COMPUTED_VALUE"""),"滞在をとても満喫しました。ホテルは清潔で快適で、スタッフの方々は特に家族連れにとても親切でした。立地も素晴らしく、交通機関や周辺の施設へのアクセスも良好でした。ぜひまた利用したいと思います。")</f>
        <v>滞在をとても満喫しました。ホテルは清潔で快適で、スタッフの方々は特に家族連れにとても親切でした。立地も素晴らしく、交通機関や周辺の施設へのアクセスも良好でした。ぜひまた利用したいと思います。</v>
      </c>
      <c r="J91" s="5" t="str">
        <f>IFERROR(__xludf.DUMMYFUNCTION("""COMPUTED_VALUE"""),"")</f>
        <v/>
      </c>
      <c r="K91" s="24" t="str">
        <f>IFERROR(__xludf.DUMMYFUNCTION("""COMPUTED_VALUE"""),"")</f>
        <v/>
      </c>
      <c r="L91" s="24" t="str">
        <f>IFERROR(__xludf.DUMMYFUNCTION("""COMPUTED_VALUE"""),"W‍A‍N‍D‍E‍R‍S‍K‍Y‍E")</f>
        <v>W‍A‍N‍D‍E‍R‍S‍K‍Y‍E</v>
      </c>
    </row>
    <row r="92">
      <c r="B92" s="24" t="b">
        <f>IFERROR(__xludf.DUMMYFUNCTION("""COMPUTED_VALUE"""),FALSE)</f>
        <v>0</v>
      </c>
      <c r="C92" s="18" t="str">
        <f>IFERROR(__xludf.DUMMYFUNCTION("""COMPUTED_VALUE"""),"Trip.com")</f>
        <v>Trip.com</v>
      </c>
      <c r="D92" s="24">
        <f>IFERROR(__xludf.DUMMYFUNCTION("""COMPUTED_VALUE"""),9.0)</f>
        <v>9</v>
      </c>
      <c r="E92" s="25">
        <f>IFERROR(__xludf.DUMMYFUNCTION("""COMPUTED_VALUE"""),46078.0)</f>
        <v>46078</v>
      </c>
      <c r="F92" s="24" t="str">
        <f>IFERROR(__xludf.DUMMYFUNCTION("""COMPUTED_VALUE"""),"地點方便，雙床加床也很舒適，廁浴洗手分開非常棒")</f>
        <v>地點方便，雙床加床也很舒適，廁浴洗手分開非常棒</v>
      </c>
      <c r="G92" s="24"/>
      <c r="H92" s="24"/>
      <c r="I92" s="5" t="str">
        <f>IFERROR(__xludf.DUMMYFUNCTION("""COMPUTED_VALUE"""),"立地は便利で、ツインベッドとエキストラベッドはとても快適、独立したトイレ、シャワー、手洗い場も素晴らしい。")</f>
        <v>立地は便利で、ツインベッドとエキストラベッドはとても快適、独立したトイレ、シャワー、手洗い場も素晴らしい。</v>
      </c>
      <c r="J92" s="5" t="str">
        <f>IFERROR(__xludf.DUMMYFUNCTION("""COMPUTED_VALUE"""),"")</f>
        <v/>
      </c>
      <c r="K92" s="24" t="str">
        <f>IFERROR(__xludf.DUMMYFUNCTION("""COMPUTED_VALUE"""),"")</f>
        <v/>
      </c>
      <c r="L92" s="24" t="str">
        <f>IFERROR(__xludf.DUMMYFUNCTION("""COMPUTED_VALUE"""),"S‍u‍n‍r‍i‍s‍e‍ ‍s‍t‍a‍r")</f>
        <v>S‍u‍n‍r‍i‍s‍e‍ ‍s‍t‍a‍r</v>
      </c>
    </row>
    <row r="93">
      <c r="B93" s="24" t="b">
        <f>IFERROR(__xludf.DUMMYFUNCTION("""COMPUTED_VALUE"""),FALSE)</f>
        <v>0</v>
      </c>
      <c r="C93" s="18" t="str">
        <f>IFERROR(__xludf.DUMMYFUNCTION("""COMPUTED_VALUE"""),"Booking.com")</f>
        <v>Booking.com</v>
      </c>
      <c r="D93" s="24">
        <f>IFERROR(__xludf.DUMMYFUNCTION("""COMPUTED_VALUE"""),9.0)</f>
        <v>9</v>
      </c>
      <c r="E93" s="25">
        <f>IFERROR(__xludf.DUMMYFUNCTION("""COMPUTED_VALUE"""),46078.0)</f>
        <v>46078</v>
      </c>
      <c r="F93" s="24"/>
      <c r="G9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H93" s="24" t="str">
        <f>IFERROR(__xludf.DUMMYFUNCTION("""COMPUTED_VALUE"""),"無し")</f>
        <v>無し</v>
      </c>
      <c r="I93" s="5" t="str">
        <f>IFERROR(__xludf.DUMMYFUNCTION("""COMPUTED_VALUE"""),"")</f>
        <v/>
      </c>
      <c r="J93" s="5"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K93" s="24" t="str">
        <f>IFERROR(__xludf.DUMMYFUNCTION("""COMPUTED_VALUE"""),"無し")</f>
        <v>無し</v>
      </c>
      <c r="L93" s="24" t="str">
        <f>IFERROR(__xludf.DUMMYFUNCTION("""COMPUTED_VALUE"""),"Hisao")</f>
        <v>Hisao</v>
      </c>
    </row>
    <row r="94">
      <c r="B94" s="24" t="b">
        <f>IFERROR(__xludf.DUMMYFUNCTION("""COMPUTED_VALUE"""),FALSE)</f>
        <v>0</v>
      </c>
      <c r="C94" s="24" t="str">
        <f>IFERROR(__xludf.DUMMYFUNCTION("""COMPUTED_VALUE"""),"Google")</f>
        <v>Google</v>
      </c>
      <c r="D94" s="24">
        <f>IFERROR(__xludf.DUMMYFUNCTION("""COMPUTED_VALUE"""),5.0)</f>
        <v>5</v>
      </c>
      <c r="E94" s="25">
        <f>IFERROR(__xludf.DUMMYFUNCTION("""COMPUTED_VALUE"""),46078.0)</f>
        <v>46078</v>
      </c>
      <c r="F94" s="24" t="str">
        <f>IFERROR(__xludf.DUMMYFUNCTION("""COMPUTED_VALUE"""),"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f>
        <v>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v>
      </c>
      <c r="G94" s="24"/>
      <c r="H94" s="24"/>
      <c r="I94" s="5" t="str">
        <f>IFERROR(__xludf.DUMMYFUNCTION("""COMPUTED_VALUE"""),"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amp;"業のスーパーマーケットもあり、押上駅はショッピングにも最適です。非常におすすめです！")</f>
        <v>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業のスーパーマーケットもあり、押上駅はショッピングにも最適です。非常におすすめです！</v>
      </c>
      <c r="J94" s="5" t="str">
        <f>IFERROR(__xludf.DUMMYFUNCTION("""COMPUTED_VALUE"""),"")</f>
        <v/>
      </c>
      <c r="K94" s="24" t="str">
        <f>IFERROR(__xludf.DUMMYFUNCTION("""COMPUTED_VALUE"""),"")</f>
        <v/>
      </c>
      <c r="L94" s="24" t="str">
        <f>IFERROR(__xludf.DUMMYFUNCTION("""COMPUTED_VALUE"""),"Yinggg")</f>
        <v>Yinggg</v>
      </c>
    </row>
    <row r="95">
      <c r="B95" s="24" t="b">
        <f>IFERROR(__xludf.DUMMYFUNCTION("""COMPUTED_VALUE"""),FALSE)</f>
        <v>0</v>
      </c>
      <c r="C95" s="24" t="str">
        <f>IFERROR(__xludf.DUMMYFUNCTION("""COMPUTED_VALUE"""),"Google")</f>
        <v>Google</v>
      </c>
      <c r="D95" s="24">
        <f>IFERROR(__xludf.DUMMYFUNCTION("""COMPUTED_VALUE"""),5.0)</f>
        <v>5</v>
      </c>
      <c r="E95" s="25">
        <f>IFERROR(__xludf.DUMMYFUNCTION("""COMPUTED_VALUE"""),46078.0)</f>
        <v>46078</v>
      </c>
      <c r="F9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G95" s="24"/>
      <c r="H95" s="24"/>
      <c r="I95" s="5"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J95" s="5" t="str">
        <f>IFERROR(__xludf.DUMMYFUNCTION("""COMPUTED_VALUE"""),"")</f>
        <v/>
      </c>
      <c r="K95" s="24" t="str">
        <f>IFERROR(__xludf.DUMMYFUNCTION("""COMPUTED_VALUE"""),"")</f>
        <v/>
      </c>
      <c r="L95" s="24" t="str">
        <f>IFERROR(__xludf.DUMMYFUNCTION("""COMPUTED_VALUE"""),"Yinggg")</f>
        <v>Yinggg</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IFERROR(__xludf.DUMMYFUNCTION("""COMPUTED_VALUE"""),46077.0)</f>
        <v>46077</v>
      </c>
      <c r="F96" s="24" t="str">
        <f>IFERROR(__xludf.DUMMYFUNCTION("""COMPUTED_VALUE"""),"房間乾淨客服態度親切")</f>
        <v>房間乾淨客服態度親切</v>
      </c>
      <c r="G96" s="24"/>
      <c r="H96" s="24"/>
      <c r="I96" s="5" t="str">
        <f>IFERROR(__xludf.DUMMYFUNCTION("""COMPUTED_VALUE"""),"部屋は清潔で、接客も親切だった。")</f>
        <v>部屋は清潔で、接客も親切だった。</v>
      </c>
      <c r="J96" s="5" t="str">
        <f>IFERROR(__xludf.DUMMYFUNCTION("""COMPUTED_VALUE"""),"")</f>
        <v/>
      </c>
      <c r="K96" s="24" t="str">
        <f>IFERROR(__xludf.DUMMYFUNCTION("""COMPUTED_VALUE"""),"")</f>
        <v/>
      </c>
      <c r="L96" s="24" t="str">
        <f>IFERROR(__xludf.DUMMYFUNCTION("""COMPUTED_VALUE"""),"H‍a‍n‍k‍.‍c‍h‍e‍n")</f>
        <v>H‍a‍n‍k‍.‍c‍h‍e‍n</v>
      </c>
    </row>
    <row r="97">
      <c r="B97" s="24" t="b">
        <f>IFERROR(__xludf.DUMMYFUNCTION("""COMPUTED_VALUE"""),FALSE)</f>
        <v>0</v>
      </c>
      <c r="C97" s="18" t="str">
        <f>IFERROR(__xludf.DUMMYFUNCTION("""COMPUTED_VALUE"""),"Booking.com")</f>
        <v>Booking.com</v>
      </c>
      <c r="D97" s="24">
        <f>IFERROR(__xludf.DUMMYFUNCTION("""COMPUTED_VALUE"""),4.0)</f>
        <v>4</v>
      </c>
      <c r="E97" s="25">
        <f>IFERROR(__xludf.DUMMYFUNCTION("""COMPUTED_VALUE"""),46077.0)</f>
        <v>46077</v>
      </c>
      <c r="F97" s="24"/>
      <c r="G97" s="24"/>
      <c r="H97" s="24"/>
      <c r="I97" s="5" t="str">
        <f>IFERROR(__xludf.DUMMYFUNCTION("""COMPUTED_VALUE"""),"")</f>
        <v/>
      </c>
      <c r="J97" s="5" t="str">
        <f>IFERROR(__xludf.DUMMYFUNCTION("""COMPUTED_VALUE"""),"")</f>
        <v/>
      </c>
      <c r="K97" s="24" t="str">
        <f>IFERROR(__xludf.DUMMYFUNCTION("""COMPUTED_VALUE"""),"")</f>
        <v/>
      </c>
      <c r="L97" s="24" t="str">
        <f>IFERROR(__xludf.DUMMYFUNCTION("""COMPUTED_VALUE"""),"吉田")</f>
        <v>吉田</v>
      </c>
    </row>
    <row r="98">
      <c r="B98" s="24" t="b">
        <f>IFERROR(__xludf.DUMMYFUNCTION("""COMPUTED_VALUE"""),FALSE)</f>
        <v>0</v>
      </c>
      <c r="C98" s="18" t="str">
        <f>IFERROR(__xludf.DUMMYFUNCTION("""COMPUTED_VALUE"""),"Booking.com")</f>
        <v>Booking.com</v>
      </c>
      <c r="D98" s="24">
        <f>IFERROR(__xludf.DUMMYFUNCTION("""COMPUTED_VALUE"""),10.0)</f>
        <v>10</v>
      </c>
      <c r="E98" s="25">
        <f>IFERROR(__xludf.DUMMYFUNCTION("""COMPUTED_VALUE"""),46077.0)</f>
        <v>46077</v>
      </c>
      <c r="F98" s="24"/>
      <c r="G98" s="24"/>
      <c r="H98" s="24"/>
      <c r="I98" s="5" t="str">
        <f>IFERROR(__xludf.DUMMYFUNCTION("""COMPUTED_VALUE"""),"")</f>
        <v/>
      </c>
      <c r="J98" s="5" t="str">
        <f>IFERROR(__xludf.DUMMYFUNCTION("""COMPUTED_VALUE"""),"")</f>
        <v/>
      </c>
      <c r="K98" s="24" t="str">
        <f>IFERROR(__xludf.DUMMYFUNCTION("""COMPUTED_VALUE"""),"")</f>
        <v/>
      </c>
      <c r="L98" s="24" t="str">
        <f>IFERROR(__xludf.DUMMYFUNCTION("""COMPUTED_VALUE"""),"Tanabe")</f>
        <v>Tanabe</v>
      </c>
    </row>
    <row r="99">
      <c r="B99" s="24" t="b">
        <f>IFERROR(__xludf.DUMMYFUNCTION("""COMPUTED_VALUE"""),FALSE)</f>
        <v>0</v>
      </c>
      <c r="C99" s="18" t="str">
        <f>IFERROR(__xludf.DUMMYFUNCTION("""COMPUTED_VALUE"""),"Booking.com")</f>
        <v>Booking.com</v>
      </c>
      <c r="D99" s="24">
        <f>IFERROR(__xludf.DUMMYFUNCTION("""COMPUTED_VALUE"""),10.0)</f>
        <v>10</v>
      </c>
      <c r="E99" s="25">
        <f>IFERROR(__xludf.DUMMYFUNCTION("""COMPUTED_VALUE"""),46077.0)</f>
        <v>46077</v>
      </c>
      <c r="F99" s="24"/>
      <c r="G99" s="24"/>
      <c r="H99" s="24"/>
      <c r="I99" s="5" t="str">
        <f>IFERROR(__xludf.DUMMYFUNCTION("""COMPUTED_VALUE"""),"")</f>
        <v/>
      </c>
      <c r="J99" s="5" t="str">
        <f>IFERROR(__xludf.DUMMYFUNCTION("""COMPUTED_VALUE"""),"")</f>
        <v/>
      </c>
      <c r="K99" s="24" t="str">
        <f>IFERROR(__xludf.DUMMYFUNCTION("""COMPUTED_VALUE"""),"")</f>
        <v/>
      </c>
      <c r="L99" s="24" t="str">
        <f>IFERROR(__xludf.DUMMYFUNCTION("""COMPUTED_VALUE"""),"Ray")</f>
        <v>Ray</v>
      </c>
    </row>
    <row r="100">
      <c r="B100" s="24" t="b">
        <f>IFERROR(__xludf.DUMMYFUNCTION("""COMPUTED_VALUE"""),FALSE)</f>
        <v>0</v>
      </c>
      <c r="C100" s="18" t="str">
        <f>IFERROR(__xludf.DUMMYFUNCTION("""COMPUTED_VALUE"""),"Trip.com")</f>
        <v>Trip.com</v>
      </c>
      <c r="D100" s="24">
        <f>IFERROR(__xludf.DUMMYFUNCTION("""COMPUTED_VALUE"""),8.0)</f>
        <v>8</v>
      </c>
      <c r="E100" s="25">
        <f>IFERROR(__xludf.DUMMYFUNCTION("""COMPUTED_VALUE"""),46076.0)</f>
        <v>46076</v>
      </c>
      <c r="F100" s="24" t="str">
        <f>IFERROR(__xludf.DUMMYFUNCTION("""COMPUTED_VALUE"""),"Location is good and at quiet street.")</f>
        <v>Location is good and at quiet street.</v>
      </c>
      <c r="G100" s="24"/>
      <c r="H100" s="24"/>
      <c r="I100" s="5" t="str">
        <f>IFERROR(__xludf.DUMMYFUNCTION("""COMPUTED_VALUE"""),"立地が良く、静かな通りに面している。")</f>
        <v>立地が良く、静かな通りに面している。</v>
      </c>
      <c r="J100" s="5" t="str">
        <f>IFERROR(__xludf.DUMMYFUNCTION("""COMPUTED_VALUE"""),"")</f>
        <v/>
      </c>
      <c r="K100" s="24" t="str">
        <f>IFERROR(__xludf.DUMMYFUNCTION("""COMPUTED_VALUE"""),"")</f>
        <v/>
      </c>
      <c r="L100" s="24" t="str">
        <f>IFERROR(__xludf.DUMMYFUNCTION("""COMPUTED_VALUE"""),"ゲ‍ス‍ト")</f>
        <v>ゲ‍ス‍ト</v>
      </c>
      <c r="N100" s="24" t="b">
        <f>IFERROR(__xludf.DUMMYFUNCTION("IMPORTRANGE(C3,Q2&amp;R2&amp;T3)"),FALSE)</f>
        <v>0</v>
      </c>
      <c r="O100" s="18" t="str">
        <f>IFERROR(__xludf.DUMMYFUNCTION("""COMPUTED_VALUE"""),"Booking.com")</f>
        <v>Booking.com</v>
      </c>
      <c r="P100" s="24">
        <f>IFERROR(__xludf.DUMMYFUNCTION("""COMPUTED_VALUE"""),7.0)</f>
        <v>7</v>
      </c>
      <c r="Q100" s="25">
        <f>IFERROR(__xludf.DUMMYFUNCTION("""COMPUTED_VALUE"""),46081.0)</f>
        <v>46081</v>
      </c>
      <c r="R100" s="24"/>
      <c r="S100" s="24"/>
      <c r="T100" s="24"/>
      <c r="U100" s="24" t="str">
        <f>IFERROR(__xludf.DUMMYFUNCTION("""COMPUTED_VALUE"""),"")</f>
        <v/>
      </c>
      <c r="V100" s="24" t="str">
        <f>IFERROR(__xludf.DUMMYFUNCTION("""COMPUTED_VALUE"""),"")</f>
        <v/>
      </c>
      <c r="W100" s="24" t="str">
        <f>IFERROR(__xludf.DUMMYFUNCTION("""COMPUTED_VALUE"""),"")</f>
        <v/>
      </c>
      <c r="X100" s="24" t="str">
        <f>IFERROR(__xludf.DUMMYFUNCTION("""COMPUTED_VALUE"""),"Yoichi")</f>
        <v>Yoichi</v>
      </c>
    </row>
    <row r="101">
      <c r="B101" s="24" t="b">
        <f>IFERROR(__xludf.DUMMYFUNCTION("""COMPUTED_VALUE"""),FALSE)</f>
        <v>0</v>
      </c>
      <c r="C101" s="18" t="str">
        <f>IFERROR(__xludf.DUMMYFUNCTION("""COMPUTED_VALUE"""),"Trip.com")</f>
        <v>Trip.com</v>
      </c>
      <c r="D101" s="24">
        <f>IFERROR(__xludf.DUMMYFUNCTION("""COMPUTED_VALUE"""),10.0)</f>
        <v>10</v>
      </c>
      <c r="E101" s="25">
        <f>IFERROR(__xludf.DUMMYFUNCTION("""COMPUTED_VALUE"""),46076.0)</f>
        <v>46076</v>
      </c>
      <c r="F101" s="24" t="str">
        <f>IFERROR(__xludf.DUMMYFUNCTION("""COMPUTED_VALUE"""),"酒店早餐好，附近有很多吃飯的店，去地鐵站也很方便，總之很喜歡這個酒店。下次還住着個酒店啦啦啦啦啦啦啦啊啦")</f>
        <v>酒店早餐好，附近有很多吃飯的店，去地鐵站也很方便，總之很喜歡這個酒店。下次還住着個酒店啦啦啦啦啦啦啦啊啦</v>
      </c>
      <c r="G101" s="24"/>
      <c r="H101" s="24"/>
      <c r="I101" s="5" t="str">
        <f>IFERROR(__xludf.DUMMYFUNCTION("""COMPUTED_VALUE"""),"ホテルの朝食は美味しく、周辺にはたくさんのレストランがあり、地下鉄の駅にもとても便利でした。全体的にこのホテルはとても気に入りました。次回も必ずここに泊まります！")</f>
        <v>ホテルの朝食は美味しく、周辺にはたくさんのレストランがあり、地下鉄の駅にもとても便利でした。全体的にこのホテルはとても気に入りました。次回も必ずここに泊まります！</v>
      </c>
      <c r="J101" s="5" t="str">
        <f>IFERROR(__xludf.DUMMYFUNCTION("""COMPUTED_VALUE"""),"")</f>
        <v/>
      </c>
      <c r="K101" s="24" t="str">
        <f>IFERROR(__xludf.DUMMYFUNCTION("""COMPUTED_VALUE"""),"")</f>
        <v/>
      </c>
      <c r="L101" s="24" t="str">
        <f>IFERROR(__xludf.DUMMYFUNCTION("""COMPUTED_VALUE"""),"ゲ‍ス‍ト")</f>
        <v>ゲ‍ス‍ト</v>
      </c>
      <c r="N101" s="24" t="b">
        <f>IFERROR(__xludf.DUMMYFUNCTION("""COMPUTED_VALUE"""),FALSE)</f>
        <v>0</v>
      </c>
      <c r="O101" s="18" t="str">
        <f>IFERROR(__xludf.DUMMYFUNCTION("""COMPUTED_VALUE"""),"Booking.com")</f>
        <v>Booking.com</v>
      </c>
      <c r="P101" s="24">
        <f>IFERROR(__xludf.DUMMYFUNCTION("""COMPUTED_VALUE"""),9.0)</f>
        <v>9</v>
      </c>
      <c r="Q101" s="25">
        <f>IFERROR(__xludf.DUMMYFUNCTION("""COMPUTED_VALUE"""),46081.0)</f>
        <v>46081</v>
      </c>
      <c r="R101" s="24"/>
      <c r="S101" s="24" t="str">
        <f>IFERROR(__xludf.DUMMYFUNCTION("""COMPUTED_VALUE"""),"位於市中心，生活機能很方便！")</f>
        <v>位於市中心，生活機能很方便！</v>
      </c>
      <c r="T101" s="24" t="str">
        <f>IFERROR(__xludf.DUMMYFUNCTION("""COMPUTED_VALUE"""),"無。")</f>
        <v>無。</v>
      </c>
      <c r="U101" s="24" t="str">
        <f>IFERROR(__xludf.DUMMYFUNCTION("""COMPUTED_VALUE"""),"")</f>
        <v/>
      </c>
      <c r="V101" s="24" t="str">
        <f>IFERROR(__xludf.DUMMYFUNCTION("""COMPUTED_VALUE"""),"市内中心部に位置し、日用品のすべてに簡単にアクセスできます！")</f>
        <v>市内中心部に位置し、日用品のすべてに簡単にアクセスできます！</v>
      </c>
      <c r="W101" s="24" t="str">
        <f>IFERROR(__xludf.DUMMYFUNCTION("""COMPUTED_VALUE"""),"なし。")</f>
        <v>なし。</v>
      </c>
      <c r="X101" s="24" t="str">
        <f>IFERROR(__xludf.DUMMYFUNCTION("""COMPUTED_VALUE"""),"Zhe")</f>
        <v>Zhe</v>
      </c>
    </row>
    <row r="102">
      <c r="B102" s="24" t="b">
        <f>IFERROR(__xludf.DUMMYFUNCTION("""COMPUTED_VALUE"""),FALSE)</f>
        <v>0</v>
      </c>
      <c r="C102" s="18" t="str">
        <f>IFERROR(__xludf.DUMMYFUNCTION("""COMPUTED_VALUE"""),"Booking.com")</f>
        <v>Booking.com</v>
      </c>
      <c r="D102" s="24">
        <f>IFERROR(__xludf.DUMMYFUNCTION("""COMPUTED_VALUE"""),5.0)</f>
        <v>5</v>
      </c>
      <c r="E102" s="25">
        <f>IFERROR(__xludf.DUMMYFUNCTION("""COMPUTED_VALUE"""),46076.0)</f>
        <v>46076</v>
      </c>
      <c r="F102" s="24"/>
      <c r="G10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H10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I102" s="5" t="str">
        <f>IFERROR(__xludf.DUMMYFUNCTION("""COMPUTED_VALUE"""),"")</f>
        <v/>
      </c>
      <c r="J102" s="5"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K10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L102" s="24" t="str">
        <f>IFERROR(__xludf.DUMMYFUNCTION("""COMPUTED_VALUE"""),"Kumamoto")</f>
        <v>Kumamoto</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IFERROR(__xludf.DUMMYFUNCTION("""COMPUTED_VALUE"""),46081.0)</f>
        <v>46081</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IFERROR(__xludf.DUMMYFUNCTION("""COMPUTED_VALUE"""),"Sungjoong")</f>
        <v>Sungjoong</v>
      </c>
    </row>
    <row r="103">
      <c r="B103" s="24" t="b">
        <f>IFERROR(__xludf.DUMMYFUNCTION("""COMPUTED_VALUE"""),FALSE)</f>
        <v>0</v>
      </c>
      <c r="C103" s="18" t="str">
        <f>IFERROR(__xludf.DUMMYFUNCTION("""COMPUTED_VALUE"""),"Booking.com")</f>
        <v>Booking.com</v>
      </c>
      <c r="D103" s="24">
        <f>IFERROR(__xludf.DUMMYFUNCTION("""COMPUTED_VALUE"""),8.0)</f>
        <v>8</v>
      </c>
      <c r="E103" s="25">
        <f>IFERROR(__xludf.DUMMYFUNCTION("""COMPUTED_VALUE"""),46075.0)</f>
        <v>46075</v>
      </c>
      <c r="F103" s="24"/>
      <c r="G103" s="24"/>
      <c r="H103" s="24"/>
      <c r="I103" s="5" t="str">
        <f>IFERROR(__xludf.DUMMYFUNCTION("""COMPUTED_VALUE"""),"")</f>
        <v/>
      </c>
      <c r="J103" s="5" t="str">
        <f>IFERROR(__xludf.DUMMYFUNCTION("""COMPUTED_VALUE"""),"")</f>
        <v/>
      </c>
      <c r="K103" s="24" t="str">
        <f>IFERROR(__xludf.DUMMYFUNCTION("""COMPUTED_VALUE"""),"")</f>
        <v/>
      </c>
      <c r="L103" s="24" t="str">
        <f>IFERROR(__xludf.DUMMYFUNCTION("""COMPUTED_VALUE"""),"タクミ")</f>
        <v>タクミ</v>
      </c>
      <c r="N103" s="24" t="b">
        <f>IFERROR(__xludf.DUMMYFUNCTION("""COMPUTED_VALUE"""),FALSE)</f>
        <v>0</v>
      </c>
      <c r="O103" s="18" t="str">
        <f>IFERROR(__xludf.DUMMYFUNCTION("""COMPUTED_VALUE"""),"Trip.com")</f>
        <v>Trip.com</v>
      </c>
      <c r="P103" s="24">
        <f>IFERROR(__xludf.DUMMYFUNCTION("""COMPUTED_VALUE"""),8.0)</f>
        <v>8</v>
      </c>
      <c r="Q103" s="25">
        <f>IFERROR(__xludf.DUMMYFUNCTION("""COMPUTED_VALUE"""),46080.0)</f>
        <v>46080</v>
      </c>
      <c r="R103" s="24" t="str">
        <f>IFERROR(__xludf.DUMMYFUNCTION("""COMPUTED_VALUE"""),"房間挺大的，距離t3客運大樓非常近，步行7分鐘，適合早班航班出行，酒店內一樓有自助餐廳，性價比也蠻好，看到用餐人不少，同時有超市買東西很方便。")</f>
        <v>房間挺大的，距離t3客運大樓非常近，步行7分鐘，適合早班航班出行，酒店內一樓有自助餐廳，性價比也蠻好，看到用餐人不少，同時有超市買東西很方便。</v>
      </c>
      <c r="S103" s="24"/>
      <c r="T103" s="24"/>
      <c r="U103" s="24" t="str">
        <f>IFERROR(__xludf.DUMMYFUNCTION("""COMPUTED_VALUE"""),"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f>
        <v>部屋はかなり広々としていて、ターミナル3まで徒歩7分と非常に近かったので、早朝便を利用するのに最適でした。ホテルの1階にはビュッフェレストランがあり、値段も手頃で、たくさんの人が食事をしていました。近くにはスーパーマーケットもあり、とても便利でした。</v>
      </c>
      <c r="V103" s="24" t="str">
        <f>IFERROR(__xludf.DUMMYFUNCTION("""COMPUTED_VALUE"""),"")</f>
        <v/>
      </c>
      <c r="W103" s="24" t="str">
        <f>IFERROR(__xludf.DUMMYFUNCTION("""COMPUTED_VALUE"""),"")</f>
        <v/>
      </c>
      <c r="X103" s="24" t="str">
        <f>IFERROR(__xludf.DUMMYFUNCTION("""COMPUTED_VALUE"""),"ゲ‍ス‍ト")</f>
        <v>ゲ‍ス‍ト</v>
      </c>
    </row>
    <row r="104">
      <c r="B104" s="24" t="b">
        <f>IFERROR(__xludf.DUMMYFUNCTION("""COMPUTED_VALUE"""),FALSE)</f>
        <v>0</v>
      </c>
      <c r="C104" s="18" t="str">
        <f>IFERROR(__xludf.DUMMYFUNCTION("""COMPUTED_VALUE"""),"Booking.com")</f>
        <v>Booking.com</v>
      </c>
      <c r="D104" s="24">
        <f>IFERROR(__xludf.DUMMYFUNCTION("""COMPUTED_VALUE"""),8.0)</f>
        <v>8</v>
      </c>
      <c r="E104" s="25">
        <f>IFERROR(__xludf.DUMMYFUNCTION("""COMPUTED_VALUE"""),46075.0)</f>
        <v>46075</v>
      </c>
      <c r="F104" s="24"/>
      <c r="G104" s="24"/>
      <c r="H104" s="24"/>
      <c r="I104" s="5" t="str">
        <f>IFERROR(__xludf.DUMMYFUNCTION("""COMPUTED_VALUE"""),"")</f>
        <v/>
      </c>
      <c r="J104" s="5" t="str">
        <f>IFERROR(__xludf.DUMMYFUNCTION("""COMPUTED_VALUE"""),"")</f>
        <v/>
      </c>
      <c r="K104" s="24" t="str">
        <f>IFERROR(__xludf.DUMMYFUNCTION("""COMPUTED_VALUE"""),"")</f>
        <v/>
      </c>
      <c r="L104" s="24" t="str">
        <f>IFERROR(__xludf.DUMMYFUNCTION("""COMPUTED_VALUE"""),"Katie")</f>
        <v>Katie</v>
      </c>
      <c r="N104" s="24" t="b">
        <f>IFERROR(__xludf.DUMMYFUNCTION("""COMPUTED_VALUE"""),FALSE)</f>
        <v>0</v>
      </c>
      <c r="O104" s="18" t="str">
        <f>IFERROR(__xludf.DUMMYFUNCTION("""COMPUTED_VALUE"""),"Trip.com")</f>
        <v>Trip.com</v>
      </c>
      <c r="P104" s="24">
        <f>IFERROR(__xludf.DUMMYFUNCTION("""COMPUTED_VALUE"""),10.0)</f>
        <v>10</v>
      </c>
      <c r="Q104" s="25">
        <f>IFERROR(__xludf.DUMMYFUNCTION("""COMPUTED_VALUE"""),46080.0)</f>
        <v>46080</v>
      </c>
      <c r="R104" s="24" t="str">
        <f>IFERROR(__xludf.DUMMYFUNCTION("""COMPUTED_VALUE"""),"房內空間很優秀，也很明亮！ 附近吃東西方便")</f>
        <v>房內空間很優秀，也很明亮！ 附近吃東西方便</v>
      </c>
      <c r="S104" s="24"/>
      <c r="T104" s="24"/>
      <c r="U104" s="24" t="str">
        <f>IFERROR(__xludf.DUMMYFUNCTION("""COMPUTED_VALUE"""),"部屋は広々としていて明るいです！近くには便利なレストランがたくさんあります。")</f>
        <v>部屋は広々としていて明るいです！近くには便利なレストランがたくさんあります。</v>
      </c>
      <c r="V104" s="24" t="str">
        <f>IFERROR(__xludf.DUMMYFUNCTION("""COMPUTED_VALUE"""),"")</f>
        <v/>
      </c>
      <c r="W104" s="24" t="str">
        <f>IFERROR(__xludf.DUMMYFUNCTION("""COMPUTED_VALUE"""),"")</f>
        <v/>
      </c>
      <c r="X104" s="24" t="str">
        <f>IFERROR(__xludf.DUMMYFUNCTION("""COMPUTED_VALUE"""),"ゲ‍ス‍ト")</f>
        <v>ゲ‍ス‍ト</v>
      </c>
    </row>
    <row r="105">
      <c r="B105" s="24" t="b">
        <f>IFERROR(__xludf.DUMMYFUNCTION("""COMPUTED_VALUE"""),FALSE)</f>
        <v>0</v>
      </c>
      <c r="C105" s="24" t="str">
        <f>IFERROR(__xludf.DUMMYFUNCTION("""COMPUTED_VALUE"""),"Google")</f>
        <v>Google</v>
      </c>
      <c r="D105" s="24">
        <f>IFERROR(__xludf.DUMMYFUNCTION("""COMPUTED_VALUE"""),5.0)</f>
        <v>5</v>
      </c>
      <c r="E105" s="25">
        <f>IFERROR(__xludf.DUMMYFUNCTION("""COMPUTED_VALUE"""),46075.0)</f>
        <v>46075</v>
      </c>
      <c r="F105" s="24" t="str">
        <f>IFERROR(__xludf.DUMMYFUNCTION("""COMPUTED_VALUE"""),"一如往常的表現。 人員服務。備品充足。 跟以往相比大廳有簡單的水可用。 碰到下雨大廳也有準備毛巾 唯一缺點是價格越來越貴。 如果有刷到便宜價格。 這區首選")</f>
        <v>一如往常的表現。 人員服務。備品充足。 跟以往相比大廳有簡單的水可用。 碰到下雨大廳也有準備毛巾 唯一缺點是價格越來越貴。 如果有刷到便宜價格。 這區首選</v>
      </c>
      <c r="G105" s="24"/>
      <c r="H105" s="24"/>
      <c r="I105" s="5" t="str">
        <f>IFERROR(__xludf.DUMMYFUNCTION("""COMPUTED_VALUE"""),"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f>
        <v>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v>
      </c>
      <c r="J105" s="5" t="str">
        <f>IFERROR(__xludf.DUMMYFUNCTION("""COMPUTED_VALUE"""),"")</f>
        <v/>
      </c>
      <c r="K105" s="24" t="str">
        <f>IFERROR(__xludf.DUMMYFUNCTION("""COMPUTED_VALUE"""),"")</f>
        <v/>
      </c>
      <c r="L105" s="24" t="str">
        <f>IFERROR(__xludf.DUMMYFUNCTION("""COMPUTED_VALUE"""),"張世杰")</f>
        <v>張世杰</v>
      </c>
      <c r="N105" s="24" t="b">
        <f>IFERROR(__xludf.DUMMYFUNCTION("""COMPUTED_VALUE"""),FALSE)</f>
        <v>0</v>
      </c>
      <c r="O105" s="18" t="str">
        <f>IFERROR(__xludf.DUMMYFUNCTION("""COMPUTED_VALUE"""),"Trip.com")</f>
        <v>Trip.com</v>
      </c>
      <c r="P105" s="24">
        <f>IFERROR(__xludf.DUMMYFUNCTION("""COMPUTED_VALUE"""),9.0)</f>
        <v>9</v>
      </c>
      <c r="Q105" s="25">
        <f>IFERROR(__xludf.DUMMYFUNCTION("""COMPUTED_VALUE"""),46080.0)</f>
        <v>46080</v>
      </c>
      <c r="R10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S105" s="24"/>
      <c r="T105" s="24"/>
      <c r="U105" s="24" t="str">
        <f>IFERROR(__xludf.DUMMYFUNCTION("""COMPUTED_VALUE"""),"駅近なのでよくリピートしてます。 アメニティが揃っていて お風呂のバブまであるので 大浴場無くてもくつろげるのがいいですね。")</f>
        <v>駅近なのでよくリピートしてます。 アメニティが揃っていて お風呂のバブまであるので 大浴場無くてもくつろげるのがいいですね。</v>
      </c>
      <c r="V105" s="24" t="str">
        <f>IFERROR(__xludf.DUMMYFUNCTION("""COMPUTED_VALUE"""),"")</f>
        <v/>
      </c>
      <c r="W105" s="24" t="str">
        <f>IFERROR(__xludf.DUMMYFUNCTION("""COMPUTED_VALUE"""),"")</f>
        <v/>
      </c>
      <c r="X105" s="24" t="str">
        <f>IFERROR(__xludf.DUMMYFUNCTION("""COMPUTED_VALUE"""),"み‍ゆ‍か")</f>
        <v>み‍ゆ‍か</v>
      </c>
    </row>
    <row r="106">
      <c r="B106" s="24" t="b">
        <f>IFERROR(__xludf.DUMMYFUNCTION("""COMPUTED_VALUE"""),FALSE)</f>
        <v>0</v>
      </c>
      <c r="C106" s="24" t="str">
        <f>IFERROR(__xludf.DUMMYFUNCTION("""COMPUTED_VALUE"""),"Google")</f>
        <v>Google</v>
      </c>
      <c r="D106" s="24">
        <f>IFERROR(__xludf.DUMMYFUNCTION("""COMPUTED_VALUE"""),5.0)</f>
        <v>5</v>
      </c>
      <c r="E106" s="25">
        <f>IFERROR(__xludf.DUMMYFUNCTION("""COMPUTED_VALUE"""),46075.0)</f>
        <v>46075</v>
      </c>
      <c r="F10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G106" s="24"/>
      <c r="H106" s="24"/>
      <c r="I106" s="5"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J106" s="5" t="str">
        <f>IFERROR(__xludf.DUMMYFUNCTION("""COMPUTED_VALUE"""),"")</f>
        <v/>
      </c>
      <c r="K106" s="24" t="str">
        <f>IFERROR(__xludf.DUMMYFUNCTION("""COMPUTED_VALUE"""),"")</f>
        <v/>
      </c>
      <c r="L106" s="24" t="str">
        <f>IFERROR(__xludf.DUMMYFUNCTION("""COMPUTED_VALUE"""),"張世杰")</f>
        <v>張世杰</v>
      </c>
      <c r="N106" s="24" t="b">
        <f>IFERROR(__xludf.DUMMYFUNCTION("""COMPUTED_VALUE"""),FALSE)</f>
        <v>0</v>
      </c>
      <c r="O106" s="18" t="str">
        <f>IFERROR(__xludf.DUMMYFUNCTION("""COMPUTED_VALUE"""),"Trip.com")</f>
        <v>Trip.com</v>
      </c>
      <c r="P106" s="24">
        <f>IFERROR(__xludf.DUMMYFUNCTION("""COMPUTED_VALUE"""),10.0)</f>
        <v>10</v>
      </c>
      <c r="Q106" s="25">
        <f>IFERROR(__xludf.DUMMYFUNCTION("""COMPUTED_VALUE"""),46079.0)</f>
        <v>46079</v>
      </c>
      <c r="R106" s="24" t="str">
        <f>IFERROR(__xludf.DUMMYFUNCTION("""COMPUTED_VALUE"""),"""Excellent service and friendly staff! The rooms are larger and cheaper than city-center hotels. Breakfast is good enough for a morning meal. While it’s a short walk from the station, the value for money is unbeatable—especially with the free bath salts "&amp;"and face masks provided. Definitely recommended!""")</f>
        <v>"Excellent service and friendly staff! The rooms are larger and cheaper than city-center hotels. Breakfast is good enough for a morning meal. While it’s a short walk from the station, the value for money is unbeatable—especially with the free bath salts and face masks provided. Definitely recommended!"</v>
      </c>
      <c r="S106" s="24"/>
      <c r="T106" s="24"/>
      <c r="U106" s="24" t="str">
        <f>IFERROR(__xludf.DUMMYFUNCTION("""COMPUTED_VALUE"""),"「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f>
        <v>「素晴らしいサービスとフレンドリーなスタッフ！部屋は市内中心部のホテルよりも広く、料金も安いです。朝食は朝食として十分満足できる内容です。駅から少し歩く必要がありますが、特に無料のバスソルトとフェイスマスクが付いていることを考えると、コストパフォーマンスは抜群です。間違いなくおすすめ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IFERROR(__xludf.DUMMYFUNCTION("""COMPUTED_VALUE"""),"Booking.com")</f>
        <v>Booking.com</v>
      </c>
      <c r="D107" s="24">
        <f>IFERROR(__xludf.DUMMYFUNCTION("""COMPUTED_VALUE"""),10.0)</f>
        <v>10</v>
      </c>
      <c r="E107" s="25">
        <f>IFERROR(__xludf.DUMMYFUNCTION("""COMPUTED_VALUE"""),46074.0)</f>
        <v>46074</v>
      </c>
      <c r="F107" s="24"/>
      <c r="G107" s="24" t="str">
        <f>IFERROR(__xludf.DUMMYFUNCTION("""COMPUTED_VALUE"""),"スタッフ様の顧客応対が丁寧で美意識の高さを感じます。")</f>
        <v>スタッフ様の顧客応対が丁寧で美意識の高さを感じます。</v>
      </c>
      <c r="H10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I107" s="24" t="str">
        <f>IFERROR(__xludf.DUMMYFUNCTION("""COMPUTED_VALUE"""),"")</f>
        <v/>
      </c>
      <c r="J107" s="5" t="str">
        <f>IFERROR(__xludf.DUMMYFUNCTION("""COMPUTED_VALUE"""),"スタッフ様の顧客応対が丁寧で美意識の高さを感じます。")</f>
        <v>スタッフ様の顧客応対が丁寧で美意識の高さを感じます。</v>
      </c>
      <c r="K10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L107" s="24" t="str">
        <f>IFERROR(__xludf.DUMMYFUNCTION("""COMPUTED_VALUE"""),"Kohei")</f>
        <v>Kohei</v>
      </c>
      <c r="N107" s="24" t="b">
        <f>IFERROR(__xludf.DUMMYFUNCTION("""COMPUTED_VALUE"""),FALSE)</f>
        <v>0</v>
      </c>
      <c r="O107" s="24" t="str">
        <f>IFERROR(__xludf.DUMMYFUNCTION("""COMPUTED_VALUE"""),"Google")</f>
        <v>Google</v>
      </c>
      <c r="P107" s="24">
        <f>IFERROR(__xludf.DUMMYFUNCTION("""COMPUTED_VALUE"""),4.0)</f>
        <v>4</v>
      </c>
      <c r="Q107" s="25">
        <f>IFERROR(__xludf.DUMMYFUNCTION("""COMPUTED_VALUE"""),46079.0)</f>
        <v>46079</v>
      </c>
      <c r="R107" s="24"/>
      <c r="S107" s="24"/>
      <c r="T107" s="24"/>
      <c r="U107" s="24" t="str">
        <f>IFERROR(__xludf.DUMMYFUNCTION("""COMPUTED_VALUE"""),"")</f>
        <v/>
      </c>
      <c r="V107" s="24" t="str">
        <f>IFERROR(__xludf.DUMMYFUNCTION("""COMPUTED_VALUE"""),"")</f>
        <v/>
      </c>
      <c r="W107" s="24" t="str">
        <f>IFERROR(__xludf.DUMMYFUNCTION("""COMPUTED_VALUE"""),"")</f>
        <v/>
      </c>
      <c r="X107" s="24" t="str">
        <f>IFERROR(__xludf.DUMMYFUNCTION("""COMPUTED_VALUE"""),"JIN LIN")</f>
        <v>JIN LIN</v>
      </c>
    </row>
    <row r="108">
      <c r="B108" s="24" t="b">
        <f>IFERROR(__xludf.DUMMYFUNCTION("""COMPUTED_VALUE"""),FALSE)</f>
        <v>0</v>
      </c>
      <c r="C108" s="24" t="str">
        <f>IFERROR(__xludf.DUMMYFUNCTION("""COMPUTED_VALUE"""),"Google")</f>
        <v>Google</v>
      </c>
      <c r="D108" s="24">
        <f>IFERROR(__xludf.DUMMYFUNCTION("""COMPUTED_VALUE"""),5.0)</f>
        <v>5</v>
      </c>
      <c r="E108" s="25">
        <f>IFERROR(__xludf.DUMMYFUNCTION("""COMPUTED_VALUE"""),46073.0)</f>
        <v>46073</v>
      </c>
      <c r="F108" s="24" t="str">
        <f>IFERROR(__xludf.DUMMYFUNCTION("""COMPUTED_VALUE"""),"フレンドリーなスタッフ、清潔、クローゼットのスペースも十分、水圧も 10/10 ✨🚿")</f>
        <v>フレンドリーなスタッフ、清潔、クローゼットのスペースも十分、水圧も 10/10 ✨🚿</v>
      </c>
      <c r="G108" s="24"/>
      <c r="H108" s="24"/>
      <c r="I108" s="24" t="str">
        <f>IFERROR(__xludf.DUMMYFUNCTION("""COMPUTED_VALUE"""),"フレンドリーなスタッフ、清潔、クローゼットのスペースも十分、水圧も 10/10 ✨🚿")</f>
        <v>フレンドリーなスタッフ、清潔、クローゼットのスペースも十分、水圧も 10/10 ✨🚿</v>
      </c>
      <c r="J108" s="5" t="str">
        <f>IFERROR(__xludf.DUMMYFUNCTION("""COMPUTED_VALUE"""),"")</f>
        <v/>
      </c>
      <c r="K108" s="24" t="str">
        <f>IFERROR(__xludf.DUMMYFUNCTION("""COMPUTED_VALUE"""),"")</f>
        <v/>
      </c>
      <c r="L108" s="24" t="str">
        <f>IFERROR(__xludf.DUMMYFUNCTION("""COMPUTED_VALUE"""),"Pamela パメラ")</f>
        <v>Pamela パメラ</v>
      </c>
      <c r="N108" s="24" t="b">
        <f>IFERROR(__xludf.DUMMYFUNCTION("""COMPUTED_VALUE"""),FALSE)</f>
        <v>0</v>
      </c>
      <c r="O108" s="18" t="str">
        <f>IFERROR(__xludf.DUMMYFUNCTION("""COMPUTED_VALUE"""),"Booking.com")</f>
        <v>Booking.com</v>
      </c>
      <c r="P108" s="24">
        <f>IFERROR(__xludf.DUMMYFUNCTION("""COMPUTED_VALUE"""),8.0)</f>
        <v>8</v>
      </c>
      <c r="Q108" s="25">
        <f>IFERROR(__xludf.DUMMYFUNCTION("""COMPUTED_VALUE"""),46078.0)</f>
        <v>46078</v>
      </c>
      <c r="R108" s="24"/>
      <c r="S108" s="24"/>
      <c r="T108" s="24"/>
      <c r="U108" s="24" t="str">
        <f>IFERROR(__xludf.DUMMYFUNCTION("""COMPUTED_VALUE"""),"")</f>
        <v/>
      </c>
      <c r="V108" s="24" t="str">
        <f>IFERROR(__xludf.DUMMYFUNCTION("""COMPUTED_VALUE"""),"")</f>
        <v/>
      </c>
      <c r="W108" s="24" t="str">
        <f>IFERROR(__xludf.DUMMYFUNCTION("""COMPUTED_VALUE"""),"")</f>
        <v/>
      </c>
      <c r="X108" s="24" t="str">
        <f>IFERROR(__xludf.DUMMYFUNCTION("""COMPUTED_VALUE"""),"Koes")</f>
        <v>Koes</v>
      </c>
    </row>
    <row r="109">
      <c r="B109" s="24" t="b">
        <f>IFERROR(__xludf.DUMMYFUNCTION("""COMPUTED_VALUE"""),FALSE)</f>
        <v>0</v>
      </c>
      <c r="C109" s="18" t="str">
        <f>IFERROR(__xludf.DUMMYFUNCTION("""COMPUTED_VALUE"""),"Trip.com")</f>
        <v>Trip.com</v>
      </c>
      <c r="D109" s="24">
        <f>IFERROR(__xludf.DUMMYFUNCTION("""COMPUTED_VALUE"""),10.0)</f>
        <v>10</v>
      </c>
      <c r="E109" s="25">
        <f>IFERROR(__xludf.DUMMYFUNCTION("""COMPUTED_VALUE"""),46073.0)</f>
        <v>46073</v>
      </c>
      <c r="F109" s="24" t="str">
        <f>IFERROR(__xludf.DUMMYFUNCTION("""COMPUTED_VALUE"""),"交通方便，房間比一般酒店寬敞")</f>
        <v>交通方便，房間比一般酒店寬敞</v>
      </c>
      <c r="G109" s="24"/>
      <c r="H109" s="24"/>
      <c r="I109" s="24" t="str">
        <f>IFERROR(__xludf.DUMMYFUNCTION("""COMPUTED_VALUE"""),"交通の便が良く、客室は一般的なホテルよりも広々としている。")</f>
        <v>交通の便が良く、客室は一般的なホテルよりも広々としている。</v>
      </c>
      <c r="J109" s="5" t="str">
        <f>IFERROR(__xludf.DUMMYFUNCTION("""COMPUTED_VALUE"""),"")</f>
        <v/>
      </c>
      <c r="K109" s="24" t="str">
        <f>IFERROR(__xludf.DUMMYFUNCTION("""COMPUTED_VALUE"""),"")</f>
        <v/>
      </c>
      <c r="L109" s="24" t="str">
        <f>IFERROR(__xludf.DUMMYFUNCTION("""COMPUTED_VALUE"""),"ゲ‍ス‍ト")</f>
        <v>ゲ‍ス‍ト</v>
      </c>
      <c r="N109" s="24" t="b">
        <f>IFERROR(__xludf.DUMMYFUNCTION("""COMPUTED_VALUE"""),FALSE)</f>
        <v>0</v>
      </c>
      <c r="O109" s="24" t="str">
        <f>IFERROR(__xludf.DUMMYFUNCTION("""COMPUTED_VALUE"""),"楽天トラベル")</f>
        <v>楽天トラベル</v>
      </c>
      <c r="P109" s="24">
        <f>IFERROR(__xludf.DUMMYFUNCTION("""COMPUTED_VALUE"""),4.0)</f>
        <v>4</v>
      </c>
      <c r="Q109" s="25">
        <f>IFERROR(__xludf.DUMMYFUNCTION("""COMPUTED_VALUE"""),46078.0)</f>
        <v>46078</v>
      </c>
      <c r="R10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S109" s="24"/>
      <c r="T109" s="24"/>
      <c r="U109" s="24" t="str">
        <f>IFERROR(__xludf.DUMMYFUNCTION("""COMPUTED_VALUE"""),"駅からも近く、綺麗なホテルでした。 お水は無いので、コンビニで買うなどした方がいいと思います。")</f>
        <v>駅からも近く、綺麗なホテルでした。 お水は無いので、コンビニで買うなどした方がいいと思います。</v>
      </c>
      <c r="V109" s="24" t="str">
        <f>IFERROR(__xludf.DUMMYFUNCTION("""COMPUTED_VALUE"""),"")</f>
        <v/>
      </c>
      <c r="W109" s="24" t="str">
        <f>IFERROR(__xludf.DUMMYFUNCTION("""COMPUTED_VALUE"""),"")</f>
        <v/>
      </c>
      <c r="X109" s="24" t="str">
        <f>IFERROR(__xludf.DUMMYFUNCTION("""COMPUTED_VALUE"""),"ののじぃ5926")</f>
        <v>ののじぃ5926</v>
      </c>
    </row>
    <row r="110">
      <c r="B110" s="24" t="b">
        <f>IFERROR(__xludf.DUMMYFUNCTION("""COMPUTED_VALUE"""),FALSE)</f>
        <v>0</v>
      </c>
      <c r="C110" s="18" t="str">
        <f>IFERROR(__xludf.DUMMYFUNCTION("""COMPUTED_VALUE"""),"Booking.com")</f>
        <v>Booking.com</v>
      </c>
      <c r="D110" s="24">
        <f>IFERROR(__xludf.DUMMYFUNCTION("""COMPUTED_VALUE"""),9.0)</f>
        <v>9</v>
      </c>
      <c r="E110" s="25">
        <f>IFERROR(__xludf.DUMMYFUNCTION("""COMPUTED_VALUE"""),46073.0)</f>
        <v>46073</v>
      </c>
      <c r="F110" s="24"/>
      <c r="G110" s="24"/>
      <c r="H110" s="24"/>
      <c r="I110" s="24" t="str">
        <f>IFERROR(__xludf.DUMMYFUNCTION("""COMPUTED_VALUE"""),"")</f>
        <v/>
      </c>
      <c r="J110" s="5" t="str">
        <f>IFERROR(__xludf.DUMMYFUNCTION("""COMPUTED_VALUE"""),"")</f>
        <v/>
      </c>
      <c r="K110" s="24" t="str">
        <f>IFERROR(__xludf.DUMMYFUNCTION("""COMPUTED_VALUE"""),"")</f>
        <v/>
      </c>
      <c r="L110" s="24" t="str">
        <f>IFERROR(__xludf.DUMMYFUNCTION("""COMPUTED_VALUE"""),"Luis")</f>
        <v>Luis</v>
      </c>
      <c r="N110" s="24" t="b">
        <f>IFERROR(__xludf.DUMMYFUNCTION("""COMPUTED_VALUE"""),FALSE)</f>
        <v>0</v>
      </c>
      <c r="O110" s="24" t="str">
        <f>IFERROR(__xludf.DUMMYFUNCTION("""COMPUTED_VALUE"""),"楽天トラベル")</f>
        <v>楽天トラベル</v>
      </c>
      <c r="P110" s="24">
        <f>IFERROR(__xludf.DUMMYFUNCTION("""COMPUTED_VALUE"""),3.0)</f>
        <v>3</v>
      </c>
      <c r="Q110" s="25">
        <f>IFERROR(__xludf.DUMMYFUNCTION("""COMPUTED_VALUE"""),46078.0)</f>
        <v>46078</v>
      </c>
      <c r="R11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S110" s="24"/>
      <c r="T110" s="24"/>
      <c r="U110" s="24" t="str">
        <f>IFERROR(__xludf.DUMMYFUNCTION("""COMPUTED_VALUE"""),"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f>
        <v>家族5人で利用。子供3人(高校生、小学高学年2名)と夫婦で一つの部屋。ベット3つ、を5人利用は少しきつかったけど、リーズナブルなことを考慮したら許容範囲内です。錦糸町駅からも近く、家族で利用できる飲食店もあり、コンビニありで便利です。</v>
      </c>
      <c r="V110" s="24" t="str">
        <f>IFERROR(__xludf.DUMMYFUNCTION("""COMPUTED_VALUE"""),"")</f>
        <v/>
      </c>
      <c r="W110" s="24" t="str">
        <f>IFERROR(__xludf.DUMMYFUNCTION("""COMPUTED_VALUE"""),"")</f>
        <v/>
      </c>
      <c r="X110" s="24" t="str">
        <f>IFERROR(__xludf.DUMMYFUNCTION("""COMPUTED_VALUE"""),"ichigo☆")</f>
        <v>ichigo☆</v>
      </c>
    </row>
    <row r="111">
      <c r="B111" s="24" t="b">
        <f>IFERROR(__xludf.DUMMYFUNCTION("""COMPUTED_VALUE"""),FALSE)</f>
        <v>0</v>
      </c>
      <c r="C111" s="24" t="str">
        <f>IFERROR(__xludf.DUMMYFUNCTION("""COMPUTED_VALUE"""),"Google")</f>
        <v>Google</v>
      </c>
      <c r="D111" s="24">
        <f>IFERROR(__xludf.DUMMYFUNCTION("""COMPUTED_VALUE"""),5.0)</f>
        <v>5</v>
      </c>
      <c r="E111" s="25">
        <f>IFERROR(__xludf.DUMMYFUNCTION("""COMPUTED_VALUE"""),46073.0)</f>
        <v>46073</v>
      </c>
      <c r="F111" s="24" t="str">
        <f>IFERROR(__xludf.DUMMYFUNCTION("""COMPUTED_VALUE"""),"Friendly staff, clean, has good closet space, water pressure 10/10 ✨🚿")</f>
        <v>Friendly staff, clean, has good closet space, water pressure 10/10 ✨🚿</v>
      </c>
      <c r="G111" s="24"/>
      <c r="H111" s="24"/>
      <c r="I111" s="24" t="str">
        <f>IFERROR(__xludf.DUMMYFUNCTION("""COMPUTED_VALUE"""),"スタッフは親切で、清潔で、クローゼットのスペースも十分、水圧も10/10です✨🚿")</f>
        <v>スタッフは親切で、清潔で、クローゼットのスペースも十分、水圧も10/10です✨🚿</v>
      </c>
      <c r="J111" s="5" t="str">
        <f>IFERROR(__xludf.DUMMYFUNCTION("""COMPUTED_VALUE"""),"")</f>
        <v/>
      </c>
      <c r="K111" s="24" t="str">
        <f>IFERROR(__xludf.DUMMYFUNCTION("""COMPUTED_VALUE"""),"")</f>
        <v/>
      </c>
      <c r="L111" s="24" t="str">
        <f>IFERROR(__xludf.DUMMYFUNCTION("""COMPUTED_VALUE"""),"Pamela パメラ")</f>
        <v>Pamela パメラ</v>
      </c>
      <c r="N111" s="24" t="b">
        <f>IFERROR(__xludf.DUMMYFUNCTION("""COMPUTED_VALUE"""),FALSE)</f>
        <v>0</v>
      </c>
      <c r="O111" s="18" t="str">
        <f>IFERROR(__xludf.DUMMYFUNCTION("""COMPUTED_VALUE"""),"Trip.com")</f>
        <v>Trip.com</v>
      </c>
      <c r="P111" s="24">
        <f>IFERROR(__xludf.DUMMYFUNCTION("""COMPUTED_VALUE"""),10.0)</f>
        <v>10</v>
      </c>
      <c r="Q111" s="25">
        <f>IFERROR(__xludf.DUMMYFUNCTION("""COMPUTED_VALUE"""),46078.0)</f>
        <v>46078</v>
      </c>
      <c r="R111" s="24" t="str">
        <f>IFERROR(__xludf.DUMMYFUNCTION("""COMPUTED_VALUE"""),"We really enjoyed our stay. The hotel was clean and comfortable, and the staff were very accommodating, especially for families. The location was great and accessible to transport and nearby amenities. We would definitely stay here again.")</f>
        <v>We really enjoyed our stay. The hotel was clean and comfortable, and the staff were very accommodating, especially for families. The location was great and accessible to transport and nearby amenities. We would definitely stay here again.</v>
      </c>
      <c r="S111" s="24"/>
      <c r="T111" s="24"/>
      <c r="U111" s="24" t="str">
        <f>IFERROR(__xludf.DUMMYFUNCTION("""COMPUTED_VALUE"""),"滞在をとても満喫しました。ホテルは清潔で快適で、スタッフの方々は特に家族連れにとても親切でした。立地も素晴らしく、交通機関や周辺の施設へのアクセスも良好でした。ぜひまた利用したいと思います。")</f>
        <v>滞在をとても満喫しました。ホテルは清潔で快適で、スタッフの方々は特に家族連れにとても親切でした。立地も素晴らしく、交通機関や周辺の施設へのアクセスも良好でした。ぜひまた利用したいと思います。</v>
      </c>
      <c r="V111" s="24" t="str">
        <f>IFERROR(__xludf.DUMMYFUNCTION("""COMPUTED_VALUE"""),"")</f>
        <v/>
      </c>
      <c r="W111" s="24" t="str">
        <f>IFERROR(__xludf.DUMMYFUNCTION("""COMPUTED_VALUE"""),"")</f>
        <v/>
      </c>
      <c r="X111" s="24" t="str">
        <f>IFERROR(__xludf.DUMMYFUNCTION("""COMPUTED_VALUE"""),"W‍A‍N‍D‍E‍R‍S‍K‍Y‍E")</f>
        <v>W‍A‍N‍D‍E‍R‍S‍K‍Y‍E</v>
      </c>
    </row>
    <row r="112">
      <c r="B112" s="24" t="b">
        <f>IFERROR(__xludf.DUMMYFUNCTION("""COMPUTED_VALUE"""),FALSE)</f>
        <v>0</v>
      </c>
      <c r="C112" s="18" t="str">
        <f>IFERROR(__xludf.DUMMYFUNCTION("""COMPUTED_VALUE"""),"Booking.com")</f>
        <v>Booking.com</v>
      </c>
      <c r="D112" s="24">
        <f>IFERROR(__xludf.DUMMYFUNCTION("""COMPUTED_VALUE"""),10.0)</f>
        <v>10</v>
      </c>
      <c r="E112" s="25">
        <f>IFERROR(__xludf.DUMMYFUNCTION("""COMPUTED_VALUE"""),46072.0)</f>
        <v>46072</v>
      </c>
      <c r="F112" s="24"/>
      <c r="G112" s="24"/>
      <c r="H112" s="24"/>
      <c r="I112" s="24" t="str">
        <f>IFERROR(__xludf.DUMMYFUNCTION("""COMPUTED_VALUE"""),"")</f>
        <v/>
      </c>
      <c r="J112" s="5" t="str">
        <f>IFERROR(__xludf.DUMMYFUNCTION("""COMPUTED_VALUE"""),"")</f>
        <v/>
      </c>
      <c r="K112" s="24" t="str">
        <f>IFERROR(__xludf.DUMMYFUNCTION("""COMPUTED_VALUE"""),"")</f>
        <v/>
      </c>
      <c r="L112" s="24" t="str">
        <f>IFERROR(__xludf.DUMMYFUNCTION("""COMPUTED_VALUE"""),"Mayu")</f>
        <v>Mayu</v>
      </c>
      <c r="N112" s="24" t="b">
        <f>IFERROR(__xludf.DUMMYFUNCTION("""COMPUTED_VALUE"""),FALSE)</f>
        <v>0</v>
      </c>
      <c r="O112" s="18" t="str">
        <f>IFERROR(__xludf.DUMMYFUNCTION("""COMPUTED_VALUE"""),"Trip.com")</f>
        <v>Trip.com</v>
      </c>
      <c r="P112" s="24">
        <f>IFERROR(__xludf.DUMMYFUNCTION("""COMPUTED_VALUE"""),9.0)</f>
        <v>9</v>
      </c>
      <c r="Q112" s="25">
        <f>IFERROR(__xludf.DUMMYFUNCTION("""COMPUTED_VALUE"""),46078.0)</f>
        <v>46078</v>
      </c>
      <c r="R112" s="24" t="str">
        <f>IFERROR(__xludf.DUMMYFUNCTION("""COMPUTED_VALUE"""),"地點方便，雙床加床也很舒適，廁浴洗手分開非常棒")</f>
        <v>地點方便，雙床加床也很舒適，廁浴洗手分開非常棒</v>
      </c>
      <c r="S112" s="24"/>
      <c r="T112" s="24"/>
      <c r="U112" s="24" t="str">
        <f>IFERROR(__xludf.DUMMYFUNCTION("""COMPUTED_VALUE"""),"立地は便利で、ツインベッドとエキストラベッドはとても快適、独立したトイレ、シャワー、手洗い場も素晴らしい。")</f>
        <v>立地は便利で、ツインベッドとエキストラベッドはとても快適、独立したトイレ、シャワー、手洗い場も素晴らしい。</v>
      </c>
      <c r="V112" s="24" t="str">
        <f>IFERROR(__xludf.DUMMYFUNCTION("""COMPUTED_VALUE"""),"")</f>
        <v/>
      </c>
      <c r="W112" s="24" t="str">
        <f>IFERROR(__xludf.DUMMYFUNCTION("""COMPUTED_VALUE"""),"")</f>
        <v/>
      </c>
      <c r="X112" s="24" t="str">
        <f>IFERROR(__xludf.DUMMYFUNCTION("""COMPUTED_VALUE"""),"S‍u‍n‍r‍i‍s‍e‍ ‍s‍t‍a‍r")</f>
        <v>S‍u‍n‍r‍i‍s‍e‍ ‍s‍t‍a‍r</v>
      </c>
    </row>
    <row r="113">
      <c r="B113" s="24" t="b">
        <f>IFERROR(__xludf.DUMMYFUNCTION("""COMPUTED_VALUE"""),FALSE)</f>
        <v>0</v>
      </c>
      <c r="C113" s="18" t="str">
        <f>IFERROR(__xludf.DUMMYFUNCTION("""COMPUTED_VALUE"""),"Trip.com")</f>
        <v>Trip.com</v>
      </c>
      <c r="D113" s="24">
        <f>IFERROR(__xludf.DUMMYFUNCTION("""COMPUTED_VALUE"""),8.0)</f>
        <v>8</v>
      </c>
      <c r="E113" s="25">
        <f>IFERROR(__xludf.DUMMYFUNCTION("""COMPUTED_VALUE"""),46072.0)</f>
        <v>46072</v>
      </c>
      <c r="F113" s="24" t="str">
        <f>IFERROR(__xludf.DUMMYFUNCTION("""COMPUTED_VALUE"""),"距離錦系町站約8分鐘步程，房間大致整潔，較多不同國籍遊客居住。")</f>
        <v>距離錦系町站約8分鐘步程，房間大致整潔，較多不同國籍遊客居住。</v>
      </c>
      <c r="G113" s="24"/>
      <c r="H113" s="24"/>
      <c r="I113" s="24" t="str">
        <f>IFERROR(__xludf.DUMMYFUNCTION("""COMPUTED_VALUE"""),"錦糸町駅から徒歩約8分の場所に位置し、客室は概ね清潔で整頓されており、様々な国籍の観光客が利用している。")</f>
        <v>錦糸町駅から徒歩約8分の場所に位置し、客室は概ね清潔で整頓されており、様々な国籍の観光客が利用している。</v>
      </c>
      <c r="J113" s="5" t="str">
        <f>IFERROR(__xludf.DUMMYFUNCTION("""COMPUTED_VALUE"""),"")</f>
        <v/>
      </c>
      <c r="K113" s="24" t="str">
        <f>IFERROR(__xludf.DUMMYFUNCTION("""COMPUTED_VALUE"""),"")</f>
        <v/>
      </c>
      <c r="L113" s="24" t="str">
        <f>IFERROR(__xludf.DUMMYFUNCTION("""COMPUTED_VALUE"""),"ゲ‍ス‍ト")</f>
        <v>ゲ‍ス‍ト</v>
      </c>
      <c r="N113" s="24" t="b">
        <f>IFERROR(__xludf.DUMMYFUNCTION("""COMPUTED_VALUE"""),FALSE)</f>
        <v>0</v>
      </c>
      <c r="O113" s="18" t="str">
        <f>IFERROR(__xludf.DUMMYFUNCTION("""COMPUTED_VALUE"""),"Booking.com")</f>
        <v>Booking.com</v>
      </c>
      <c r="P113" s="24">
        <f>IFERROR(__xludf.DUMMYFUNCTION("""COMPUTED_VALUE"""),9.0)</f>
        <v>9</v>
      </c>
      <c r="Q113" s="25">
        <f>IFERROR(__xludf.DUMMYFUNCTION("""COMPUTED_VALUE"""),46078.0)</f>
        <v>46078</v>
      </c>
      <c r="R113" s="24"/>
      <c r="S11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T113" s="24" t="str">
        <f>IFERROR(__xludf.DUMMYFUNCTION("""COMPUTED_VALUE"""),"無し")</f>
        <v>無し</v>
      </c>
      <c r="U113" s="24" t="str">
        <f>IFERROR(__xludf.DUMMYFUNCTION("""COMPUTED_VALUE"""),"")</f>
        <v/>
      </c>
      <c r="V113" s="24" t="str">
        <f>IFERROR(__xludf.DUMMYFUNCTION("""COMPUTED_VALUE"""),"とても清潔でした。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f>
        <v>とても清潔でした。 チェックインの時戸惑っていましたが丁寧に教えていただきました。完了した後に　同じ福岡ですと和かに言われた時ホッとしました。若い女性で感じ良かったです。 孫が錦糸町で働いていますので また泊まりに来たいです。</v>
      </c>
      <c r="W113" s="24" t="str">
        <f>IFERROR(__xludf.DUMMYFUNCTION("""COMPUTED_VALUE"""),"無し")</f>
        <v>無し</v>
      </c>
      <c r="X113" s="24" t="str">
        <f>IFERROR(__xludf.DUMMYFUNCTION("""COMPUTED_VALUE"""),"Hisao")</f>
        <v>Hisao</v>
      </c>
    </row>
    <row r="114">
      <c r="B114" s="24" t="b">
        <f>IFERROR(__xludf.DUMMYFUNCTION("""COMPUTED_VALUE"""),FALSE)</f>
        <v>0</v>
      </c>
      <c r="C114" s="18" t="str">
        <f>IFERROR(__xludf.DUMMYFUNCTION("""COMPUTED_VALUE"""),"Trip.com")</f>
        <v>Trip.com</v>
      </c>
      <c r="D114" s="24">
        <f>IFERROR(__xludf.DUMMYFUNCTION("""COMPUTED_VALUE"""),9.0)</f>
        <v>9</v>
      </c>
      <c r="E114" s="25">
        <f>IFERROR(__xludf.DUMMYFUNCTION("""COMPUTED_VALUE"""),46070.0)</f>
        <v>46070</v>
      </c>
      <c r="F114" s="24" t="str">
        <f>IFERROR(__xludf.DUMMYFUNCTION("""COMPUTED_VALUE"""),"Amazing hotel breakfast. Very clean rooms and decently sized. Amazing staff who were really friendly. Great washing machine and dryer on the 7th floor. Very close to the subway station, Family mart and Parco and the skytree. There is a direct shuttle to t"&amp;"he airport.")</f>
        <v>Amazing hotel breakfast. Very clean rooms and decently sized. Amazing staff who were really friendly. Great washing machine and dryer on the 7th floor. Very close to the subway station, Family mart and Parco and the skytree. There is a direct shuttle to the airport.</v>
      </c>
      <c r="G114" s="24"/>
      <c r="H114" s="24"/>
      <c r="I114" s="24" t="str">
        <f>IFERROR(__xludf.DUMMYFUNCTION("""COMPUTED_VALUE"""),"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f>
        <v>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v>
      </c>
      <c r="J114" s="5" t="str">
        <f>IFERROR(__xludf.DUMMYFUNCTION("""COMPUTED_VALUE"""),"")</f>
        <v/>
      </c>
      <c r="K114" s="24" t="str">
        <f>IFERROR(__xludf.DUMMYFUNCTION("""COMPUTED_VALUE"""),"")</f>
        <v/>
      </c>
      <c r="L114" s="24" t="str">
        <f>IFERROR(__xludf.DUMMYFUNCTION("""COMPUTED_VALUE"""),"ゲ‍ス‍ト")</f>
        <v>ゲ‍ス‍ト</v>
      </c>
      <c r="N114" s="24" t="b">
        <f>IFERROR(__xludf.DUMMYFUNCTION("""COMPUTED_VALUE"""),FALSE)</f>
        <v>0</v>
      </c>
      <c r="O114" s="24" t="str">
        <f>IFERROR(__xludf.DUMMYFUNCTION("""COMPUTED_VALUE"""),"Google")</f>
        <v>Google</v>
      </c>
      <c r="P114" s="24">
        <f>IFERROR(__xludf.DUMMYFUNCTION("""COMPUTED_VALUE"""),5.0)</f>
        <v>5</v>
      </c>
      <c r="Q114" s="25">
        <f>IFERROR(__xludf.DUMMYFUNCTION("""COMPUTED_VALUE"""),46078.0)</f>
        <v>46078</v>
      </c>
      <c r="R114" s="24" t="str">
        <f>IFERROR(__xludf.DUMMYFUNCTION("""COMPUTED_VALUE"""),"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f>
        <v>找了很久的住宿，考慮了這間，離車站我覺得很近直直走就會到，周邊機能也很方便什麼都有，飯店備品很足，基本上什麼都不用帶，浴缸很深，水夠燙也很大，三人房空間很足夠 大家都可以打開行李箱，還有小茶几可以吃東西，泡澡錠跟面膜真的有夠讚下次如果來東京還是會選擇這家 附近也有24h超市 坐到押上也很讚 很好逛 很推薦</v>
      </c>
      <c r="S114" s="24"/>
      <c r="T114" s="24"/>
      <c r="U114" s="24" t="str">
        <f>IFERROR(__xludf.DUMMYFUNCTION("""COMPUTED_VALUE"""),"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amp;"業のスーパーマーケットもあり、押上駅はショッピングにも最適です。非常におすすめです！")</f>
        <v>長い間探した末、ついにこのホテルを選びました。駅からとても近く、まっすぐ歩いて行ける距離です。周辺も非常に便利で、必要なものはすべて揃っています。ホテルにはアメニティが充実しているので、基本的に何も持っていく必要はありません。バスタブは深く、お湯もたっぷり出ます。トリプルルームは広々としていて、全員がスーツケースを開けるのに十分なスペースがあります。軽食用の小さなテーブルもあります。入浴剤とフェイスマスクは本当に素晴らしいです。次回東京に来ることがあれば、間違いなくこのホテルを選びます。近くには24時間営業のスーパーマーケットもあり、押上駅はショッピングにも最適です。非常におすすめです！</v>
      </c>
      <c r="V114" s="24" t="str">
        <f>IFERROR(__xludf.DUMMYFUNCTION("""COMPUTED_VALUE"""),"")</f>
        <v/>
      </c>
      <c r="W114" s="24" t="str">
        <f>IFERROR(__xludf.DUMMYFUNCTION("""COMPUTED_VALUE"""),"")</f>
        <v/>
      </c>
      <c r="X114" s="24" t="str">
        <f>IFERROR(__xludf.DUMMYFUNCTION("""COMPUTED_VALUE"""),"Yinggg")</f>
        <v>Yinggg</v>
      </c>
    </row>
    <row r="115">
      <c r="B115" s="24" t="b">
        <f>IFERROR(__xludf.DUMMYFUNCTION("""COMPUTED_VALUE"""),FALSE)</f>
        <v>0</v>
      </c>
      <c r="C115" s="18" t="str">
        <f>IFERROR(__xludf.DUMMYFUNCTION("""COMPUTED_VALUE"""),"Trip.com")</f>
        <v>Trip.com</v>
      </c>
      <c r="D115" s="24">
        <f>IFERROR(__xludf.DUMMYFUNCTION("""COMPUTED_VALUE"""),9.0)</f>
        <v>9</v>
      </c>
      <c r="E115" s="25">
        <f>IFERROR(__xludf.DUMMYFUNCTION("""COMPUTED_VALUE"""),46070.0)</f>
        <v>46070</v>
      </c>
      <c r="F115" s="24" t="str">
        <f>IFERROR(__xludf.DUMMYFUNCTION("""COMPUTED_VALUE"""),"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f>
        <v>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v>
      </c>
      <c r="G115" s="24"/>
      <c r="H115" s="24"/>
      <c r="I115" s="24" t="str">
        <f>IFERROR(__xludf.DUMMYFUNCTION("""COMPUTED_VALUE"""),"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f>
        <v>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v>
      </c>
      <c r="J115" s="5" t="str">
        <f>IFERROR(__xludf.DUMMYFUNCTION("""COMPUTED_VALUE"""),"")</f>
        <v/>
      </c>
      <c r="K115" s="24" t="str">
        <f>IFERROR(__xludf.DUMMYFUNCTION("""COMPUTED_VALUE"""),"")</f>
        <v/>
      </c>
      <c r="L115" s="24" t="str">
        <f>IFERROR(__xludf.DUMMYFUNCTION("""COMPUTED_VALUE"""),"C‍k‍w‍o‍n‍g")</f>
        <v>C‍k‍w‍o‍n‍g</v>
      </c>
      <c r="N115" s="24" t="b">
        <f>IFERROR(__xludf.DUMMYFUNCTION("""COMPUTED_VALUE"""),FALSE)</f>
        <v>0</v>
      </c>
      <c r="O115" s="24" t="str">
        <f>IFERROR(__xludf.DUMMYFUNCTION("""COMPUTED_VALUE"""),"Google")</f>
        <v>Google</v>
      </c>
      <c r="P115" s="24">
        <f>IFERROR(__xludf.DUMMYFUNCTION("""COMPUTED_VALUE"""),5.0)</f>
        <v>5</v>
      </c>
      <c r="Q115" s="25">
        <f>IFERROR(__xludf.DUMMYFUNCTION("""COMPUTED_VALUE"""),46078.0)</f>
        <v>46078</v>
      </c>
      <c r="R11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S115" s="24"/>
      <c r="T115" s="24"/>
      <c r="U115" s="24" t="str">
        <f>IFERROR(__xludf.DUMMYFUNCTION("""COMPUTED_VALUE"""),"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amp;"の押上駅も買い物に便利です。本当におすすめです！")</f>
        <v>長い間探していましたが、ようやくここに決めました。駅からも歩いてすぐで、とても近くて便利です。周辺も便利な場所で、必要なものはすべて揃っています。ホテルのアメニティも充実しているので、基本的に何も持参する必要はありません。バスタブは深く、お湯もたっぷりで熱々です。トリプルルームは全員がスーツケースを開けるのに十分な広さで、軽食を置ける小さなテーブルもあります。入浴剤とフェイスマスクは本当に良かったです。次回東京に来る際も、ぜひまた利用したいと思います。近くには24時間営業のスーパーマーケットもあり、地下鉄の押上駅も買い物に便利です。本当におすすめです！</v>
      </c>
      <c r="V115" s="24" t="str">
        <f>IFERROR(__xludf.DUMMYFUNCTION("""COMPUTED_VALUE"""),"")</f>
        <v/>
      </c>
      <c r="W115" s="24" t="str">
        <f>IFERROR(__xludf.DUMMYFUNCTION("""COMPUTED_VALUE"""),"")</f>
        <v/>
      </c>
      <c r="X115" s="24" t="str">
        <f>IFERROR(__xludf.DUMMYFUNCTION("""COMPUTED_VALUE"""),"Yinggg")</f>
        <v>Yinggg</v>
      </c>
    </row>
    <row r="116">
      <c r="B116" s="24" t="b">
        <f>IFERROR(__xludf.DUMMYFUNCTION("""COMPUTED_VALUE"""),FALSE)</f>
        <v>0</v>
      </c>
      <c r="C116" s="18" t="str">
        <f>IFERROR(__xludf.DUMMYFUNCTION("""COMPUTED_VALUE"""),"Booking.com")</f>
        <v>Booking.com</v>
      </c>
      <c r="D116" s="24">
        <f>IFERROR(__xludf.DUMMYFUNCTION("""COMPUTED_VALUE"""),10.0)</f>
        <v>10</v>
      </c>
      <c r="E116" s="25">
        <f>IFERROR(__xludf.DUMMYFUNCTION("""COMPUTED_VALUE"""),46070.0)</f>
        <v>46070</v>
      </c>
      <c r="F116" s="24"/>
      <c r="G116" s="24" t="str">
        <f>IFERROR(__xludf.DUMMYFUNCTION("""COMPUTED_VALUE"""),"New hotel with nice service. good location to go shopping and find a place for dinner.")</f>
        <v>New hotel with nice service. good location to go shopping and find a place for dinner.</v>
      </c>
      <c r="H116" s="24"/>
      <c r="I116" s="24" t="str">
        <f>IFERROR(__xludf.DUMMYFUNCTION("""COMPUTED_VALUE"""),"")</f>
        <v/>
      </c>
      <c r="J116" s="5" t="str">
        <f>IFERROR(__xludf.DUMMYFUNCTION("""COMPUTED_VALUE"""),"サービスの良い新しいホテルです。ショッピングや夕食をとる場所を探すのに便利な立地です。")</f>
        <v>サービスの良い新しいホテルです。ショッピングや夕食をとる場所を探すのに便利な立地です。</v>
      </c>
      <c r="K116" s="24" t="str">
        <f>IFERROR(__xludf.DUMMYFUNCTION("""COMPUTED_VALUE"""),"")</f>
        <v/>
      </c>
      <c r="L116" s="24" t="str">
        <f>IFERROR(__xludf.DUMMYFUNCTION("""COMPUTED_VALUE"""),"Takao")</f>
        <v>Takao</v>
      </c>
      <c r="N116" s="24" t="b">
        <f>IFERROR(__xludf.DUMMYFUNCTION("""COMPUTED_VALUE"""),FALSE)</f>
        <v>0</v>
      </c>
      <c r="O116" s="18" t="str">
        <f>IFERROR(__xludf.DUMMYFUNCTION("""COMPUTED_VALUE"""),"Trip.com")</f>
        <v>Trip.com</v>
      </c>
      <c r="P116" s="24">
        <f>IFERROR(__xludf.DUMMYFUNCTION("""COMPUTED_VALUE"""),10.0)</f>
        <v>10</v>
      </c>
      <c r="Q116" s="25">
        <f>IFERROR(__xludf.DUMMYFUNCTION("""COMPUTED_VALUE"""),46077.0)</f>
        <v>46077</v>
      </c>
      <c r="R116" s="24" t="str">
        <f>IFERROR(__xludf.DUMMYFUNCTION("""COMPUTED_VALUE"""),"房間乾淨客服態度親切")</f>
        <v>房間乾淨客服態度親切</v>
      </c>
      <c r="S116" s="24"/>
      <c r="T116" s="24"/>
      <c r="U116" s="24" t="str">
        <f>IFERROR(__xludf.DUMMYFUNCTION("""COMPUTED_VALUE"""),"部屋は清潔で、接客も親切だった。")</f>
        <v>部屋は清潔で、接客も親切だった。</v>
      </c>
      <c r="V116" s="24" t="str">
        <f>IFERROR(__xludf.DUMMYFUNCTION("""COMPUTED_VALUE"""),"")</f>
        <v/>
      </c>
      <c r="W116" s="24" t="str">
        <f>IFERROR(__xludf.DUMMYFUNCTION("""COMPUTED_VALUE"""),"")</f>
        <v/>
      </c>
      <c r="X116" s="24" t="str">
        <f>IFERROR(__xludf.DUMMYFUNCTION("""COMPUTED_VALUE"""),"H‍a‍n‍k‍.‍c‍h‍e‍n")</f>
        <v>H‍a‍n‍k‍.‍c‍h‍e‍n</v>
      </c>
    </row>
    <row r="117">
      <c r="B117" s="24" t="b">
        <f>IFERROR(__xludf.DUMMYFUNCTION("""COMPUTED_VALUE"""),FALSE)</f>
        <v>0</v>
      </c>
      <c r="C117" s="24" t="str">
        <f>IFERROR(__xludf.DUMMYFUNCTION("""COMPUTED_VALUE"""),"Google")</f>
        <v>Google</v>
      </c>
      <c r="D117" s="24">
        <f>IFERROR(__xludf.DUMMYFUNCTION("""COMPUTED_VALUE"""),4.0)</f>
        <v>4</v>
      </c>
      <c r="E117" s="25">
        <f>IFERROR(__xludf.DUMMYFUNCTION("""COMPUTED_VALUE"""),46069.0)</f>
        <v>46069</v>
      </c>
      <c r="F117" s="24" t="str">
        <f>IFERROR(__xludf.DUMMYFUNCTION("""COMPUTED_VALUE"""),"在這裡住了三晚，地點算是很方便，錦系町車站出來直走就到了。附近有三家超市，喜歡買食物打折品的應該會很開心。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f>
        <v>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v>
      </c>
      <c r="G117" s="24"/>
      <c r="H117" s="24"/>
      <c r="I117" s="24" t="str">
        <f>IFERROR(__xludf.DUMMYFUNCTION("""COMPUTED_VALUE"""),"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f>
        <v>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v>
      </c>
      <c r="J117" s="5" t="str">
        <f>IFERROR(__xludf.DUMMYFUNCTION("""COMPUTED_VALUE"""),"")</f>
        <v/>
      </c>
      <c r="K117" s="24" t="str">
        <f>IFERROR(__xludf.DUMMYFUNCTION("""COMPUTED_VALUE"""),"")</f>
        <v/>
      </c>
      <c r="L117" s="24" t="str">
        <f>IFERROR(__xludf.DUMMYFUNCTION("""COMPUTED_VALUE"""),"JD WU")</f>
        <v>JD WU</v>
      </c>
      <c r="N117" s="24" t="b">
        <f>IFERROR(__xludf.DUMMYFUNCTION("""COMPUTED_VALUE"""),FALSE)</f>
        <v>0</v>
      </c>
      <c r="O117" s="18" t="str">
        <f>IFERROR(__xludf.DUMMYFUNCTION("""COMPUTED_VALUE"""),"Booking.com")</f>
        <v>Booking.com</v>
      </c>
      <c r="P117" s="24">
        <f>IFERROR(__xludf.DUMMYFUNCTION("""COMPUTED_VALUE"""),4.0)</f>
        <v>4</v>
      </c>
      <c r="Q117" s="25">
        <f>IFERROR(__xludf.DUMMYFUNCTION("""COMPUTED_VALUE"""),46077.0)</f>
        <v>46077</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IFERROR(__xludf.DUMMYFUNCTION("""COMPUTED_VALUE"""),"吉田")</f>
        <v>吉田</v>
      </c>
    </row>
    <row r="118">
      <c r="B118" s="24" t="b">
        <f>IFERROR(__xludf.DUMMYFUNCTION("""COMPUTED_VALUE"""),FALSE)</f>
        <v>0</v>
      </c>
      <c r="C118" s="18" t="str">
        <f>IFERROR(__xludf.DUMMYFUNCTION("""COMPUTED_VALUE"""),"Booking.com")</f>
        <v>Booking.com</v>
      </c>
      <c r="D118" s="24">
        <f>IFERROR(__xludf.DUMMYFUNCTION("""COMPUTED_VALUE"""),10.0)</f>
        <v>10</v>
      </c>
      <c r="E118" s="25">
        <f>IFERROR(__xludf.DUMMYFUNCTION("""COMPUTED_VALUE"""),46069.0)</f>
        <v>46069</v>
      </c>
      <c r="F118" s="24"/>
      <c r="G118" s="24"/>
      <c r="H118" s="24"/>
      <c r="I118" s="24" t="str">
        <f>IFERROR(__xludf.DUMMYFUNCTION("""COMPUTED_VALUE"""),"")</f>
        <v/>
      </c>
      <c r="J118" s="5" t="str">
        <f>IFERROR(__xludf.DUMMYFUNCTION("""COMPUTED_VALUE"""),"")</f>
        <v/>
      </c>
      <c r="K118" s="24" t="str">
        <f>IFERROR(__xludf.DUMMYFUNCTION("""COMPUTED_VALUE"""),"")</f>
        <v/>
      </c>
      <c r="L118" s="24" t="str">
        <f>IFERROR(__xludf.DUMMYFUNCTION("""COMPUTED_VALUE"""),"Moriyasu")</f>
        <v>Moriyasu</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IFERROR(__xludf.DUMMYFUNCTION("""COMPUTED_VALUE"""),46077.0)</f>
        <v>46077</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IFERROR(__xludf.DUMMYFUNCTION("""COMPUTED_VALUE"""),"Tanabe")</f>
        <v>Tanabe</v>
      </c>
    </row>
    <row r="119">
      <c r="B119" s="24" t="b">
        <f>IFERROR(__xludf.DUMMYFUNCTION("""COMPUTED_VALUE"""),FALSE)</f>
        <v>0</v>
      </c>
      <c r="C119" s="18" t="str">
        <f>IFERROR(__xludf.DUMMYFUNCTION("""COMPUTED_VALUE"""),"Booking.com")</f>
        <v>Booking.com</v>
      </c>
      <c r="D119" s="24">
        <f>IFERROR(__xludf.DUMMYFUNCTION("""COMPUTED_VALUE"""),6.0)</f>
        <v>6</v>
      </c>
      <c r="E119" s="25">
        <f>IFERROR(__xludf.DUMMYFUNCTION("""COMPUTED_VALUE"""),46069.0)</f>
        <v>46069</v>
      </c>
      <c r="F119" s="24"/>
      <c r="G119" s="24"/>
      <c r="H119" s="24"/>
      <c r="I119" s="24" t="str">
        <f>IFERROR(__xludf.DUMMYFUNCTION("""COMPUTED_VALUE"""),"")</f>
        <v/>
      </c>
      <c r="J119" s="5" t="str">
        <f>IFERROR(__xludf.DUMMYFUNCTION("""COMPUTED_VALUE"""),"")</f>
        <v/>
      </c>
      <c r="K119" s="24" t="str">
        <f>IFERROR(__xludf.DUMMYFUNCTION("""COMPUTED_VALUE"""),"")</f>
        <v/>
      </c>
      <c r="L119" s="24" t="str">
        <f>IFERROR(__xludf.DUMMYFUNCTION("""COMPUTED_VALUE"""),"Damon")</f>
        <v>Damon</v>
      </c>
      <c r="N119" s="24" t="b">
        <f>IFERROR(__xludf.DUMMYFUNCTION("""COMPUTED_VALUE"""),FALSE)</f>
        <v>0</v>
      </c>
      <c r="O119" s="18" t="str">
        <f>IFERROR(__xludf.DUMMYFUNCTION("""COMPUTED_VALUE"""),"Booking.com")</f>
        <v>Booking.com</v>
      </c>
      <c r="P119" s="24">
        <f>IFERROR(__xludf.DUMMYFUNCTION("""COMPUTED_VALUE"""),10.0)</f>
        <v>10</v>
      </c>
      <c r="Q119" s="25">
        <f>IFERROR(__xludf.DUMMYFUNCTION("""COMPUTED_VALUE"""),46077.0)</f>
        <v>46077</v>
      </c>
      <c r="R119" s="24"/>
      <c r="S119" s="24"/>
      <c r="T119" s="24"/>
      <c r="U119" s="24" t="str">
        <f>IFERROR(__xludf.DUMMYFUNCTION("""COMPUTED_VALUE"""),"")</f>
        <v/>
      </c>
      <c r="V119" s="24" t="str">
        <f>IFERROR(__xludf.DUMMYFUNCTION("""COMPUTED_VALUE"""),"")</f>
        <v/>
      </c>
      <c r="W119" s="24" t="str">
        <f>IFERROR(__xludf.DUMMYFUNCTION("""COMPUTED_VALUE"""),"")</f>
        <v/>
      </c>
      <c r="X119" s="24" t="str">
        <f>IFERROR(__xludf.DUMMYFUNCTION("""COMPUTED_VALUE"""),"Ray")</f>
        <v>Ray</v>
      </c>
    </row>
    <row r="120">
      <c r="B120" s="24" t="b">
        <f>IFERROR(__xludf.DUMMYFUNCTION("""COMPUTED_VALUE"""),FALSE)</f>
        <v>0</v>
      </c>
      <c r="C120" s="18" t="str">
        <f>IFERROR(__xludf.DUMMYFUNCTION("""COMPUTED_VALUE"""),"Booking.com")</f>
        <v>Booking.com</v>
      </c>
      <c r="D120" s="24">
        <f>IFERROR(__xludf.DUMMYFUNCTION("""COMPUTED_VALUE"""),10.0)</f>
        <v>10</v>
      </c>
      <c r="E120" s="25">
        <f>IFERROR(__xludf.DUMMYFUNCTION("""COMPUTED_VALUE"""),46069.0)</f>
        <v>46069</v>
      </c>
      <c r="F120" s="24"/>
      <c r="G120" s="24"/>
      <c r="H120" s="24"/>
      <c r="I120" s="24" t="str">
        <f>IFERROR(__xludf.DUMMYFUNCTION("""COMPUTED_VALUE"""),"")</f>
        <v/>
      </c>
      <c r="J120" s="5" t="str">
        <f>IFERROR(__xludf.DUMMYFUNCTION("""COMPUTED_VALUE"""),"")</f>
        <v/>
      </c>
      <c r="K120" s="24" t="str">
        <f>IFERROR(__xludf.DUMMYFUNCTION("""COMPUTED_VALUE"""),"")</f>
        <v/>
      </c>
      <c r="L120" s="24" t="str">
        <f>IFERROR(__xludf.DUMMYFUNCTION("""COMPUTED_VALUE"""),"Shafique")</f>
        <v>Shafique</v>
      </c>
      <c r="N120" s="24" t="b">
        <f>IFERROR(__xludf.DUMMYFUNCTION("""COMPUTED_VALUE"""),FALSE)</f>
        <v>0</v>
      </c>
      <c r="O120" s="18" t="str">
        <f>IFERROR(__xludf.DUMMYFUNCTION("""COMPUTED_VALUE"""),"Trip.com")</f>
        <v>Trip.com</v>
      </c>
      <c r="P120" s="24">
        <f>IFERROR(__xludf.DUMMYFUNCTION("""COMPUTED_VALUE"""),8.0)</f>
        <v>8</v>
      </c>
      <c r="Q120" s="25">
        <f>IFERROR(__xludf.DUMMYFUNCTION("""COMPUTED_VALUE"""),46076.0)</f>
        <v>46076</v>
      </c>
      <c r="R120" s="24" t="str">
        <f>IFERROR(__xludf.DUMMYFUNCTION("""COMPUTED_VALUE"""),"Location is good and at quiet street.")</f>
        <v>Location is good and at quiet street.</v>
      </c>
      <c r="S120" s="24"/>
      <c r="T120" s="24"/>
      <c r="U120" s="24" t="str">
        <f>IFERROR(__xludf.DUMMYFUNCTION("""COMPUTED_VALUE"""),"立地が良く、静かな通りに面している。")</f>
        <v>立地が良く、静かな通りに面している。</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IFERROR(__xludf.DUMMYFUNCTION("""COMPUTED_VALUE"""),"Trip.com")</f>
        <v>Trip.com</v>
      </c>
      <c r="D121" s="24">
        <f>IFERROR(__xludf.DUMMYFUNCTION("""COMPUTED_VALUE"""),10.0)</f>
        <v>10</v>
      </c>
      <c r="E121" s="25">
        <f>IFERROR(__xludf.DUMMYFUNCTION("""COMPUTED_VALUE"""),46069.0)</f>
        <v>46069</v>
      </c>
      <c r="F121" s="24" t="str">
        <f>IFERROR(__xludf.DUMMYFUNCTION("""COMPUTED_VALUE"""),"飯店整體很棒,早餐很豐盛,房間也很舒適,只是小地方清潔可以再加強,隱密處比較有灰塵")</f>
        <v>飯店整體很棒,早餐很豐盛,房間也很舒適,只是小地方清潔可以再加強,隱密處比較有灰塵</v>
      </c>
      <c r="G121" s="24"/>
      <c r="H121" s="24"/>
      <c r="I121" s="24" t="str">
        <f>IFERROR(__xludf.DUMMYFUNCTION("""COMPUTED_VALUE"""),"ホテルは全体的に素晴らしく、朝食も種類豊富で、部屋も快適でした。ただ、一部の小さなエリアの清潔さには改善の余地があり、人目につかない場所には埃が少しありました。")</f>
        <v>ホテルは全体的に素晴らしく、朝食も種類豊富で、部屋も快適でした。ただ、一部の小さなエリアの清潔さには改善の余地があり、人目につかない場所には埃が少しありました。</v>
      </c>
      <c r="J121" s="5" t="str">
        <f>IFERROR(__xludf.DUMMYFUNCTION("""COMPUTED_VALUE"""),"")</f>
        <v/>
      </c>
      <c r="K121" s="24" t="str">
        <f>IFERROR(__xludf.DUMMYFUNCTION("""COMPUTED_VALUE"""),"")</f>
        <v/>
      </c>
      <c r="L121" s="24" t="str">
        <f>IFERROR(__xludf.DUMMYFUNCTION("""COMPUTED_VALUE"""),"ゲ‍ス‍ト")</f>
        <v>ゲ‍ス‍ト</v>
      </c>
      <c r="N121" s="24" t="b">
        <f>IFERROR(__xludf.DUMMYFUNCTION("""COMPUTED_VALUE"""),FALSE)</f>
        <v>0</v>
      </c>
      <c r="O121" s="18" t="str">
        <f>IFERROR(__xludf.DUMMYFUNCTION("""COMPUTED_VALUE"""),"Trip.com")</f>
        <v>Trip.com</v>
      </c>
      <c r="P121" s="24">
        <f>IFERROR(__xludf.DUMMYFUNCTION("""COMPUTED_VALUE"""),10.0)</f>
        <v>10</v>
      </c>
      <c r="Q121" s="25">
        <f>IFERROR(__xludf.DUMMYFUNCTION("""COMPUTED_VALUE"""),46076.0)</f>
        <v>46076</v>
      </c>
      <c r="R121" s="24" t="str">
        <f>IFERROR(__xludf.DUMMYFUNCTION("""COMPUTED_VALUE"""),"酒店早餐好，附近有很多吃飯的店，去地鐵站也很方便，總之很喜歡這個酒店。下次還住着個酒店啦啦啦啦啦啦啦啊啦")</f>
        <v>酒店早餐好，附近有很多吃飯的店，去地鐵站也很方便，總之很喜歡這個酒店。下次還住着個酒店啦啦啦啦啦啦啦啊啦</v>
      </c>
      <c r="S121" s="24"/>
      <c r="T121" s="24"/>
      <c r="U121" s="24" t="str">
        <f>IFERROR(__xludf.DUMMYFUNCTION("""COMPUTED_VALUE"""),"ホテルの朝食は美味しく、周辺にはたくさんのレストランがあり、地下鉄の駅にもとても便利でした。全体的にこのホテルはとても気に入りました。次回も必ずここに泊まります！")</f>
        <v>ホテルの朝食は美味しく、周辺にはたくさんのレストランがあり、地下鉄の駅にもとても便利でした。全体的にこのホテルはとても気に入りました。次回も必ずここに泊まります！</v>
      </c>
      <c r="V121" s="24" t="str">
        <f>IFERROR(__xludf.DUMMYFUNCTION("""COMPUTED_VALUE"""),"")</f>
        <v/>
      </c>
      <c r="W121" s="24" t="str">
        <f>IFERROR(__xludf.DUMMYFUNCTION("""COMPUTED_VALUE"""),"")</f>
        <v/>
      </c>
      <c r="X121" s="24" t="str">
        <f>IFERROR(__xludf.DUMMYFUNCTION("""COMPUTED_VALUE"""),"ゲ‍ス‍ト")</f>
        <v>ゲ‍ス‍ト</v>
      </c>
    </row>
    <row r="122">
      <c r="B122" s="24" t="b">
        <f>IFERROR(__xludf.DUMMYFUNCTION("""COMPUTED_VALUE"""),FALSE)</f>
        <v>0</v>
      </c>
      <c r="C122" s="24" t="str">
        <f>IFERROR(__xludf.DUMMYFUNCTION("""COMPUTED_VALUE"""),"Google")</f>
        <v>Google</v>
      </c>
      <c r="D122" s="24">
        <f>IFERROR(__xludf.DUMMYFUNCTION("""COMPUTED_VALUE"""),4.0)</f>
        <v>4</v>
      </c>
      <c r="E122" s="25">
        <f>IFERROR(__xludf.DUMMYFUNCTION("""COMPUTED_VALUE"""),46069.0)</f>
        <v>46069</v>
      </c>
      <c r="F12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G122" s="24"/>
      <c r="H122" s="24"/>
      <c r="I12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J122" s="5" t="str">
        <f>IFERROR(__xludf.DUMMYFUNCTION("""COMPUTED_VALUE"""),"")</f>
        <v/>
      </c>
      <c r="K122" s="24" t="str">
        <f>IFERROR(__xludf.DUMMYFUNCTION("""COMPUTED_VALUE"""),"")</f>
        <v/>
      </c>
      <c r="L122" s="24" t="str">
        <f>IFERROR(__xludf.DUMMYFUNCTION("""COMPUTED_VALUE"""),"JD WU")</f>
        <v>JD WU</v>
      </c>
      <c r="N122" s="24" t="b">
        <f>IFERROR(__xludf.DUMMYFUNCTION("""COMPUTED_VALUE"""),FALSE)</f>
        <v>0</v>
      </c>
      <c r="O122" s="18" t="str">
        <f>IFERROR(__xludf.DUMMYFUNCTION("""COMPUTED_VALUE"""),"Booking.com")</f>
        <v>Booking.com</v>
      </c>
      <c r="P122" s="24">
        <f>IFERROR(__xludf.DUMMYFUNCTION("""COMPUTED_VALUE"""),5.0)</f>
        <v>5</v>
      </c>
      <c r="Q122" s="25">
        <f>IFERROR(__xludf.DUMMYFUNCTION("""COMPUTED_VALUE"""),46076.0)</f>
        <v>46076</v>
      </c>
      <c r="R122" s="24"/>
      <c r="S12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T12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U122" s="24" t="str">
        <f>IFERROR(__xludf.DUMMYFUNCTION("""COMPUTED_VALUE"""),"")</f>
        <v/>
      </c>
      <c r="V122" s="24" t="str">
        <f>IFERROR(__xludf.DUMMYFUNCTION("""COMPUTED_VALUE"""),"駅まで近いので、ゆっくり移動できる。 宿泊前日で予約がとれ助かりました。 また利用するようにします")</f>
        <v>駅まで近いので、ゆっくり移動できる。 宿泊前日で予約がとれ助かりました。 また利用するようにします</v>
      </c>
      <c r="W122" s="24" t="str">
        <f>IFERROR(__xludf.DUMMYFUNCTION("""COMPUTED_VALUE"""),"アメニティの無くなりがすごく早かった。21時頃なので、気にして頂ければ助かりました。")</f>
        <v>アメニティの無くなりがすごく早かった。21時頃なので、気にして頂ければ助かりました。</v>
      </c>
      <c r="X122" s="24" t="str">
        <f>IFERROR(__xludf.DUMMYFUNCTION("""COMPUTED_VALUE"""),"Kumamoto")</f>
        <v>Kumamoto</v>
      </c>
    </row>
    <row r="123">
      <c r="B123" s="24" t="b">
        <f>IFERROR(__xludf.DUMMYFUNCTION("""COMPUTED_VALUE"""),FALSE)</f>
        <v>0</v>
      </c>
      <c r="C123" s="18" t="str">
        <f>IFERROR(__xludf.DUMMYFUNCTION("""COMPUTED_VALUE"""),"Booking.com")</f>
        <v>Booking.com</v>
      </c>
      <c r="D123" s="24">
        <f>IFERROR(__xludf.DUMMYFUNCTION("""COMPUTED_VALUE"""),6.0)</f>
        <v>6</v>
      </c>
      <c r="E123" s="25">
        <f>IFERROR(__xludf.DUMMYFUNCTION("""COMPUTED_VALUE"""),46068.0)</f>
        <v>46068</v>
      </c>
      <c r="F123" s="24"/>
      <c r="G123" s="24"/>
      <c r="H123" s="24"/>
      <c r="I123" s="24" t="str">
        <f>IFERROR(__xludf.DUMMYFUNCTION("""COMPUTED_VALUE"""),"")</f>
        <v/>
      </c>
      <c r="J123" s="5" t="str">
        <f>IFERROR(__xludf.DUMMYFUNCTION("""COMPUTED_VALUE"""),"")</f>
        <v/>
      </c>
      <c r="K123" s="24" t="str">
        <f>IFERROR(__xludf.DUMMYFUNCTION("""COMPUTED_VALUE"""),"")</f>
        <v/>
      </c>
      <c r="L123" s="24" t="str">
        <f>IFERROR(__xludf.DUMMYFUNCTION("""COMPUTED_VALUE"""),"Lexi")</f>
        <v>Lexi</v>
      </c>
      <c r="N123" s="24" t="b">
        <f>IFERROR(__xludf.DUMMYFUNCTION("""COMPUTED_VALUE"""),FALSE)</f>
        <v>0</v>
      </c>
      <c r="O123" s="18" t="str">
        <f>IFERROR(__xludf.DUMMYFUNCTION("""COMPUTED_VALUE"""),"Booking.com")</f>
        <v>Booking.com</v>
      </c>
      <c r="P123" s="24">
        <f>IFERROR(__xludf.DUMMYFUNCTION("""COMPUTED_VALUE"""),8.0)</f>
        <v>8</v>
      </c>
      <c r="Q123" s="25">
        <f>IFERROR(__xludf.DUMMYFUNCTION("""COMPUTED_VALUE"""),46075.0)</f>
        <v>46075</v>
      </c>
      <c r="R123" s="24"/>
      <c r="S123" s="24"/>
      <c r="T123" s="24"/>
      <c r="U123" s="24" t="str">
        <f>IFERROR(__xludf.DUMMYFUNCTION("""COMPUTED_VALUE"""),"")</f>
        <v/>
      </c>
      <c r="V123" s="24" t="str">
        <f>IFERROR(__xludf.DUMMYFUNCTION("""COMPUTED_VALUE"""),"")</f>
        <v/>
      </c>
      <c r="W123" s="24" t="str">
        <f>IFERROR(__xludf.DUMMYFUNCTION("""COMPUTED_VALUE"""),"")</f>
        <v/>
      </c>
      <c r="X123" s="24" t="str">
        <f>IFERROR(__xludf.DUMMYFUNCTION("""COMPUTED_VALUE"""),"タクミ")</f>
        <v>タクミ</v>
      </c>
    </row>
    <row r="124">
      <c r="B124" s="24" t="b">
        <f>IFERROR(__xludf.DUMMYFUNCTION("""COMPUTED_VALUE"""),FALSE)</f>
        <v>0</v>
      </c>
      <c r="C124" s="18" t="str">
        <f>IFERROR(__xludf.DUMMYFUNCTION("""COMPUTED_VALUE"""),"Trip.com")</f>
        <v>Trip.com</v>
      </c>
      <c r="D124" s="24">
        <f>IFERROR(__xludf.DUMMYFUNCTION("""COMPUTED_VALUE"""),10.0)</f>
        <v>10</v>
      </c>
      <c r="E124" s="25">
        <f>IFERROR(__xludf.DUMMYFUNCTION("""COMPUTED_VALUE"""),46068.0)</f>
        <v>46068</v>
      </c>
      <c r="F124" s="24" t="str">
        <f>IFERROR(__xludf.DUMMYFUNCTION("""COMPUTED_VALUE"""),"Hotel location was only 8mins walk from train station. Location roughly only 3-4 stops from Asakusa and Akihabara. Direct line to shibuya and Omotesando area as well. Rooms were clean and slightly more spacious then usual hotels in tokyo.")</f>
        <v>Hotel location was only 8mins walk from train station. Location roughly only 3-4 stops from Asakusa and Akihabara. Direct line to shibuya and Omotesando area as well. Rooms were clean and slightly more spacious then usual hotels in tokyo.</v>
      </c>
      <c r="G124" s="24"/>
      <c r="H124" s="24"/>
      <c r="I124" s="24" t="str">
        <f>IFERROR(__xludf.DUMMYFUNCTION("""COMPUTED_VALUE"""),"ホテルは駅から徒歩わずか8分という好立地でした。浅草や秋葉原までは電車で3～4駅。渋谷や表参道へも直通で行くことができました。客室は清潔で、東京の一般的なホテルよりも少し広めでした。")</f>
        <v>ホテルは駅から徒歩わずか8分という好立地でした。浅草や秋葉原までは電車で3～4駅。渋谷や表参道へも直通で行くことができました。客室は清潔で、東京の一般的なホテルよりも少し広めでした。</v>
      </c>
      <c r="J124" s="5" t="str">
        <f>IFERROR(__xludf.DUMMYFUNCTION("""COMPUTED_VALUE"""),"")</f>
        <v/>
      </c>
      <c r="K124" s="24" t="str">
        <f>IFERROR(__xludf.DUMMYFUNCTION("""COMPUTED_VALUE"""),"")</f>
        <v/>
      </c>
      <c r="L124" s="24" t="str">
        <f>IFERROR(__xludf.DUMMYFUNCTION("""COMPUTED_VALUE"""),"C‍Q‍R")</f>
        <v>C‍Q‍R</v>
      </c>
      <c r="N124" s="24" t="b">
        <f>IFERROR(__xludf.DUMMYFUNCTION("""COMPUTED_VALUE"""),FALSE)</f>
        <v>0</v>
      </c>
      <c r="O124" s="18" t="str">
        <f>IFERROR(__xludf.DUMMYFUNCTION("""COMPUTED_VALUE"""),"Booking.com")</f>
        <v>Booking.com</v>
      </c>
      <c r="P124" s="24">
        <f>IFERROR(__xludf.DUMMYFUNCTION("""COMPUTED_VALUE"""),8.0)</f>
        <v>8</v>
      </c>
      <c r="Q124" s="25">
        <f>IFERROR(__xludf.DUMMYFUNCTION("""COMPUTED_VALUE"""),46075.0)</f>
        <v>46075</v>
      </c>
      <c r="R124" s="24"/>
      <c r="S124" s="24"/>
      <c r="T124" s="24"/>
      <c r="U124" s="24" t="str">
        <f>IFERROR(__xludf.DUMMYFUNCTION("""COMPUTED_VALUE"""),"")</f>
        <v/>
      </c>
      <c r="V124" s="24" t="str">
        <f>IFERROR(__xludf.DUMMYFUNCTION("""COMPUTED_VALUE"""),"")</f>
        <v/>
      </c>
      <c r="W124" s="24" t="str">
        <f>IFERROR(__xludf.DUMMYFUNCTION("""COMPUTED_VALUE"""),"")</f>
        <v/>
      </c>
      <c r="X124" s="24" t="str">
        <f>IFERROR(__xludf.DUMMYFUNCTION("""COMPUTED_VALUE"""),"Katie")</f>
        <v>Katie</v>
      </c>
    </row>
    <row r="125">
      <c r="B125" s="24" t="b">
        <f>IFERROR(__xludf.DUMMYFUNCTION("""COMPUTED_VALUE"""),FALSE)</f>
        <v>0</v>
      </c>
      <c r="C125" s="18" t="str">
        <f>IFERROR(__xludf.DUMMYFUNCTION("""COMPUTED_VALUE"""),"Trip.com")</f>
        <v>Trip.com</v>
      </c>
      <c r="D125" s="24">
        <f>IFERROR(__xludf.DUMMYFUNCTION("""COMPUTED_VALUE"""),10.0)</f>
        <v>10</v>
      </c>
      <c r="E125" s="25">
        <f>IFERROR(__xludf.DUMMYFUNCTION("""COMPUTED_VALUE"""),46068.0)</f>
        <v>46068</v>
      </c>
      <c r="F125" s="24" t="str">
        <f>IFERROR(__xludf.DUMMYFUNCTION("""COMPUTED_VALUE"""),"The location is strategies, super clean, complete amenities in lobby. We’ll stay again if we go to Japan :))")</f>
        <v>The location is strategies, super clean, complete amenities in lobby. We’ll stay again if we go to Japan :))</v>
      </c>
      <c r="G125" s="24"/>
      <c r="H125" s="24"/>
      <c r="I125" s="24" t="str">
        <f>IFERROR(__xludf.DUMMYFUNCTION("""COMPUTED_VALUE"""),"立地は最高、とても清潔で、ロビーにはアメニティも充実しています。日本に行く機会があれば、またここに泊まりたいです :))")</f>
        <v>立地は最高、とても清潔で、ロビーにはアメニティも充実しています。日本に行く機会があれば、またここに泊まりたいです :))</v>
      </c>
      <c r="J125" s="5" t="str">
        <f>IFERROR(__xludf.DUMMYFUNCTION("""COMPUTED_VALUE"""),"")</f>
        <v/>
      </c>
      <c r="K125" s="24" t="str">
        <f>IFERROR(__xludf.DUMMYFUNCTION("""COMPUTED_VALUE"""),"")</f>
        <v/>
      </c>
      <c r="L125" s="24" t="str">
        <f>IFERROR(__xludf.DUMMYFUNCTION("""COMPUTED_VALUE"""),"ゲ‍ス‍ト")</f>
        <v>ゲ‍ス‍ト</v>
      </c>
      <c r="N125" s="24" t="b">
        <f>IFERROR(__xludf.DUMMYFUNCTION("""COMPUTED_VALUE"""),FALSE)</f>
        <v>0</v>
      </c>
      <c r="O125" s="24" t="str">
        <f>IFERROR(__xludf.DUMMYFUNCTION("""COMPUTED_VALUE"""),"Google")</f>
        <v>Google</v>
      </c>
      <c r="P125" s="24">
        <f>IFERROR(__xludf.DUMMYFUNCTION("""COMPUTED_VALUE"""),5.0)</f>
        <v>5</v>
      </c>
      <c r="Q125" s="25">
        <f>IFERROR(__xludf.DUMMYFUNCTION("""COMPUTED_VALUE"""),46075.0)</f>
        <v>46075</v>
      </c>
      <c r="R125" s="24" t="str">
        <f>IFERROR(__xludf.DUMMYFUNCTION("""COMPUTED_VALUE"""),"一如往常的表現。 人員服務。備品充足。 跟以往相比大廳有簡單的水可用。 碰到下雨大廳也有準備毛巾 唯一缺點是價格越來越貴。 如果有刷到便宜價格。 這區首選")</f>
        <v>一如往常的表現。 人員服務。備品充足。 跟以往相比大廳有簡單的水可用。 碰到下雨大廳也有準備毛巾 唯一缺點是價格越來越貴。 如果有刷到便宜價格。 這區首選</v>
      </c>
      <c r="S125" s="24"/>
      <c r="T125" s="24"/>
      <c r="U125" s="24" t="str">
        <f>IFERROR(__xludf.DUMMYFUNCTION("""COMPUTED_VALUE"""),"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f>
        <v>いつものようにサービスは良好でした。備品も豊富でした。以前と比べて、ロビーに水が用意されていました。雨天時に備えてタオルもロビーに用意されていました。唯一の難点は、価格がどんどん高くなっていることです。もっと安いホテルが見つかるなら、このエリアは最高の選択肢でしょう。</v>
      </c>
      <c r="V125" s="24" t="str">
        <f>IFERROR(__xludf.DUMMYFUNCTION("""COMPUTED_VALUE"""),"")</f>
        <v/>
      </c>
      <c r="W125" s="24" t="str">
        <f>IFERROR(__xludf.DUMMYFUNCTION("""COMPUTED_VALUE"""),"")</f>
        <v/>
      </c>
      <c r="X125" s="24" t="str">
        <f>IFERROR(__xludf.DUMMYFUNCTION("""COMPUTED_VALUE"""),"張世杰")</f>
        <v>張世杰</v>
      </c>
    </row>
    <row r="126">
      <c r="B126" s="24" t="b">
        <f>IFERROR(__xludf.DUMMYFUNCTION("""COMPUTED_VALUE"""),FALSE)</f>
        <v>0</v>
      </c>
      <c r="C126" s="18" t="str">
        <f>IFERROR(__xludf.DUMMYFUNCTION("""COMPUTED_VALUE"""),"Booking.com")</f>
        <v>Booking.com</v>
      </c>
      <c r="D126" s="24">
        <f>IFERROR(__xludf.DUMMYFUNCTION("""COMPUTED_VALUE"""),8.0)</f>
        <v>8</v>
      </c>
      <c r="E126" s="25">
        <f>IFERROR(__xludf.DUMMYFUNCTION("""COMPUTED_VALUE"""),46068.0)</f>
        <v>46068</v>
      </c>
      <c r="F126" s="24"/>
      <c r="G126" s="24"/>
      <c r="H126" s="24"/>
      <c r="I126" s="24" t="str">
        <f>IFERROR(__xludf.DUMMYFUNCTION("""COMPUTED_VALUE"""),"")</f>
        <v/>
      </c>
      <c r="J126" s="5" t="str">
        <f>IFERROR(__xludf.DUMMYFUNCTION("""COMPUTED_VALUE"""),"")</f>
        <v/>
      </c>
      <c r="K126" s="24" t="str">
        <f>IFERROR(__xludf.DUMMYFUNCTION("""COMPUTED_VALUE"""),"")</f>
        <v/>
      </c>
      <c r="L126" s="24" t="str">
        <f>IFERROR(__xludf.DUMMYFUNCTION("""COMPUTED_VALUE"""),"Reiko")</f>
        <v>Reiko</v>
      </c>
      <c r="N126" s="24" t="b">
        <f>IFERROR(__xludf.DUMMYFUNCTION("""COMPUTED_VALUE"""),FALSE)</f>
        <v>0</v>
      </c>
      <c r="O126" s="24" t="str">
        <f>IFERROR(__xludf.DUMMYFUNCTION("""COMPUTED_VALUE"""),"Google")</f>
        <v>Google</v>
      </c>
      <c r="P126" s="24">
        <f>IFERROR(__xludf.DUMMYFUNCTION("""COMPUTED_VALUE"""),5.0)</f>
        <v>5</v>
      </c>
      <c r="Q126" s="25">
        <f>IFERROR(__xludf.DUMMYFUNCTION("""COMPUTED_VALUE"""),46075.0)</f>
        <v>46075</v>
      </c>
      <c r="R12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S126" s="24"/>
      <c r="T126" s="24"/>
      <c r="U126" s="24" t="str">
        <f>IFERROR(__xludf.DUMMYFUNCTION("""COMPUTED_VALUE"""),"いつも通りのサービスです。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f>
        <v>いつも通りのサービスです。  スタッフのサービス。備品も豊富です。  以前と比べて、ロビーに簡易水が用意されるようになりました。  雨天時のために、ロビーにタオルも用意されています。  唯一の欠点は、料金がどんどん高くなっていることです。  もっと安い料金が見つかるなら…  このエリアは最高の選択肢です。</v>
      </c>
      <c r="V126" s="24" t="str">
        <f>IFERROR(__xludf.DUMMYFUNCTION("""COMPUTED_VALUE"""),"")</f>
        <v/>
      </c>
      <c r="W126" s="24" t="str">
        <f>IFERROR(__xludf.DUMMYFUNCTION("""COMPUTED_VALUE"""),"")</f>
        <v/>
      </c>
      <c r="X126" s="24" t="str">
        <f>IFERROR(__xludf.DUMMYFUNCTION("""COMPUTED_VALUE"""),"張世杰")</f>
        <v>張世杰</v>
      </c>
    </row>
    <row r="127">
      <c r="B127" s="24" t="b">
        <f>IFERROR(__xludf.DUMMYFUNCTION("""COMPUTED_VALUE"""),FALSE)</f>
        <v>0</v>
      </c>
      <c r="C127" s="18" t="str">
        <f>IFERROR(__xludf.DUMMYFUNCTION("""COMPUTED_VALUE"""),"Booking.com")</f>
        <v>Booking.com</v>
      </c>
      <c r="D127" s="24">
        <f>IFERROR(__xludf.DUMMYFUNCTION("""COMPUTED_VALUE"""),8.0)</f>
        <v>8</v>
      </c>
      <c r="E127" s="25">
        <f>IFERROR(__xludf.DUMMYFUNCTION("""COMPUTED_VALUE"""),46068.0)</f>
        <v>46068</v>
      </c>
      <c r="F127" s="24"/>
      <c r="G127" s="24" t="str">
        <f>IFERROR(__xludf.DUMMYFUNCTION("""COMPUTED_VALUE"""),"Location, room, staff at reception")</f>
        <v>Location, room, staff at reception</v>
      </c>
      <c r="H127" s="24"/>
      <c r="I127" s="24" t="str">
        <f>IFERROR(__xludf.DUMMYFUNCTION("""COMPUTED_VALUE"""),"")</f>
        <v/>
      </c>
      <c r="J127" s="5" t="str">
        <f>IFERROR(__xludf.DUMMYFUNCTION("""COMPUTED_VALUE"""),"立地、部屋、受付スタッフ")</f>
        <v>立地、部屋、受付スタッフ</v>
      </c>
      <c r="K127" s="24" t="str">
        <f>IFERROR(__xludf.DUMMYFUNCTION("""COMPUTED_VALUE"""),"")</f>
        <v/>
      </c>
      <c r="L127" s="24" t="str">
        <f>IFERROR(__xludf.DUMMYFUNCTION("""COMPUTED_VALUE"""),"Shriya")</f>
        <v>Shriya</v>
      </c>
      <c r="N127" s="24" t="b">
        <f>IFERROR(__xludf.DUMMYFUNCTION("""COMPUTED_VALUE"""),FALSE)</f>
        <v>0</v>
      </c>
      <c r="O127" s="18" t="str">
        <f>IFERROR(__xludf.DUMMYFUNCTION("""COMPUTED_VALUE"""),"Booking.com")</f>
        <v>Booking.com</v>
      </c>
      <c r="P127" s="24">
        <f>IFERROR(__xludf.DUMMYFUNCTION("""COMPUTED_VALUE"""),10.0)</f>
        <v>10</v>
      </c>
      <c r="Q127" s="25">
        <f>IFERROR(__xludf.DUMMYFUNCTION("""COMPUTED_VALUE"""),46074.0)</f>
        <v>46074</v>
      </c>
      <c r="R127" s="24"/>
      <c r="S127" s="24" t="str">
        <f>IFERROR(__xludf.DUMMYFUNCTION("""COMPUTED_VALUE"""),"スタッフ様の顧客応対が丁寧で美意識の高さを感じます。")</f>
        <v>スタッフ様の顧客応対が丁寧で美意識の高さを感じます。</v>
      </c>
      <c r="T12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U127" s="24" t="str">
        <f>IFERROR(__xludf.DUMMYFUNCTION("""COMPUTED_VALUE"""),"")</f>
        <v/>
      </c>
      <c r="V127" s="24" t="str">
        <f>IFERROR(__xludf.DUMMYFUNCTION("""COMPUTED_VALUE"""),"スタッフ様の顧客応対が丁寧で美意識の高さを感じます。")</f>
        <v>スタッフ様の顧客応対が丁寧で美意識の高さを感じます。</v>
      </c>
      <c r="W127" s="24" t="str">
        <f>IFERROR(__xludf.DUMMYFUNCTION("""COMPUTED_VALUE"""),"共用部分にクラシック音楽などのBGMが雰囲気程度に流していると､もっと良くなるように感じました。")</f>
        <v>共用部分にクラシック音楽などのBGMが雰囲気程度に流していると､もっと良くなるように感じました。</v>
      </c>
      <c r="X127" s="24" t="str">
        <f>IFERROR(__xludf.DUMMYFUNCTION("""COMPUTED_VALUE"""),"Kohei")</f>
        <v>Kohei</v>
      </c>
    </row>
    <row r="128">
      <c r="B128" s="24" t="b">
        <f>IFERROR(__xludf.DUMMYFUNCTION("""COMPUTED_VALUE"""),FALSE)</f>
        <v>0</v>
      </c>
      <c r="C128" s="18" t="str">
        <f>IFERROR(__xludf.DUMMYFUNCTION("""COMPUTED_VALUE"""),"Booking.com")</f>
        <v>Booking.com</v>
      </c>
      <c r="D128" s="24">
        <f>IFERROR(__xludf.DUMMYFUNCTION("""COMPUTED_VALUE"""),9.0)</f>
        <v>9</v>
      </c>
      <c r="E128" s="25">
        <f>IFERROR(__xludf.DUMMYFUNCTION("""COMPUTED_VALUE"""),46068.0)</f>
        <v>46068</v>
      </c>
      <c r="F128" s="24"/>
      <c r="G128" s="24"/>
      <c r="H128" s="24"/>
      <c r="I128" s="24" t="str">
        <f>IFERROR(__xludf.DUMMYFUNCTION("""COMPUTED_VALUE"""),"")</f>
        <v/>
      </c>
      <c r="J128" s="5" t="str">
        <f>IFERROR(__xludf.DUMMYFUNCTION("""COMPUTED_VALUE"""),"")</f>
        <v/>
      </c>
      <c r="K128" s="24" t="str">
        <f>IFERROR(__xludf.DUMMYFUNCTION("""COMPUTED_VALUE"""),"")</f>
        <v/>
      </c>
      <c r="L128" s="24" t="str">
        <f>IFERROR(__xludf.DUMMYFUNCTION("""COMPUTED_VALUE"""),"建誠")</f>
        <v>建誠</v>
      </c>
      <c r="N128" s="24" t="b">
        <f>IFERROR(__xludf.DUMMYFUNCTION("""COMPUTED_VALUE"""),FALSE)</f>
        <v>0</v>
      </c>
      <c r="O128" s="24" t="str">
        <f>IFERROR(__xludf.DUMMYFUNCTION("""COMPUTED_VALUE"""),"Google")</f>
        <v>Google</v>
      </c>
      <c r="P128" s="24">
        <f>IFERROR(__xludf.DUMMYFUNCTION("""COMPUTED_VALUE"""),5.0)</f>
        <v>5</v>
      </c>
      <c r="Q128" s="25">
        <f>IFERROR(__xludf.DUMMYFUNCTION("""COMPUTED_VALUE"""),46073.0)</f>
        <v>46073</v>
      </c>
      <c r="R128" s="24" t="str">
        <f>IFERROR(__xludf.DUMMYFUNCTION("""COMPUTED_VALUE"""),"フレンドリーなスタッフ、清潔、クローゼットのスペースも十分、水圧も 10/10 ✨🚿")</f>
        <v>フレンドリーなスタッフ、清潔、クローゼットのスペースも十分、水圧も 10/10 ✨🚿</v>
      </c>
      <c r="S128" s="24"/>
      <c r="T128" s="24"/>
      <c r="U128" s="24" t="str">
        <f>IFERROR(__xludf.DUMMYFUNCTION("""COMPUTED_VALUE"""),"フレンドリーなスタッフ、清潔、クローゼットのスペースも十分、水圧も 10/10 ✨🚿")</f>
        <v>フレンドリーなスタッフ、清潔、クローゼットのスペースも十分、水圧も 10/10 ✨🚿</v>
      </c>
      <c r="V128" s="24" t="str">
        <f>IFERROR(__xludf.DUMMYFUNCTION("""COMPUTED_VALUE"""),"")</f>
        <v/>
      </c>
      <c r="W128" s="24" t="str">
        <f>IFERROR(__xludf.DUMMYFUNCTION("""COMPUTED_VALUE"""),"")</f>
        <v/>
      </c>
      <c r="X128" s="24" t="str">
        <f>IFERROR(__xludf.DUMMYFUNCTION("""COMPUTED_VALUE"""),"Pamela パメラ")</f>
        <v>Pamela パメラ</v>
      </c>
    </row>
    <row r="129">
      <c r="B129" s="24" t="b">
        <f>IFERROR(__xludf.DUMMYFUNCTION("""COMPUTED_VALUE"""),FALSE)</f>
        <v>0</v>
      </c>
      <c r="C129" s="18" t="str">
        <f>IFERROR(__xludf.DUMMYFUNCTION("""COMPUTED_VALUE"""),"Trip.com")</f>
        <v>Trip.com</v>
      </c>
      <c r="D129" s="24">
        <f>IFERROR(__xludf.DUMMYFUNCTION("""COMPUTED_VALUE"""),8.0)</f>
        <v>8</v>
      </c>
      <c r="E129" s="25">
        <f>IFERROR(__xludf.DUMMYFUNCTION("""COMPUTED_VALUE"""),46068.0)</f>
        <v>46068</v>
      </c>
      <c r="F129" s="24" t="str">
        <f>IFERROR(__xludf.DUMMYFUNCTION("""COMPUTED_VALUE"""),"Vicinity was good, with couple of convenience stores. Hotel room was larger than the average rooms.  Able to monitor on the status of the washing machines direct from room television a huge plus. Train station was about a 10 minutes walk away")</f>
        <v>Vicinity was good, with couple of convenience stores. Hotel room was larger than the average rooms.  Able to monitor on the status of the washing machines direct from room television a huge plus. Train station was about a 10 minutes walk away</v>
      </c>
      <c r="G129" s="24"/>
      <c r="H129" s="24"/>
      <c r="I129" s="24" t="str">
        <f>IFERROR(__xludf.DUMMYFUNCTION("""COMPUTED_VALUE"""),"周辺環境は良く、コンビニエンスストアが数軒ありました。ホテルの部屋は平均的な部屋よりも広かったです。部屋のテレビから洗濯機の状態を直接確認できるのは大きな利点でした。駅までは徒歩約10分でした。")</f>
        <v>周辺環境は良く、コンビニエンスストアが数軒ありました。ホテルの部屋は平均的な部屋よりも広かったです。部屋のテレビから洗濯機の状態を直接確認できるのは大きな利点でした。駅までは徒歩約10分でした。</v>
      </c>
      <c r="J129" s="5" t="str">
        <f>IFERROR(__xludf.DUMMYFUNCTION("""COMPUTED_VALUE"""),"")</f>
        <v/>
      </c>
      <c r="K129" s="24" t="str">
        <f>IFERROR(__xludf.DUMMYFUNCTION("""COMPUTED_VALUE"""),"")</f>
        <v/>
      </c>
      <c r="L129" s="24" t="str">
        <f>IFERROR(__xludf.DUMMYFUNCTION("""COMPUTED_VALUE"""),"J‍e‍s‍p‍e‍r‍P‍e‍a")</f>
        <v>J‍e‍s‍p‍e‍r‍P‍e‍a</v>
      </c>
      <c r="N129" s="24" t="b">
        <f>IFERROR(__xludf.DUMMYFUNCTION("""COMPUTED_VALUE"""),FALSE)</f>
        <v>0</v>
      </c>
      <c r="O129" s="18" t="str">
        <f>IFERROR(__xludf.DUMMYFUNCTION("""COMPUTED_VALUE"""),"Trip.com")</f>
        <v>Trip.com</v>
      </c>
      <c r="P129" s="24">
        <f>IFERROR(__xludf.DUMMYFUNCTION("""COMPUTED_VALUE"""),10.0)</f>
        <v>10</v>
      </c>
      <c r="Q129" s="25">
        <f>IFERROR(__xludf.DUMMYFUNCTION("""COMPUTED_VALUE"""),46073.0)</f>
        <v>46073</v>
      </c>
      <c r="R129" s="24" t="str">
        <f>IFERROR(__xludf.DUMMYFUNCTION("""COMPUTED_VALUE"""),"交通方便，房間比一般酒店寬敞")</f>
        <v>交通方便，房間比一般酒店寬敞</v>
      </c>
      <c r="S129" s="24"/>
      <c r="T129" s="24"/>
      <c r="U129" s="24" t="str">
        <f>IFERROR(__xludf.DUMMYFUNCTION("""COMPUTED_VALUE"""),"交通の便が良く、客室は一般的なホテルよりも広々としている。")</f>
        <v>交通の便が良く、客室は一般的なホテルよりも広々としている。</v>
      </c>
      <c r="V129" s="24" t="str">
        <f>IFERROR(__xludf.DUMMYFUNCTION("""COMPUTED_VALUE"""),"")</f>
        <v/>
      </c>
      <c r="W129" s="24" t="str">
        <f>IFERROR(__xludf.DUMMYFUNCTION("""COMPUTED_VALUE"""),"")</f>
        <v/>
      </c>
      <c r="X129" s="24" t="str">
        <f>IFERROR(__xludf.DUMMYFUNCTION("""COMPUTED_VALUE"""),"ゲ‍ス‍ト")</f>
        <v>ゲ‍ス‍ト</v>
      </c>
    </row>
    <row r="130">
      <c r="B130" s="24" t="b">
        <f>IFERROR(__xludf.DUMMYFUNCTION("""COMPUTED_VALUE"""),FALSE)</f>
        <v>0</v>
      </c>
      <c r="C130" s="18" t="str">
        <f>IFERROR(__xludf.DUMMYFUNCTION("""COMPUTED_VALUE"""),"Booking.com")</f>
        <v>Booking.com</v>
      </c>
      <c r="D130" s="24">
        <f>IFERROR(__xludf.DUMMYFUNCTION("""COMPUTED_VALUE"""),10.0)</f>
        <v>10</v>
      </c>
      <c r="E130" s="25">
        <f>IFERROR(__xludf.DUMMYFUNCTION("""COMPUTED_VALUE"""),46067.0)</f>
        <v>46067</v>
      </c>
      <c r="F130" s="24"/>
      <c r="G130" s="24" t="str">
        <f>IFERROR(__xludf.DUMMYFUNCTION("""COMPUTED_VALUE"""),"我們小孩不小心把床單弄髒了。他們也沒有叫我們賠償，反而立即幫助我們處理，員工態度都很棒，性價比也不錯，交通也方便")</f>
        <v>我們小孩不小心把床單弄髒了。他們也沒有叫我們賠償，反而立即幫助我們處理，員工態度都很棒，性價比也不錯，交通也方便</v>
      </c>
      <c r="H130" s="24" t="str">
        <f>IFERROR(__xludf.DUMMYFUNCTION("""COMPUTED_VALUE"""),"無，頂多是洗衣機有點不太夠")</f>
        <v>無，頂多是洗衣機有點不太夠</v>
      </c>
      <c r="I130" s="24" t="str">
        <f>IFERROR(__xludf.DUMMYFUNCTION("""COMPUTED_VALUE"""),"")</f>
        <v/>
      </c>
      <c r="J130" s="5" t="str">
        <f>IFERROR(__xludf.DUMMYFUNCTION("""COMPUTED_VALUE"""),"子供がうっかりシーツを汚してしまいましたが、弁償を求められることもなく、すぐに掃除を手伝ってくれました。スタッフは皆とても親切で、料金も手頃、立地も便利でした。")</f>
        <v>子供がうっかりシーツを汚してしまいましたが、弁償を求められることもなく、すぐに掃除を手伝ってくれました。スタッフは皆とても親切で、料金も手頃、立地も便利でした。</v>
      </c>
      <c r="K130" s="24" t="str">
        <f>IFERROR(__xludf.DUMMYFUNCTION("""COMPUTED_VALUE"""),"いいえ、せいぜい洗濯機の台数が足りないだけです。")</f>
        <v>いいえ、せいぜい洗濯機の台数が足りないだけです。</v>
      </c>
      <c r="L130" s="24" t="str">
        <f>IFERROR(__xludf.DUMMYFUNCTION("""COMPUTED_VALUE"""),"Tsu")</f>
        <v>Tsu</v>
      </c>
      <c r="N130" s="24" t="b">
        <f>IFERROR(__xludf.DUMMYFUNCTION("""COMPUTED_VALUE"""),FALSE)</f>
        <v>0</v>
      </c>
      <c r="O130" s="18" t="str">
        <f>IFERROR(__xludf.DUMMYFUNCTION("""COMPUTED_VALUE"""),"Booking.com")</f>
        <v>Booking.com</v>
      </c>
      <c r="P130" s="24">
        <f>IFERROR(__xludf.DUMMYFUNCTION("""COMPUTED_VALUE"""),9.0)</f>
        <v>9</v>
      </c>
      <c r="Q130" s="25">
        <f>IFERROR(__xludf.DUMMYFUNCTION("""COMPUTED_VALUE"""),46073.0)</f>
        <v>46073</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IFERROR(__xludf.DUMMYFUNCTION("""COMPUTED_VALUE"""),"Luis")</f>
        <v>Luis</v>
      </c>
    </row>
    <row r="131">
      <c r="B131" s="24" t="b">
        <f>IFERROR(__xludf.DUMMYFUNCTION("""COMPUTED_VALUE"""),FALSE)</f>
        <v>0</v>
      </c>
      <c r="C131" s="18" t="str">
        <f>IFERROR(__xludf.DUMMYFUNCTION("""COMPUTED_VALUE"""),"Booking.com")</f>
        <v>Booking.com</v>
      </c>
      <c r="D131" s="24">
        <f>IFERROR(__xludf.DUMMYFUNCTION("""COMPUTED_VALUE"""),10.0)</f>
        <v>10</v>
      </c>
      <c r="E131" s="25">
        <f>IFERROR(__xludf.DUMMYFUNCTION("""COMPUTED_VALUE"""),46066.0)</f>
        <v>46066</v>
      </c>
      <c r="F131" s="24"/>
      <c r="G131" s="24" t="str">
        <f>IFERROR(__xludf.DUMMYFUNCTION("""COMPUTED_VALUE"""),"Facility is good, hotel very new and provide different types of tea bag in hotel’s lobby, masks and cream are welcome to use, filter coffee is good.")</f>
        <v>Facility is good, hotel very new and provide different types of tea bag in hotel’s lobby, masks and cream are welcome to use, filter coffee is good.</v>
      </c>
      <c r="H131" s="24" t="str">
        <f>IFERROR(__xludf.DUMMYFUNCTION("""COMPUTED_VALUE"""),"I booked 2 rooms, one room for 3 peoples, another room for 2 peoples, the front desk mixed up and gave me wrong room card.")</f>
        <v>I booked 2 rooms, one room for 3 peoples, another room for 2 peoples, the front desk mixed up and gave me wrong room card.</v>
      </c>
      <c r="I131" s="24" t="str">
        <f>IFERROR(__xludf.DUMMYFUNCTION("""COMPUTED_VALUE"""),"")</f>
        <v/>
      </c>
      <c r="J131" s="5" t="str">
        <f>IFERROR(__xludf.DUMMYFUNCTION("""COMPUTED_VALUE"""),"設備は良好で、ホテルはとても新しく、ロビーには様々な種類のティーバッグが用意されており、マスクやクリームも自由に利用できます。フィルターコーヒーも美味しいです。")</f>
        <v>設備は良好で、ホテルはとても新しく、ロビーには様々な種類のティーバッグが用意されており、マスクやクリームも自由に利用できます。フィルターコーヒーも美味しいです。</v>
      </c>
      <c r="K131" s="24" t="str">
        <f>IFERROR(__xludf.DUMMYFUNCTION("""COMPUTED_VALUE"""),"私は2部屋予約しました。1部屋は3人用、もう1部屋は2人用です。フロントの人が間違えて、間違ったルームカードを渡されました。")</f>
        <v>私は2部屋予約しました。1部屋は3人用、もう1部屋は2人用です。フロントの人が間違えて、間違ったルームカードを渡されました。</v>
      </c>
      <c r="L131" s="24" t="str">
        <f>IFERROR(__xludf.DUMMYFUNCTION("""COMPUTED_VALUE"""),"Amy")</f>
        <v>Amy</v>
      </c>
      <c r="N131" s="24" t="b">
        <f>IFERROR(__xludf.DUMMYFUNCTION("""COMPUTED_VALUE"""),FALSE)</f>
        <v>0</v>
      </c>
      <c r="O131" s="24" t="str">
        <f>IFERROR(__xludf.DUMMYFUNCTION("""COMPUTED_VALUE"""),"Google")</f>
        <v>Google</v>
      </c>
      <c r="P131" s="24">
        <f>IFERROR(__xludf.DUMMYFUNCTION("""COMPUTED_VALUE"""),5.0)</f>
        <v>5</v>
      </c>
      <c r="Q131" s="25">
        <f>IFERROR(__xludf.DUMMYFUNCTION("""COMPUTED_VALUE"""),46073.0)</f>
        <v>46073</v>
      </c>
      <c r="R131" s="24" t="str">
        <f>IFERROR(__xludf.DUMMYFUNCTION("""COMPUTED_VALUE"""),"Friendly staff, clean, has good closet space, water pressure 10/10 ✨🚿")</f>
        <v>Friendly staff, clean, has good closet space, water pressure 10/10 ✨🚿</v>
      </c>
      <c r="S131" s="24"/>
      <c r="T131" s="24"/>
      <c r="U131" s="24" t="str">
        <f>IFERROR(__xludf.DUMMYFUNCTION("""COMPUTED_VALUE"""),"スタッフは親切で、清潔で、クローゼットのスペースも十分、水圧も10/10です✨🚿")</f>
        <v>スタッフは親切で、清潔で、クローゼットのスペースも十分、水圧も10/10です✨🚿</v>
      </c>
      <c r="V131" s="24" t="str">
        <f>IFERROR(__xludf.DUMMYFUNCTION("""COMPUTED_VALUE"""),"")</f>
        <v/>
      </c>
      <c r="W131" s="24" t="str">
        <f>IFERROR(__xludf.DUMMYFUNCTION("""COMPUTED_VALUE"""),"")</f>
        <v/>
      </c>
      <c r="X131" s="24" t="str">
        <f>IFERROR(__xludf.DUMMYFUNCTION("""COMPUTED_VALUE"""),"Pamela パメラ")</f>
        <v>Pamela パメラ</v>
      </c>
    </row>
    <row r="132">
      <c r="B132" s="24" t="b">
        <f>IFERROR(__xludf.DUMMYFUNCTION("""COMPUTED_VALUE"""),FALSE)</f>
        <v>0</v>
      </c>
      <c r="C132" s="18" t="str">
        <f>IFERROR(__xludf.DUMMYFUNCTION("""COMPUTED_VALUE"""),"Trip.com")</f>
        <v>Trip.com</v>
      </c>
      <c r="D132" s="24">
        <f>IFERROR(__xludf.DUMMYFUNCTION("""COMPUTED_VALUE"""),9.0)</f>
        <v>9</v>
      </c>
      <c r="E132" s="25">
        <f>IFERROR(__xludf.DUMMYFUNCTION("""COMPUTED_VALUE"""),46066.0)</f>
        <v>46066</v>
      </c>
      <c r="F132" s="24" t="str">
        <f>IFERROR(__xludf.DUMMYFUNCTION("""COMPUTED_VALUE"""),"離JR站較近，步行5分鐘吧。房間大，隔音效果好，衞生間三分離，非常適合。酒店有自助洗衣機，很方便。一樓提供洗漱用品，潔麪、潤膚、面膜，都有。非常滿意。可以看到晴空塔，地鐵1站路。")</f>
        <v>離JR站較近，步行5分鐘吧。房間大，隔音效果好，衞生間三分離，非常適合。酒店有自助洗衣機，很方便。一樓提供洗漱用品，潔麪、潤膚、面膜，都有。非常滿意。可以看到晴空塔，地鐵1站路。</v>
      </c>
      <c r="G132" s="24"/>
      <c r="H132" s="24"/>
      <c r="I132" s="24" t="str">
        <f>IFERROR(__xludf.DUMMYFUNCTION("""COMPUTED_VALUE"""),"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f>
        <v>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v>
      </c>
      <c r="J132" s="5" t="str">
        <f>IFERROR(__xludf.DUMMYFUNCTION("""COMPUTED_VALUE"""),"")</f>
        <v/>
      </c>
      <c r="K132" s="24" t="str">
        <f>IFERROR(__xludf.DUMMYFUNCTION("""COMPUTED_VALUE"""),"")</f>
        <v/>
      </c>
      <c r="L132" s="24" t="str">
        <f>IFERROR(__xludf.DUMMYFUNCTION("""COMPUTED_VALUE"""),"H‍u‍o‍h‍u‍a‍L‍Z")</f>
        <v>H‍u‍o‍h‍u‍a‍L‍Z</v>
      </c>
      <c r="N132" s="24" t="b">
        <f>IFERROR(__xludf.DUMMYFUNCTION("""COMPUTED_VALUE"""),FALSE)</f>
        <v>0</v>
      </c>
      <c r="O132" s="18" t="str">
        <f>IFERROR(__xludf.DUMMYFUNCTION("""COMPUTED_VALUE"""),"Booking.com")</f>
        <v>Booking.com</v>
      </c>
      <c r="P132" s="24">
        <f>IFERROR(__xludf.DUMMYFUNCTION("""COMPUTED_VALUE"""),10.0)</f>
        <v>10</v>
      </c>
      <c r="Q132" s="25">
        <f>IFERROR(__xludf.DUMMYFUNCTION("""COMPUTED_VALUE"""),46072.0)</f>
        <v>46072</v>
      </c>
      <c r="R132" s="24"/>
      <c r="S132" s="24"/>
      <c r="T132" s="24"/>
      <c r="U132" s="24" t="str">
        <f>IFERROR(__xludf.DUMMYFUNCTION("""COMPUTED_VALUE"""),"")</f>
        <v/>
      </c>
      <c r="V132" s="24" t="str">
        <f>IFERROR(__xludf.DUMMYFUNCTION("""COMPUTED_VALUE"""),"")</f>
        <v/>
      </c>
      <c r="W132" s="24" t="str">
        <f>IFERROR(__xludf.DUMMYFUNCTION("""COMPUTED_VALUE"""),"")</f>
        <v/>
      </c>
      <c r="X132" s="24" t="str">
        <f>IFERROR(__xludf.DUMMYFUNCTION("""COMPUTED_VALUE"""),"Mayu")</f>
        <v>Mayu</v>
      </c>
    </row>
    <row r="133">
      <c r="B133" s="24" t="b">
        <f>IFERROR(__xludf.DUMMYFUNCTION("""COMPUTED_VALUE"""),FALSE)</f>
        <v>0</v>
      </c>
      <c r="C133" s="18" t="str">
        <f>IFERROR(__xludf.DUMMYFUNCTION("""COMPUTED_VALUE"""),"Trip.com")</f>
        <v>Trip.com</v>
      </c>
      <c r="D133" s="24">
        <f>IFERROR(__xludf.DUMMYFUNCTION("""COMPUTED_VALUE"""),10.0)</f>
        <v>10</v>
      </c>
      <c r="E133" s="25">
        <f>IFERROR(__xludf.DUMMYFUNCTION("""COMPUTED_VALUE"""),46066.0)</f>
        <v>46066</v>
      </c>
      <c r="F133" s="24" t="str">
        <f>IFERROR(__xludf.DUMMYFUNCTION("""COMPUTED_VALUE"""),"酒店好方便，附近好多不同種類餐廳，而且很多商場逛逛，去東京站/淺草站/秋葉原都是10分鐘，晴空塔夜景好靚！")</f>
        <v>酒店好方便，附近好多不同種類餐廳，而且很多商場逛逛，去東京站/淺草站/秋葉原都是10分鐘，晴空塔夜景好靚！</v>
      </c>
      <c r="G133" s="24"/>
      <c r="H133" s="24"/>
      <c r="I133" s="24" t="str">
        <f>IFERROR(__xludf.DUMMYFUNCTION("""COMPUTED_VALUE"""),"ホテルは周辺に様々なレストランやショッピングモールが数多くあり、大変便利な立地です。東京駅、浅草駅、秋葉原へは徒歩わずか10分。東京スカイツリーの夜景は息を呑むほど美しいです！")</f>
        <v>ホテルは周辺に様々なレストランやショッピングモールが数多くあり、大変便利な立地です。東京駅、浅草駅、秋葉原へは徒歩わずか10分。東京スカイツリーの夜景は息を呑むほど美しいです！</v>
      </c>
      <c r="J133" s="5" t="str">
        <f>IFERROR(__xludf.DUMMYFUNCTION("""COMPUTED_VALUE"""),"")</f>
        <v/>
      </c>
      <c r="K133" s="24" t="str">
        <f>IFERROR(__xludf.DUMMYFUNCTION("""COMPUTED_VALUE"""),"")</f>
        <v/>
      </c>
      <c r="L133" s="24" t="str">
        <f>IFERROR(__xludf.DUMMYFUNCTION("""COMPUTED_VALUE"""),"ゲ‍ス‍ト")</f>
        <v>ゲ‍ス‍ト</v>
      </c>
      <c r="N133" s="24" t="b">
        <f>IFERROR(__xludf.DUMMYFUNCTION("""COMPUTED_VALUE"""),FALSE)</f>
        <v>0</v>
      </c>
      <c r="O133" s="18" t="str">
        <f>IFERROR(__xludf.DUMMYFUNCTION("""COMPUTED_VALUE"""),"Trip.com")</f>
        <v>Trip.com</v>
      </c>
      <c r="P133" s="24">
        <f>IFERROR(__xludf.DUMMYFUNCTION("""COMPUTED_VALUE"""),8.0)</f>
        <v>8</v>
      </c>
      <c r="Q133" s="25">
        <f>IFERROR(__xludf.DUMMYFUNCTION("""COMPUTED_VALUE"""),46072.0)</f>
        <v>46072</v>
      </c>
      <c r="R133" s="24" t="str">
        <f>IFERROR(__xludf.DUMMYFUNCTION("""COMPUTED_VALUE"""),"距離錦系町站約8分鐘步程，房間大致整潔，較多不同國籍遊客居住。")</f>
        <v>距離錦系町站約8分鐘步程，房間大致整潔，較多不同國籍遊客居住。</v>
      </c>
      <c r="S133" s="24"/>
      <c r="T133" s="24"/>
      <c r="U133" s="24" t="str">
        <f>IFERROR(__xludf.DUMMYFUNCTION("""COMPUTED_VALUE"""),"錦糸町駅から徒歩約8分の場所に位置し、客室は概ね清潔で整頓されており、様々な国籍の観光客が利用している。")</f>
        <v>錦糸町駅から徒歩約8分の場所に位置し、客室は概ね清潔で整頓されており、様々な国籍の観光客が利用している。</v>
      </c>
      <c r="V133" s="24" t="str">
        <f>IFERROR(__xludf.DUMMYFUNCTION("""COMPUTED_VALUE"""),"")</f>
        <v/>
      </c>
      <c r="W133" s="24" t="str">
        <f>IFERROR(__xludf.DUMMYFUNCTION("""COMPUTED_VALUE"""),"")</f>
        <v/>
      </c>
      <c r="X133" s="24" t="str">
        <f>IFERROR(__xludf.DUMMYFUNCTION("""COMPUTED_VALUE"""),"ゲ‍ス‍ト")</f>
        <v>ゲ‍ス‍ト</v>
      </c>
    </row>
    <row r="134">
      <c r="B134" s="24" t="b">
        <f>IFERROR(__xludf.DUMMYFUNCTION("""COMPUTED_VALUE"""),FALSE)</f>
        <v>0</v>
      </c>
      <c r="C134" s="24" t="str">
        <f>IFERROR(__xludf.DUMMYFUNCTION("""COMPUTED_VALUE"""),"Google")</f>
        <v>Google</v>
      </c>
      <c r="D134" s="24">
        <f>IFERROR(__xludf.DUMMYFUNCTION("""COMPUTED_VALUE"""),3.0)</f>
        <v>3</v>
      </c>
      <c r="E134" s="25">
        <f>IFERROR(__xludf.DUMMYFUNCTION("""COMPUTED_VALUE"""),46066.0)</f>
        <v>46066</v>
      </c>
      <c r="F134" s="24" t="str">
        <f>IFERROR(__xludf.DUMMYFUNCTION("""COMPUTED_VALUE"""),"駅から近いです！")</f>
        <v>駅から近いです！</v>
      </c>
      <c r="G134" s="24"/>
      <c r="H134" s="24"/>
      <c r="I134" s="24" t="str">
        <f>IFERROR(__xludf.DUMMYFUNCTION("""COMPUTED_VALUE"""),"駅から近いです！")</f>
        <v>駅から近いです！</v>
      </c>
      <c r="J134" s="5" t="str">
        <f>IFERROR(__xludf.DUMMYFUNCTION("""COMPUTED_VALUE"""),"")</f>
        <v/>
      </c>
      <c r="K134" s="24" t="str">
        <f>IFERROR(__xludf.DUMMYFUNCTION("""COMPUTED_VALUE"""),"")</f>
        <v/>
      </c>
      <c r="L134" s="24" t="str">
        <f>IFERROR(__xludf.DUMMYFUNCTION("""COMPUTED_VALUE"""),"劉明鈞")</f>
        <v>劉明鈞</v>
      </c>
      <c r="N134" s="24" t="b">
        <f>IFERROR(__xludf.DUMMYFUNCTION("""COMPUTED_VALUE"""),FALSE)</f>
        <v>0</v>
      </c>
      <c r="O134" s="18" t="str">
        <f>IFERROR(__xludf.DUMMYFUNCTION("""COMPUTED_VALUE"""),"Trip.com")</f>
        <v>Trip.com</v>
      </c>
      <c r="P134" s="24">
        <f>IFERROR(__xludf.DUMMYFUNCTION("""COMPUTED_VALUE"""),9.0)</f>
        <v>9</v>
      </c>
      <c r="Q134" s="25">
        <f>IFERROR(__xludf.DUMMYFUNCTION("""COMPUTED_VALUE"""),46070.0)</f>
        <v>46070</v>
      </c>
      <c r="R134" s="24" t="str">
        <f>IFERROR(__xludf.DUMMYFUNCTION("""COMPUTED_VALUE"""),"Amazing hotel breakfast. Very clean rooms and decently sized. Amazing staff who were really friendly. Great washing machine and dryer on the 7th floor. Very close to the subway station, Family mart and Parco and the skytree. There is a direct shuttle to t"&amp;"he airport.")</f>
        <v>Amazing hotel breakfast. Very clean rooms and decently sized. Amazing staff who were really friendly. Great washing machine and dryer on the 7th floor. Very close to the subway station, Family mart and Parco and the skytree. There is a direct shuttle to the airport.</v>
      </c>
      <c r="S134" s="24"/>
      <c r="T134" s="24"/>
      <c r="U134" s="24" t="str">
        <f>IFERROR(__xludf.DUMMYFUNCTION("""COMPUTED_VALUE"""),"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f>
        <v>素晴らしいホテルの朝食。部屋はとても清潔で、広さも十分。スタッフは皆とてもフレンドリーで素晴らしかったです。7階には便利な洗濯機と乾燥機がありました。地下鉄駅、ファミリーマート、パルコ、スカイツリーにも非常に近いです。空港への直行シャトルバスもあります。</v>
      </c>
      <c r="V134" s="24" t="str">
        <f>IFERROR(__xludf.DUMMYFUNCTION("""COMPUTED_VALUE"""),"")</f>
        <v/>
      </c>
      <c r="W134" s="24" t="str">
        <f>IFERROR(__xludf.DUMMYFUNCTION("""COMPUTED_VALUE"""),"")</f>
        <v/>
      </c>
      <c r="X134" s="24" t="str">
        <f>IFERROR(__xludf.DUMMYFUNCTION("""COMPUTED_VALUE"""),"ゲ‍ス‍ト")</f>
        <v>ゲ‍ス‍ト</v>
      </c>
    </row>
    <row r="135">
      <c r="B135" s="24" t="b">
        <f>IFERROR(__xludf.DUMMYFUNCTION("""COMPUTED_VALUE"""),FALSE)</f>
        <v>0</v>
      </c>
      <c r="C135" s="24" t="str">
        <f>IFERROR(__xludf.DUMMYFUNCTION("""COMPUTED_VALUE"""),"Google")</f>
        <v>Google</v>
      </c>
      <c r="D135" s="24">
        <f>IFERROR(__xludf.DUMMYFUNCTION("""COMPUTED_VALUE"""),3.0)</f>
        <v>3</v>
      </c>
      <c r="E135" s="25">
        <f>IFERROR(__xludf.DUMMYFUNCTION("""COMPUTED_VALUE"""),46066.0)</f>
        <v>46066</v>
      </c>
      <c r="F135" s="24" t="str">
        <f>IFERROR(__xludf.DUMMYFUNCTION("""COMPUTED_VALUE"""),"駅から近い！")</f>
        <v>駅から近い！</v>
      </c>
      <c r="G135" s="24"/>
      <c r="H135" s="24"/>
      <c r="I135" s="24" t="str">
        <f>IFERROR(__xludf.DUMMYFUNCTION("""COMPUTED_VALUE"""),"駅から近い！")</f>
        <v>駅から近い！</v>
      </c>
      <c r="J135" s="5" t="str">
        <f>IFERROR(__xludf.DUMMYFUNCTION("""COMPUTED_VALUE"""),"")</f>
        <v/>
      </c>
      <c r="K135" s="24" t="str">
        <f>IFERROR(__xludf.DUMMYFUNCTION("""COMPUTED_VALUE"""),"")</f>
        <v/>
      </c>
      <c r="L135" s="24" t="str">
        <f>IFERROR(__xludf.DUMMYFUNCTION("""COMPUTED_VALUE"""),"劉明鈞")</f>
        <v>劉明鈞</v>
      </c>
      <c r="N135" s="24" t="b">
        <f>IFERROR(__xludf.DUMMYFUNCTION("""COMPUTED_VALUE"""),FALSE)</f>
        <v>0</v>
      </c>
      <c r="O135" s="18" t="str">
        <f>IFERROR(__xludf.DUMMYFUNCTION("""COMPUTED_VALUE"""),"Trip.com")</f>
        <v>Trip.com</v>
      </c>
      <c r="P135" s="24">
        <f>IFERROR(__xludf.DUMMYFUNCTION("""COMPUTED_VALUE"""),9.0)</f>
        <v>9</v>
      </c>
      <c r="Q135" s="25">
        <f>IFERROR(__xludf.DUMMYFUNCTION("""COMPUTED_VALUE"""),46070.0)</f>
        <v>46070</v>
      </c>
      <c r="R135" s="24" t="str">
        <f>IFERROR(__xludf.DUMMYFUNCTION("""COMPUTED_VALUE"""),"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f>
        <v>整體不錯，但清潔方面加強會更好。選擇了簡單清潔(整理垃圾，更換毛巾，簡單整理床舖)。入住三天，第一天清潔完已經要自己從床上把毛巾拿回浴室，為酒店是這樣的清潔，但第二天清潔人士正常放回毛巾架。而且入住所有天數都沒有整理過床舖。</v>
      </c>
      <c r="S135" s="24"/>
      <c r="T135" s="24"/>
      <c r="U135" s="24" t="str">
        <f>IFERROR(__xludf.DUMMYFUNCTION("""COMPUTED_VALUE"""),"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f>
        <v>全体的にはまあまあでしたが、清掃サービスは改善の余地があります。私は基本的な清掃（ゴミの回収、タオルの交換、ベッドメイキング）を選びました。3泊の滞在中、初日は清掃後にタオルを自分でバスルームに戻さなければなりませんでしたが、これは一般的なホテルの清掃方法でした。しかし、2日目は清掃スタッフがタオルをタオル掛けに戻しただけでした。さらに、滞在中ベッドメイキングは全く行われませんでした。</v>
      </c>
      <c r="V135" s="24" t="str">
        <f>IFERROR(__xludf.DUMMYFUNCTION("""COMPUTED_VALUE"""),"")</f>
        <v/>
      </c>
      <c r="W135" s="24" t="str">
        <f>IFERROR(__xludf.DUMMYFUNCTION("""COMPUTED_VALUE"""),"")</f>
        <v/>
      </c>
      <c r="X135" s="24" t="str">
        <f>IFERROR(__xludf.DUMMYFUNCTION("""COMPUTED_VALUE"""),"C‍k‍w‍o‍n‍g")</f>
        <v>C‍k‍w‍o‍n‍g</v>
      </c>
    </row>
    <row r="136">
      <c r="B136" s="24" t="b">
        <f>IFERROR(__xludf.DUMMYFUNCTION("""COMPUTED_VALUE"""),FALSE)</f>
        <v>0</v>
      </c>
      <c r="C136" s="18" t="str">
        <f>IFERROR(__xludf.DUMMYFUNCTION("""COMPUTED_VALUE"""),"Trip.com")</f>
        <v>Trip.com</v>
      </c>
      <c r="D136" s="24">
        <f>IFERROR(__xludf.DUMMYFUNCTION("""COMPUTED_VALUE"""),10.0)</f>
        <v>10</v>
      </c>
      <c r="E136" s="25">
        <f>IFERROR(__xludf.DUMMYFUNCTION("""COMPUTED_VALUE"""),46065.0)</f>
        <v>46065</v>
      </c>
      <c r="F136" s="24" t="str">
        <f>IFERROR(__xludf.DUMMYFUNCTION("""COMPUTED_VALUE"""),"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f>
        <v>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v>
      </c>
      <c r="G136" s="24"/>
      <c r="H136" s="24"/>
      <c r="I136" s="24" t="str">
        <f>IFERROR(__xludf.DUMMYFUNCTION("""COMPUTED_VALUE"""),"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f>
        <v>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v>
      </c>
      <c r="J136" s="5" t="str">
        <f>IFERROR(__xludf.DUMMYFUNCTION("""COMPUTED_VALUE"""),"")</f>
        <v/>
      </c>
      <c r="K136" s="24" t="str">
        <f>IFERROR(__xludf.DUMMYFUNCTION("""COMPUTED_VALUE"""),"")</f>
        <v/>
      </c>
      <c r="L136" s="24" t="str">
        <f>IFERROR(__xludf.DUMMYFUNCTION("""COMPUTED_VALUE"""),"E‍n‍n‍a‍ ‍L‍i‍u")</f>
        <v>E‍n‍n‍a‍ ‍L‍i‍u</v>
      </c>
      <c r="N136" s="24" t="b">
        <f>IFERROR(__xludf.DUMMYFUNCTION("""COMPUTED_VALUE"""),FALSE)</f>
        <v>0</v>
      </c>
      <c r="O136" s="18" t="str">
        <f>IFERROR(__xludf.DUMMYFUNCTION("""COMPUTED_VALUE"""),"Booking.com")</f>
        <v>Booking.com</v>
      </c>
      <c r="P136" s="24">
        <f>IFERROR(__xludf.DUMMYFUNCTION("""COMPUTED_VALUE"""),10.0)</f>
        <v>10</v>
      </c>
      <c r="Q136" s="25">
        <f>IFERROR(__xludf.DUMMYFUNCTION("""COMPUTED_VALUE"""),46070.0)</f>
        <v>46070</v>
      </c>
      <c r="R136" s="24"/>
      <c r="S136" s="24" t="str">
        <f>IFERROR(__xludf.DUMMYFUNCTION("""COMPUTED_VALUE"""),"New hotel with nice service. good location to go shopping and find a place for dinner.")</f>
        <v>New hotel with nice service. good location to go shopping and find a place for dinner.</v>
      </c>
      <c r="T136" s="24"/>
      <c r="U136" s="24" t="str">
        <f>IFERROR(__xludf.DUMMYFUNCTION("""COMPUTED_VALUE"""),"")</f>
        <v/>
      </c>
      <c r="V136" s="24" t="str">
        <f>IFERROR(__xludf.DUMMYFUNCTION("""COMPUTED_VALUE"""),"サービスの良い新しいホテルです。ショッピングや夕食をとる場所を探すのに便利な立地です。")</f>
        <v>サービスの良い新しいホテルです。ショッピングや夕食をとる場所を探すのに便利な立地です。</v>
      </c>
      <c r="W136" s="24" t="str">
        <f>IFERROR(__xludf.DUMMYFUNCTION("""COMPUTED_VALUE"""),"")</f>
        <v/>
      </c>
      <c r="X136" s="24" t="str">
        <f>IFERROR(__xludf.DUMMYFUNCTION("""COMPUTED_VALUE"""),"Takao")</f>
        <v>Takao</v>
      </c>
    </row>
    <row r="137">
      <c r="B137" s="24" t="b">
        <f>IFERROR(__xludf.DUMMYFUNCTION("""COMPUTED_VALUE"""),FALSE)</f>
        <v>0</v>
      </c>
      <c r="C137" s="18" t="str">
        <f>IFERROR(__xludf.DUMMYFUNCTION("""COMPUTED_VALUE"""),"Booking.com")</f>
        <v>Booking.com</v>
      </c>
      <c r="D137" s="24">
        <f>IFERROR(__xludf.DUMMYFUNCTION("""COMPUTED_VALUE"""),9.0)</f>
        <v>9</v>
      </c>
      <c r="E137" s="25">
        <f>IFERROR(__xludf.DUMMYFUNCTION("""COMPUTED_VALUE"""),46065.0)</f>
        <v>46065</v>
      </c>
      <c r="F137" s="24"/>
      <c r="G137" s="24" t="str">
        <f>IFERROR(__xludf.DUMMYFUNCTION("""COMPUTED_VALUE"""),"ทำเลดีใกล้kinshicho station มีร้านสะดวกซื้อและร้านอาหารมากมาย ห้องพักขนาดกว้างสำหรับTokyo สะอาด อาหารเช้าดี พนักงานน่ารัก สุภาพ")</f>
        <v>ทำเลดีใกล้kinshicho station มีร้านสะดวกซื้อและร้านอาหารมากมาย ห้องพักขนาดกว้างสำหรับTokyo สะอาด อาหารเช้าดี พนักงานน่ารัก สุภาพ</v>
      </c>
      <c r="H137" s="24"/>
      <c r="I137" s="24" t="str">
        <f>IFERROR(__xludf.DUMMYFUNCTION("""COMPUTED_VALUE"""),"")</f>
        <v/>
      </c>
      <c r="J137" s="5" t="str">
        <f>IFERROR(__xludf.DUMMYFUNCTION("""COMPUTED_VALUE"""),"錦糸町駅近くという絶好のロケーションで、コンビニやレストランも豊富です。東京にしては広々とした客室、清潔感があり、朝食も美味しく、スタッフも親切で丁寧です。")</f>
        <v>錦糸町駅近くという絶好のロケーションで、コンビニやレストランも豊富です。東京にしては広々とした客室、清潔感があり、朝食も美味しく、スタッフも親切で丁寧です。</v>
      </c>
      <c r="K137" s="24" t="str">
        <f>IFERROR(__xludf.DUMMYFUNCTION("""COMPUTED_VALUE"""),"")</f>
        <v/>
      </c>
      <c r="L137" s="24" t="str">
        <f>IFERROR(__xludf.DUMMYFUNCTION("""COMPUTED_VALUE"""),"Kanokporn")</f>
        <v>Kanokporn</v>
      </c>
      <c r="N137" s="24" t="b">
        <f>IFERROR(__xludf.DUMMYFUNCTION("""COMPUTED_VALUE"""),FALSE)</f>
        <v>0</v>
      </c>
      <c r="O137" s="24" t="str">
        <f>IFERROR(__xludf.DUMMYFUNCTION("""COMPUTED_VALUE"""),"Google")</f>
        <v>Google</v>
      </c>
      <c r="P137" s="24">
        <f>IFERROR(__xludf.DUMMYFUNCTION("""COMPUTED_VALUE"""),4.0)</f>
        <v>4</v>
      </c>
      <c r="Q137" s="25">
        <f>IFERROR(__xludf.DUMMYFUNCTION("""COMPUTED_VALUE"""),46069.0)</f>
        <v>46069</v>
      </c>
      <c r="R137" s="24" t="str">
        <f>IFERROR(__xludf.DUMMYFUNCTION("""COMPUTED_VALUE"""),"在這裡住了三晚，地點算是很方便，錦系町車站出來直走就到了。附近有三家超市，喜歡買食物打折品的應該會很開心。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f>
        <v>在這裡住了三晚，地點算是很方便，錦系町車站出來直走就到了。附近有三家超市，喜歡買食物打折品的應該會很開心。 飯店本身感覺上是有點年紀，但維護的很好（跟目前在仙台住的相同集團的飯店差不多，各有擅長）。 雖然說飯店下面有點像是日本當地風化區，但因為是觀光客，只要無視，應該就不太會有問題。 個人是推薦這裡的，雖然距離市區有一小段距離，但價格也比較親民。</v>
      </c>
      <c r="S137" s="24"/>
      <c r="T137" s="24"/>
      <c r="U137" s="24" t="str">
        <f>IFERROR(__xludf.DUMMYFUNCTION("""COMPUTED_VALUE"""),"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f>
        <v>3泊しました。立地はとても便利で、錦糸町駅からまっすぐ歩いて行けます。近くにスーパーが3軒あるので、割引価格で食料品を買いたい人には嬉しいでしょう。ホテル自体は少し古い感じがしますが、手入れが行き届いています（仙台で泊まった同じ系列のホテルと似ています。それぞれに長所があります）。ホテルの下のエリアは典型的な日本の歓楽街のようですが、観光客なら気にしなければ問題ないでしょう。市内中心部からは少し離れていますが、料金は比較的リーズナブルなので、個人的にはおすすめです。</v>
      </c>
      <c r="V137" s="24" t="str">
        <f>IFERROR(__xludf.DUMMYFUNCTION("""COMPUTED_VALUE"""),"")</f>
        <v/>
      </c>
      <c r="W137" s="24" t="str">
        <f>IFERROR(__xludf.DUMMYFUNCTION("""COMPUTED_VALUE"""),"")</f>
        <v/>
      </c>
      <c r="X137" s="24" t="str">
        <f>IFERROR(__xludf.DUMMYFUNCTION("""COMPUTED_VALUE"""),"JD WU")</f>
        <v>JD WU</v>
      </c>
    </row>
    <row r="138">
      <c r="B138" s="24" t="b">
        <f>IFERROR(__xludf.DUMMYFUNCTION("""COMPUTED_VALUE"""),FALSE)</f>
        <v>0</v>
      </c>
      <c r="C138" s="18" t="str">
        <f>IFERROR(__xludf.DUMMYFUNCTION("""COMPUTED_VALUE"""),"Trip.com")</f>
        <v>Trip.com</v>
      </c>
      <c r="D138" s="24">
        <f>IFERROR(__xludf.DUMMYFUNCTION("""COMPUTED_VALUE"""),7.0)</f>
        <v>7</v>
      </c>
      <c r="E138" s="25">
        <f>IFERROR(__xludf.DUMMYFUNCTION("""COMPUTED_VALUE"""),46064.0)</f>
        <v>46064</v>
      </c>
      <c r="F138" s="24" t="str">
        <f>IFERROR(__xludf.DUMMYFUNCTION("""COMPUTED_VALUE"""),"附近比較亂一點")</f>
        <v>附近比較亂一點</v>
      </c>
      <c r="G138" s="24"/>
      <c r="H138" s="24"/>
      <c r="I138" s="24" t="str">
        <f>IFERROR(__xludf.DUMMYFUNCTION("""COMPUTED_VALUE"""),"その地域は少々混沌としている。")</f>
        <v>その地域は少々混沌としている。</v>
      </c>
      <c r="J138" s="5" t="str">
        <f>IFERROR(__xludf.DUMMYFUNCTION("""COMPUTED_VALUE"""),"")</f>
        <v/>
      </c>
      <c r="K138" s="24" t="str">
        <f>IFERROR(__xludf.DUMMYFUNCTION("""COMPUTED_VALUE"""),"")</f>
        <v/>
      </c>
      <c r="L138" s="24" t="str">
        <f>IFERROR(__xludf.DUMMYFUNCTION("""COMPUTED_VALUE"""),"ゲ‍ス‍ト")</f>
        <v>ゲ‍ス‍ト</v>
      </c>
      <c r="N138" s="24" t="b">
        <f>IFERROR(__xludf.DUMMYFUNCTION("""COMPUTED_VALUE"""),FALSE)</f>
        <v>0</v>
      </c>
      <c r="O138" s="18" t="str">
        <f>IFERROR(__xludf.DUMMYFUNCTION("""COMPUTED_VALUE"""),"Booking.com")</f>
        <v>Booking.com</v>
      </c>
      <c r="P138" s="24">
        <f>IFERROR(__xludf.DUMMYFUNCTION("""COMPUTED_VALUE"""),10.0)</f>
        <v>10</v>
      </c>
      <c r="Q138" s="25">
        <f>IFERROR(__xludf.DUMMYFUNCTION("""COMPUTED_VALUE"""),46069.0)</f>
        <v>46069</v>
      </c>
      <c r="R138" s="24"/>
      <c r="S138" s="24"/>
      <c r="T138" s="24"/>
      <c r="U138" s="24" t="str">
        <f>IFERROR(__xludf.DUMMYFUNCTION("""COMPUTED_VALUE"""),"")</f>
        <v/>
      </c>
      <c r="V138" s="24" t="str">
        <f>IFERROR(__xludf.DUMMYFUNCTION("""COMPUTED_VALUE"""),"")</f>
        <v/>
      </c>
      <c r="W138" s="24" t="str">
        <f>IFERROR(__xludf.DUMMYFUNCTION("""COMPUTED_VALUE"""),"")</f>
        <v/>
      </c>
      <c r="X138" s="24" t="str">
        <f>IFERROR(__xludf.DUMMYFUNCTION("""COMPUTED_VALUE"""),"Moriyasu")</f>
        <v>Moriyasu</v>
      </c>
    </row>
    <row r="139">
      <c r="B139" s="24" t="b">
        <f>IFERROR(__xludf.DUMMYFUNCTION("""COMPUTED_VALUE"""),FALSE)</f>
        <v>0</v>
      </c>
      <c r="C139" s="18" t="str">
        <f>IFERROR(__xludf.DUMMYFUNCTION("""COMPUTED_VALUE"""),"Booking.com")</f>
        <v>Booking.com</v>
      </c>
      <c r="D139" s="24">
        <f>IFERROR(__xludf.DUMMYFUNCTION("""COMPUTED_VALUE"""),10.0)</f>
        <v>10</v>
      </c>
      <c r="E139" s="25">
        <f>IFERROR(__xludf.DUMMYFUNCTION("""COMPUTED_VALUE"""),46063.0)</f>
        <v>46063</v>
      </c>
      <c r="F139" s="24"/>
      <c r="G139" s="24"/>
      <c r="H139" s="24"/>
      <c r="I139" s="24" t="str">
        <f>IFERROR(__xludf.DUMMYFUNCTION("""COMPUTED_VALUE"""),"")</f>
        <v/>
      </c>
      <c r="J139" s="5" t="str">
        <f>IFERROR(__xludf.DUMMYFUNCTION("""COMPUTED_VALUE"""),"")</f>
        <v/>
      </c>
      <c r="K139" s="24" t="str">
        <f>IFERROR(__xludf.DUMMYFUNCTION("""COMPUTED_VALUE"""),"")</f>
        <v/>
      </c>
      <c r="L139" s="24" t="str">
        <f>IFERROR(__xludf.DUMMYFUNCTION("""COMPUTED_VALUE"""),"Latricia")</f>
        <v>Latricia</v>
      </c>
      <c r="N139" s="24" t="b">
        <f>IFERROR(__xludf.DUMMYFUNCTION("""COMPUTED_VALUE"""),FALSE)</f>
        <v>0</v>
      </c>
      <c r="O139" s="18" t="str">
        <f>IFERROR(__xludf.DUMMYFUNCTION("""COMPUTED_VALUE"""),"Booking.com")</f>
        <v>Booking.com</v>
      </c>
      <c r="P139" s="24">
        <f>IFERROR(__xludf.DUMMYFUNCTION("""COMPUTED_VALUE"""),6.0)</f>
        <v>6</v>
      </c>
      <c r="Q139" s="25">
        <f>IFERROR(__xludf.DUMMYFUNCTION("""COMPUTED_VALUE"""),46069.0)</f>
        <v>46069</v>
      </c>
      <c r="R139" s="24"/>
      <c r="S139" s="24"/>
      <c r="T139" s="24"/>
      <c r="U139" s="24" t="str">
        <f>IFERROR(__xludf.DUMMYFUNCTION("""COMPUTED_VALUE"""),"")</f>
        <v/>
      </c>
      <c r="V139" s="24" t="str">
        <f>IFERROR(__xludf.DUMMYFUNCTION("""COMPUTED_VALUE"""),"")</f>
        <v/>
      </c>
      <c r="W139" s="24" t="str">
        <f>IFERROR(__xludf.DUMMYFUNCTION("""COMPUTED_VALUE"""),"")</f>
        <v/>
      </c>
      <c r="X139" s="24" t="str">
        <f>IFERROR(__xludf.DUMMYFUNCTION("""COMPUTED_VALUE"""),"Damon")</f>
        <v>Damon</v>
      </c>
    </row>
    <row r="140">
      <c r="B140" s="24" t="b">
        <f>IFERROR(__xludf.DUMMYFUNCTION("""COMPUTED_VALUE"""),FALSE)</f>
        <v>0</v>
      </c>
      <c r="C140" s="24" t="str">
        <f>IFERROR(__xludf.DUMMYFUNCTION("""COMPUTED_VALUE"""),"Google")</f>
        <v>Google</v>
      </c>
      <c r="D140" s="24">
        <f>IFERROR(__xludf.DUMMYFUNCTION("""COMPUTED_VALUE"""),5.0)</f>
        <v>5</v>
      </c>
      <c r="E140" s="25">
        <f>IFERROR(__xludf.DUMMYFUNCTION("""COMPUTED_VALUE"""),46063.0)</f>
        <v>46063</v>
      </c>
      <c r="F14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G140" s="24"/>
      <c r="H140" s="24"/>
      <c r="I14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J140" s="5" t="str">
        <f>IFERROR(__xludf.DUMMYFUNCTION("""COMPUTED_VALUE"""),"")</f>
        <v/>
      </c>
      <c r="K140" s="24" t="str">
        <f>IFERROR(__xludf.DUMMYFUNCTION("""COMPUTED_VALUE"""),"")</f>
        <v/>
      </c>
      <c r="L140" s="24" t="str">
        <f>IFERROR(__xludf.DUMMYFUNCTION("""COMPUTED_VALUE"""),"白藍藍")</f>
        <v>白藍藍</v>
      </c>
      <c r="N140" s="24" t="b">
        <f>IFERROR(__xludf.DUMMYFUNCTION("""COMPUTED_VALUE"""),FALSE)</f>
        <v>0</v>
      </c>
      <c r="O140" s="18" t="str">
        <f>IFERROR(__xludf.DUMMYFUNCTION("""COMPUTED_VALUE"""),"Booking.com")</f>
        <v>Booking.com</v>
      </c>
      <c r="P140" s="24">
        <f>IFERROR(__xludf.DUMMYFUNCTION("""COMPUTED_VALUE"""),10.0)</f>
        <v>10</v>
      </c>
      <c r="Q140" s="25">
        <f>IFERROR(__xludf.DUMMYFUNCTION("""COMPUTED_VALUE"""),46069.0)</f>
        <v>46069</v>
      </c>
      <c r="R140" s="24"/>
      <c r="S140" s="24"/>
      <c r="T140" s="24"/>
      <c r="U140" s="24" t="str">
        <f>IFERROR(__xludf.DUMMYFUNCTION("""COMPUTED_VALUE"""),"")</f>
        <v/>
      </c>
      <c r="V140" s="24" t="str">
        <f>IFERROR(__xludf.DUMMYFUNCTION("""COMPUTED_VALUE"""),"")</f>
        <v/>
      </c>
      <c r="W140" s="24" t="str">
        <f>IFERROR(__xludf.DUMMYFUNCTION("""COMPUTED_VALUE"""),"")</f>
        <v/>
      </c>
      <c r="X140" s="24" t="str">
        <f>IFERROR(__xludf.DUMMYFUNCTION("""COMPUTED_VALUE"""),"Shafique")</f>
        <v>Shafique</v>
      </c>
    </row>
    <row r="141">
      <c r="B141" s="24" t="b">
        <f>IFERROR(__xludf.DUMMYFUNCTION("""COMPUTED_VALUE"""),FALSE)</f>
        <v>0</v>
      </c>
      <c r="C141" s="18" t="str">
        <f>IFERROR(__xludf.DUMMYFUNCTION("""COMPUTED_VALUE"""),"Booking.com")</f>
        <v>Booking.com</v>
      </c>
      <c r="D141" s="24">
        <f>IFERROR(__xludf.DUMMYFUNCTION("""COMPUTED_VALUE"""),10.0)</f>
        <v>10</v>
      </c>
      <c r="E141" s="25">
        <f>IFERROR(__xludf.DUMMYFUNCTION("""COMPUTED_VALUE"""),46062.0)</f>
        <v>46062</v>
      </c>
      <c r="F141" s="24"/>
      <c r="G141" s="24"/>
      <c r="H141" s="24"/>
      <c r="I141" s="24" t="str">
        <f>IFERROR(__xludf.DUMMYFUNCTION("""COMPUTED_VALUE"""),"")</f>
        <v/>
      </c>
      <c r="J141" s="5" t="str">
        <f>IFERROR(__xludf.DUMMYFUNCTION("""COMPUTED_VALUE"""),"")</f>
        <v/>
      </c>
      <c r="K141" s="24" t="str">
        <f>IFERROR(__xludf.DUMMYFUNCTION("""COMPUTED_VALUE"""),"")</f>
        <v/>
      </c>
      <c r="L141" s="24" t="str">
        <f>IFERROR(__xludf.DUMMYFUNCTION("""COMPUTED_VALUE"""),"Sandy")</f>
        <v>Sandy</v>
      </c>
      <c r="N141" s="24" t="b">
        <f>IFERROR(__xludf.DUMMYFUNCTION("""COMPUTED_VALUE"""),FALSE)</f>
        <v>0</v>
      </c>
      <c r="O141" s="18" t="str">
        <f>IFERROR(__xludf.DUMMYFUNCTION("""COMPUTED_VALUE"""),"Trip.com")</f>
        <v>Trip.com</v>
      </c>
      <c r="P141" s="24">
        <f>IFERROR(__xludf.DUMMYFUNCTION("""COMPUTED_VALUE"""),10.0)</f>
        <v>10</v>
      </c>
      <c r="Q141" s="25">
        <f>IFERROR(__xludf.DUMMYFUNCTION("""COMPUTED_VALUE"""),46069.0)</f>
        <v>46069</v>
      </c>
      <c r="R141" s="24" t="str">
        <f>IFERROR(__xludf.DUMMYFUNCTION("""COMPUTED_VALUE"""),"飯店整體很棒,早餐很豐盛,房間也很舒適,只是小地方清潔可以再加強,隱密處比較有灰塵")</f>
        <v>飯店整體很棒,早餐很豐盛,房間也很舒適,只是小地方清潔可以再加強,隱密處比較有灰塵</v>
      </c>
      <c r="S141" s="24"/>
      <c r="T141" s="24"/>
      <c r="U141" s="24" t="str">
        <f>IFERROR(__xludf.DUMMYFUNCTION("""COMPUTED_VALUE"""),"ホテルは全体的に素晴らしく、朝食も種類豊富で、部屋も快適でした。ただ、一部の小さなエリアの清潔さには改善の余地があり、人目につかない場所には埃が少しありました。")</f>
        <v>ホテルは全体的に素晴らしく、朝食も種類豊富で、部屋も快適でした。ただ、一部の小さなエリアの清潔さには改善の余地があり、人目につかない場所には埃が少しありました。</v>
      </c>
      <c r="V141" s="24" t="str">
        <f>IFERROR(__xludf.DUMMYFUNCTION("""COMPUTED_VALUE"""),"")</f>
        <v/>
      </c>
      <c r="W141" s="24" t="str">
        <f>IFERROR(__xludf.DUMMYFUNCTION("""COMPUTED_VALUE"""),"")</f>
        <v/>
      </c>
      <c r="X141" s="24" t="str">
        <f>IFERROR(__xludf.DUMMYFUNCTION("""COMPUTED_VALUE"""),"ゲ‍ス‍ト")</f>
        <v>ゲ‍ス‍ト</v>
      </c>
    </row>
    <row r="142">
      <c r="B142" s="24" t="b">
        <f>IFERROR(__xludf.DUMMYFUNCTION("""COMPUTED_VALUE"""),FALSE)</f>
        <v>0</v>
      </c>
      <c r="C142" s="18" t="str">
        <f>IFERROR(__xludf.DUMMYFUNCTION("""COMPUTED_VALUE"""),"Booking.com")</f>
        <v>Booking.com</v>
      </c>
      <c r="D142" s="24">
        <f>IFERROR(__xludf.DUMMYFUNCTION("""COMPUTED_VALUE"""),10.0)</f>
        <v>10</v>
      </c>
      <c r="E142" s="25">
        <f>IFERROR(__xludf.DUMMYFUNCTION("""COMPUTED_VALUE"""),46062.0)</f>
        <v>46062</v>
      </c>
      <c r="F142" s="24"/>
      <c r="G142" s="24"/>
      <c r="H142" s="24"/>
      <c r="I142" s="24" t="str">
        <f>IFERROR(__xludf.DUMMYFUNCTION("""COMPUTED_VALUE"""),"")</f>
        <v/>
      </c>
      <c r="J142" s="5" t="str">
        <f>IFERROR(__xludf.DUMMYFUNCTION("""COMPUTED_VALUE"""),"")</f>
        <v/>
      </c>
      <c r="K142" s="24" t="str">
        <f>IFERROR(__xludf.DUMMYFUNCTION("""COMPUTED_VALUE"""),"")</f>
        <v/>
      </c>
      <c r="L142" s="24" t="str">
        <f>IFERROR(__xludf.DUMMYFUNCTION("""COMPUTED_VALUE"""),"Sato")</f>
        <v>Sato</v>
      </c>
      <c r="N142" s="24" t="b">
        <f>IFERROR(__xludf.DUMMYFUNCTION("""COMPUTED_VALUE"""),FALSE)</f>
        <v>0</v>
      </c>
      <c r="O142" s="24" t="str">
        <f>IFERROR(__xludf.DUMMYFUNCTION("""COMPUTED_VALUE"""),"Google")</f>
        <v>Google</v>
      </c>
      <c r="P142" s="24">
        <f>IFERROR(__xludf.DUMMYFUNCTION("""COMPUTED_VALUE"""),4.0)</f>
        <v>4</v>
      </c>
      <c r="Q142" s="25">
        <f>IFERROR(__xludf.DUMMYFUNCTION("""COMPUTED_VALUE"""),46069.0)</f>
        <v>46069</v>
      </c>
      <c r="R14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S142" s="24"/>
      <c r="T142" s="24"/>
      <c r="U142" s="24" t="str">
        <f>IFERROR(__xludf.DUMMYFUNCTION("""COMPUTED_VALUE"""),"3泊しました。錦糸町駅から歩いてすぐなので、立地はとても便利です。近くにスーパーマーケットが3軒あるので、お得な食材を買いたい方には最適です。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f>
        <v>3泊しました。錦糸町駅から歩いてすぐなので、立地はとても便利です。近くにスーパーマーケットが3軒あるので、お得な食材を買いたい方には最適です。  ホテル自体は少し古い感じがしますが、とても丁寧に管理されています（仙台で宿泊した同じグループのホテルと似ていて、それぞれ良いところがあります）。  ホテルの地下は日本の典型的な歓楽街のような雰囲気ですが、観光客であれば気にしなくても問題ないと思います。  個人的にはここをおすすめします。市内中心部からは少し離れていますが、価格も比較的手頃です。</v>
      </c>
      <c r="V142" s="24" t="str">
        <f>IFERROR(__xludf.DUMMYFUNCTION("""COMPUTED_VALUE"""),"")</f>
        <v/>
      </c>
      <c r="W142" s="24" t="str">
        <f>IFERROR(__xludf.DUMMYFUNCTION("""COMPUTED_VALUE"""),"")</f>
        <v/>
      </c>
      <c r="X142" s="24" t="str">
        <f>IFERROR(__xludf.DUMMYFUNCTION("""COMPUTED_VALUE"""),"JD WU")</f>
        <v>JD WU</v>
      </c>
    </row>
    <row r="143">
      <c r="B143" s="24" t="b">
        <f>IFERROR(__xludf.DUMMYFUNCTION("""COMPUTED_VALUE"""),FALSE)</f>
        <v>0</v>
      </c>
      <c r="C143" s="18" t="str">
        <f>IFERROR(__xludf.DUMMYFUNCTION("""COMPUTED_VALUE"""),"Booking.com")</f>
        <v>Booking.com</v>
      </c>
      <c r="D143" s="24">
        <f>IFERROR(__xludf.DUMMYFUNCTION("""COMPUTED_VALUE"""),10.0)</f>
        <v>10</v>
      </c>
      <c r="E143" s="25">
        <f>IFERROR(__xludf.DUMMYFUNCTION("""COMPUTED_VALUE"""),46062.0)</f>
        <v>46062</v>
      </c>
      <c r="F143" s="24"/>
      <c r="G143" s="24"/>
      <c r="H143" s="24"/>
      <c r="I143" s="24" t="str">
        <f>IFERROR(__xludf.DUMMYFUNCTION("""COMPUTED_VALUE"""),"")</f>
        <v/>
      </c>
      <c r="J143" s="5" t="str">
        <f>IFERROR(__xludf.DUMMYFUNCTION("""COMPUTED_VALUE"""),"")</f>
        <v/>
      </c>
      <c r="K143" s="24" t="str">
        <f>IFERROR(__xludf.DUMMYFUNCTION("""COMPUTED_VALUE"""),"")</f>
        <v/>
      </c>
      <c r="L143" s="24" t="str">
        <f>IFERROR(__xludf.DUMMYFUNCTION("""COMPUTED_VALUE"""),"上田")</f>
        <v>上田</v>
      </c>
      <c r="N143" s="24" t="b">
        <f>IFERROR(__xludf.DUMMYFUNCTION("""COMPUTED_VALUE"""),FALSE)</f>
        <v>0</v>
      </c>
      <c r="O143" s="18" t="str">
        <f>IFERROR(__xludf.DUMMYFUNCTION("""COMPUTED_VALUE"""),"Booking.com")</f>
        <v>Booking.com</v>
      </c>
      <c r="P143" s="24">
        <f>IFERROR(__xludf.DUMMYFUNCTION("""COMPUTED_VALUE"""),6.0)</f>
        <v>6</v>
      </c>
      <c r="Q143" s="25">
        <f>IFERROR(__xludf.DUMMYFUNCTION("""COMPUTED_VALUE"""),46068.0)</f>
        <v>46068</v>
      </c>
      <c r="R143" s="24"/>
      <c r="S143" s="24"/>
      <c r="T143" s="24"/>
      <c r="U143" s="24" t="str">
        <f>IFERROR(__xludf.DUMMYFUNCTION("""COMPUTED_VALUE"""),"")</f>
        <v/>
      </c>
      <c r="V143" s="24" t="str">
        <f>IFERROR(__xludf.DUMMYFUNCTION("""COMPUTED_VALUE"""),"")</f>
        <v/>
      </c>
      <c r="W143" s="24" t="str">
        <f>IFERROR(__xludf.DUMMYFUNCTION("""COMPUTED_VALUE"""),"")</f>
        <v/>
      </c>
      <c r="X143" s="24" t="str">
        <f>IFERROR(__xludf.DUMMYFUNCTION("""COMPUTED_VALUE"""),"Lexi")</f>
        <v>Lexi</v>
      </c>
    </row>
    <row r="144">
      <c r="B144" s="24" t="b">
        <f>IFERROR(__xludf.DUMMYFUNCTION("""COMPUTED_VALUE"""),FALSE)</f>
        <v>0</v>
      </c>
      <c r="C144" s="18" t="str">
        <f>IFERROR(__xludf.DUMMYFUNCTION("""COMPUTED_VALUE"""),"Booking.com")</f>
        <v>Booking.com</v>
      </c>
      <c r="D144" s="24">
        <f>IFERROR(__xludf.DUMMYFUNCTION("""COMPUTED_VALUE"""),10.0)</f>
        <v>10</v>
      </c>
      <c r="E144" s="25">
        <f>IFERROR(__xludf.DUMMYFUNCTION("""COMPUTED_VALUE"""),46062.0)</f>
        <v>46062</v>
      </c>
      <c r="F144" s="24"/>
      <c r="G144" s="24"/>
      <c r="H144" s="24"/>
      <c r="I144" s="24" t="str">
        <f>IFERROR(__xludf.DUMMYFUNCTION("""COMPUTED_VALUE"""),"")</f>
        <v/>
      </c>
      <c r="J144" s="5" t="str">
        <f>IFERROR(__xludf.DUMMYFUNCTION("""COMPUTED_VALUE"""),"")</f>
        <v/>
      </c>
      <c r="K144" s="24" t="str">
        <f>IFERROR(__xludf.DUMMYFUNCTION("""COMPUTED_VALUE"""),"")</f>
        <v/>
      </c>
      <c r="L144" s="24" t="str">
        <f>IFERROR(__xludf.DUMMYFUNCTION("""COMPUTED_VALUE"""),"Junho")</f>
        <v>Junho</v>
      </c>
      <c r="N144" s="24" t="b">
        <f>IFERROR(__xludf.DUMMYFUNCTION("""COMPUTED_VALUE"""),FALSE)</f>
        <v>0</v>
      </c>
      <c r="O144" s="18" t="str">
        <f>IFERROR(__xludf.DUMMYFUNCTION("""COMPUTED_VALUE"""),"Trip.com")</f>
        <v>Trip.com</v>
      </c>
      <c r="P144" s="24">
        <f>IFERROR(__xludf.DUMMYFUNCTION("""COMPUTED_VALUE"""),10.0)</f>
        <v>10</v>
      </c>
      <c r="Q144" s="25">
        <f>IFERROR(__xludf.DUMMYFUNCTION("""COMPUTED_VALUE"""),46068.0)</f>
        <v>46068</v>
      </c>
      <c r="R144" s="24" t="str">
        <f>IFERROR(__xludf.DUMMYFUNCTION("""COMPUTED_VALUE"""),"Hotel location was only 8mins walk from train station. Location roughly only 3-4 stops from Asakusa and Akihabara. Direct line to shibuya and Omotesando area as well. Rooms were clean and slightly more spacious then usual hotels in tokyo.")</f>
        <v>Hotel location was only 8mins walk from train station. Location roughly only 3-4 stops from Asakusa and Akihabara. Direct line to shibuya and Omotesando area as well. Rooms were clean and slightly more spacious then usual hotels in tokyo.</v>
      </c>
      <c r="S144" s="24"/>
      <c r="T144" s="24"/>
      <c r="U144" s="24" t="str">
        <f>IFERROR(__xludf.DUMMYFUNCTION("""COMPUTED_VALUE"""),"ホテルは駅から徒歩わずか8分という好立地でした。浅草や秋葉原までは電車で3～4駅。渋谷や表参道へも直通で行くことができました。客室は清潔で、東京の一般的なホテルよりも少し広めでした。")</f>
        <v>ホテルは駅から徒歩わずか8分という好立地でした。浅草や秋葉原までは電車で3～4駅。渋谷や表参道へも直通で行くことができました。客室は清潔で、東京の一般的なホテルよりも少し広めでした。</v>
      </c>
      <c r="V144" s="24" t="str">
        <f>IFERROR(__xludf.DUMMYFUNCTION("""COMPUTED_VALUE"""),"")</f>
        <v/>
      </c>
      <c r="W144" s="24" t="str">
        <f>IFERROR(__xludf.DUMMYFUNCTION("""COMPUTED_VALUE"""),"")</f>
        <v/>
      </c>
      <c r="X144" s="24" t="str">
        <f>IFERROR(__xludf.DUMMYFUNCTION("""COMPUTED_VALUE"""),"C‍Q‍R")</f>
        <v>C‍Q‍R</v>
      </c>
    </row>
    <row r="145">
      <c r="B145" s="24" t="b">
        <f>IFERROR(__xludf.DUMMYFUNCTION("""COMPUTED_VALUE"""),FALSE)</f>
        <v>0</v>
      </c>
      <c r="C145" s="18" t="str">
        <f>IFERROR(__xludf.DUMMYFUNCTION("""COMPUTED_VALUE"""),"Trip.com")</f>
        <v>Trip.com</v>
      </c>
      <c r="D145" s="24">
        <f>IFERROR(__xludf.DUMMYFUNCTION("""COMPUTED_VALUE"""),9.0)</f>
        <v>9</v>
      </c>
      <c r="E145" s="25">
        <f>IFERROR(__xludf.DUMMYFUNCTION("""COMPUTED_VALUE"""),46062.0)</f>
        <v>46062</v>
      </c>
      <c r="F145" s="24" t="str">
        <f>IFERROR(__xludf.DUMMYFUNCTION("""COMPUTED_VALUE"""),"飯店回覆信件親切、迅速 性價比高 值得推薦加購早餐")</f>
        <v>飯店回覆信件親切、迅速 性價比高 值得推薦加購早餐</v>
      </c>
      <c r="G145" s="24"/>
      <c r="H145" s="24"/>
      <c r="I145" s="24" t="str">
        <f>IFERROR(__xludf.DUMMYFUNCTION("""COMPUTED_VALUE"""),"ホテルはメールへの返信が迅速かつ丁寧でした。料金に見合った価値があり、朝食付きプランをご希望の方には特におすすめです。")</f>
        <v>ホテルはメールへの返信が迅速かつ丁寧でした。料金に見合った価値があり、朝食付きプランをご希望の方には特におすすめです。</v>
      </c>
      <c r="J145" s="5" t="str">
        <f>IFERROR(__xludf.DUMMYFUNCTION("""COMPUTED_VALUE"""),"")</f>
        <v/>
      </c>
      <c r="K145" s="24" t="str">
        <f>IFERROR(__xludf.DUMMYFUNCTION("""COMPUTED_VALUE"""),"")</f>
        <v/>
      </c>
      <c r="L145" s="24" t="str">
        <f>IFERROR(__xludf.DUMMYFUNCTION("""COMPUTED_VALUE"""),"ゲ‍ス‍ト")</f>
        <v>ゲ‍ス‍ト</v>
      </c>
      <c r="N145" s="24" t="b">
        <f>IFERROR(__xludf.DUMMYFUNCTION("""COMPUTED_VALUE"""),FALSE)</f>
        <v>0</v>
      </c>
      <c r="O145" s="18" t="str">
        <f>IFERROR(__xludf.DUMMYFUNCTION("""COMPUTED_VALUE"""),"Trip.com")</f>
        <v>Trip.com</v>
      </c>
      <c r="P145" s="24">
        <f>IFERROR(__xludf.DUMMYFUNCTION("""COMPUTED_VALUE"""),10.0)</f>
        <v>10</v>
      </c>
      <c r="Q145" s="25">
        <f>IFERROR(__xludf.DUMMYFUNCTION("""COMPUTED_VALUE"""),46068.0)</f>
        <v>46068</v>
      </c>
      <c r="R145" s="24" t="str">
        <f>IFERROR(__xludf.DUMMYFUNCTION("""COMPUTED_VALUE"""),"The location is strategies, super clean, complete amenities in lobby. We’ll stay again if we go to Japan :))")</f>
        <v>The location is strategies, super clean, complete amenities in lobby. We’ll stay again if we go to Japan :))</v>
      </c>
      <c r="S145" s="24"/>
      <c r="T145" s="24"/>
      <c r="U145" s="24" t="str">
        <f>IFERROR(__xludf.DUMMYFUNCTION("""COMPUTED_VALUE"""),"立地は最高、とても清潔で、ロビーにはアメニティも充実しています。日本に行く機会があれば、またここに泊まりたいです :))")</f>
        <v>立地は最高、とても清潔で、ロビーにはアメニティも充実しています。日本に行く機会があれば、またここに泊まりたいです :))</v>
      </c>
      <c r="V145" s="24" t="str">
        <f>IFERROR(__xludf.DUMMYFUNCTION("""COMPUTED_VALUE"""),"")</f>
        <v/>
      </c>
      <c r="W145" s="24" t="str">
        <f>IFERROR(__xludf.DUMMYFUNCTION("""COMPUTED_VALUE"""),"")</f>
        <v/>
      </c>
      <c r="X145" s="24" t="str">
        <f>IFERROR(__xludf.DUMMYFUNCTION("""COMPUTED_VALUE"""),"ゲ‍ス‍ト")</f>
        <v>ゲ‍ス‍ト</v>
      </c>
    </row>
    <row r="146">
      <c r="B146" s="24" t="b">
        <f>IFERROR(__xludf.DUMMYFUNCTION("""COMPUTED_VALUE"""),FALSE)</f>
        <v>0</v>
      </c>
      <c r="C146" s="18" t="str">
        <f>IFERROR(__xludf.DUMMYFUNCTION("""COMPUTED_VALUE"""),"Booking.com")</f>
        <v>Booking.com</v>
      </c>
      <c r="D146" s="24">
        <f>IFERROR(__xludf.DUMMYFUNCTION("""COMPUTED_VALUE"""),9.0)</f>
        <v>9</v>
      </c>
      <c r="E146" s="25">
        <f>IFERROR(__xludf.DUMMYFUNCTION("""COMPUTED_VALUE"""),46061.0)</f>
        <v>46061</v>
      </c>
      <c r="F146" s="24"/>
      <c r="G146" s="24" t="str">
        <f>IFERROR(__xludf.DUMMYFUNCTION("""COMPUTED_VALUE"""),"Great location and good value. I stayed here by myself so the small room was fine with me. The convenience store was near by so it was really convenient. The subway station was close by so you can get to the main part of Tokyo from Kinshicho easily. There"&amp;"'s a direct bus to Tokyo Disneyland from Kinshicho station too.")</f>
        <v>Great location and good value. I stayed here by myself so the small room was fine with me. The convenience store was near by so it was really convenient. The subway station was close by so you can get to the main part of Tokyo from Kinshicho easily. There's a direct bus to Tokyo Disneyland from Kinshicho station too.</v>
      </c>
      <c r="H146" s="24"/>
      <c r="I146" s="24" t="str">
        <f>IFERROR(__xludf.DUMMYFUNCTION("""COMPUTED_VALUE"""),"")</f>
        <v/>
      </c>
      <c r="J146" s="5" t="str">
        <f>IFERROR(__xludf.DUMMYFUNCTION("""COMPUTED_VALUE"""),"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f>
        <v>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v>
      </c>
      <c r="K146" s="24" t="str">
        <f>IFERROR(__xludf.DUMMYFUNCTION("""COMPUTED_VALUE"""),"")</f>
        <v/>
      </c>
      <c r="L146" s="24" t="str">
        <f>IFERROR(__xludf.DUMMYFUNCTION("""COMPUTED_VALUE"""),"Kaoru")</f>
        <v>Kaoru</v>
      </c>
      <c r="N146" s="24" t="b">
        <f>IFERROR(__xludf.DUMMYFUNCTION("""COMPUTED_VALUE"""),FALSE)</f>
        <v>0</v>
      </c>
      <c r="O146" s="18" t="str">
        <f>IFERROR(__xludf.DUMMYFUNCTION("""COMPUTED_VALUE"""),"Booking.com")</f>
        <v>Booking.com</v>
      </c>
      <c r="P146" s="24">
        <f>IFERROR(__xludf.DUMMYFUNCTION("""COMPUTED_VALUE"""),8.0)</f>
        <v>8</v>
      </c>
      <c r="Q146" s="25">
        <f>IFERROR(__xludf.DUMMYFUNCTION("""COMPUTED_VALUE"""),46068.0)</f>
        <v>46068</v>
      </c>
      <c r="R146" s="24"/>
      <c r="S146" s="24"/>
      <c r="T146" s="24"/>
      <c r="U146" s="24" t="str">
        <f>IFERROR(__xludf.DUMMYFUNCTION("""COMPUTED_VALUE"""),"")</f>
        <v/>
      </c>
      <c r="V146" s="24" t="str">
        <f>IFERROR(__xludf.DUMMYFUNCTION("""COMPUTED_VALUE"""),"")</f>
        <v/>
      </c>
      <c r="W146" s="24" t="str">
        <f>IFERROR(__xludf.DUMMYFUNCTION("""COMPUTED_VALUE"""),"")</f>
        <v/>
      </c>
      <c r="X146" s="24" t="str">
        <f>IFERROR(__xludf.DUMMYFUNCTION("""COMPUTED_VALUE"""),"Reiko")</f>
        <v>Reiko</v>
      </c>
    </row>
    <row r="147">
      <c r="B147" s="24" t="b">
        <f>IFERROR(__xludf.DUMMYFUNCTION("""COMPUTED_VALUE"""),FALSE)</f>
        <v>0</v>
      </c>
      <c r="C147" s="18" t="str">
        <f>IFERROR(__xludf.DUMMYFUNCTION("""COMPUTED_VALUE"""),"Trip.com")</f>
        <v>Trip.com</v>
      </c>
      <c r="D147" s="24">
        <f>IFERROR(__xludf.DUMMYFUNCTION("""COMPUTED_VALUE"""),10.0)</f>
        <v>10</v>
      </c>
      <c r="E147" s="25">
        <f>IFERROR(__xludf.DUMMYFUNCTION("""COMPUTED_VALUE"""),46059.0)</f>
        <v>46059</v>
      </c>
      <c r="F147" s="24" t="str">
        <f>IFERROR(__xludf.DUMMYFUNCTION("""COMPUTED_VALUE"""),"Everything was great , nice and clean room")</f>
        <v>Everything was great , nice and clean room</v>
      </c>
      <c r="G147" s="24"/>
      <c r="H147" s="24"/>
      <c r="I147" s="24" t="str">
        <f>IFERROR(__xludf.DUMMYFUNCTION("""COMPUTED_VALUE"""),"全てが素晴らしかったです。部屋も清潔で快適でした。")</f>
        <v>全てが素晴らしかったです。部屋も清潔で快適でした。</v>
      </c>
      <c r="J147" s="5" t="str">
        <f>IFERROR(__xludf.DUMMYFUNCTION("""COMPUTED_VALUE"""),"")</f>
        <v/>
      </c>
      <c r="K147" s="24" t="str">
        <f>IFERROR(__xludf.DUMMYFUNCTION("""COMPUTED_VALUE"""),"")</f>
        <v/>
      </c>
      <c r="L147" s="24" t="str">
        <f>IFERROR(__xludf.DUMMYFUNCTION("""COMPUTED_VALUE"""),"ゲ‍ス‍ト")</f>
        <v>ゲ‍ス‍ト</v>
      </c>
      <c r="N147" s="24" t="b">
        <f>IFERROR(__xludf.DUMMYFUNCTION("""COMPUTED_VALUE"""),FALSE)</f>
        <v>0</v>
      </c>
      <c r="O147" s="18" t="str">
        <f>IFERROR(__xludf.DUMMYFUNCTION("""COMPUTED_VALUE"""),"Booking.com")</f>
        <v>Booking.com</v>
      </c>
      <c r="P147" s="24">
        <f>IFERROR(__xludf.DUMMYFUNCTION("""COMPUTED_VALUE"""),8.0)</f>
        <v>8</v>
      </c>
      <c r="Q147" s="25">
        <f>IFERROR(__xludf.DUMMYFUNCTION("""COMPUTED_VALUE"""),46068.0)</f>
        <v>46068</v>
      </c>
      <c r="R147" s="24"/>
      <c r="S147" s="24" t="str">
        <f>IFERROR(__xludf.DUMMYFUNCTION("""COMPUTED_VALUE"""),"Location, room, staff at reception")</f>
        <v>Location, room, staff at reception</v>
      </c>
      <c r="T147" s="24"/>
      <c r="U147" s="24" t="str">
        <f>IFERROR(__xludf.DUMMYFUNCTION("""COMPUTED_VALUE"""),"")</f>
        <v/>
      </c>
      <c r="V147" s="24" t="str">
        <f>IFERROR(__xludf.DUMMYFUNCTION("""COMPUTED_VALUE"""),"立地、部屋、受付スタッフ")</f>
        <v>立地、部屋、受付スタッフ</v>
      </c>
      <c r="W147" s="24" t="str">
        <f>IFERROR(__xludf.DUMMYFUNCTION("""COMPUTED_VALUE"""),"")</f>
        <v/>
      </c>
      <c r="X147" s="24" t="str">
        <f>IFERROR(__xludf.DUMMYFUNCTION("""COMPUTED_VALUE"""),"Shriya")</f>
        <v>Shriya</v>
      </c>
    </row>
    <row r="148">
      <c r="B148" s="24" t="b">
        <f>IFERROR(__xludf.DUMMYFUNCTION("""COMPUTED_VALUE"""),FALSE)</f>
        <v>0</v>
      </c>
      <c r="C148" s="18" t="str">
        <f>IFERROR(__xludf.DUMMYFUNCTION("""COMPUTED_VALUE"""),"Trip.com")</f>
        <v>Trip.com</v>
      </c>
      <c r="D148" s="24">
        <f>IFERROR(__xludf.DUMMYFUNCTION("""COMPUTED_VALUE"""),10.0)</f>
        <v>10</v>
      </c>
      <c r="E148" s="25">
        <f>IFERROR(__xludf.DUMMYFUNCTION("""COMPUTED_VALUE"""),46059.0)</f>
        <v>46059</v>
      </c>
      <c r="F148" s="24" t="str">
        <f>IFERROR(__xludf.DUMMYFUNCTION("""COMPUTED_VALUE"""),"최고입니다 깔끔하고 좋았어요 객실 시설도 쾌적하고 조식도 맛있었습니다. 나리타 공항까지 가는 루트도 편리하고  모든게 만족스럽습니다. 다음번에 부모님 모시고 또 숙박 할게요")</f>
        <v>최고입니다 깔끔하고 좋았어요 객실 시설도 쾌적하고 조식도 맛있었습니다. 나리타 공항까지 가는 루트도 편리하고  모든게 만족스럽습니다. 다음번에 부모님 모시고 또 숙박 할게요</v>
      </c>
      <c r="G148" s="24"/>
      <c r="H148" s="24"/>
      <c r="I148" s="24" t="str">
        <f>IFERROR(__xludf.DUMMYFUNCTION("""COMPUTED_VALUE"""),"最高ですすっきりと良かった部屋設備も快適で朝食も美味しかったです。成田空港までのルートも便利で、すべてが満足です。次回は両親を迎えてまた泊まります。")</f>
        <v>最高ですすっきりと良かった部屋設備も快適で朝食も美味しかったです。成田空港までのルートも便利で、すべてが満足です。次回は両親を迎えてまた泊まります。</v>
      </c>
      <c r="J148" s="5" t="str">
        <f>IFERROR(__xludf.DUMMYFUNCTION("""COMPUTED_VALUE"""),"")</f>
        <v/>
      </c>
      <c r="K148" s="24" t="str">
        <f>IFERROR(__xludf.DUMMYFUNCTION("""COMPUTED_VALUE"""),"")</f>
        <v/>
      </c>
      <c r="L148" s="24" t="str">
        <f>IFERROR(__xludf.DUMMYFUNCTION("""COMPUTED_VALUE"""),"ゲ‍ス‍ト")</f>
        <v>ゲ‍ス‍ト</v>
      </c>
      <c r="N148" s="24" t="b">
        <f>IFERROR(__xludf.DUMMYFUNCTION("""COMPUTED_VALUE"""),FALSE)</f>
        <v>0</v>
      </c>
      <c r="O148" s="18" t="str">
        <f>IFERROR(__xludf.DUMMYFUNCTION("""COMPUTED_VALUE"""),"Booking.com")</f>
        <v>Booking.com</v>
      </c>
      <c r="P148" s="24">
        <f>IFERROR(__xludf.DUMMYFUNCTION("""COMPUTED_VALUE"""),9.0)</f>
        <v>9</v>
      </c>
      <c r="Q148" s="25">
        <f>IFERROR(__xludf.DUMMYFUNCTION("""COMPUTED_VALUE"""),46068.0)</f>
        <v>46068</v>
      </c>
      <c r="R148" s="24"/>
      <c r="S148" s="24"/>
      <c r="T148" s="24"/>
      <c r="U148" s="24" t="str">
        <f>IFERROR(__xludf.DUMMYFUNCTION("""COMPUTED_VALUE"""),"")</f>
        <v/>
      </c>
      <c r="V148" s="24" t="str">
        <f>IFERROR(__xludf.DUMMYFUNCTION("""COMPUTED_VALUE"""),"")</f>
        <v/>
      </c>
      <c r="W148" s="24" t="str">
        <f>IFERROR(__xludf.DUMMYFUNCTION("""COMPUTED_VALUE"""),"")</f>
        <v/>
      </c>
      <c r="X148" s="24" t="str">
        <f>IFERROR(__xludf.DUMMYFUNCTION("""COMPUTED_VALUE"""),"建誠")</f>
        <v>建誠</v>
      </c>
    </row>
    <row r="149">
      <c r="B149" s="24" t="b">
        <f>IFERROR(__xludf.DUMMYFUNCTION("""COMPUTED_VALUE"""),FALSE)</f>
        <v>0</v>
      </c>
      <c r="C149" s="18" t="str">
        <f>IFERROR(__xludf.DUMMYFUNCTION("""COMPUTED_VALUE"""),"Booking.com")</f>
        <v>Booking.com</v>
      </c>
      <c r="D149" s="24">
        <f>IFERROR(__xludf.DUMMYFUNCTION("""COMPUTED_VALUE"""),7.0)</f>
        <v>7</v>
      </c>
      <c r="E149" s="25">
        <f>IFERROR(__xludf.DUMMYFUNCTION("""COMPUTED_VALUE"""),46058.0)</f>
        <v>46058</v>
      </c>
      <c r="F149" s="24"/>
      <c r="G149" s="24"/>
      <c r="H149" s="24"/>
      <c r="I149" s="24" t="str">
        <f>IFERROR(__xludf.DUMMYFUNCTION("""COMPUTED_VALUE"""),"")</f>
        <v/>
      </c>
      <c r="J149" s="5" t="str">
        <f>IFERROR(__xludf.DUMMYFUNCTION("""COMPUTED_VALUE"""),"")</f>
        <v/>
      </c>
      <c r="K149" s="24" t="str">
        <f>IFERROR(__xludf.DUMMYFUNCTION("""COMPUTED_VALUE"""),"")</f>
        <v/>
      </c>
      <c r="L149" s="24" t="str">
        <f>IFERROR(__xludf.DUMMYFUNCTION("""COMPUTED_VALUE"""),"Chia")</f>
        <v>Chia</v>
      </c>
      <c r="N149" s="24" t="b">
        <f>IFERROR(__xludf.DUMMYFUNCTION("""COMPUTED_VALUE"""),FALSE)</f>
        <v>0</v>
      </c>
      <c r="O149" s="18" t="str">
        <f>IFERROR(__xludf.DUMMYFUNCTION("""COMPUTED_VALUE"""),"Trip.com")</f>
        <v>Trip.com</v>
      </c>
      <c r="P149" s="24">
        <f>IFERROR(__xludf.DUMMYFUNCTION("""COMPUTED_VALUE"""),8.0)</f>
        <v>8</v>
      </c>
      <c r="Q149" s="25">
        <f>IFERROR(__xludf.DUMMYFUNCTION("""COMPUTED_VALUE"""),46068.0)</f>
        <v>46068</v>
      </c>
      <c r="R149" s="24" t="str">
        <f>IFERROR(__xludf.DUMMYFUNCTION("""COMPUTED_VALUE"""),"Vicinity was good, with couple of convenience stores. Hotel room was larger than the average rooms.  Able to monitor on the status of the washing machines direct from room television a huge plus. Train station was about a 10 minutes walk away")</f>
        <v>Vicinity was good, with couple of convenience stores. Hotel room was larger than the average rooms.  Able to monitor on the status of the washing machines direct from room television a huge plus. Train station was about a 10 minutes walk away</v>
      </c>
      <c r="S149" s="24"/>
      <c r="T149" s="24"/>
      <c r="U149" s="24" t="str">
        <f>IFERROR(__xludf.DUMMYFUNCTION("""COMPUTED_VALUE"""),"周辺環境は良く、コンビニエンスストアが数軒ありました。ホテルの部屋は平均的な部屋よりも広かったです。部屋のテレビから洗濯機の状態を直接確認できるのは大きな利点でした。駅までは徒歩約10分でした。")</f>
        <v>周辺環境は良く、コンビニエンスストアが数軒ありました。ホテルの部屋は平均的な部屋よりも広かったです。部屋のテレビから洗濯機の状態を直接確認できるのは大きな利点でした。駅までは徒歩約10分でした。</v>
      </c>
      <c r="V149" s="24" t="str">
        <f>IFERROR(__xludf.DUMMYFUNCTION("""COMPUTED_VALUE"""),"")</f>
        <v/>
      </c>
      <c r="W149" s="24" t="str">
        <f>IFERROR(__xludf.DUMMYFUNCTION("""COMPUTED_VALUE"""),"")</f>
        <v/>
      </c>
      <c r="X149" s="24" t="str">
        <f>IFERROR(__xludf.DUMMYFUNCTION("""COMPUTED_VALUE"""),"J‍e‍s‍p‍e‍r‍P‍e‍a")</f>
        <v>J‍e‍s‍p‍e‍r‍P‍e‍a</v>
      </c>
    </row>
    <row r="150">
      <c r="B150" s="24" t="b">
        <f>IFERROR(__xludf.DUMMYFUNCTION("""COMPUTED_VALUE"""),FALSE)</f>
        <v>0</v>
      </c>
      <c r="C150" s="18" t="str">
        <f>IFERROR(__xludf.DUMMYFUNCTION("""COMPUTED_VALUE"""),"Booking.com")</f>
        <v>Booking.com</v>
      </c>
      <c r="D150" s="24">
        <f>IFERROR(__xludf.DUMMYFUNCTION("""COMPUTED_VALUE"""),8.0)</f>
        <v>8</v>
      </c>
      <c r="E150" s="25">
        <f>IFERROR(__xludf.DUMMYFUNCTION("""COMPUTED_VALUE"""),46057.0)</f>
        <v>46057</v>
      </c>
      <c r="F150" s="24"/>
      <c r="G150" s="24" t="str">
        <f>IFERROR(__xludf.DUMMYFUNCTION("""COMPUTED_VALUE"""),"房間空間大")</f>
        <v>房間空間大</v>
      </c>
      <c r="H150" s="24" t="str">
        <f>IFERROR(__xludf.DUMMYFUNCTION("""COMPUTED_VALUE"""),"感覺只有僕床，沒有更換，側所也不像每天清潔，更換的新毛巾就放在床上")</f>
        <v>感覺只有僕床，沒有更換，側所也不像每天清潔，更換的新毛巾就放在床上</v>
      </c>
      <c r="I150" s="24" t="str">
        <f>IFERROR(__xludf.DUMMYFUNCTION("""COMPUTED_VALUE"""),"")</f>
        <v/>
      </c>
      <c r="J150" s="5" t="str">
        <f>IFERROR(__xludf.DUMMYFUNCTION("""COMPUTED_VALUE"""),"広い部屋")</f>
        <v>広い部屋</v>
      </c>
      <c r="K150" s="24" t="str">
        <f>IFERROR(__xludf.DUMMYFUNCTION("""COMPUTED_VALUE"""),"ベッドしか使われていないようで、トイレは毎日掃除されておらず、新しいタオルはベッドの上に置きっぱなしだった。")</f>
        <v>ベッドしか使われていないようで、トイレは毎日掃除されておらず、新しいタオルはベッドの上に置きっぱなしだった。</v>
      </c>
      <c r="L150" s="24" t="str">
        <f>IFERROR(__xludf.DUMMYFUNCTION("""COMPUTED_VALUE"""),"匿名")</f>
        <v>匿名</v>
      </c>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IFERROR(__xludf.DUMMYFUNCTION("""COMPUTED_VALUE"""),46067.0)</f>
        <v>46067</v>
      </c>
      <c r="R150" s="24"/>
      <c r="S150" s="24" t="str">
        <f>IFERROR(__xludf.DUMMYFUNCTION("""COMPUTED_VALUE"""),"我們小孩不小心把床單弄髒了。他們也沒有叫我們賠償，反而立即幫助我們處理，員工態度都很棒，性價比也不錯，交通也方便")</f>
        <v>我們小孩不小心把床單弄髒了。他們也沒有叫我們賠償，反而立即幫助我們處理，員工態度都很棒，性價比也不錯，交通也方便</v>
      </c>
      <c r="T150" s="24" t="str">
        <f>IFERROR(__xludf.DUMMYFUNCTION("""COMPUTED_VALUE"""),"無，頂多是洗衣機有點不太夠")</f>
        <v>無，頂多是洗衣機有點不太夠</v>
      </c>
      <c r="U150" s="24" t="str">
        <f>IFERROR(__xludf.DUMMYFUNCTION("""COMPUTED_VALUE"""),"")</f>
        <v/>
      </c>
      <c r="V150" s="24" t="str">
        <f>IFERROR(__xludf.DUMMYFUNCTION("""COMPUTED_VALUE"""),"子供がうっかりシーツを汚してしまいましたが、弁償を求められることもなく、すぐに掃除を手伝ってくれました。スタッフは皆とても親切で、料金も手頃、立地も便利でした。")</f>
        <v>子供がうっかりシーツを汚してしまいましたが、弁償を求められることもなく、すぐに掃除を手伝ってくれました。スタッフは皆とても親切で、料金も手頃、立地も便利でした。</v>
      </c>
      <c r="W150" s="24" t="str">
        <f>IFERROR(__xludf.DUMMYFUNCTION("""COMPUTED_VALUE"""),"いいえ、せいぜい洗濯機の台数が足りないだけです。")</f>
        <v>いいえ、せいぜい洗濯機の台数が足りないだけです。</v>
      </c>
      <c r="X150" s="24" t="str">
        <f>IFERROR(__xludf.DUMMYFUNCTION("""COMPUTED_VALUE"""),"Tsu")</f>
        <v>Tsu</v>
      </c>
    </row>
    <row r="151">
      <c r="B151" s="24" t="b">
        <f>IFERROR(__xludf.DUMMYFUNCTION("""COMPUTED_VALUE"""),FALSE)</f>
        <v>0</v>
      </c>
      <c r="C151" s="24" t="str">
        <f>IFERROR(__xludf.DUMMYFUNCTION("""COMPUTED_VALUE"""),"Google")</f>
        <v>Google</v>
      </c>
      <c r="D151" s="24">
        <f>IFERROR(__xludf.DUMMYFUNCTION("""COMPUTED_VALUE"""),5.0)</f>
        <v>5</v>
      </c>
      <c r="E151" s="25">
        <f>IFERROR(__xludf.DUMMYFUNCTION("""COMPUTED_VALUE"""),46057.0)</f>
        <v>46057</v>
      </c>
      <c r="F15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G151" s="24"/>
      <c r="H151" s="24"/>
      <c r="I15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J151" s="5" t="str">
        <f>IFERROR(__xludf.DUMMYFUNCTION("""COMPUTED_VALUE"""),"")</f>
        <v/>
      </c>
      <c r="K151" s="24" t="str">
        <f>IFERROR(__xludf.DUMMYFUNCTION("""COMPUTED_VALUE"""),"")</f>
        <v/>
      </c>
      <c r="L151" s="24" t="str">
        <f>IFERROR(__xludf.DUMMYFUNCTION("""COMPUTED_VALUE"""),"Max Abramovich")</f>
        <v>Max Abramovich</v>
      </c>
      <c r="N151" s="24" t="b">
        <f>IFERROR(__xludf.DUMMYFUNCTION("""COMPUTED_VALUE"""),FALSE)</f>
        <v>0</v>
      </c>
      <c r="O151" s="18" t="str">
        <f>IFERROR(__xludf.DUMMYFUNCTION("""COMPUTED_VALUE"""),"Booking.com")</f>
        <v>Booking.com</v>
      </c>
      <c r="P151" s="24">
        <f>IFERROR(__xludf.DUMMYFUNCTION("""COMPUTED_VALUE"""),10.0)</f>
        <v>10</v>
      </c>
      <c r="Q151" s="25">
        <f>IFERROR(__xludf.DUMMYFUNCTION("""COMPUTED_VALUE"""),46066.0)</f>
        <v>46066</v>
      </c>
      <c r="R151" s="24"/>
      <c r="S151" s="24" t="str">
        <f>IFERROR(__xludf.DUMMYFUNCTION("""COMPUTED_VALUE"""),"Facility is good, hotel very new and provide different types of tea bag in hotel’s lobby, masks and cream are welcome to use, filter coffee is good.")</f>
        <v>Facility is good, hotel very new and provide different types of tea bag in hotel’s lobby, masks and cream are welcome to use, filter coffee is good.</v>
      </c>
      <c r="T151" s="24" t="str">
        <f>IFERROR(__xludf.DUMMYFUNCTION("""COMPUTED_VALUE"""),"I booked 2 rooms, one room for 3 peoples, another room for 2 peoples, the front desk mixed up and gave me wrong room card.")</f>
        <v>I booked 2 rooms, one room for 3 peoples, another room for 2 peoples, the front desk mixed up and gave me wrong room card.</v>
      </c>
      <c r="U151" s="24" t="str">
        <f>IFERROR(__xludf.DUMMYFUNCTION("""COMPUTED_VALUE"""),"")</f>
        <v/>
      </c>
      <c r="V151" s="24" t="str">
        <f>IFERROR(__xludf.DUMMYFUNCTION("""COMPUTED_VALUE"""),"設備は良好で、ホテルはとても新しく、ロビーには様々な種類のティーバッグが用意されており、マスクやクリームも自由に利用できます。フィルターコーヒーも美味しいです。")</f>
        <v>設備は良好で、ホテルはとても新しく、ロビーには様々な種類のティーバッグが用意されており、マスクやクリームも自由に利用できます。フィルターコーヒーも美味しいです。</v>
      </c>
      <c r="W151" s="24" t="str">
        <f>IFERROR(__xludf.DUMMYFUNCTION("""COMPUTED_VALUE"""),"私は2部屋予約しました。1部屋は3人用、もう1部屋は2人用です。フロントの人が間違えて、間違ったルームカードを渡されました。")</f>
        <v>私は2部屋予約しました。1部屋は3人用、もう1部屋は2人用です。フロントの人が間違えて、間違ったルームカードを渡されました。</v>
      </c>
      <c r="X151" s="24" t="str">
        <f>IFERROR(__xludf.DUMMYFUNCTION("""COMPUTED_VALUE"""),"Amy")</f>
        <v>Amy</v>
      </c>
    </row>
    <row r="152">
      <c r="B152" s="24" t="b">
        <f>IFERROR(__xludf.DUMMYFUNCTION("""COMPUTED_VALUE"""),FALSE)</f>
        <v>0</v>
      </c>
      <c r="C152" s="24" t="str">
        <f>IFERROR(__xludf.DUMMYFUNCTION("""COMPUTED_VALUE"""),"Google")</f>
        <v>Google</v>
      </c>
      <c r="D152" s="24">
        <f>IFERROR(__xludf.DUMMYFUNCTION("""COMPUTED_VALUE"""),5.0)</f>
        <v>5</v>
      </c>
      <c r="E152" s="25">
        <f>IFERROR(__xludf.DUMMYFUNCTION("""COMPUTED_VALUE"""),46057.0)</f>
        <v>46057</v>
      </c>
      <c r="F152" s="24" t="str">
        <f>IFERROR(__xludf.DUMMYFUNCTION("""COMPUTED_VALUE"""),"My stay at Keisei Richmond Hotel Tokyo Kinshicho was highlighted by the truly exceptional service, as the staff were incredibly welcoming and went out of their way to ensure a smooth check-in. The location is another major plus, being just a short walk fr"&amp;"om the station with plenty of great dining and shopping options right at the doorstep. While the rooms were undeniably small and a bit of a tight squeeze for my luggage, the modern amenities and overall cleanliness made it a very comfortable base for expl"&amp;"oring Tokyo.")</f>
        <v>My stay at Keisei Richmond Hotel Tokyo Kinshicho was highlighted by the truly exceptional service, as the staff were incredibly welcoming and went out of their way to ensure a smooth check-in. The location is another major plus, being just a short walk from the station with plenty of great dining and shopping options right at the doorstep. While the rooms were undeniably small and a bit of a tight squeeze for my luggage, the modern amenities and overall cleanliness made it a very comfortable base for exploring Tokyo.</v>
      </c>
      <c r="G152" s="24"/>
      <c r="H152" s="24"/>
      <c r="I152" s="24" t="str">
        <f>IFERROR(__xludf.DUMMYFUNCTION("""COMPUTED_VALUE"""),"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f>
        <v>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v>
      </c>
      <c r="J152" s="5" t="str">
        <f>IFERROR(__xludf.DUMMYFUNCTION("""COMPUTED_VALUE"""),"")</f>
        <v/>
      </c>
      <c r="K152" s="24" t="str">
        <f>IFERROR(__xludf.DUMMYFUNCTION("""COMPUTED_VALUE"""),"")</f>
        <v/>
      </c>
      <c r="L152" s="24" t="str">
        <f>IFERROR(__xludf.DUMMYFUNCTION("""COMPUTED_VALUE"""),"Max Abramovich")</f>
        <v>Max Abramovich</v>
      </c>
      <c r="N152" s="24" t="b">
        <f>IFERROR(__xludf.DUMMYFUNCTION("""COMPUTED_VALUE"""),FALSE)</f>
        <v>0</v>
      </c>
      <c r="O152" s="18" t="str">
        <f>IFERROR(__xludf.DUMMYFUNCTION("""COMPUTED_VALUE"""),"Trip.com")</f>
        <v>Trip.com</v>
      </c>
      <c r="P152" s="24">
        <f>IFERROR(__xludf.DUMMYFUNCTION("""COMPUTED_VALUE"""),9.0)</f>
        <v>9</v>
      </c>
      <c r="Q152" s="25">
        <f>IFERROR(__xludf.DUMMYFUNCTION("""COMPUTED_VALUE"""),46066.0)</f>
        <v>46066</v>
      </c>
      <c r="R152" s="24" t="str">
        <f>IFERROR(__xludf.DUMMYFUNCTION("""COMPUTED_VALUE"""),"離JR站較近，步行5分鐘吧。房間大，隔音效果好，衞生間三分離，非常適合。酒店有自助洗衣機，很方便。一樓提供洗漱用品，潔麪、潤膚、面膜，都有。非常滿意。可以看到晴空塔，地鐵1站路。")</f>
        <v>離JR站較近，步行5分鐘吧。房間大，隔音效果好，衞生間三分離，非常適合。酒店有自助洗衣機，很方便。一樓提供洗漱用品，潔麪、潤膚、面膜，都有。非常滿意。可以看到晴空塔，地鐵1站路。</v>
      </c>
      <c r="S152" s="24"/>
      <c r="T152" s="24"/>
      <c r="U152" s="24" t="str">
        <f>IFERROR(__xludf.DUMMYFUNCTION("""COMPUTED_VALUE"""),"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f>
        <v>JR駅から徒歩約5分と近く、便利な立地です。部屋は広々としていて防音性も良く、バスルームは3つの区画に分かれていて快適です。ホテルにはセルフサービスの洗濯機があり、とても便利です。1階には洗顔料、保湿クリーム、フェイスマスクなどのアメニティが用意されています。大変満足しています。東京スカイツリーも地下鉄で1駅とすぐなので、すぐ近くです。</v>
      </c>
      <c r="V152" s="24" t="str">
        <f>IFERROR(__xludf.DUMMYFUNCTION("""COMPUTED_VALUE"""),"")</f>
        <v/>
      </c>
      <c r="W152" s="24" t="str">
        <f>IFERROR(__xludf.DUMMYFUNCTION("""COMPUTED_VALUE"""),"")</f>
        <v/>
      </c>
      <c r="X152" s="24" t="str">
        <f>IFERROR(__xludf.DUMMYFUNCTION("""COMPUTED_VALUE"""),"H‍u‍o‍h‍u‍a‍L‍Z")</f>
        <v>H‍u‍o‍h‍u‍a‍L‍Z</v>
      </c>
    </row>
    <row r="153">
      <c r="B153" s="24" t="b">
        <f>IFERROR(__xludf.DUMMYFUNCTION("""COMPUTED_VALUE"""),FALSE)</f>
        <v>0</v>
      </c>
      <c r="C153" s="18" t="str">
        <f>IFERROR(__xludf.DUMMYFUNCTION("""COMPUTED_VALUE"""),"Booking.com")</f>
        <v>Booking.com</v>
      </c>
      <c r="D153" s="24">
        <f>IFERROR(__xludf.DUMMYFUNCTION("""COMPUTED_VALUE"""),9.0)</f>
        <v>9</v>
      </c>
      <c r="E153" s="25">
        <f>IFERROR(__xludf.DUMMYFUNCTION("""COMPUTED_VALUE"""),46056.0)</f>
        <v>46056</v>
      </c>
      <c r="F153" s="24"/>
      <c r="G153" s="24" t="str">
        <f>IFERROR(__xludf.DUMMYFUNCTION("""COMPUTED_VALUE"""),"Its not bad multi conbinis around and some fast food too.")</f>
        <v>Its not bad multi conbinis around and some fast food too.</v>
      </c>
      <c r="H153" s="24" t="str">
        <f>IFERROR(__xludf.DUMMYFUNCTION("""COMPUTED_VALUE"""),"Its a little far from the station but youll walk past some conbinis on the way and coco and matsuya so if you dont mind walking 10 mins everytime you go out its not that bad.")</f>
        <v>Its a little far from the station but youll walk past some conbinis on the way and coco and matsuya so if you dont mind walking 10 mins everytime you go out its not that bad.</v>
      </c>
      <c r="I153" s="24" t="str">
        <f>IFERROR(__xludf.DUMMYFUNCTION("""COMPUTED_VALUE"""),"")</f>
        <v/>
      </c>
      <c r="J153" s="5" t="str">
        <f>IFERROR(__xludf.DUMMYFUNCTION("""COMPUTED_VALUE"""),"周辺には悪くないコンビニエンスストアやファストフード店もある。")</f>
        <v>周辺には悪くないコンビニエンスストアやファストフード店もある。</v>
      </c>
      <c r="K153" s="24" t="str">
        <f>IFERROR(__xludf.DUMMYFUNCTION("""COMPUTED_VALUE"""),"駅から少し遠いですが、途中にコンビニやココ、マツヤなどがあるので、外出するたびに10分歩くのが苦にならないなら、それほど悪くはありません。")</f>
        <v>駅から少し遠いですが、途中にコンビニやココ、マツヤなどがあるので、外出するたびに10分歩くのが苦にならないなら、それほど悪くはありません。</v>
      </c>
      <c r="L153" s="24" t="str">
        <f>IFERROR(__xludf.DUMMYFUNCTION("""COMPUTED_VALUE"""),"Mark")</f>
        <v>Mark</v>
      </c>
      <c r="N153" s="24" t="b">
        <f>IFERROR(__xludf.DUMMYFUNCTION("""COMPUTED_VALUE"""),FALSE)</f>
        <v>0</v>
      </c>
      <c r="O153" s="18" t="str">
        <f>IFERROR(__xludf.DUMMYFUNCTION("""COMPUTED_VALUE"""),"Trip.com")</f>
        <v>Trip.com</v>
      </c>
      <c r="P153" s="24">
        <f>IFERROR(__xludf.DUMMYFUNCTION("""COMPUTED_VALUE"""),10.0)</f>
        <v>10</v>
      </c>
      <c r="Q153" s="25">
        <f>IFERROR(__xludf.DUMMYFUNCTION("""COMPUTED_VALUE"""),46066.0)</f>
        <v>46066</v>
      </c>
      <c r="R153" s="24" t="str">
        <f>IFERROR(__xludf.DUMMYFUNCTION("""COMPUTED_VALUE"""),"酒店好方便，附近好多不同種類餐廳，而且很多商場逛逛，去東京站/淺草站/秋葉原都是10分鐘，晴空塔夜景好靚！")</f>
        <v>酒店好方便，附近好多不同種類餐廳，而且很多商場逛逛，去東京站/淺草站/秋葉原都是10分鐘，晴空塔夜景好靚！</v>
      </c>
      <c r="S153" s="24"/>
      <c r="T153" s="24"/>
      <c r="U153" s="24" t="str">
        <f>IFERROR(__xludf.DUMMYFUNCTION("""COMPUTED_VALUE"""),"ホテルは周辺に様々なレストランやショッピングモールが数多くあり、大変便利な立地です。東京駅、浅草駅、秋葉原へは徒歩わずか10分。東京スカイツリーの夜景は息を呑むほど美しいです！")</f>
        <v>ホテルは周辺に様々なレストランやショッピングモールが数多くあり、大変便利な立地です。東京駅、浅草駅、秋葉原へは徒歩わずか10分。東京スカイツリーの夜景は息を呑むほど美しいです！</v>
      </c>
      <c r="V153" s="24" t="str">
        <f>IFERROR(__xludf.DUMMYFUNCTION("""COMPUTED_VALUE"""),"")</f>
        <v/>
      </c>
      <c r="W153" s="24" t="str">
        <f>IFERROR(__xludf.DUMMYFUNCTION("""COMPUTED_VALUE"""),"")</f>
        <v/>
      </c>
      <c r="X153" s="24" t="str">
        <f>IFERROR(__xludf.DUMMYFUNCTION("""COMPUTED_VALUE"""),"ゲ‍ス‍ト")</f>
        <v>ゲ‍ス‍ト</v>
      </c>
    </row>
    <row r="154">
      <c r="D154" s="24"/>
      <c r="E154" s="24"/>
      <c r="F154" s="24"/>
      <c r="G154" s="24"/>
      <c r="H154" s="24"/>
      <c r="I154" s="24"/>
      <c r="J154" s="5"/>
      <c r="N154" s="24" t="b">
        <f>IFERROR(__xludf.DUMMYFUNCTION("""COMPUTED_VALUE"""),FALSE)</f>
        <v>0</v>
      </c>
      <c r="O154" s="24" t="str">
        <f>IFERROR(__xludf.DUMMYFUNCTION("""COMPUTED_VALUE"""),"Google")</f>
        <v>Google</v>
      </c>
      <c r="P154" s="24">
        <f>IFERROR(__xludf.DUMMYFUNCTION("""COMPUTED_VALUE"""),3.0)</f>
        <v>3</v>
      </c>
      <c r="Q154" s="25">
        <f>IFERROR(__xludf.DUMMYFUNCTION("""COMPUTED_VALUE"""),46066.0)</f>
        <v>46066</v>
      </c>
      <c r="R154" s="24" t="str">
        <f>IFERROR(__xludf.DUMMYFUNCTION("""COMPUTED_VALUE"""),"駅から近いです！")</f>
        <v>駅から近いです！</v>
      </c>
      <c r="S154" s="24"/>
      <c r="T154" s="24"/>
      <c r="U154" s="24" t="str">
        <f>IFERROR(__xludf.DUMMYFUNCTION("""COMPUTED_VALUE"""),"駅から近いです！")</f>
        <v>駅から近いです！</v>
      </c>
      <c r="V154" s="24" t="str">
        <f>IFERROR(__xludf.DUMMYFUNCTION("""COMPUTED_VALUE"""),"")</f>
        <v/>
      </c>
      <c r="W154" s="24" t="str">
        <f>IFERROR(__xludf.DUMMYFUNCTION("""COMPUTED_VALUE"""),"")</f>
        <v/>
      </c>
      <c r="X154" s="24" t="str">
        <f>IFERROR(__xludf.DUMMYFUNCTION("""COMPUTED_VALUE"""),"劉明鈞")</f>
        <v>劉明鈞</v>
      </c>
    </row>
    <row r="155">
      <c r="D155" s="24"/>
      <c r="E155" s="24"/>
      <c r="F155" s="24"/>
      <c r="G155" s="24"/>
      <c r="H155" s="24"/>
      <c r="I155" s="24"/>
      <c r="J155" s="5"/>
      <c r="N155" s="24" t="b">
        <f>IFERROR(__xludf.DUMMYFUNCTION("""COMPUTED_VALUE"""),FALSE)</f>
        <v>0</v>
      </c>
      <c r="O155" s="24" t="str">
        <f>IFERROR(__xludf.DUMMYFUNCTION("""COMPUTED_VALUE"""),"Google")</f>
        <v>Google</v>
      </c>
      <c r="P155" s="24">
        <f>IFERROR(__xludf.DUMMYFUNCTION("""COMPUTED_VALUE"""),3.0)</f>
        <v>3</v>
      </c>
      <c r="Q155" s="25">
        <f>IFERROR(__xludf.DUMMYFUNCTION("""COMPUTED_VALUE"""),46066.0)</f>
        <v>46066</v>
      </c>
      <c r="R155" s="24" t="str">
        <f>IFERROR(__xludf.DUMMYFUNCTION("""COMPUTED_VALUE"""),"駅から近い！")</f>
        <v>駅から近い！</v>
      </c>
      <c r="S155" s="24"/>
      <c r="T155" s="24"/>
      <c r="U155" s="24" t="str">
        <f>IFERROR(__xludf.DUMMYFUNCTION("""COMPUTED_VALUE"""),"駅から近い！")</f>
        <v>駅から近い！</v>
      </c>
      <c r="V155" s="24" t="str">
        <f>IFERROR(__xludf.DUMMYFUNCTION("""COMPUTED_VALUE"""),"")</f>
        <v/>
      </c>
      <c r="W155" s="24" t="str">
        <f>IFERROR(__xludf.DUMMYFUNCTION("""COMPUTED_VALUE"""),"")</f>
        <v/>
      </c>
      <c r="X155" s="24" t="str">
        <f>IFERROR(__xludf.DUMMYFUNCTION("""COMPUTED_VALUE"""),"劉明鈞")</f>
        <v>劉明鈞</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IFERROR(__xludf.DUMMYFUNCTION("""COMPUTED_VALUE"""),46065.0)</f>
        <v>46065</v>
      </c>
      <c r="R156" s="24" t="str">
        <f>IFERROR(__xludf.DUMMYFUNCTION("""COMPUTED_VALUE"""),"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f>
        <v>房間非常乾淨，一樓也有多種備品可以拿，員工服務也非常好，很有禮貌，整體體驗不錯，離錦糸町站也很近，旁邊有多家百貨公司、餐廳和便利商店，非常方便，只是共用的投幣洗衣機數量不多，有時需等待許久才能洗衣服（房內電視可查看洗衣時間、一樓有機台可換幣）</v>
      </c>
      <c r="S156" s="24"/>
      <c r="T156" s="24"/>
      <c r="U156" s="24" t="str">
        <f>IFERROR(__xludf.DUMMYFUNCTION("""COMPUTED_VALUE"""),"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f>
        <v>部屋はとても清潔で、1階には様々なアメニティが揃っていました。スタッフの方々も親切で丁寧でした。全体的に良い滞在でした。錦糸町駅からも非常に近く、周辺にはデパート、レストラン、コンビニなどが多数あり、大変便利です。ただし、共用のコインランドリーが少ないため、洗濯に時間がかかる場合があります（部屋のテレビで洗濯スケジュールを確認でき、1階にはコイン両替ができる洗濯機があります）。</v>
      </c>
      <c r="V156" s="24" t="str">
        <f>IFERROR(__xludf.DUMMYFUNCTION("""COMPUTED_VALUE"""),"")</f>
        <v/>
      </c>
      <c r="W156" s="24" t="str">
        <f>IFERROR(__xludf.DUMMYFUNCTION("""COMPUTED_VALUE"""),"")</f>
        <v/>
      </c>
      <c r="X156" s="24" t="str">
        <f>IFERROR(__xludf.DUMMYFUNCTION("""COMPUTED_VALUE"""),"E‍n‍n‍a‍ ‍L‍i‍u")</f>
        <v>E‍n‍n‍a‍ ‍L‍i‍u</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IFERROR(__xludf.DUMMYFUNCTION("""COMPUTED_VALUE"""),46065.0)</f>
        <v>46065</v>
      </c>
      <c r="R157" s="24"/>
      <c r="S157" s="24" t="str">
        <f>IFERROR(__xludf.DUMMYFUNCTION("""COMPUTED_VALUE"""),"ทำเลดีใกล้kinshicho station มีร้านสะดวกซื้อและร้านอาหารมากมาย ห้องพักขนาดกว้างสำหรับTokyo สะอาด อาหารเช้าดี พนักงานน่ารัก สุภาพ")</f>
        <v>ทำเลดีใกล้kinshicho station มีร้านสะดวกซื้อและร้านอาหารมากมาย ห้องพักขนาดกว้างสำหรับTokyo สะอาด อาหารเช้าดี พนักงานน่ารัก สุภาพ</v>
      </c>
      <c r="T157" s="24"/>
      <c r="U157" s="24" t="str">
        <f>IFERROR(__xludf.DUMMYFUNCTION("""COMPUTED_VALUE"""),"")</f>
        <v/>
      </c>
      <c r="V157" s="24" t="str">
        <f>IFERROR(__xludf.DUMMYFUNCTION("""COMPUTED_VALUE"""),"錦糸町駅近くという絶好のロケーションで、コンビニやレストランも豊富です。東京にしては広々とした客室、清潔感があり、朝食も美味しく、スタッフも親切で丁寧です。")</f>
        <v>錦糸町駅近くという絶好のロケーションで、コンビニやレストランも豊富です。東京にしては広々とした客室、清潔感があり、朝食も美味しく、スタッフも親切で丁寧です。</v>
      </c>
      <c r="W157" s="24" t="str">
        <f>IFERROR(__xludf.DUMMYFUNCTION("""COMPUTED_VALUE"""),"")</f>
        <v/>
      </c>
      <c r="X157" s="24" t="str">
        <f>IFERROR(__xludf.DUMMYFUNCTION("""COMPUTED_VALUE"""),"Kanokporn")</f>
        <v>Kanokporn</v>
      </c>
    </row>
    <row r="158">
      <c r="D158" s="24"/>
      <c r="E158" s="24"/>
      <c r="F158" s="24"/>
      <c r="G158" s="24"/>
      <c r="H158" s="24"/>
      <c r="I158" s="24"/>
      <c r="J158" s="5"/>
      <c r="N158" s="24" t="b">
        <f>IFERROR(__xludf.DUMMYFUNCTION("""COMPUTED_VALUE"""),FALSE)</f>
        <v>0</v>
      </c>
      <c r="O158" s="18" t="str">
        <f>IFERROR(__xludf.DUMMYFUNCTION("""COMPUTED_VALUE"""),"Trip.com")</f>
        <v>Trip.com</v>
      </c>
      <c r="P158" s="24">
        <f>IFERROR(__xludf.DUMMYFUNCTION("""COMPUTED_VALUE"""),7.0)</f>
        <v>7</v>
      </c>
      <c r="Q158" s="25">
        <f>IFERROR(__xludf.DUMMYFUNCTION("""COMPUTED_VALUE"""),46064.0)</f>
        <v>46064</v>
      </c>
      <c r="R158" s="24" t="str">
        <f>IFERROR(__xludf.DUMMYFUNCTION("""COMPUTED_VALUE"""),"附近比較亂一點")</f>
        <v>附近比較亂一點</v>
      </c>
      <c r="S158" s="24"/>
      <c r="T158" s="24"/>
      <c r="U158" s="24" t="str">
        <f>IFERROR(__xludf.DUMMYFUNCTION("""COMPUTED_VALUE"""),"その地域は少々混沌としている。")</f>
        <v>その地域は少々混沌としている。</v>
      </c>
      <c r="V158" s="24" t="str">
        <f>IFERROR(__xludf.DUMMYFUNCTION("""COMPUTED_VALUE"""),"")</f>
        <v/>
      </c>
      <c r="W158" s="24" t="str">
        <f>IFERROR(__xludf.DUMMYFUNCTION("""COMPUTED_VALUE"""),"")</f>
        <v/>
      </c>
      <c r="X158" s="24" t="str">
        <f>IFERROR(__xludf.DUMMYFUNCTION("""COMPUTED_VALUE"""),"ゲ‍ス‍ト")</f>
        <v>ゲ‍ス‍ト</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IFERROR(__xludf.DUMMYFUNCTION("""COMPUTED_VALUE"""),10.0)</f>
        <v>10</v>
      </c>
      <c r="Q159" s="25">
        <f>IFERROR(__xludf.DUMMYFUNCTION("""COMPUTED_VALUE"""),46063.0)</f>
        <v>46063</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IFERROR(__xludf.DUMMYFUNCTION("""COMPUTED_VALUE"""),"Latricia")</f>
        <v>Latricia</v>
      </c>
    </row>
    <row r="160">
      <c r="D160" s="24"/>
      <c r="E160" s="24"/>
      <c r="F160" s="24"/>
      <c r="G160" s="24"/>
      <c r="H160" s="24"/>
      <c r="I160" s="24"/>
      <c r="J160" s="5"/>
      <c r="N160" s="24" t="b">
        <f>IFERROR(__xludf.DUMMYFUNCTION("""COMPUTED_VALUE"""),FALSE)</f>
        <v>0</v>
      </c>
      <c r="O160" s="24" t="str">
        <f>IFERROR(__xludf.DUMMYFUNCTION("""COMPUTED_VALUE"""),"Google")</f>
        <v>Google</v>
      </c>
      <c r="P160" s="24">
        <f>IFERROR(__xludf.DUMMYFUNCTION("""COMPUTED_VALUE"""),5.0)</f>
        <v>5</v>
      </c>
      <c r="Q160" s="25">
        <f>IFERROR(__xludf.DUMMYFUNCTION("""COMPUTED_VALUE"""),46063.0)</f>
        <v>46063</v>
      </c>
      <c r="R16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S160" s="24"/>
      <c r="T160" s="24"/>
      <c r="U160" s="24" t="str">
        <f>IFERROR(__xludf.DUMMYFUNCTION("""COMPUTED_VALUE"""),"このホテルに滞在中に、yoasobi25のウェブサイトを見つけて試してみました。彼女は日本人で、とても感じが良くて、一緒にいて楽しかったです。")</f>
        <v>このホテルに滞在中に、yoasobi25のウェブサイトを見つけて試してみました。彼女は日本人で、とても感じが良くて、一緒にいて楽しかったです。</v>
      </c>
      <c r="V160" s="24" t="str">
        <f>IFERROR(__xludf.DUMMYFUNCTION("""COMPUTED_VALUE"""),"")</f>
        <v/>
      </c>
      <c r="W160" s="24" t="str">
        <f>IFERROR(__xludf.DUMMYFUNCTION("""COMPUTED_VALUE"""),"")</f>
        <v/>
      </c>
      <c r="X160" s="24" t="str">
        <f>IFERROR(__xludf.DUMMYFUNCTION("""COMPUTED_VALUE"""),"白藍藍")</f>
        <v>白藍藍</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IFERROR(__xludf.DUMMYFUNCTION("""COMPUTED_VALUE"""),10.0)</f>
        <v>10</v>
      </c>
      <c r="Q161" s="25">
        <f>IFERROR(__xludf.DUMMYFUNCTION("""COMPUTED_VALUE"""),46062.0)</f>
        <v>46062</v>
      </c>
      <c r="R161" s="24"/>
      <c r="S161" s="24"/>
      <c r="T161" s="24"/>
      <c r="U161" s="24" t="str">
        <f>IFERROR(__xludf.DUMMYFUNCTION("""COMPUTED_VALUE"""),"")</f>
        <v/>
      </c>
      <c r="V161" s="24" t="str">
        <f>IFERROR(__xludf.DUMMYFUNCTION("""COMPUTED_VALUE"""),"")</f>
        <v/>
      </c>
      <c r="W161" s="24" t="str">
        <f>IFERROR(__xludf.DUMMYFUNCTION("""COMPUTED_VALUE"""),"")</f>
        <v/>
      </c>
      <c r="X161" s="24" t="str">
        <f>IFERROR(__xludf.DUMMYFUNCTION("""COMPUTED_VALUE"""),"Sandy")</f>
        <v>Sandy</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IFERROR(__xludf.DUMMYFUNCTION("""COMPUTED_VALUE"""),46062.0)</f>
        <v>46062</v>
      </c>
      <c r="R162" s="24"/>
      <c r="S162" s="24"/>
      <c r="T162" s="24"/>
      <c r="U162" s="24" t="str">
        <f>IFERROR(__xludf.DUMMYFUNCTION("""COMPUTED_VALUE"""),"")</f>
        <v/>
      </c>
      <c r="V162" s="24" t="str">
        <f>IFERROR(__xludf.DUMMYFUNCTION("""COMPUTED_VALUE"""),"")</f>
        <v/>
      </c>
      <c r="W162" s="24" t="str">
        <f>IFERROR(__xludf.DUMMYFUNCTION("""COMPUTED_VALUE"""),"")</f>
        <v/>
      </c>
      <c r="X162" s="24" t="str">
        <f>IFERROR(__xludf.DUMMYFUNCTION("""COMPUTED_VALUE"""),"Sato")</f>
        <v>Sato</v>
      </c>
    </row>
    <row r="163">
      <c r="D163" s="24"/>
      <c r="E163" s="24"/>
      <c r="F163" s="24"/>
      <c r="G163" s="24"/>
      <c r="H163" s="24"/>
      <c r="I163" s="24"/>
      <c r="J163" s="5"/>
      <c r="N163" s="24" t="b">
        <f>IFERROR(__xludf.DUMMYFUNCTION("""COMPUTED_VALUE"""),FALSE)</f>
        <v>0</v>
      </c>
      <c r="O163" s="18" t="str">
        <f>IFERROR(__xludf.DUMMYFUNCTION("""COMPUTED_VALUE"""),"Booking.com")</f>
        <v>Booking.com</v>
      </c>
      <c r="P163" s="24">
        <f>IFERROR(__xludf.DUMMYFUNCTION("""COMPUTED_VALUE"""),10.0)</f>
        <v>10</v>
      </c>
      <c r="Q163" s="25">
        <f>IFERROR(__xludf.DUMMYFUNCTION("""COMPUTED_VALUE"""),46062.0)</f>
        <v>46062</v>
      </c>
      <c r="R163" s="24"/>
      <c r="S163" s="24"/>
      <c r="T163" s="24"/>
      <c r="U163" s="24" t="str">
        <f>IFERROR(__xludf.DUMMYFUNCTION("""COMPUTED_VALUE"""),"")</f>
        <v/>
      </c>
      <c r="V163" s="24" t="str">
        <f>IFERROR(__xludf.DUMMYFUNCTION("""COMPUTED_VALUE"""),"")</f>
        <v/>
      </c>
      <c r="W163" s="24" t="str">
        <f>IFERROR(__xludf.DUMMYFUNCTION("""COMPUTED_VALUE"""),"")</f>
        <v/>
      </c>
      <c r="X163" s="24" t="str">
        <f>IFERROR(__xludf.DUMMYFUNCTION("""COMPUTED_VALUE"""),"上田")</f>
        <v>上田</v>
      </c>
    </row>
    <row r="164">
      <c r="D164" s="24"/>
      <c r="E164" s="24"/>
      <c r="F164" s="24"/>
      <c r="G164" s="24"/>
      <c r="H164" s="24"/>
      <c r="I164" s="24"/>
      <c r="J164" s="5"/>
      <c r="N164" s="24" t="b">
        <f>IFERROR(__xludf.DUMMYFUNCTION("""COMPUTED_VALUE"""),FALSE)</f>
        <v>0</v>
      </c>
      <c r="O164" s="18" t="str">
        <f>IFERROR(__xludf.DUMMYFUNCTION("""COMPUTED_VALUE"""),"Booking.com")</f>
        <v>Booking.com</v>
      </c>
      <c r="P164" s="24">
        <f>IFERROR(__xludf.DUMMYFUNCTION("""COMPUTED_VALUE"""),10.0)</f>
        <v>10</v>
      </c>
      <c r="Q164" s="25">
        <f>IFERROR(__xludf.DUMMYFUNCTION("""COMPUTED_VALUE"""),46062.0)</f>
        <v>46062</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IFERROR(__xludf.DUMMYFUNCTION("""COMPUTED_VALUE"""),"Junho")</f>
        <v>Junho</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IFERROR(__xludf.DUMMYFUNCTION("""COMPUTED_VALUE"""),9.0)</f>
        <v>9</v>
      </c>
      <c r="Q165" s="25">
        <f>IFERROR(__xludf.DUMMYFUNCTION("""COMPUTED_VALUE"""),46062.0)</f>
        <v>46062</v>
      </c>
      <c r="R165" s="24" t="str">
        <f>IFERROR(__xludf.DUMMYFUNCTION("""COMPUTED_VALUE"""),"飯店回覆信件親切、迅速 性價比高 值得推薦加購早餐")</f>
        <v>飯店回覆信件親切、迅速 性價比高 值得推薦加購早餐</v>
      </c>
      <c r="S165" s="24"/>
      <c r="T165" s="24"/>
      <c r="U165" s="24" t="str">
        <f>IFERROR(__xludf.DUMMYFUNCTION("""COMPUTED_VALUE"""),"ホテルはメールへの返信が迅速かつ丁寧でした。料金に見合った価値があり、朝食付きプランをご希望の方には特におすすめです。")</f>
        <v>ホテルはメールへの返信が迅速かつ丁寧でした。料金に見合った価値があり、朝食付きプランをご希望の方には特におすすめです。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IFERROR(__xludf.DUMMYFUNCTION("""COMPUTED_VALUE"""),9.0)</f>
        <v>9</v>
      </c>
      <c r="Q166" s="25">
        <f>IFERROR(__xludf.DUMMYFUNCTION("""COMPUTED_VALUE"""),46061.0)</f>
        <v>46061</v>
      </c>
      <c r="R166" s="24"/>
      <c r="S166" s="24" t="str">
        <f>IFERROR(__xludf.DUMMYFUNCTION("""COMPUTED_VALUE"""),"Great location and good value. I stayed here by myself so the small room was fine with me. The convenience store was near by so it was really convenient. The subway station was close by so you can get to the main part of Tokyo from Kinshicho easily. There"&amp;"'s a direct bus to Tokyo Disneyland from Kinshicho station too.")</f>
        <v>Great location and good value. I stayed here by myself so the small room was fine with me. The convenience store was near by so it was really convenient. The subway station was close by so you can get to the main part of Tokyo from Kinshicho easily. There's a direct bus to Tokyo Disneyland from Kinshicho station too.</v>
      </c>
      <c r="T166" s="24"/>
      <c r="U166" s="24" t="str">
        <f>IFERROR(__xludf.DUMMYFUNCTION("""COMPUTED_VALUE"""),"")</f>
        <v/>
      </c>
      <c r="V166" s="24" t="str">
        <f>IFERROR(__xludf.DUMMYFUNCTION("""COMPUTED_VALUE"""),"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f>
        <v>立地も良く、料金も手頃でした。一人旅だったので、小さな部屋でも問題ありませんでした。近くにコンビニがあったのでとても便利でした。地下鉄の駅も近かったので、錦糸町から東京の中心部へ簡単にアクセスできます。錦糸町駅から東京ディズニーランド行きの直通バスも出ています。</v>
      </c>
      <c r="W166" s="24" t="str">
        <f>IFERROR(__xludf.DUMMYFUNCTION("""COMPUTED_VALUE"""),"")</f>
        <v/>
      </c>
      <c r="X166" s="24" t="str">
        <f>IFERROR(__xludf.DUMMYFUNCTION("""COMPUTED_VALUE"""),"Kaoru")</f>
        <v>Kaoru</v>
      </c>
    </row>
    <row r="167">
      <c r="D167" s="24"/>
      <c r="E167" s="24"/>
      <c r="F167" s="24"/>
      <c r="G167" s="24"/>
      <c r="H167" s="24"/>
      <c r="I167" s="24"/>
      <c r="J167" s="5"/>
      <c r="N167" s="24" t="b">
        <f>IFERROR(__xludf.DUMMYFUNCTION("""COMPUTED_VALUE"""),FALSE)</f>
        <v>0</v>
      </c>
      <c r="O167" s="18" t="str">
        <f>IFERROR(__xludf.DUMMYFUNCTION("""COMPUTED_VALUE"""),"Trip.com")</f>
        <v>Trip.com</v>
      </c>
      <c r="P167" s="24">
        <f>IFERROR(__xludf.DUMMYFUNCTION("""COMPUTED_VALUE"""),10.0)</f>
        <v>10</v>
      </c>
      <c r="Q167" s="25">
        <f>IFERROR(__xludf.DUMMYFUNCTION("""COMPUTED_VALUE"""),46059.0)</f>
        <v>46059</v>
      </c>
      <c r="R167" s="24" t="str">
        <f>IFERROR(__xludf.DUMMYFUNCTION("""COMPUTED_VALUE"""),"Everything was great , nice and clean room")</f>
        <v>Everything was great , nice and clean room</v>
      </c>
      <c r="S167" s="24"/>
      <c r="T167" s="24"/>
      <c r="U167" s="24" t="str">
        <f>IFERROR(__xludf.DUMMYFUNCTION("""COMPUTED_VALUE"""),"全てが素晴らしかったです。部屋も清潔で快適でした。")</f>
        <v>全てが素晴らしかったです。部屋も清潔で快適でした。</v>
      </c>
      <c r="V167" s="24" t="str">
        <f>IFERROR(__xludf.DUMMYFUNCTION("""COMPUTED_VALUE"""),"")</f>
        <v/>
      </c>
      <c r="W167" s="24" t="str">
        <f>IFERROR(__xludf.DUMMYFUNCTION("""COMPUTED_VALUE"""),"")</f>
        <v/>
      </c>
      <c r="X167" s="24" t="str">
        <f>IFERROR(__xludf.DUMMYFUNCTION("""COMPUTED_VALUE"""),"ゲ‍ス‍ト")</f>
        <v>ゲ‍ス‍ト</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IFERROR(__xludf.DUMMYFUNCTION("""COMPUTED_VALUE"""),46059.0)</f>
        <v>46059</v>
      </c>
      <c r="R168" s="24" t="str">
        <f>IFERROR(__xludf.DUMMYFUNCTION("""COMPUTED_VALUE"""),"최고입니다 깔끔하고 좋았어요 객실 시설도 쾌적하고 조식도 맛있었습니다. 나리타 공항까지 가는 루트도 편리하고  모든게 만족스럽습니다. 다음번에 부모님 모시고 또 숙박 할게요")</f>
        <v>최고입니다 깔끔하고 좋았어요 객실 시설도 쾌적하고 조식도 맛있었습니다. 나리타 공항까지 가는 루트도 편리하고  모든게 만족스럽습니다. 다음번에 부모님 모시고 또 숙박 할게요</v>
      </c>
      <c r="S168" s="24"/>
      <c r="T168" s="24"/>
      <c r="U168" s="24" t="str">
        <f>IFERROR(__xludf.DUMMYFUNCTION("""COMPUTED_VALUE"""),"最高ですすっきりと良かった部屋設備も快適で朝食も美味しかったです。成田空港までのルートも便利で、すべてが満足です。次回は両親を迎えてまた泊まります。")</f>
        <v>最高ですすっきりと良かった部屋設備も快適で朝食も美味しかったです。成田空港までのルートも便利で、すべてが満足です。次回は両親を迎えてまた泊まります。</v>
      </c>
      <c r="V168" s="24" t="str">
        <f>IFERROR(__xludf.DUMMYFUNCTION("""COMPUTED_VALUE"""),"")</f>
        <v/>
      </c>
      <c r="W168" s="24" t="str">
        <f>IFERROR(__xludf.DUMMYFUNCTION("""COMPUTED_VALUE"""),"")</f>
        <v/>
      </c>
      <c r="X168" s="24" t="str">
        <f>IFERROR(__xludf.DUMMYFUNCTION("""COMPUTED_VALUE"""),"ゲ‍ス‍ト")</f>
        <v>ゲ‍ス‍ト</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IFERROR(__xludf.DUMMYFUNCTION("""COMPUTED_VALUE"""),46058.0)</f>
        <v>46058</v>
      </c>
      <c r="R169" s="24"/>
      <c r="S169" s="24"/>
      <c r="T169" s="24"/>
      <c r="U169" s="24" t="str">
        <f>IFERROR(__xludf.DUMMYFUNCTION("""COMPUTED_VALUE"""),"")</f>
        <v/>
      </c>
      <c r="V169" s="24" t="str">
        <f>IFERROR(__xludf.DUMMYFUNCTION("""COMPUTED_VALUE"""),"")</f>
        <v/>
      </c>
      <c r="W169" s="24" t="str">
        <f>IFERROR(__xludf.DUMMYFUNCTION("""COMPUTED_VALUE"""),"")</f>
        <v/>
      </c>
      <c r="X169" s="24" t="str">
        <f>IFERROR(__xludf.DUMMYFUNCTION("""COMPUTED_VALUE"""),"Chia")</f>
        <v>Chia</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IFERROR(__xludf.DUMMYFUNCTION("""COMPUTED_VALUE"""),8.0)</f>
        <v>8</v>
      </c>
      <c r="Q170" s="25">
        <f>IFERROR(__xludf.DUMMYFUNCTION("""COMPUTED_VALUE"""),46057.0)</f>
        <v>46057</v>
      </c>
      <c r="R170" s="24"/>
      <c r="S170" s="24" t="str">
        <f>IFERROR(__xludf.DUMMYFUNCTION("""COMPUTED_VALUE"""),"房間空間大")</f>
        <v>房間空間大</v>
      </c>
      <c r="T170" s="24" t="str">
        <f>IFERROR(__xludf.DUMMYFUNCTION("""COMPUTED_VALUE"""),"感覺只有僕床，沒有更換，側所也不像每天清潔，更換的新毛巾就放在床上")</f>
        <v>感覺只有僕床，沒有更換，側所也不像每天清潔，更換的新毛巾就放在床上</v>
      </c>
      <c r="U170" s="24" t="str">
        <f>IFERROR(__xludf.DUMMYFUNCTION("""COMPUTED_VALUE"""),"")</f>
        <v/>
      </c>
      <c r="V170" s="24" t="str">
        <f>IFERROR(__xludf.DUMMYFUNCTION("""COMPUTED_VALUE"""),"広い部屋")</f>
        <v>広い部屋</v>
      </c>
      <c r="W170" s="24" t="str">
        <f>IFERROR(__xludf.DUMMYFUNCTION("""COMPUTED_VALUE"""),"ベッドしか使われていないようで、トイレは毎日掃除されておらず、新しいタオルはベッドの上に置きっぱなしだった。")</f>
        <v>ベッドしか使われていないようで、トイレは毎日掃除されておらず、新しいタオルはベッドの上に置きっぱなしだった。</v>
      </c>
      <c r="X170" s="24" t="str">
        <f>IFERROR(__xludf.DUMMYFUNCTION("""COMPUTED_VALUE"""),"匿名")</f>
        <v>匿名</v>
      </c>
    </row>
    <row r="171">
      <c r="D171" s="24"/>
      <c r="E171" s="24"/>
      <c r="F171" s="24"/>
      <c r="G171" s="24"/>
      <c r="H171" s="24"/>
      <c r="I171" s="24"/>
      <c r="J171" s="5"/>
      <c r="N171" s="24" t="b">
        <f>IFERROR(__xludf.DUMMYFUNCTION("""COMPUTED_VALUE"""),FALSE)</f>
        <v>0</v>
      </c>
      <c r="O171" s="24" t="str">
        <f>IFERROR(__xludf.DUMMYFUNCTION("""COMPUTED_VALUE"""),"Google")</f>
        <v>Google</v>
      </c>
      <c r="P171" s="24">
        <f>IFERROR(__xludf.DUMMYFUNCTION("""COMPUTED_VALUE"""),5.0)</f>
        <v>5</v>
      </c>
      <c r="Q171" s="25">
        <f>IFERROR(__xludf.DUMMYFUNCTION("""COMPUTED_VALUE"""),46057.0)</f>
        <v>46057</v>
      </c>
      <c r="R17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S171" s="24"/>
      <c r="T171" s="24"/>
      <c r="U171" s="24" t="str">
        <f>IFERROR(__xludf.DUMMYFUNCTION("""COMPUTED_VALUE"""),"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f>
        <v>京成リッチモンドホテル東京錦糸町での滞在は、スタッフの温かいおもてなしと、スムーズなチェックインのために惜しみない配慮で、まさに格別なサービスに感動しました。駅から歩いてすぐの好立地も大きな魅力で、すぐそばに美味しいレストランやショッピングスポットがたくさんあります。客室は確かに狭く、荷物を入れるには少し窮屈でしたが、モダンなアメニティと清潔感は東京観光の拠点として非常に快適でした。</v>
      </c>
      <c r="V171" s="24" t="str">
        <f>IFERROR(__xludf.DUMMYFUNCTION("""COMPUTED_VALUE"""),"")</f>
        <v/>
      </c>
      <c r="W171" s="24" t="str">
        <f>IFERROR(__xludf.DUMMYFUNCTION("""COMPUTED_VALUE"""),"")</f>
        <v/>
      </c>
      <c r="X171" s="24" t="str">
        <f>IFERROR(__xludf.DUMMYFUNCTION("""COMPUTED_VALUE"""),"Max Abramovich")</f>
        <v>Max Abramovich</v>
      </c>
    </row>
    <row r="172">
      <c r="D172" s="24"/>
      <c r="E172" s="24"/>
      <c r="F172" s="24"/>
      <c r="G172" s="24"/>
      <c r="H172" s="24"/>
      <c r="I172" s="24"/>
      <c r="J172" s="5"/>
      <c r="N172" s="24" t="b">
        <f>IFERROR(__xludf.DUMMYFUNCTION("""COMPUTED_VALUE"""),FALSE)</f>
        <v>0</v>
      </c>
      <c r="O172" s="24" t="str">
        <f>IFERROR(__xludf.DUMMYFUNCTION("""COMPUTED_VALUE"""),"Google")</f>
        <v>Google</v>
      </c>
      <c r="P172" s="24">
        <f>IFERROR(__xludf.DUMMYFUNCTION("""COMPUTED_VALUE"""),5.0)</f>
        <v>5</v>
      </c>
      <c r="Q172" s="25">
        <f>IFERROR(__xludf.DUMMYFUNCTION("""COMPUTED_VALUE"""),46057.0)</f>
        <v>46057</v>
      </c>
      <c r="R172" s="24" t="str">
        <f>IFERROR(__xludf.DUMMYFUNCTION("""COMPUTED_VALUE"""),"My stay at Keisei Richmond Hotel Tokyo Kinshicho was highlighted by the truly exceptional service, as the staff were incredibly welcoming and went out of their way to ensure a smooth check-in. The location is another major plus, being just a short walk fr"&amp;"om the station with plenty of great dining and shopping options right at the doorstep. While the rooms were undeniably small and a bit of a tight squeeze for my luggage, the modern amenities and overall cleanliness made it a very comfortable base for expl"&amp;"oring Tokyo.")</f>
        <v>My stay at Keisei Richmond Hotel Tokyo Kinshicho was highlighted by the truly exceptional service, as the staff were incredibly welcoming and went out of their way to ensure a smooth check-in. The location is another major plus, being just a short walk from the station with plenty of great dining and shopping options right at the doorstep. While the rooms were undeniably small and a bit of a tight squeeze for my luggage, the modern amenities and overall cleanliness made it a very comfortable base for exploring Tokyo.</v>
      </c>
      <c r="S172" s="24"/>
      <c r="T172" s="24"/>
      <c r="U172" s="24" t="str">
        <f>IFERROR(__xludf.DUMMYFUNCTION("""COMPUTED_VALUE"""),"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f>
        <v>京成リッチモンドホテル東京錦糸町での滞在は、スタッフの皆さんの温かいおもてなしとスムーズなチェックインへの配慮が特に印象的でした。立地も大きな魅力で、駅から徒歩圏内にあり、すぐそばには数多くのレストランやショップが軒を連ねています。客室は確かに狭く、荷物を入れるには少し窮屈でしたが、モダンな設備と清潔さのおかげで、東京観光の拠点として非常に快適な滞在となりました。</v>
      </c>
      <c r="V172" s="24" t="str">
        <f>IFERROR(__xludf.DUMMYFUNCTION("""COMPUTED_VALUE"""),"")</f>
        <v/>
      </c>
      <c r="W172" s="24" t="str">
        <f>IFERROR(__xludf.DUMMYFUNCTION("""COMPUTED_VALUE"""),"")</f>
        <v/>
      </c>
      <c r="X172" s="24" t="str">
        <f>IFERROR(__xludf.DUMMYFUNCTION("""COMPUTED_VALUE"""),"Max Abramovich")</f>
        <v>Max Abramovich</v>
      </c>
    </row>
    <row r="173">
      <c r="D173" s="24"/>
      <c r="E173" s="24"/>
      <c r="F173" s="24"/>
      <c r="G173" s="24"/>
      <c r="H173" s="24"/>
      <c r="I173" s="24"/>
      <c r="J173" s="5"/>
      <c r="N173" s="24" t="b">
        <f>IFERROR(__xludf.DUMMYFUNCTION("""COMPUTED_VALUE"""),FALSE)</f>
        <v>0</v>
      </c>
      <c r="O173" s="18" t="str">
        <f>IFERROR(__xludf.DUMMYFUNCTION("""COMPUTED_VALUE"""),"Booking.com")</f>
        <v>Booking.com</v>
      </c>
      <c r="P173" s="24">
        <f>IFERROR(__xludf.DUMMYFUNCTION("""COMPUTED_VALUE"""),9.0)</f>
        <v>9</v>
      </c>
      <c r="Q173" s="25">
        <f>IFERROR(__xludf.DUMMYFUNCTION("""COMPUTED_VALUE"""),46056.0)</f>
        <v>46056</v>
      </c>
      <c r="R173" s="24"/>
      <c r="S173" s="24" t="str">
        <f>IFERROR(__xludf.DUMMYFUNCTION("""COMPUTED_VALUE"""),"Its not bad multi conbinis around and some fast food too.")</f>
        <v>Its not bad multi conbinis around and some fast food too.</v>
      </c>
      <c r="T173" s="24" t="str">
        <f>IFERROR(__xludf.DUMMYFUNCTION("""COMPUTED_VALUE"""),"Its a little far from the station but youll walk past some conbinis on the way and coco and matsuya so if you dont mind walking 10 mins everytime you go out its not that bad.")</f>
        <v>Its a little far from the station but youll walk past some conbinis on the way and coco and matsuya so if you dont mind walking 10 mins everytime you go out its not that bad.</v>
      </c>
      <c r="U173" s="24" t="str">
        <f>IFERROR(__xludf.DUMMYFUNCTION("""COMPUTED_VALUE"""),"")</f>
        <v/>
      </c>
      <c r="V173" s="24" t="str">
        <f>IFERROR(__xludf.DUMMYFUNCTION("""COMPUTED_VALUE"""),"周辺には悪くないコンビニエンスストアやファストフード店もある。")</f>
        <v>周辺には悪くないコンビニエンスストアやファストフード店もある。</v>
      </c>
      <c r="W173" s="24" t="str">
        <f>IFERROR(__xludf.DUMMYFUNCTION("""COMPUTED_VALUE"""),"駅から少し遠いですが、途中にコンビニやココ、マツヤなどがあるので、外出するたびに10分歩くのが苦にならないなら、それほど悪くはありません。")</f>
        <v>駅から少し遠いですが、途中にコンビニやココ、マツヤなどがあるので、外出するたびに10分歩くのが苦にならないなら、それほど悪くはありません。</v>
      </c>
      <c r="X173" s="24" t="str">
        <f>IFERROR(__xludf.DUMMYFUNCTION("""COMPUTED_VALUE"""),"Mark")</f>
        <v>Mark</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29"/>
    <hyperlink r:id="rId43" ref="O29"/>
    <hyperlink r:id="rId44" ref="C31"/>
    <hyperlink r:id="rId45" ref="O31"/>
    <hyperlink r:id="rId46" ref="C32"/>
    <hyperlink r:id="rId47" ref="O32"/>
    <hyperlink r:id="rId48" ref="C33"/>
    <hyperlink r:id="rId49" ref="O33"/>
    <hyperlink r:id="rId50" ref="C35"/>
    <hyperlink r:id="rId51" ref="O35"/>
    <hyperlink r:id="rId52" ref="C36"/>
    <hyperlink r:id="rId53" ref="O36"/>
    <hyperlink r:id="rId54" ref="C37"/>
    <hyperlink r:id="rId55" ref="O37"/>
    <hyperlink r:id="rId56" ref="C38"/>
    <hyperlink r:id="rId57" ref="O38"/>
    <hyperlink r:id="rId58" ref="C39"/>
    <hyperlink r:id="rId59" ref="O39"/>
    <hyperlink r:id="rId60" ref="C40"/>
    <hyperlink r:id="rId61" ref="O40"/>
    <hyperlink r:id="rId62" ref="C41"/>
    <hyperlink r:id="rId63" ref="O41"/>
    <hyperlink r:id="rId64" ref="C42"/>
    <hyperlink r:id="rId65" ref="O42"/>
    <hyperlink r:id="rId66" ref="C44"/>
    <hyperlink r:id="rId67" ref="O44"/>
    <hyperlink r:id="rId68" ref="C46"/>
    <hyperlink r:id="rId69" ref="O46"/>
    <hyperlink r:id="rId70" ref="C47"/>
    <hyperlink r:id="rId71" ref="O47"/>
    <hyperlink r:id="rId72" ref="C48"/>
    <hyperlink r:id="rId73" ref="O48"/>
    <hyperlink r:id="rId74" ref="C49"/>
    <hyperlink r:id="rId75" ref="O49"/>
    <hyperlink r:id="rId76" ref="C51"/>
    <hyperlink r:id="rId77" ref="O51"/>
    <hyperlink r:id="rId78" ref="C52"/>
    <hyperlink r:id="rId79" ref="O52"/>
    <hyperlink r:id="rId80" ref="C53"/>
    <hyperlink r:id="rId81" ref="O53"/>
    <hyperlink r:id="rId82" ref="C54"/>
    <hyperlink r:id="rId83" ref="O54"/>
    <hyperlink r:id="rId84" ref="C55"/>
    <hyperlink r:id="rId85" ref="O55"/>
    <hyperlink r:id="rId86" ref="C56"/>
    <hyperlink r:id="rId87" ref="O56"/>
    <hyperlink r:id="rId88" ref="C57"/>
    <hyperlink r:id="rId89" ref="O57"/>
    <hyperlink r:id="rId90" ref="C58"/>
    <hyperlink r:id="rId91" ref="O58"/>
    <hyperlink r:id="rId92" ref="C59"/>
    <hyperlink r:id="rId93" ref="O59"/>
    <hyperlink r:id="rId94" ref="C60"/>
    <hyperlink r:id="rId95" ref="O60"/>
    <hyperlink r:id="rId96" ref="C61"/>
    <hyperlink r:id="rId97" ref="O61"/>
    <hyperlink r:id="rId98" ref="C62"/>
    <hyperlink r:id="rId99" ref="O62"/>
    <hyperlink r:id="rId100" ref="C63"/>
    <hyperlink r:id="rId101" ref="O63"/>
    <hyperlink r:id="rId102" ref="C64"/>
    <hyperlink r:id="rId103" ref="O64"/>
    <hyperlink r:id="rId104" ref="C65"/>
    <hyperlink r:id="rId105" ref="O65"/>
    <hyperlink r:id="rId106" ref="C66"/>
    <hyperlink r:id="rId107" ref="O66"/>
    <hyperlink r:id="rId108" ref="C67"/>
    <hyperlink r:id="rId109" ref="O67"/>
    <hyperlink r:id="rId110" ref="C68"/>
    <hyperlink r:id="rId111" ref="O68"/>
    <hyperlink r:id="rId112" ref="C69"/>
    <hyperlink r:id="rId113" ref="O69"/>
    <hyperlink r:id="rId114" ref="C71"/>
    <hyperlink r:id="rId115" ref="O71"/>
    <hyperlink r:id="rId116" ref="C72"/>
    <hyperlink r:id="rId117" ref="O72"/>
    <hyperlink r:id="rId118" ref="C73"/>
    <hyperlink r:id="rId119" ref="O73"/>
    <hyperlink r:id="rId120" ref="C74"/>
    <hyperlink r:id="rId121" ref="O74"/>
    <hyperlink r:id="rId122" ref="C75"/>
    <hyperlink r:id="rId123" ref="O75"/>
    <hyperlink r:id="rId124" ref="C76"/>
    <hyperlink r:id="rId125" ref="O76"/>
    <hyperlink r:id="rId126" ref="C77"/>
    <hyperlink r:id="rId127" ref="O77"/>
    <hyperlink r:id="rId128" ref="C78"/>
    <hyperlink r:id="rId129" ref="O78"/>
    <hyperlink r:id="rId130" ref="C79"/>
    <hyperlink r:id="rId131" ref="O79"/>
    <hyperlink r:id="rId132" ref="C80"/>
    <hyperlink r:id="rId133" ref="C81"/>
    <hyperlink r:id="rId134" ref="C82"/>
    <hyperlink r:id="rId135" ref="C83"/>
    <hyperlink r:id="rId136" ref="C84"/>
    <hyperlink r:id="rId137" ref="C85"/>
    <hyperlink r:id="rId138" ref="C86"/>
    <hyperlink r:id="rId139" ref="C88"/>
    <hyperlink r:id="rId140" ref="C91"/>
    <hyperlink r:id="rId141" ref="C92"/>
    <hyperlink r:id="rId142" ref="C93"/>
    <hyperlink r:id="rId143" ref="C96"/>
    <hyperlink r:id="rId144" ref="C97"/>
    <hyperlink r:id="rId145" ref="C98"/>
    <hyperlink r:id="rId146" ref="C99"/>
    <hyperlink r:id="rId147" ref="C100"/>
    <hyperlink r:id="rId148" ref="O100"/>
    <hyperlink r:id="rId149" ref="C101"/>
    <hyperlink r:id="rId150" ref="O101"/>
    <hyperlink r:id="rId151" ref="C102"/>
    <hyperlink r:id="rId152" ref="O102"/>
    <hyperlink r:id="rId153" ref="C103"/>
    <hyperlink r:id="rId154" ref="O103"/>
    <hyperlink r:id="rId155" ref="C104"/>
    <hyperlink r:id="rId156" ref="O104"/>
    <hyperlink r:id="rId157" ref="O105"/>
    <hyperlink r:id="rId158" ref="O106"/>
    <hyperlink r:id="rId159" ref="C107"/>
    <hyperlink r:id="rId160" ref="O108"/>
    <hyperlink r:id="rId161" ref="C109"/>
    <hyperlink r:id="rId162" ref="C110"/>
    <hyperlink r:id="rId163" ref="O111"/>
    <hyperlink r:id="rId164" ref="C112"/>
    <hyperlink r:id="rId165" ref="O112"/>
    <hyperlink r:id="rId166" ref="C113"/>
    <hyperlink r:id="rId167" ref="O113"/>
    <hyperlink r:id="rId168" ref="C114"/>
    <hyperlink r:id="rId169" ref="C115"/>
    <hyperlink r:id="rId170" ref="C116"/>
    <hyperlink r:id="rId171" ref="O116"/>
    <hyperlink r:id="rId172" ref="O117"/>
    <hyperlink r:id="rId173" ref="C118"/>
    <hyperlink r:id="rId174" ref="O118"/>
    <hyperlink r:id="rId175" ref="C119"/>
    <hyperlink r:id="rId176" ref="O119"/>
    <hyperlink r:id="rId177" ref="C120"/>
    <hyperlink r:id="rId178" ref="O120"/>
    <hyperlink r:id="rId179" ref="C121"/>
    <hyperlink r:id="rId180" ref="O121"/>
    <hyperlink r:id="rId181" ref="O122"/>
    <hyperlink r:id="rId182" ref="C123"/>
    <hyperlink r:id="rId183" ref="O123"/>
    <hyperlink r:id="rId184" ref="C124"/>
    <hyperlink r:id="rId185" ref="O124"/>
    <hyperlink r:id="rId186" ref="C125"/>
    <hyperlink r:id="rId187" ref="C126"/>
    <hyperlink r:id="rId188" ref="C127"/>
    <hyperlink r:id="rId189" ref="O127"/>
    <hyperlink r:id="rId190" ref="C128"/>
    <hyperlink r:id="rId191" ref="C129"/>
    <hyperlink r:id="rId192" ref="O129"/>
    <hyperlink r:id="rId193" ref="C130"/>
    <hyperlink r:id="rId194" ref="O130"/>
    <hyperlink r:id="rId195" ref="C131"/>
    <hyperlink r:id="rId196" ref="C132"/>
    <hyperlink r:id="rId197" ref="O132"/>
    <hyperlink r:id="rId198" ref="C133"/>
    <hyperlink r:id="rId199" ref="O133"/>
    <hyperlink r:id="rId200" ref="O134"/>
    <hyperlink r:id="rId201" ref="O135"/>
    <hyperlink r:id="rId202" ref="C136"/>
    <hyperlink r:id="rId203" ref="O136"/>
    <hyperlink r:id="rId204" ref="C137"/>
    <hyperlink r:id="rId205" ref="C138"/>
    <hyperlink r:id="rId206" ref="O138"/>
    <hyperlink r:id="rId207" ref="C139"/>
    <hyperlink r:id="rId208" ref="O139"/>
    <hyperlink r:id="rId209" ref="O140"/>
    <hyperlink r:id="rId210" ref="C141"/>
    <hyperlink r:id="rId211" ref="O141"/>
    <hyperlink r:id="rId212" ref="C142"/>
    <hyperlink r:id="rId213" ref="C143"/>
    <hyperlink r:id="rId214" ref="O143"/>
    <hyperlink r:id="rId215" ref="C144"/>
    <hyperlink r:id="rId216" ref="O144"/>
    <hyperlink r:id="rId217" ref="C145"/>
    <hyperlink r:id="rId218" ref="O145"/>
    <hyperlink r:id="rId219" ref="C146"/>
    <hyperlink r:id="rId220" ref="O146"/>
    <hyperlink r:id="rId221" ref="C147"/>
    <hyperlink r:id="rId222" ref="O147"/>
    <hyperlink r:id="rId223" ref="C148"/>
    <hyperlink r:id="rId224" ref="O148"/>
    <hyperlink r:id="rId225" ref="C149"/>
    <hyperlink r:id="rId226" ref="O149"/>
    <hyperlink r:id="rId227" ref="C150"/>
    <hyperlink r:id="rId228" ref="O150"/>
    <hyperlink r:id="rId229" ref="O151"/>
    <hyperlink r:id="rId230" ref="O152"/>
    <hyperlink r:id="rId231" ref="C153"/>
    <hyperlink r:id="rId232" ref="O153"/>
    <hyperlink r:id="rId233" ref="O156"/>
    <hyperlink r:id="rId234" ref="O157"/>
    <hyperlink r:id="rId235" ref="O158"/>
    <hyperlink r:id="rId236" ref="O159"/>
    <hyperlink r:id="rId237" ref="O161"/>
    <hyperlink r:id="rId238" ref="O162"/>
    <hyperlink r:id="rId239" ref="O163"/>
    <hyperlink r:id="rId240" ref="O164"/>
    <hyperlink r:id="rId241" ref="O165"/>
    <hyperlink r:id="rId242" ref="O166"/>
    <hyperlink r:id="rId243" ref="O167"/>
    <hyperlink r:id="rId244" ref="O168"/>
    <hyperlink r:id="rId245" ref="O169"/>
    <hyperlink r:id="rId246" ref="O170"/>
    <hyperlink r:id="rId247" ref="O173"/>
  </hyperlinks>
  <printOptions gridLines="1" horizontalCentered="1"/>
  <pageMargins bottom="0.75" footer="0.0" header="0.0" left="0.7" right="0.7" top="0.75"/>
  <pageSetup fitToHeight="0" paperSize="9" cellComments="atEnd" orientation="landscape" pageOrder="overThenDown"/>
  <drawing r:id="rId2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0.001004823151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160</v>
      </c>
      <c r="W12" s="77"/>
      <c r="X12" s="87">
        <f t="shared" si="10"/>
        <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46114.0</v>
      </c>
      <c r="C8" s="295">
        <v>119.0</v>
      </c>
      <c r="D8" s="295">
        <v>55.0</v>
      </c>
      <c r="E8" s="296">
        <f>C8*$D$3</f>
        <v>38.199</v>
      </c>
      <c r="F8" s="296">
        <f>(C8-E8)*$H$3</f>
        <v>61.893566</v>
      </c>
      <c r="G8" s="296">
        <f>D8+E8+F8</f>
        <v>155.092566</v>
      </c>
      <c r="H8" s="296">
        <f>D8+E8+(F8/4)</f>
        <v>108.6723915</v>
      </c>
      <c r="I8" s="297"/>
      <c r="J8" s="298">
        <f>H8/($D$5+($D$6/4))</f>
        <v>8.049806778</v>
      </c>
      <c r="K8" s="299">
        <f>ROUNDUP(J8,0)</f>
        <v>9</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136905</v>
      </c>
      <c r="D1" s="305">
        <f>AZ20</f>
        <v>23128.78788</v>
      </c>
      <c r="E1" s="305">
        <f>BG23</f>
        <v>72804.66667</v>
      </c>
      <c r="F1" s="305">
        <f>BB23+BG40</f>
        <v>60000</v>
      </c>
      <c r="G1" s="305">
        <f t="shared" ref="G1:H1" si="1">I8</f>
        <v>3488.693182</v>
      </c>
      <c r="H1" s="305">
        <f t="shared" si="1"/>
        <v>30875</v>
      </c>
      <c r="I1" s="306">
        <f>G8</f>
        <v>0.8685714286</v>
      </c>
      <c r="J1" s="306">
        <f>AT7</f>
        <v>0</v>
      </c>
      <c r="K1" s="307">
        <f>AV44</f>
        <v>0</v>
      </c>
      <c r="L1" s="308">
        <f>F44</f>
        <v>160</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0.2884245015</v>
      </c>
      <c r="D7" s="77"/>
      <c r="E7" s="346">
        <f>AU12</f>
        <v>0.5655050713</v>
      </c>
      <c r="F7" s="77"/>
      <c r="G7" s="347" t="s">
        <v>286</v>
      </c>
      <c r="H7" s="348">
        <f t="array" ref="H7">xlookup($D$5,'🌟目標数値'!$A$3:$A$14,'🌟目標数値'!E$3:E14)</f>
        <v>4850400</v>
      </c>
      <c r="I7" s="348" t="s">
        <v>286</v>
      </c>
      <c r="J7" s="349" t="s">
        <v>286</v>
      </c>
      <c r="K7" s="350" t="s">
        <v>286</v>
      </c>
      <c r="L7" s="350" t="s">
        <v>286</v>
      </c>
      <c r="M7" s="351">
        <f t="array" ref="M7">xlookup($D$5,'🌟目標数値'!$A$3:$A$14,'🌟目標数値'!F$3:F14)</f>
        <v>1398974.202</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0.2737873144</v>
      </c>
      <c r="D8" s="77"/>
      <c r="E8" s="358">
        <f>(BB23+BG23-BE24)/H8</f>
        <v>0.5317896838</v>
      </c>
      <c r="F8" s="77"/>
      <c r="G8" s="359">
        <f>G47</f>
        <v>0.8685714286</v>
      </c>
      <c r="H8" s="360">
        <f>BB30</f>
        <v>136905</v>
      </c>
      <c r="I8" s="361">
        <f>IFERROR(__xludf.DUMMYFUNCTION("IMPORTRANGE(""https://docs.google.com/spreadsheets/d/1QbHfX9wvC_RRupa4CCe_ZxA6O4e2Ap9vqX5hrZPeQRg/edit"",""date2_1!Q17"")/G5*COUNTIFS($E$13:$E$43,""&gt;0"")"),3488.693181818182)</f>
        <v>3488.693182</v>
      </c>
      <c r="J8" s="362">
        <f>IFERROR(__xludf.DUMMYFUNCTION("IMPORTRANGE(""https://docs.google.com/spreadsheets/d/1PIAlDmsTatDNi42y_Nu-aVFqvVCXfe6jiDJFQImKjZ0/edit#gid=630612029"",""R8_3!J17"")"),30875.0)</f>
        <v>30875</v>
      </c>
      <c r="K8" s="363">
        <f>BE24</f>
        <v>0</v>
      </c>
      <c r="L8" s="363">
        <f>BB30-BB23-AZ20-BG45-BG23+BE24</f>
        <v>40971.54545</v>
      </c>
      <c r="M8" s="364">
        <f>L8-I8</f>
        <v>37482.85227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161680</v>
      </c>
      <c r="I9" s="374" t="s">
        <v>286</v>
      </c>
      <c r="J9" s="375" t="s">
        <v>286</v>
      </c>
      <c r="K9" s="376" t="s">
        <v>286</v>
      </c>
      <c r="L9" s="376" t="s">
        <v>286</v>
      </c>
      <c r="M9" s="377">
        <f>M7/G5*COUNTIFS($E$11:$E$41,"&gt;0")</f>
        <v>46632.4734</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0.5655050713</v>
      </c>
      <c r="AV12" s="395"/>
      <c r="AW12" s="395"/>
      <c r="AX12" s="315"/>
      <c r="AY12" s="398" t="s">
        <v>338</v>
      </c>
      <c r="BI12" s="222"/>
      <c r="BJ12" s="222"/>
      <c r="BL12" s="222"/>
      <c r="BM12" s="222"/>
    </row>
    <row r="13" ht="15.75" customHeight="1">
      <c r="A13" s="314"/>
      <c r="B13" s="399" t="b">
        <v>0</v>
      </c>
      <c r="C13" s="400">
        <f>D5</f>
        <v>46113</v>
      </c>
      <c r="D13" s="401" t="str">
        <f t="shared" ref="D13:D43" si="2">TEXT(C13,"ddd")</f>
        <v>水</v>
      </c>
      <c r="E13" s="401">
        <f t="shared" ref="E13:E43" si="3">if(H13="","",175)</f>
        <v>175</v>
      </c>
      <c r="F13" s="401">
        <f t="shared" ref="F13:F43" si="4">if(H13="","",sum(H13:L13))</f>
        <v>160</v>
      </c>
      <c r="G13" s="401">
        <f t="shared" ref="G13:G43" si="5">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126985</v>
      </c>
      <c r="AT13" s="408">
        <f>IFERROR(__xludf.DUMMYFUNCTION("FLATTEN('⚙️抽出用'!B5:AF5)"),67997.66666666667)</f>
        <v>67997.66667</v>
      </c>
      <c r="AU13" s="409">
        <f t="shared" ref="AU13:AU43" si="8">if(E13="","",iferror((AT13+AR13+$BF$23/if(month($D$5)=month(today()),day(today()),$G$5))/(AS13+(sum($BA$31:$BA$32)/$G$5)),""))</f>
        <v>0.5161438923</v>
      </c>
      <c r="AV13" s="401">
        <f>countifs('🔵クレーム'!$C:$C,MONTH($D$5)&amp;"月",'🔵クレーム'!$D:$D,day(C13)&amp;"日",'🔵クレーム'!$I:$I,"&lt;&gt;")</f>
        <v>0</v>
      </c>
      <c r="AW13" s="410"/>
      <c r="AX13" s="411"/>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c r="B14" s="417" t="b">
        <v>0</v>
      </c>
      <c r="C14" s="400">
        <f t="shared" ref="C14:C43" si="9">IF(C13="","",IF(DAY(C13+1)=1,"",C13+1))</f>
        <v>46114</v>
      </c>
      <c r="D14" s="401" t="str">
        <f t="shared" si="2"/>
        <v>木</v>
      </c>
      <c r="E14" s="401" t="str">
        <f t="shared" si="3"/>
        <v/>
      </c>
      <c r="F14" s="401" t="str">
        <f t="shared" si="4"/>
        <v/>
      </c>
      <c r="G14" s="401" t="str">
        <f t="shared" si="5"/>
        <v/>
      </c>
      <c r="H14" s="418"/>
      <c r="I14" s="418"/>
      <c r="J14" s="418"/>
      <c r="K14" s="418"/>
      <c r="L14" s="418"/>
      <c r="M14" s="418"/>
      <c r="N14" s="418"/>
      <c r="O14" s="418"/>
      <c r="P14" s="418"/>
      <c r="Q14" s="418"/>
      <c r="R14" s="418"/>
      <c r="S14" s="418"/>
      <c r="T14" s="418"/>
      <c r="U14" s="418"/>
      <c r="V14" s="418"/>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7">
        <f t="shared" si="6"/>
        <v>0</v>
      </c>
      <c r="AS14" s="408">
        <f t="shared" si="7"/>
        <v>0</v>
      </c>
      <c r="AT14" s="408">
        <f>IFERROR(__xludf.DUMMYFUNCTION("""COMPUTED_VALUE"""),0.0)</f>
        <v>0</v>
      </c>
      <c r="AU14" s="409" t="str">
        <f t="shared" si="8"/>
        <v/>
      </c>
      <c r="AV14" s="401">
        <f>countifs('🔵クレーム'!$C:$C,MONTH($D$5)&amp;"月",'🔵クレーム'!$D:$D,day(C14)&amp;"日",'🔵クレーム'!$I:$I,"&lt;&gt;")</f>
        <v>0</v>
      </c>
      <c r="AW14" s="410"/>
      <c r="AX14" s="411"/>
      <c r="AY14" s="421" t="s">
        <v>132</v>
      </c>
      <c r="AZ14" s="422"/>
      <c r="BA14" s="422"/>
      <c r="BB14" s="423"/>
      <c r="BC14" s="315"/>
      <c r="BD14" s="424"/>
      <c r="BE14" s="422"/>
      <c r="BF14" s="422"/>
      <c r="BG14" s="423"/>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c r="B15" s="399" t="b">
        <v>0</v>
      </c>
      <c r="C15" s="400">
        <f t="shared" si="9"/>
        <v>46115</v>
      </c>
      <c r="D15" s="401" t="str">
        <f t="shared" si="2"/>
        <v>金</v>
      </c>
      <c r="E15" s="401" t="str">
        <f t="shared" si="3"/>
        <v/>
      </c>
      <c r="F15" s="401" t="str">
        <f t="shared" si="4"/>
        <v/>
      </c>
      <c r="G15" s="401" t="str">
        <f t="shared" si="5"/>
        <v/>
      </c>
      <c r="H15" s="403"/>
      <c r="I15" s="403"/>
      <c r="J15" s="403"/>
      <c r="K15" s="403"/>
      <c r="L15" s="403"/>
      <c r="M15" s="403"/>
      <c r="N15" s="403"/>
      <c r="O15" s="403"/>
      <c r="P15" s="403"/>
      <c r="Q15" s="403"/>
      <c r="R15" s="403"/>
      <c r="S15" s="403"/>
      <c r="T15" s="403"/>
      <c r="U15" s="403"/>
      <c r="V15" s="403"/>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IFERROR(__xludf.DUMMYFUNCTION("""COMPUTED_VALUE"""),0.0)</f>
        <v>0</v>
      </c>
      <c r="AU15" s="409" t="str">
        <f t="shared" si="8"/>
        <v/>
      </c>
      <c r="AV15" s="401">
        <f>countifs('🔵クレーム'!$C:$C,MONTH($D$5)&amp;"月",'🔵クレーム'!$D:$D,day(C15)&amp;"日",'🔵クレーム'!$I:$I,"&lt;&gt;")</f>
        <v>0</v>
      </c>
      <c r="AW15" s="410"/>
      <c r="AX15" s="411"/>
      <c r="AY15" s="421" t="s">
        <v>142</v>
      </c>
      <c r="AZ15" s="425"/>
      <c r="BA15" s="422"/>
      <c r="BB15" s="426"/>
      <c r="BC15" s="315"/>
      <c r="BD15" s="424"/>
      <c r="BE15" s="422"/>
      <c r="BF15" s="422"/>
      <c r="BG15" s="423"/>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c r="B16" s="417" t="b">
        <v>0</v>
      </c>
      <c r="C16" s="400">
        <f t="shared" si="9"/>
        <v>46116</v>
      </c>
      <c r="D16" s="401" t="str">
        <f t="shared" si="2"/>
        <v>土</v>
      </c>
      <c r="E16" s="401" t="str">
        <f t="shared" si="3"/>
        <v/>
      </c>
      <c r="F16" s="401" t="str">
        <f t="shared" si="4"/>
        <v/>
      </c>
      <c r="G16" s="401" t="str">
        <f t="shared" si="5"/>
        <v/>
      </c>
      <c r="H16" s="418"/>
      <c r="I16" s="418"/>
      <c r="J16" s="418"/>
      <c r="K16" s="418"/>
      <c r="L16" s="418"/>
      <c r="M16" s="418"/>
      <c r="N16" s="418"/>
      <c r="O16" s="418"/>
      <c r="P16" s="418"/>
      <c r="Q16" s="418"/>
      <c r="R16" s="418"/>
      <c r="S16" s="418"/>
      <c r="T16" s="418"/>
      <c r="U16" s="418"/>
      <c r="V16" s="418"/>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7">
        <f t="shared" si="6"/>
        <v>0</v>
      </c>
      <c r="AS16" s="408">
        <f t="shared" si="7"/>
        <v>0</v>
      </c>
      <c r="AT16" s="408">
        <f>IFERROR(__xludf.DUMMYFUNCTION("""COMPUTED_VALUE"""),0.0)</f>
        <v>0</v>
      </c>
      <c r="AU16" s="409" t="str">
        <f t="shared" si="8"/>
        <v/>
      </c>
      <c r="AV16" s="401">
        <f>countifs('🔵クレーム'!$C:$C,MONTH($D$5)&amp;"月",'🔵クレーム'!$D:$D,day(C16)&amp;"日",'🔵クレーム'!$I:$I,"&lt;&gt;")</f>
        <v>0</v>
      </c>
      <c r="AW16" s="410"/>
      <c r="AX16" s="411"/>
      <c r="AY16" s="421" t="s">
        <v>119</v>
      </c>
      <c r="AZ16" s="422"/>
      <c r="BA16" s="422"/>
      <c r="BB16" s="423"/>
      <c r="BC16" s="315"/>
      <c r="BD16" s="424"/>
      <c r="BE16" s="422"/>
      <c r="BF16" s="422"/>
      <c r="BG16" s="423"/>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c r="B17" s="399" t="b">
        <v>0</v>
      </c>
      <c r="C17" s="400">
        <f t="shared" si="9"/>
        <v>46117</v>
      </c>
      <c r="D17" s="401" t="str">
        <f t="shared" si="2"/>
        <v>日</v>
      </c>
      <c r="E17" s="401" t="str">
        <f t="shared" si="3"/>
        <v/>
      </c>
      <c r="F17" s="401" t="str">
        <f t="shared" si="4"/>
        <v/>
      </c>
      <c r="G17" s="401" t="str">
        <f t="shared" si="5"/>
        <v/>
      </c>
      <c r="H17" s="403"/>
      <c r="I17" s="403"/>
      <c r="J17" s="403"/>
      <c r="K17" s="403"/>
      <c r="L17" s="403"/>
      <c r="M17" s="403"/>
      <c r="N17" s="403"/>
      <c r="O17" s="403"/>
      <c r="P17" s="403"/>
      <c r="Q17" s="403"/>
      <c r="R17" s="403"/>
      <c r="S17" s="403"/>
      <c r="T17" s="403"/>
      <c r="U17" s="403"/>
      <c r="V17" s="403"/>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IFERROR(__xludf.DUMMYFUNCTION("""COMPUTED_VALUE"""),0.0)</f>
        <v>0</v>
      </c>
      <c r="AU17" s="409" t="str">
        <f t="shared" si="8"/>
        <v/>
      </c>
      <c r="AV17" s="401">
        <f>countifs('🔵クレーム'!$C:$C,MONTH($D$5)&amp;"月",'🔵クレーム'!$D:$D,day(C17)&amp;"日",'🔵クレーム'!$I:$I,"&lt;&gt;")</f>
        <v>0</v>
      </c>
      <c r="AW17" s="410"/>
      <c r="AX17" s="411"/>
      <c r="AY17" s="421"/>
      <c r="AZ17" s="422"/>
      <c r="BA17" s="422"/>
      <c r="BB17" s="423"/>
      <c r="BC17" s="315"/>
      <c r="BD17" s="424"/>
      <c r="BE17" s="422"/>
      <c r="BF17" s="422"/>
      <c r="BG17" s="423"/>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9"/>
        <v>46118</v>
      </c>
      <c r="D18" s="401" t="str">
        <f t="shared" si="2"/>
        <v>月</v>
      </c>
      <c r="E18" s="401" t="str">
        <f t="shared" si="3"/>
        <v/>
      </c>
      <c r="F18" s="401" t="str">
        <f t="shared" si="4"/>
        <v/>
      </c>
      <c r="G18" s="401" t="str">
        <f t="shared" si="5"/>
        <v/>
      </c>
      <c r="H18" s="418"/>
      <c r="I18" s="418"/>
      <c r="J18" s="418"/>
      <c r="K18" s="418"/>
      <c r="L18" s="418"/>
      <c r="M18" s="418"/>
      <c r="N18" s="418"/>
      <c r="O18" s="418"/>
      <c r="P18" s="418"/>
      <c r="Q18" s="418"/>
      <c r="R18" s="418"/>
      <c r="S18" s="418"/>
      <c r="T18" s="418"/>
      <c r="U18" s="418"/>
      <c r="V18" s="418"/>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7">
        <f t="shared" si="6"/>
        <v>0</v>
      </c>
      <c r="AS18" s="408">
        <f t="shared" si="7"/>
        <v>0</v>
      </c>
      <c r="AT18" s="408">
        <f>IFERROR(__xludf.DUMMYFUNCTION("""COMPUTED_VALUE"""),0.0)</f>
        <v>0</v>
      </c>
      <c r="AU18" s="409" t="str">
        <f t="shared" si="8"/>
        <v/>
      </c>
      <c r="AV18" s="401">
        <f>countifs('🔵クレーム'!$C:$C,MONTH($D$5)&amp;"月",'🔵クレーム'!$D:$D,day(C18)&amp;"日",'🔵クレーム'!$I:$I,"&lt;&gt;")</f>
        <v>0</v>
      </c>
      <c r="AW18" s="410"/>
      <c r="AX18" s="411"/>
      <c r="AY18" s="424"/>
      <c r="AZ18" s="422"/>
      <c r="BA18" s="422"/>
      <c r="BB18" s="423"/>
      <c r="BC18" s="315"/>
      <c r="BD18" s="424"/>
      <c r="BE18" s="422"/>
      <c r="BF18" s="422"/>
      <c r="BG18" s="423"/>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7" t="b">
        <v>0</v>
      </c>
      <c r="C19" s="400">
        <f t="shared" si="9"/>
        <v>46119</v>
      </c>
      <c r="D19" s="401" t="str">
        <f t="shared" si="2"/>
        <v>火</v>
      </c>
      <c r="E19" s="401" t="str">
        <f t="shared" si="3"/>
        <v/>
      </c>
      <c r="F19" s="401" t="str">
        <f t="shared" si="4"/>
        <v/>
      </c>
      <c r="G19" s="401" t="str">
        <f t="shared" si="5"/>
        <v/>
      </c>
      <c r="H19" s="403"/>
      <c r="I19" s="403"/>
      <c r="J19" s="403"/>
      <c r="K19" s="403"/>
      <c r="L19" s="403"/>
      <c r="M19" s="403"/>
      <c r="N19" s="403"/>
      <c r="O19" s="403"/>
      <c r="P19" s="403"/>
      <c r="Q19" s="403"/>
      <c r="R19" s="403"/>
      <c r="S19" s="403"/>
      <c r="T19" s="403"/>
      <c r="U19" s="403"/>
      <c r="V19" s="403"/>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IFERROR(__xludf.DUMMYFUNCTION("""COMPUTED_VALUE"""),0.0)</f>
        <v>0</v>
      </c>
      <c r="AU19" s="409" t="str">
        <f t="shared" si="8"/>
        <v/>
      </c>
      <c r="AV19" s="401">
        <f>countifs('🔵クレーム'!$C:$C,MONTH($D$5)&amp;"月",'🔵クレーム'!$D:$D,day(C19)&amp;"日",'🔵クレーム'!$I:$I,"&lt;&gt;")</f>
        <v>0</v>
      </c>
      <c r="AW19" s="410"/>
      <c r="AX19" s="411"/>
      <c r="AY19" s="428"/>
      <c r="AZ19" s="429"/>
      <c r="BA19" s="429"/>
      <c r="BB19" s="430"/>
      <c r="BC19" s="315"/>
      <c r="BD19" s="428"/>
      <c r="BE19" s="429"/>
      <c r="BF19" s="429"/>
      <c r="BG19" s="430"/>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1" t="b">
        <v>0</v>
      </c>
      <c r="C20" s="400">
        <f t="shared" si="9"/>
        <v>46120</v>
      </c>
      <c r="D20" s="401" t="str">
        <f t="shared" si="2"/>
        <v>水</v>
      </c>
      <c r="E20" s="401" t="str">
        <f t="shared" si="3"/>
        <v/>
      </c>
      <c r="F20" s="401" t="str">
        <f t="shared" si="4"/>
        <v/>
      </c>
      <c r="G20" s="401" t="str">
        <f t="shared" si="5"/>
        <v/>
      </c>
      <c r="H20" s="418"/>
      <c r="I20" s="418"/>
      <c r="J20" s="418"/>
      <c r="K20" s="418"/>
      <c r="L20" s="418"/>
      <c r="M20" s="418"/>
      <c r="N20" s="418"/>
      <c r="O20" s="418"/>
      <c r="P20" s="418"/>
      <c r="Q20" s="418"/>
      <c r="R20" s="418"/>
      <c r="S20" s="418"/>
      <c r="T20" s="418"/>
      <c r="U20" s="418"/>
      <c r="V20" s="418"/>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7">
        <f t="shared" si="6"/>
        <v>0</v>
      </c>
      <c r="AS20" s="408">
        <f t="shared" si="7"/>
        <v>0</v>
      </c>
      <c r="AT20" s="408">
        <f>IFERROR(__xludf.DUMMYFUNCTION("""COMPUTED_VALUE"""),0.0)</f>
        <v>0</v>
      </c>
      <c r="AU20" s="409" t="str">
        <f t="shared" si="8"/>
        <v/>
      </c>
      <c r="AV20" s="401">
        <f>countifs('🔵クレーム'!$C:$C,MONTH($D$5)&amp;"月",'🔵クレーム'!$D:$D,day(C20)&amp;"日",'🔵クレーム'!$I:$I,"&lt;&gt;")</f>
        <v>0</v>
      </c>
      <c r="AW20" s="410"/>
      <c r="AX20" s="411"/>
      <c r="AY20" s="432" t="s">
        <v>344</v>
      </c>
      <c r="AZ20" s="433">
        <f>IFERROR(__xludf.DUMMYFUNCTION("IMPORTRANGE(""https://docs.google.com/spreadsheets/d/1QbHfX9wvC_RRupa4CCe_ZxA6O4e2Ap9vqX5hrZPeQRg/edit?gid=284905409#gid=284905409"",""date2_1!C17"")/G5*COUNTIFS($E$13:$E$43,""&gt;0"")+sum(AZ14:BA19)"),23128.78787878788)</f>
        <v>23128.78788</v>
      </c>
      <c r="BA20" s="434"/>
      <c r="BB20" s="435"/>
      <c r="BC20" s="315"/>
      <c r="BD20" s="432" t="s">
        <v>344</v>
      </c>
      <c r="BE20" s="433">
        <f>sum(BE14:BF19)</f>
        <v>0</v>
      </c>
      <c r="BF20" s="434"/>
      <c r="BG20" s="435"/>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7" t="b">
        <v>0</v>
      </c>
      <c r="C21" s="400">
        <f t="shared" si="9"/>
        <v>46121</v>
      </c>
      <c r="D21" s="401" t="str">
        <f t="shared" si="2"/>
        <v>木</v>
      </c>
      <c r="E21" s="401" t="str">
        <f t="shared" si="3"/>
        <v/>
      </c>
      <c r="F21" s="401" t="str">
        <f t="shared" si="4"/>
        <v/>
      </c>
      <c r="G21" s="401" t="str">
        <f t="shared" si="5"/>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IFERROR(__xludf.DUMMYFUNCTION("""COMPUTED_VALUE"""),0.0)</f>
        <v>0</v>
      </c>
      <c r="AU21" s="409" t="str">
        <f t="shared" si="8"/>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1" t="b">
        <v>0</v>
      </c>
      <c r="C22" s="400">
        <f t="shared" si="9"/>
        <v>46122</v>
      </c>
      <c r="D22" s="401" t="str">
        <f t="shared" si="2"/>
        <v>金</v>
      </c>
      <c r="E22" s="401" t="str">
        <f t="shared" si="3"/>
        <v/>
      </c>
      <c r="F22" s="401" t="str">
        <f t="shared" si="4"/>
        <v/>
      </c>
      <c r="G22" s="401" t="str">
        <f t="shared" si="5"/>
        <v/>
      </c>
      <c r="H22" s="418"/>
      <c r="I22" s="418"/>
      <c r="J22" s="418"/>
      <c r="K22" s="418"/>
      <c r="L22" s="418"/>
      <c r="M22" s="418"/>
      <c r="N22" s="418"/>
      <c r="O22" s="418"/>
      <c r="P22" s="418"/>
      <c r="Q22" s="418"/>
      <c r="R22" s="418"/>
      <c r="S22" s="418"/>
      <c r="T22" s="418"/>
      <c r="U22" s="418"/>
      <c r="V22" s="418"/>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7">
        <f t="shared" si="6"/>
        <v>0</v>
      </c>
      <c r="AS22" s="408">
        <f t="shared" si="7"/>
        <v>0</v>
      </c>
      <c r="AT22" s="408">
        <f>IFERROR(__xludf.DUMMYFUNCTION("""COMPUTED_VALUE"""),0.0)</f>
        <v>0</v>
      </c>
      <c r="AU22" s="409" t="str">
        <f t="shared" si="8"/>
        <v/>
      </c>
      <c r="AV22" s="401">
        <f>countifs('🔵クレーム'!$C:$C,MONTH($D$5)&amp;"月",'🔵クレーム'!$D:$D,day(C22)&amp;"日",'🔵クレーム'!$I:$I,"&lt;&gt;")</f>
        <v>0</v>
      </c>
      <c r="AW22" s="410"/>
      <c r="AX22" s="411"/>
      <c r="AY22" s="436" t="s">
        <v>345</v>
      </c>
      <c r="AZ22" s="437"/>
      <c r="BA22" s="437"/>
      <c r="BB22" s="438" t="s">
        <v>346</v>
      </c>
      <c r="BC22" s="329"/>
      <c r="BD22" s="439"/>
      <c r="BE22" s="438" t="s">
        <v>347</v>
      </c>
      <c r="BF22" s="438" t="s">
        <v>348</v>
      </c>
      <c r="BG22" s="438"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7" t="b">
        <v>0</v>
      </c>
      <c r="C23" s="400">
        <f t="shared" si="9"/>
        <v>46123</v>
      </c>
      <c r="D23" s="401" t="str">
        <f t="shared" si="2"/>
        <v>土</v>
      </c>
      <c r="E23" s="401" t="str">
        <f t="shared" si="3"/>
        <v/>
      </c>
      <c r="F23" s="401" t="str">
        <f t="shared" si="4"/>
        <v/>
      </c>
      <c r="G23" s="401" t="str">
        <f t="shared" si="5"/>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IFERROR(__xludf.DUMMYFUNCTION("""COMPUTED_VALUE"""),0.0)</f>
        <v>0</v>
      </c>
      <c r="AU23" s="409" t="str">
        <f t="shared" si="8"/>
        <v/>
      </c>
      <c r="AV23" s="401">
        <f>countifs('🔵クレーム'!$C:$C,MONTH($D$5)&amp;"月",'🔵クレーム'!$D:$D,day(C23)&amp;"日",'🔵クレーム'!$I:$I,"&lt;&gt;")</f>
        <v>0</v>
      </c>
      <c r="AW23" s="410"/>
      <c r="AX23" s="411"/>
      <c r="AY23" s="440" t="s">
        <v>349</v>
      </c>
      <c r="AZ23" s="441">
        <f>AR44</f>
        <v>0</v>
      </c>
      <c r="BA23" s="77"/>
      <c r="BB23" s="442">
        <f>AZ23-AZ24</f>
        <v>0</v>
      </c>
      <c r="BC23" s="315"/>
      <c r="BD23" s="443" t="s">
        <v>350</v>
      </c>
      <c r="BE23" s="444">
        <f>IFERROR(__xludf.DUMMYFUNCTION("IMPORTRANGE(AT9,""total!ai2"")"),67997.66666666667)</f>
        <v>67997.66667</v>
      </c>
      <c r="BF23" s="444">
        <f>IFERROR(__xludf.DUMMYFUNCTION("IMPORTRANGE(AT9,""total!an2"")"),4807.0)</f>
        <v>4807</v>
      </c>
      <c r="BG23" s="442">
        <f>sum(BE23:BF27)+BE20</f>
        <v>72804.66667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1" t="b">
        <v>0</v>
      </c>
      <c r="C24" s="400">
        <f t="shared" si="9"/>
        <v>46124</v>
      </c>
      <c r="D24" s="401" t="str">
        <f t="shared" si="2"/>
        <v>日</v>
      </c>
      <c r="E24" s="401" t="str">
        <f t="shared" si="3"/>
        <v/>
      </c>
      <c r="F24" s="401" t="str">
        <f t="shared" si="4"/>
        <v/>
      </c>
      <c r="G24" s="401" t="str">
        <f t="shared" si="5"/>
        <v/>
      </c>
      <c r="H24" s="418"/>
      <c r="I24" s="418"/>
      <c r="J24" s="418"/>
      <c r="K24" s="418"/>
      <c r="L24" s="418"/>
      <c r="M24" s="418"/>
      <c r="N24" s="418"/>
      <c r="O24" s="418"/>
      <c r="P24" s="418"/>
      <c r="Q24" s="418"/>
      <c r="R24" s="418"/>
      <c r="S24" s="418"/>
      <c r="T24" s="418"/>
      <c r="U24" s="418"/>
      <c r="V24" s="418"/>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7">
        <f t="shared" si="6"/>
        <v>0</v>
      </c>
      <c r="AS24" s="408">
        <f t="shared" si="7"/>
        <v>0</v>
      </c>
      <c r="AT24" s="408">
        <f>IFERROR(__xludf.DUMMYFUNCTION("""COMPUTED_VALUE"""),0.0)</f>
        <v>0</v>
      </c>
      <c r="AU24" s="409" t="str">
        <f t="shared" si="8"/>
        <v/>
      </c>
      <c r="AV24" s="401">
        <f>countifs('🔵クレーム'!$C:$C,MONTH($D$5)&amp;"月",'🔵クレーム'!$D:$D,day(C24)&amp;"日",'🔵クレーム'!$I:$I,"&lt;&gt;")</f>
        <v>0</v>
      </c>
      <c r="AW24" s="410"/>
      <c r="AX24" s="411"/>
      <c r="AY24" s="440" t="s">
        <v>351</v>
      </c>
      <c r="AZ24" s="441">
        <f>BE36</f>
        <v>0</v>
      </c>
      <c r="BA24" s="77"/>
      <c r="BB24" s="445"/>
      <c r="BC24" s="315"/>
      <c r="BD24" s="440" t="s">
        <v>352</v>
      </c>
      <c r="BE24" s="441">
        <f>IFERROR(__xludf.DUMMYFUNCTION("IMPORTRANGE(AT9,""total!as2"")"),0.0)</f>
        <v>0</v>
      </c>
      <c r="BF24" s="77"/>
      <c r="BG24" s="445"/>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7" t="b">
        <v>0</v>
      </c>
      <c r="C25" s="400">
        <f t="shared" si="9"/>
        <v>46125</v>
      </c>
      <c r="D25" s="401" t="str">
        <f t="shared" si="2"/>
        <v>月</v>
      </c>
      <c r="E25" s="401" t="str">
        <f t="shared" si="3"/>
        <v/>
      </c>
      <c r="F25" s="401" t="str">
        <f t="shared" si="4"/>
        <v/>
      </c>
      <c r="G25" s="401" t="str">
        <f t="shared" si="5"/>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IFERROR(__xludf.DUMMYFUNCTION("""COMPUTED_VALUE"""),0.0)</f>
        <v>0</v>
      </c>
      <c r="AU25" s="409" t="str">
        <f t="shared" si="8"/>
        <v/>
      </c>
      <c r="AV25" s="401">
        <f>countifs('🔵クレーム'!$C:$C,MONTH($D$5)&amp;"月",'🔵クレーム'!$D:$D,day(C25)&amp;"日",'🔵クレーム'!$I:$I,"&lt;&gt;")</f>
        <v>0</v>
      </c>
      <c r="AW25" s="410"/>
      <c r="AX25" s="411"/>
      <c r="AY25" s="443"/>
      <c r="AZ25" s="446"/>
      <c r="BA25" s="77"/>
      <c r="BB25" s="445"/>
      <c r="BC25" s="315"/>
      <c r="BD25" s="440" t="s">
        <v>353</v>
      </c>
      <c r="BE25" s="441"/>
      <c r="BF25" s="77"/>
      <c r="BG25" s="445"/>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1" t="b">
        <v>0</v>
      </c>
      <c r="C26" s="400">
        <f t="shared" si="9"/>
        <v>46126</v>
      </c>
      <c r="D26" s="401" t="str">
        <f t="shared" si="2"/>
        <v>火</v>
      </c>
      <c r="E26" s="401" t="str">
        <f t="shared" si="3"/>
        <v/>
      </c>
      <c r="F26" s="401" t="str">
        <f t="shared" si="4"/>
        <v/>
      </c>
      <c r="G26" s="401" t="str">
        <f t="shared" si="5"/>
        <v/>
      </c>
      <c r="H26" s="418"/>
      <c r="I26" s="418"/>
      <c r="J26" s="418"/>
      <c r="K26" s="418"/>
      <c r="L26" s="418"/>
      <c r="M26" s="418"/>
      <c r="N26" s="418"/>
      <c r="O26" s="418"/>
      <c r="P26" s="418"/>
      <c r="Q26" s="418"/>
      <c r="R26" s="418"/>
      <c r="S26" s="418"/>
      <c r="T26" s="418"/>
      <c r="U26" s="418"/>
      <c r="V26" s="418"/>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7">
        <f t="shared" si="6"/>
        <v>0</v>
      </c>
      <c r="AS26" s="408">
        <f t="shared" si="7"/>
        <v>0</v>
      </c>
      <c r="AT26" s="408">
        <f>IFERROR(__xludf.DUMMYFUNCTION("""COMPUTED_VALUE"""),0.0)</f>
        <v>0</v>
      </c>
      <c r="AU26" s="409" t="str">
        <f t="shared" si="8"/>
        <v/>
      </c>
      <c r="AV26" s="401">
        <f>countifs('🔵クレーム'!$C:$C,MONTH($D$5)&amp;"月",'🔵クレーム'!$D:$D,day(C26)&amp;"日",'🔵クレーム'!$I:$I,"&lt;&gt;")</f>
        <v>0</v>
      </c>
      <c r="AW26" s="410"/>
      <c r="AX26" s="411"/>
      <c r="AY26" s="443"/>
      <c r="AZ26" s="446"/>
      <c r="BA26" s="77"/>
      <c r="BB26" s="445"/>
      <c r="BC26" s="315"/>
      <c r="BD26" s="440"/>
      <c r="BE26" s="447"/>
      <c r="BF26" s="77"/>
      <c r="BG26" s="445"/>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7" t="b">
        <v>0</v>
      </c>
      <c r="C27" s="400">
        <f t="shared" si="9"/>
        <v>46127</v>
      </c>
      <c r="D27" s="401" t="str">
        <f t="shared" si="2"/>
        <v>水</v>
      </c>
      <c r="E27" s="401" t="str">
        <f t="shared" si="3"/>
        <v/>
      </c>
      <c r="F27" s="401" t="str">
        <f t="shared" si="4"/>
        <v/>
      </c>
      <c r="G27" s="401" t="str">
        <f t="shared" si="5"/>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IFERROR(__xludf.DUMMYFUNCTION("""COMPUTED_VALUE"""),0.0)</f>
        <v>0</v>
      </c>
      <c r="AU27" s="409" t="str">
        <f t="shared" si="8"/>
        <v/>
      </c>
      <c r="AV27" s="401">
        <f>countifs('🔵クレーム'!$C:$C,MONTH($D$5)&amp;"月",'🔵クレーム'!$D:$D,day(C27)&amp;"日",'🔵クレーム'!$I:$I,"&lt;&gt;")</f>
        <v>0</v>
      </c>
      <c r="AW27" s="410"/>
      <c r="AX27" s="411"/>
      <c r="AY27" s="443"/>
      <c r="AZ27" s="446"/>
      <c r="BA27" s="77"/>
      <c r="BB27" s="222"/>
      <c r="BC27" s="315"/>
      <c r="BD27" s="424"/>
      <c r="BE27" s="447"/>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1" t="b">
        <v>0</v>
      </c>
      <c r="C28" s="400">
        <f t="shared" si="9"/>
        <v>46128</v>
      </c>
      <c r="D28" s="401" t="str">
        <f t="shared" si="2"/>
        <v>木</v>
      </c>
      <c r="E28" s="401" t="str">
        <f t="shared" si="3"/>
        <v/>
      </c>
      <c r="F28" s="401" t="str">
        <f t="shared" si="4"/>
        <v/>
      </c>
      <c r="G28" s="401" t="str">
        <f t="shared" si="5"/>
        <v/>
      </c>
      <c r="H28" s="418"/>
      <c r="I28" s="418"/>
      <c r="J28" s="418"/>
      <c r="K28" s="418"/>
      <c r="L28" s="418"/>
      <c r="M28" s="418"/>
      <c r="N28" s="418"/>
      <c r="O28" s="418"/>
      <c r="P28" s="418"/>
      <c r="Q28" s="418"/>
      <c r="R28" s="418"/>
      <c r="S28" s="418"/>
      <c r="T28" s="418"/>
      <c r="U28" s="418"/>
      <c r="V28" s="418"/>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7">
        <f t="shared" si="6"/>
        <v>0</v>
      </c>
      <c r="AS28" s="408">
        <f t="shared" si="7"/>
        <v>0</v>
      </c>
      <c r="AT28" s="408">
        <f>IFERROR(__xludf.DUMMYFUNCTION("""COMPUTED_VALUE"""),0.0)</f>
        <v>0</v>
      </c>
      <c r="AU28" s="409" t="str">
        <f t="shared" si="8"/>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8"/>
      <c r="BL28" s="449"/>
      <c r="BM28" s="172"/>
      <c r="BN28" s="448"/>
      <c r="BO28" s="448"/>
      <c r="BP28" s="448"/>
      <c r="BQ28" s="448"/>
      <c r="BR28" s="448"/>
      <c r="BS28" s="448"/>
      <c r="BT28" s="448"/>
      <c r="BU28" s="448"/>
      <c r="BV28" s="448"/>
      <c r="BW28" s="448"/>
      <c r="BX28" s="448"/>
      <c r="BY28" s="448"/>
      <c r="BZ28" s="448"/>
      <c r="CA28" s="448"/>
    </row>
    <row r="29" ht="15.75" customHeight="1">
      <c r="A29" s="314"/>
      <c r="B29" s="427" t="b">
        <v>0</v>
      </c>
      <c r="C29" s="400">
        <f t="shared" si="9"/>
        <v>46129</v>
      </c>
      <c r="D29" s="401" t="str">
        <f t="shared" si="2"/>
        <v>金</v>
      </c>
      <c r="E29" s="401" t="str">
        <f t="shared" si="3"/>
        <v/>
      </c>
      <c r="F29" s="401" t="str">
        <f t="shared" si="4"/>
        <v/>
      </c>
      <c r="G29" s="401" t="str">
        <f t="shared" si="5"/>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IFERROR(__xludf.DUMMYFUNCTION("""COMPUTED_VALUE"""),0.0)</f>
        <v>0</v>
      </c>
      <c r="AU29" s="409" t="str">
        <f t="shared" si="8"/>
        <v/>
      </c>
      <c r="AV29" s="401">
        <f>countifs('🔵クレーム'!$C:$C,MONTH($D$5)&amp;"月",'🔵クレーム'!$D:$D,day(C29)&amp;"日",'🔵クレーム'!$I:$I,"&lt;&gt;")</f>
        <v>0</v>
      </c>
      <c r="AW29" s="410"/>
      <c r="AX29" s="411"/>
      <c r="AY29" s="450" t="s">
        <v>354</v>
      </c>
      <c r="AZ29" s="451" t="s">
        <v>278</v>
      </c>
      <c r="BA29" s="451" t="s">
        <v>355</v>
      </c>
      <c r="BB29" s="451" t="s">
        <v>356</v>
      </c>
      <c r="BC29" s="315"/>
      <c r="BD29" s="452"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8"/>
      <c r="BL29" s="453"/>
      <c r="BM29" s="172"/>
      <c r="BN29" s="448"/>
      <c r="BO29" s="448"/>
      <c r="BP29" s="448"/>
      <c r="BQ29" s="448"/>
      <c r="BR29" s="448"/>
      <c r="BS29" s="448"/>
      <c r="BT29" s="448"/>
      <c r="BU29" s="448"/>
      <c r="BV29" s="448"/>
      <c r="BW29" s="448"/>
      <c r="BX29" s="448"/>
      <c r="BY29" s="448"/>
      <c r="BZ29" s="448"/>
      <c r="CA29" s="448"/>
    </row>
    <row r="30" ht="15.75" customHeight="1">
      <c r="A30" s="314"/>
      <c r="B30" s="431" t="b">
        <v>0</v>
      </c>
      <c r="C30" s="400">
        <f t="shared" si="9"/>
        <v>46130</v>
      </c>
      <c r="D30" s="401" t="str">
        <f t="shared" si="2"/>
        <v>土</v>
      </c>
      <c r="E30" s="401" t="str">
        <f t="shared" si="3"/>
        <v/>
      </c>
      <c r="F30" s="401" t="str">
        <f t="shared" si="4"/>
        <v/>
      </c>
      <c r="G30" s="401" t="str">
        <f t="shared" si="5"/>
        <v/>
      </c>
      <c r="H30" s="418"/>
      <c r="I30" s="418"/>
      <c r="J30" s="418"/>
      <c r="K30" s="418"/>
      <c r="L30" s="418"/>
      <c r="M30" s="418"/>
      <c r="N30" s="418"/>
      <c r="O30" s="418"/>
      <c r="P30" s="418"/>
      <c r="Q30" s="418"/>
      <c r="R30" s="418"/>
      <c r="S30" s="418"/>
      <c r="T30" s="418"/>
      <c r="U30" s="418"/>
      <c r="V30" s="418"/>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7">
        <f t="shared" si="6"/>
        <v>0</v>
      </c>
      <c r="AS30" s="408">
        <f t="shared" si="7"/>
        <v>0</v>
      </c>
      <c r="AT30" s="408">
        <f>IFERROR(__xludf.DUMMYFUNCTION("""COMPUTED_VALUE"""),0.0)</f>
        <v>0</v>
      </c>
      <c r="AU30" s="409" t="str">
        <f t="shared" si="8"/>
        <v/>
      </c>
      <c r="AV30" s="401">
        <f>countifs('🔵クレーム'!$C:$C,MONTH($D$5)&amp;"月",'🔵クレーム'!$D:$D,day(C30)&amp;"日",'🔵クレーム'!$I:$I,"&lt;&gt;")</f>
        <v>0</v>
      </c>
      <c r="AW30" s="410"/>
      <c r="AX30" s="411"/>
      <c r="AY30" s="454" t="s">
        <v>358</v>
      </c>
      <c r="AZ30" s="444">
        <f>AS46</f>
        <v>126985</v>
      </c>
      <c r="BA30" s="455" t="s">
        <v>286</v>
      </c>
      <c r="BB30" s="442">
        <f>SUM(AZ30:AZ36)</f>
        <v>136905</v>
      </c>
      <c r="BC30" s="315"/>
      <c r="BD30" s="456" t="s">
        <v>359</v>
      </c>
      <c r="BE30" s="457" t="s">
        <v>360</v>
      </c>
      <c r="BF30" s="457" t="s">
        <v>361</v>
      </c>
      <c r="BG30" s="458" t="s">
        <v>344</v>
      </c>
      <c r="BH30" s="315"/>
      <c r="BI30" s="228" t="str">
        <f t="array" ref="BI30">IFERROR(INDEX('💻シート作成'!$D$6:$D162, MATCH(BJ30, '💻シート作成'!$E$6:$E162, 0)), "")</f>
        <v>10月</v>
      </c>
      <c r="BJ30" s="172" t="str">
        <f>IFERROR(__xludf.DUMMYFUNCTION("""COMPUTED_VALUE"""),"②R8_10シフト")</f>
        <v>②R8_10シフト</v>
      </c>
      <c r="BK30" s="448"/>
      <c r="BL30" s="453"/>
      <c r="BM30" s="172"/>
      <c r="BN30" s="448"/>
      <c r="BO30" s="448"/>
      <c r="BP30" s="448"/>
      <c r="BQ30" s="448"/>
      <c r="BR30" s="448"/>
      <c r="BS30" s="448"/>
      <c r="BT30" s="448"/>
      <c r="BU30" s="448"/>
      <c r="BV30" s="448"/>
      <c r="BW30" s="448"/>
      <c r="BX30" s="448"/>
      <c r="BY30" s="448"/>
      <c r="BZ30" s="448"/>
      <c r="CA30" s="448"/>
    </row>
    <row r="31" ht="15.75" customHeight="1">
      <c r="A31" s="314"/>
      <c r="B31" s="427" t="b">
        <v>0</v>
      </c>
      <c r="C31" s="400">
        <f t="shared" si="9"/>
        <v>46131</v>
      </c>
      <c r="D31" s="401" t="str">
        <f t="shared" si="2"/>
        <v>日</v>
      </c>
      <c r="E31" s="401" t="str">
        <f t="shared" si="3"/>
        <v/>
      </c>
      <c r="F31" s="401" t="str">
        <f t="shared" si="4"/>
        <v/>
      </c>
      <c r="G31" s="401" t="str">
        <f t="shared" si="5"/>
        <v/>
      </c>
      <c r="H31" s="418"/>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IFERROR(__xludf.DUMMYFUNCTION("""COMPUTED_VALUE"""),0.0)</f>
        <v>0</v>
      </c>
      <c r="AU31" s="409" t="str">
        <f t="shared" si="8"/>
        <v/>
      </c>
      <c r="AV31" s="401">
        <f>countifs('🔵クレーム'!$C:$C,MONTH($D$5)&amp;"月",'🔵クレーム'!$D:$D,day(C31)&amp;"日",'🔵クレーム'!$I:$I,"&lt;&gt;")</f>
        <v>0</v>
      </c>
      <c r="AW31" s="410"/>
      <c r="AX31" s="411"/>
      <c r="AY31" s="459" t="s">
        <v>362</v>
      </c>
      <c r="AZ31" s="444">
        <f t="shared" ref="AZ31:AZ32" si="10">BA31/$G$5*COUNTIFS($E$13:$E$43,"&gt;0")</f>
        <v>6080</v>
      </c>
      <c r="BA31" s="460">
        <v>182400.0</v>
      </c>
      <c r="BB31" s="445"/>
      <c r="BC31" s="315"/>
      <c r="BD31" s="461" t="s">
        <v>363</v>
      </c>
      <c r="BE31" s="462">
        <v>2000.0</v>
      </c>
      <c r="BF31" s="463"/>
      <c r="BG31" s="444">
        <f t="shared" ref="BG31:BG35" si="11">BF31*BE31</f>
        <v>0</v>
      </c>
      <c r="BH31" s="315"/>
      <c r="BI31" s="228" t="str">
        <f t="array" ref="BI31">IFERROR(INDEX('💻シート作成'!$D$6:$D162, MATCH(BJ31, '💻シート作成'!$E$6:$E162, 0)), "")</f>
        <v>10月</v>
      </c>
      <c r="BJ31" s="172" t="str">
        <f>IFERROR(__xludf.DUMMYFUNCTION("""COMPUTED_VALUE"""),"③R8_10日報")</f>
        <v>③R8_10日報</v>
      </c>
      <c r="BK31" s="448"/>
      <c r="BL31" s="453"/>
      <c r="BM31" s="172"/>
      <c r="BN31" s="448"/>
      <c r="BO31" s="448"/>
      <c r="BP31" s="448"/>
      <c r="BQ31" s="448"/>
      <c r="BR31" s="448"/>
      <c r="BS31" s="448"/>
      <c r="BT31" s="448"/>
      <c r="BU31" s="448"/>
      <c r="BV31" s="448"/>
      <c r="BW31" s="448"/>
      <c r="BX31" s="448"/>
      <c r="BY31" s="448"/>
      <c r="BZ31" s="448"/>
      <c r="CA31" s="448"/>
    </row>
    <row r="32" ht="15.75" customHeight="1">
      <c r="A32" s="314"/>
      <c r="B32" s="431" t="b">
        <v>0</v>
      </c>
      <c r="C32" s="400">
        <f t="shared" si="9"/>
        <v>46132</v>
      </c>
      <c r="D32" s="401" t="str">
        <f t="shared" si="2"/>
        <v>月</v>
      </c>
      <c r="E32" s="401" t="str">
        <f t="shared" si="3"/>
        <v/>
      </c>
      <c r="F32" s="401" t="str">
        <f t="shared" si="4"/>
        <v/>
      </c>
      <c r="G32" s="401" t="str">
        <f t="shared" si="5"/>
        <v/>
      </c>
      <c r="H32" s="418"/>
      <c r="I32" s="418"/>
      <c r="J32" s="418"/>
      <c r="K32" s="418"/>
      <c r="L32" s="418"/>
      <c r="M32" s="418"/>
      <c r="N32" s="418"/>
      <c r="O32" s="418"/>
      <c r="P32" s="418"/>
      <c r="Q32" s="418"/>
      <c r="R32" s="418"/>
      <c r="S32" s="418"/>
      <c r="T32" s="418"/>
      <c r="U32" s="418"/>
      <c r="V32" s="418"/>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7">
        <f t="shared" si="6"/>
        <v>0</v>
      </c>
      <c r="AS32" s="408">
        <f t="shared" si="7"/>
        <v>0</v>
      </c>
      <c r="AT32" s="408">
        <f>IFERROR(__xludf.DUMMYFUNCTION("""COMPUTED_VALUE"""),0.0)</f>
        <v>0</v>
      </c>
      <c r="AU32" s="409" t="str">
        <f t="shared" si="8"/>
        <v/>
      </c>
      <c r="AV32" s="401">
        <f>countifs('🔵クレーム'!$C:$C,MONTH($D$5)&amp;"月",'🔵クレーム'!$D:$D,day(C32)&amp;"日",'🔵クレーム'!$I:$I,"&lt;&gt;")</f>
        <v>0</v>
      </c>
      <c r="AW32" s="410"/>
      <c r="AX32" s="411"/>
      <c r="AY32" s="459" t="s">
        <v>364</v>
      </c>
      <c r="AZ32" s="444">
        <f t="shared" si="10"/>
        <v>3333.333333</v>
      </c>
      <c r="BA32" s="460">
        <v>100000.0</v>
      </c>
      <c r="BB32" s="445"/>
      <c r="BC32" s="315"/>
      <c r="BD32" s="461" t="s">
        <v>365</v>
      </c>
      <c r="BE32" s="462">
        <v>2500.0</v>
      </c>
      <c r="BF32" s="463"/>
      <c r="BG32" s="444">
        <f t="shared" si="11"/>
        <v>0</v>
      </c>
      <c r="BH32" s="315"/>
      <c r="BI32" s="228" t="str">
        <f t="array" ref="BI32">IFERROR(INDEX('💻シート作成'!$D$6:$D162, MATCH(BJ32, '💻シート作成'!$E$6:$E162, 0)), "")</f>
        <v>10月</v>
      </c>
      <c r="BJ32" s="172" t="str">
        <f>IFERROR(__xludf.DUMMYFUNCTION("""COMPUTED_VALUE"""),"④R8_10月報")</f>
        <v>④R8_10月報</v>
      </c>
      <c r="BK32" s="448"/>
      <c r="BL32" s="453"/>
      <c r="BM32" s="172"/>
      <c r="BN32" s="448"/>
      <c r="BO32" s="448"/>
      <c r="BP32" s="448"/>
      <c r="BQ32" s="448"/>
      <c r="BR32" s="448"/>
      <c r="BS32" s="448"/>
      <c r="BT32" s="448"/>
      <c r="BU32" s="448"/>
      <c r="BV32" s="448"/>
      <c r="BW32" s="448"/>
      <c r="BX32" s="448"/>
      <c r="BY32" s="448"/>
      <c r="BZ32" s="448"/>
      <c r="CA32" s="448"/>
    </row>
    <row r="33" ht="15.75" customHeight="1">
      <c r="A33" s="314"/>
      <c r="B33" s="427" t="b">
        <v>0</v>
      </c>
      <c r="C33" s="400">
        <f t="shared" si="9"/>
        <v>46133</v>
      </c>
      <c r="D33" s="401" t="str">
        <f t="shared" si="2"/>
        <v>火</v>
      </c>
      <c r="E33" s="401" t="str">
        <f t="shared" si="3"/>
        <v/>
      </c>
      <c r="F33" s="401" t="str">
        <f t="shared" si="4"/>
        <v/>
      </c>
      <c r="G33" s="401" t="str">
        <f t="shared" si="5"/>
        <v/>
      </c>
      <c r="H33" s="418"/>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IFERROR(__xludf.DUMMYFUNCTION("""COMPUTED_VALUE"""),0.0)</f>
        <v>0</v>
      </c>
      <c r="AU33" s="409" t="str">
        <f t="shared" si="8"/>
        <v/>
      </c>
      <c r="AV33" s="401">
        <f>countifs('🔵クレーム'!$C:$C,MONTH($D$5)&amp;"月",'🔵クレーム'!$D:$D,day(C33)&amp;"日",'🔵クレーム'!$I:$I,"&lt;&gt;")</f>
        <v>0</v>
      </c>
      <c r="AW33" s="410"/>
      <c r="AX33" s="411"/>
      <c r="AY33" s="459" t="s">
        <v>366</v>
      </c>
      <c r="AZ33" s="460">
        <v>0.0</v>
      </c>
      <c r="BA33" s="460">
        <v>105000.0</v>
      </c>
      <c r="BB33" s="445"/>
      <c r="BC33" s="315"/>
      <c r="BD33" s="464" t="s">
        <v>367</v>
      </c>
      <c r="BE33" s="463"/>
      <c r="BF33" s="463"/>
      <c r="BG33" s="444">
        <f t="shared" si="11"/>
        <v>0</v>
      </c>
      <c r="BH33" s="315"/>
      <c r="BI33" s="228" t="str">
        <f t="array" ref="BI33">IFERROR(INDEX('💻シート作成'!$D$6:$D162, MATCH(BJ33, '💻シート作成'!$E$6:$E162, 0)), "")</f>
        <v>9月</v>
      </c>
      <c r="BJ33" s="172" t="str">
        <f>IFERROR(__xludf.DUMMYFUNCTION("""COMPUTED_VALUE"""),"①R8_9集計")</f>
        <v>①R8_9集計</v>
      </c>
      <c r="BK33" s="448"/>
      <c r="BL33" s="453"/>
      <c r="BM33" s="172"/>
      <c r="BN33" s="448"/>
      <c r="BO33" s="448"/>
      <c r="BP33" s="448"/>
      <c r="BQ33" s="448"/>
      <c r="BR33" s="448"/>
      <c r="BS33" s="448"/>
      <c r="BT33" s="448"/>
      <c r="BU33" s="448"/>
      <c r="BV33" s="448"/>
      <c r="BW33" s="448"/>
      <c r="BX33" s="448"/>
      <c r="BY33" s="448"/>
      <c r="BZ33" s="448"/>
      <c r="CA33" s="448"/>
    </row>
    <row r="34" ht="15.75" customHeight="1">
      <c r="A34" s="314"/>
      <c r="B34" s="431" t="b">
        <v>0</v>
      </c>
      <c r="C34" s="400">
        <f t="shared" si="9"/>
        <v>46134</v>
      </c>
      <c r="D34" s="401" t="str">
        <f t="shared" si="2"/>
        <v>水</v>
      </c>
      <c r="E34" s="401" t="str">
        <f t="shared" si="3"/>
        <v/>
      </c>
      <c r="F34" s="401" t="str">
        <f t="shared" si="4"/>
        <v/>
      </c>
      <c r="G34" s="401" t="str">
        <f t="shared" si="5"/>
        <v/>
      </c>
      <c r="H34" s="418"/>
      <c r="I34" s="418"/>
      <c r="J34" s="418"/>
      <c r="K34" s="418"/>
      <c r="L34" s="418"/>
      <c r="M34" s="418"/>
      <c r="N34" s="418"/>
      <c r="O34" s="418"/>
      <c r="P34" s="418"/>
      <c r="Q34" s="418"/>
      <c r="R34" s="418"/>
      <c r="S34" s="418"/>
      <c r="T34" s="418"/>
      <c r="U34" s="418"/>
      <c r="V34" s="418"/>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7">
        <f t="shared" si="6"/>
        <v>0</v>
      </c>
      <c r="AS34" s="408">
        <f t="shared" si="7"/>
        <v>0</v>
      </c>
      <c r="AT34" s="408">
        <f>IFERROR(__xludf.DUMMYFUNCTION("""COMPUTED_VALUE"""),0.0)</f>
        <v>0</v>
      </c>
      <c r="AU34" s="409" t="str">
        <f t="shared" si="8"/>
        <v/>
      </c>
      <c r="AV34" s="401">
        <f>countifs('🔵クレーム'!$C:$C,MONTH($D$5)&amp;"月",'🔵クレーム'!$D:$D,day(C34)&amp;"日",'🔵クレーム'!$I:$I,"&lt;&gt;")</f>
        <v>0</v>
      </c>
      <c r="AW34" s="410"/>
      <c r="AX34" s="411"/>
      <c r="AY34" s="459" t="s">
        <v>368</v>
      </c>
      <c r="AZ34" s="425">
        <f>BA34/$G$5*COUNTIFS($E$13:$E$43,"&gt;0")</f>
        <v>506.6666667</v>
      </c>
      <c r="BA34" s="425">
        <v>15200.0</v>
      </c>
      <c r="BB34" s="445"/>
      <c r="BC34" s="315"/>
      <c r="BD34" s="461"/>
      <c r="BE34" s="463"/>
      <c r="BF34" s="463"/>
      <c r="BG34" s="444">
        <f t="shared" si="11"/>
        <v>0</v>
      </c>
      <c r="BH34" s="315"/>
      <c r="BI34" s="228" t="str">
        <f t="array" ref="BI34">IFERROR(INDEX('💻シート作成'!$D$6:$D162, MATCH(BJ34, '💻シート作成'!$E$6:$E162, 0)), "")</f>
        <v>9月</v>
      </c>
      <c r="BJ34" s="172" t="str">
        <f>IFERROR(__xludf.DUMMYFUNCTION("""COMPUTED_VALUE"""),"②R8_9シフト")</f>
        <v>②R8_9シフト</v>
      </c>
      <c r="BK34" s="315"/>
      <c r="BL34" s="453"/>
      <c r="BM34" s="172"/>
      <c r="BN34" s="315"/>
      <c r="BO34" s="315"/>
      <c r="BP34" s="315"/>
      <c r="BQ34" s="315"/>
      <c r="BR34" s="315"/>
      <c r="BS34" s="315"/>
      <c r="BT34" s="315"/>
      <c r="BU34" s="315"/>
      <c r="BV34" s="315"/>
      <c r="BW34" s="315"/>
      <c r="BX34" s="315"/>
      <c r="BY34" s="315"/>
      <c r="BZ34" s="315"/>
      <c r="CA34" s="315"/>
    </row>
    <row r="35" ht="15.75" customHeight="1">
      <c r="A35" s="314"/>
      <c r="B35" s="427" t="b">
        <v>0</v>
      </c>
      <c r="C35" s="400">
        <f t="shared" si="9"/>
        <v>46135</v>
      </c>
      <c r="D35" s="401" t="str">
        <f t="shared" si="2"/>
        <v>木</v>
      </c>
      <c r="E35" s="401" t="str">
        <f t="shared" si="3"/>
        <v/>
      </c>
      <c r="F35" s="401" t="str">
        <f t="shared" si="4"/>
        <v/>
      </c>
      <c r="G35" s="401" t="str">
        <f t="shared" si="5"/>
        <v/>
      </c>
      <c r="H35" s="399"/>
      <c r="I35" s="418"/>
      <c r="J35" s="418"/>
      <c r="K35" s="418"/>
      <c r="L35" s="418"/>
      <c r="M35" s="418"/>
      <c r="N35" s="418"/>
      <c r="O35" s="418"/>
      <c r="P35" s="418"/>
      <c r="Q35" s="418"/>
      <c r="R35" s="418"/>
      <c r="S35" s="418"/>
      <c r="T35" s="418"/>
      <c r="U35" s="418"/>
      <c r="V35" s="418"/>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IFERROR(__xludf.DUMMYFUNCTION("""COMPUTED_VALUE"""),0.0)</f>
        <v>0</v>
      </c>
      <c r="AU35" s="409" t="str">
        <f t="shared" si="8"/>
        <v/>
      </c>
      <c r="AV35" s="401">
        <f>countifs('🔵クレーム'!$C:$C,MONTH($D$5)&amp;"月",'🔵クレーム'!$D:$D,day(C35)&amp;"日",'🔵クレーム'!$I:$I,"&lt;&gt;")</f>
        <v>0</v>
      </c>
      <c r="AW35" s="410"/>
      <c r="AX35" s="411"/>
      <c r="AY35" s="443"/>
      <c r="AZ35" s="422"/>
      <c r="BA35" s="422"/>
      <c r="BB35" s="445"/>
      <c r="BC35" s="315"/>
      <c r="BD35" s="465"/>
      <c r="BE35" s="428"/>
      <c r="BF35" s="428"/>
      <c r="BG35" s="466">
        <f t="shared" si="11"/>
        <v>0</v>
      </c>
      <c r="BH35" s="315"/>
      <c r="BI35" s="228" t="str">
        <f t="array" ref="BI35">IFERROR(INDEX('💻シート作成'!$D$6:$D162, MATCH(BJ35, '💻シート作成'!$E$6:$E162, 0)), "")</f>
        <v>9月</v>
      </c>
      <c r="BJ35" s="172" t="str">
        <f>IFERROR(__xludf.DUMMYFUNCTION("""COMPUTED_VALUE"""),"③R8_9日報")</f>
        <v>③R8_9日報</v>
      </c>
      <c r="BK35" s="315"/>
      <c r="BL35" s="453"/>
      <c r="BM35" s="172"/>
      <c r="BN35" s="315"/>
      <c r="BO35" s="315"/>
      <c r="BP35" s="315"/>
      <c r="BQ35" s="315"/>
      <c r="BR35" s="315"/>
      <c r="BS35" s="315"/>
      <c r="BT35" s="315"/>
      <c r="BU35" s="315"/>
      <c r="BV35" s="315"/>
      <c r="BW35" s="315"/>
      <c r="BX35" s="315"/>
      <c r="BY35" s="315"/>
      <c r="BZ35" s="315"/>
      <c r="CA35" s="315"/>
    </row>
    <row r="36" ht="15.75" customHeight="1">
      <c r="A36" s="314"/>
      <c r="B36" s="431" t="b">
        <v>0</v>
      </c>
      <c r="C36" s="400">
        <f t="shared" si="9"/>
        <v>46136</v>
      </c>
      <c r="D36" s="401" t="str">
        <f t="shared" si="2"/>
        <v>金</v>
      </c>
      <c r="E36" s="401" t="str">
        <f t="shared" si="3"/>
        <v/>
      </c>
      <c r="F36" s="401" t="str">
        <f t="shared" si="4"/>
        <v/>
      </c>
      <c r="G36" s="401" t="str">
        <f t="shared" si="5"/>
        <v/>
      </c>
      <c r="H36" s="467"/>
      <c r="I36" s="418"/>
      <c r="J36" s="418"/>
      <c r="K36" s="418"/>
      <c r="L36" s="418"/>
      <c r="M36" s="418"/>
      <c r="N36" s="418"/>
      <c r="O36" s="418"/>
      <c r="P36" s="418"/>
      <c r="Q36" s="418"/>
      <c r="R36" s="418"/>
      <c r="S36" s="418"/>
      <c r="T36" s="418"/>
      <c r="U36" s="418"/>
      <c r="V36" s="418"/>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7">
        <f t="shared" si="6"/>
        <v>0</v>
      </c>
      <c r="AS36" s="408">
        <f t="shared" si="7"/>
        <v>0</v>
      </c>
      <c r="AT36" s="408">
        <f>IFERROR(__xludf.DUMMYFUNCTION("""COMPUTED_VALUE"""),0.0)</f>
        <v>0</v>
      </c>
      <c r="AU36" s="409" t="str">
        <f t="shared" si="8"/>
        <v/>
      </c>
      <c r="AV36" s="401">
        <f>countifs('🔵クレーム'!$C:$C,MONTH($D$5)&amp;"月",'🔵クレーム'!$D:$D,day(C36)&amp;"日",'🔵クレーム'!$I:$I,"&lt;&gt;")</f>
        <v>0</v>
      </c>
      <c r="AW36" s="410"/>
      <c r="AX36" s="411"/>
      <c r="AY36" s="459" t="s">
        <v>369</v>
      </c>
      <c r="AZ36" s="422">
        <f>BB40</f>
        <v>0</v>
      </c>
      <c r="BA36" s="422"/>
      <c r="BB36" s="222"/>
      <c r="BC36" s="315"/>
      <c r="BD36" s="432" t="s">
        <v>344</v>
      </c>
      <c r="BE36" s="433">
        <f>sum(BG31:BG35)</f>
        <v>0</v>
      </c>
      <c r="BF36" s="434"/>
      <c r="BG36" s="435"/>
      <c r="BH36" s="315"/>
      <c r="BI36" s="228" t="str">
        <f t="array" ref="BI36">IFERROR(INDEX('💻シート作成'!$D$6:$D162, MATCH(BJ36, '💻シート作成'!$E$6:$E162, 0)), "")</f>
        <v>9月</v>
      </c>
      <c r="BJ36" s="172" t="str">
        <f>IFERROR(__xludf.DUMMYFUNCTION("""COMPUTED_VALUE"""),"④R8_9月報")</f>
        <v>④R8_9月報</v>
      </c>
      <c r="BK36" s="315"/>
      <c r="BL36" s="453"/>
      <c r="BM36" s="172"/>
      <c r="BN36" s="315"/>
      <c r="BO36" s="315"/>
      <c r="BP36" s="315"/>
      <c r="BQ36" s="315"/>
      <c r="BR36" s="315"/>
      <c r="BS36" s="315"/>
      <c r="BT36" s="315"/>
      <c r="BU36" s="315"/>
      <c r="BV36" s="315"/>
      <c r="BW36" s="315"/>
      <c r="BX36" s="315"/>
      <c r="BY36" s="315"/>
      <c r="BZ36" s="315"/>
      <c r="CA36" s="315"/>
    </row>
    <row r="37" ht="15.75" customHeight="1">
      <c r="A37" s="314"/>
      <c r="B37" s="427" t="b">
        <v>0</v>
      </c>
      <c r="C37" s="400">
        <f t="shared" si="9"/>
        <v>46137</v>
      </c>
      <c r="D37" s="401" t="str">
        <f t="shared" si="2"/>
        <v>土</v>
      </c>
      <c r="E37" s="401" t="str">
        <f t="shared" si="3"/>
        <v/>
      </c>
      <c r="F37" s="401" t="str">
        <f t="shared" si="4"/>
        <v/>
      </c>
      <c r="G37" s="401" t="str">
        <f t="shared" si="5"/>
        <v/>
      </c>
      <c r="H37" s="399"/>
      <c r="I37" s="418"/>
      <c r="J37" s="418"/>
      <c r="K37" s="418"/>
      <c r="L37" s="418"/>
      <c r="M37" s="418"/>
      <c r="N37" s="418"/>
      <c r="O37" s="418"/>
      <c r="P37" s="418"/>
      <c r="Q37" s="418"/>
      <c r="R37" s="418"/>
      <c r="S37" s="418"/>
      <c r="T37" s="418"/>
      <c r="U37" s="418"/>
      <c r="V37" s="418"/>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IFERROR(__xludf.DUMMYFUNCTION("""COMPUTED_VALUE"""),0.0)</f>
        <v>0</v>
      </c>
      <c r="AU37" s="409" t="str">
        <f t="shared" si="8"/>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3"/>
      <c r="BM37" s="172"/>
      <c r="BN37" s="315"/>
      <c r="BO37" s="315"/>
      <c r="BP37" s="315"/>
      <c r="BQ37" s="315"/>
      <c r="BR37" s="315"/>
      <c r="BS37" s="315"/>
      <c r="BT37" s="315"/>
      <c r="BU37" s="315"/>
      <c r="BV37" s="315"/>
      <c r="BW37" s="315"/>
      <c r="BX37" s="315"/>
      <c r="BY37" s="315"/>
      <c r="BZ37" s="315"/>
      <c r="CA37" s="315"/>
    </row>
    <row r="38" ht="15.75" customHeight="1">
      <c r="A38" s="314"/>
      <c r="B38" s="431" t="b">
        <v>0</v>
      </c>
      <c r="C38" s="400">
        <f t="shared" si="9"/>
        <v>46138</v>
      </c>
      <c r="D38" s="401" t="str">
        <f t="shared" si="2"/>
        <v>日</v>
      </c>
      <c r="E38" s="401" t="str">
        <f t="shared" si="3"/>
        <v/>
      </c>
      <c r="F38" s="401" t="str">
        <f t="shared" si="4"/>
        <v/>
      </c>
      <c r="G38" s="401" t="str">
        <f t="shared" si="5"/>
        <v/>
      </c>
      <c r="H38" s="467"/>
      <c r="I38" s="418"/>
      <c r="J38" s="418"/>
      <c r="K38" s="418"/>
      <c r="L38" s="418"/>
      <c r="M38" s="418"/>
      <c r="N38" s="418"/>
      <c r="O38" s="418"/>
      <c r="P38" s="418"/>
      <c r="Q38" s="418"/>
      <c r="R38" s="418"/>
      <c r="S38" s="418"/>
      <c r="T38" s="418"/>
      <c r="U38" s="418"/>
      <c r="V38" s="418"/>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7">
        <f t="shared" si="6"/>
        <v>0</v>
      </c>
      <c r="AS38" s="408">
        <f t="shared" si="7"/>
        <v>0</v>
      </c>
      <c r="AT38" s="408">
        <f>IFERROR(__xludf.DUMMYFUNCTION("""COMPUTED_VALUE"""),0.0)</f>
        <v>0</v>
      </c>
      <c r="AU38" s="409" t="str">
        <f t="shared" si="8"/>
        <v/>
      </c>
      <c r="AV38" s="401">
        <f>countifs('🔵クレーム'!$C:$C,MONTH($D$5)&amp;"月",'🔵クレーム'!$D:$D,day(C38)&amp;"日",'🔵クレーム'!$I:$I,"&lt;&gt;")</f>
        <v>0</v>
      </c>
      <c r="AW38" s="410"/>
      <c r="AX38" s="411"/>
      <c r="AY38" s="315" t="s">
        <v>370</v>
      </c>
      <c r="AZ38" s="468"/>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3"/>
      <c r="BM38" s="172"/>
      <c r="BN38" s="315"/>
      <c r="BO38" s="315"/>
      <c r="BP38" s="315"/>
      <c r="BQ38" s="315"/>
      <c r="BR38" s="315"/>
      <c r="BS38" s="315"/>
      <c r="BT38" s="315"/>
      <c r="BU38" s="315"/>
      <c r="BV38" s="315"/>
      <c r="BW38" s="315"/>
      <c r="BX38" s="315"/>
      <c r="BY38" s="315"/>
      <c r="BZ38" s="315"/>
      <c r="CA38" s="315"/>
    </row>
    <row r="39" ht="15.75" customHeight="1">
      <c r="A39" s="315"/>
      <c r="B39" s="427" t="b">
        <v>0</v>
      </c>
      <c r="C39" s="400">
        <f t="shared" si="9"/>
        <v>46139</v>
      </c>
      <c r="D39" s="401" t="str">
        <f t="shared" si="2"/>
        <v>月</v>
      </c>
      <c r="E39" s="401" t="str">
        <f t="shared" si="3"/>
        <v/>
      </c>
      <c r="F39" s="401" t="str">
        <f t="shared" si="4"/>
        <v/>
      </c>
      <c r="G39" s="401" t="str">
        <f t="shared" si="5"/>
        <v/>
      </c>
      <c r="H39" s="399"/>
      <c r="I39" s="418"/>
      <c r="J39" s="418"/>
      <c r="K39" s="418"/>
      <c r="L39" s="418"/>
      <c r="M39" s="418"/>
      <c r="N39" s="418"/>
      <c r="O39" s="418"/>
      <c r="P39" s="418"/>
      <c r="Q39" s="418"/>
      <c r="R39" s="418"/>
      <c r="S39" s="418"/>
      <c r="T39" s="418"/>
      <c r="U39" s="418"/>
      <c r="V39" s="418"/>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IFERROR(__xludf.DUMMYFUNCTION("""COMPUTED_VALUE"""),0.0)</f>
        <v>0</v>
      </c>
      <c r="AU39" s="409" t="str">
        <f t="shared" si="8"/>
        <v/>
      </c>
      <c r="AV39" s="401">
        <f>countifs('🔵クレーム'!$C:$C,MONTH($D$5)&amp;"月",'🔵クレーム'!$D:$D,day(C39)&amp;"日",'🔵クレーム'!$I:$I,"&lt;&gt;")</f>
        <v>0</v>
      </c>
      <c r="AW39" s="410"/>
      <c r="AX39" s="411"/>
      <c r="AY39" s="450" t="s">
        <v>354</v>
      </c>
      <c r="AZ39" s="451" t="s">
        <v>278</v>
      </c>
      <c r="BA39" s="451" t="s">
        <v>372</v>
      </c>
      <c r="BB39" s="451" t="s">
        <v>356</v>
      </c>
      <c r="BC39" s="329"/>
      <c r="BD39" s="450" t="s">
        <v>373</v>
      </c>
      <c r="BE39" s="451" t="s">
        <v>374</v>
      </c>
      <c r="BF39" s="451" t="s">
        <v>372</v>
      </c>
      <c r="BG39" s="451" t="s">
        <v>344</v>
      </c>
      <c r="BH39" s="315"/>
      <c r="BI39" s="228" t="str">
        <f t="array" ref="BI39">IFERROR(INDEX('💻シート作成'!$D$6:$D162, MATCH(BJ39, '💻シート作成'!$E$6:$E162, 0)), "")</f>
        <v>8月</v>
      </c>
      <c r="BJ39" s="172" t="str">
        <f>IFERROR(__xludf.DUMMYFUNCTION("""COMPUTED_VALUE"""),"③R8_8日報")</f>
        <v>③R8_8日報</v>
      </c>
      <c r="BK39" s="315"/>
      <c r="BL39" s="453"/>
      <c r="BM39" s="172"/>
      <c r="BN39" s="315"/>
      <c r="BO39" s="315"/>
      <c r="BP39" s="315"/>
      <c r="BQ39" s="315"/>
      <c r="BR39" s="315"/>
      <c r="BS39" s="315"/>
      <c r="BT39" s="315"/>
      <c r="BU39" s="315"/>
      <c r="BV39" s="315"/>
      <c r="BW39" s="315"/>
      <c r="BX39" s="315"/>
      <c r="BY39" s="315"/>
      <c r="BZ39" s="315"/>
      <c r="CA39" s="315"/>
    </row>
    <row r="40" ht="15.75" customHeight="1">
      <c r="A40" s="315"/>
      <c r="B40" s="431" t="b">
        <v>0</v>
      </c>
      <c r="C40" s="400">
        <f t="shared" si="9"/>
        <v>46140</v>
      </c>
      <c r="D40" s="401" t="str">
        <f t="shared" si="2"/>
        <v>火</v>
      </c>
      <c r="E40" s="401" t="str">
        <f t="shared" si="3"/>
        <v/>
      </c>
      <c r="F40" s="401" t="str">
        <f t="shared" si="4"/>
        <v/>
      </c>
      <c r="G40" s="401" t="str">
        <f t="shared" si="5"/>
        <v/>
      </c>
      <c r="H40" s="467"/>
      <c r="I40" s="418"/>
      <c r="J40" s="418"/>
      <c r="K40" s="418"/>
      <c r="L40" s="418"/>
      <c r="M40" s="418"/>
      <c r="N40" s="418"/>
      <c r="O40" s="418"/>
      <c r="P40" s="418"/>
      <c r="Q40" s="418"/>
      <c r="R40" s="418"/>
      <c r="S40" s="418"/>
      <c r="T40" s="418"/>
      <c r="U40" s="418"/>
      <c r="V40" s="418"/>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7">
        <f t="shared" si="6"/>
        <v>0</v>
      </c>
      <c r="AS40" s="408">
        <f t="shared" si="7"/>
        <v>0</v>
      </c>
      <c r="AT40" s="408">
        <f>IFERROR(__xludf.DUMMYFUNCTION("""COMPUTED_VALUE"""),0.0)</f>
        <v>0</v>
      </c>
      <c r="AU40" s="409" t="str">
        <f t="shared" si="8"/>
        <v/>
      </c>
      <c r="AV40" s="401">
        <f>countifs('🔵クレーム'!$C:$C,MONTH($D$5)&amp;"月",'🔵クレーム'!$D:$D,day(C40)&amp;"日",'🔵クレーム'!$I:$I,"&lt;&gt;")</f>
        <v>0</v>
      </c>
      <c r="AW40" s="410"/>
      <c r="AX40" s="469" t="s">
        <v>375</v>
      </c>
      <c r="AY40" s="470" t="s">
        <v>366</v>
      </c>
      <c r="AZ40" s="460"/>
      <c r="BA40" s="471"/>
      <c r="BB40" s="442">
        <f>SUM(AZ40:AZ45)</f>
        <v>0</v>
      </c>
      <c r="BC40" s="315"/>
      <c r="BD40" s="472" t="s">
        <v>364</v>
      </c>
      <c r="BE40" s="473">
        <v>60000.0</v>
      </c>
      <c r="BF40" s="474" t="s">
        <v>376</v>
      </c>
      <c r="BG40" s="442">
        <f>SUM(BE40:BE45)</f>
        <v>60000</v>
      </c>
      <c r="BH40" s="315"/>
      <c r="BI40" s="228" t="str">
        <f t="array" ref="BI40">IFERROR(INDEX('💻シート作成'!$D$6:$D162, MATCH(BJ40, '💻シート作成'!$E$6:$E162, 0)), "")</f>
        <v>8月</v>
      </c>
      <c r="BJ40" s="172" t="str">
        <f>IFERROR(__xludf.DUMMYFUNCTION("""COMPUTED_VALUE"""),"④R8_8月報")</f>
        <v>④R8_8月報</v>
      </c>
      <c r="BK40" s="315"/>
      <c r="BL40" s="453"/>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9"/>
        <v>46141</v>
      </c>
      <c r="D41" s="401" t="str">
        <f t="shared" si="2"/>
        <v>水</v>
      </c>
      <c r="E41" s="401" t="str">
        <f t="shared" si="3"/>
        <v/>
      </c>
      <c r="F41" s="401" t="str">
        <f t="shared" si="4"/>
        <v/>
      </c>
      <c r="G41" s="401" t="str">
        <f t="shared" si="5"/>
        <v/>
      </c>
      <c r="H41" s="399"/>
      <c r="I41" s="418"/>
      <c r="J41" s="418"/>
      <c r="K41" s="418"/>
      <c r="L41" s="418"/>
      <c r="M41" s="418"/>
      <c r="N41" s="418"/>
      <c r="O41" s="418"/>
      <c r="P41" s="418"/>
      <c r="Q41" s="418"/>
      <c r="R41" s="418"/>
      <c r="S41" s="418"/>
      <c r="T41" s="418"/>
      <c r="U41" s="418"/>
      <c r="V41" s="418"/>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469"/>
      <c r="AY41" s="470"/>
      <c r="AZ41" s="460"/>
      <c r="BA41" s="471"/>
      <c r="BB41" s="445"/>
      <c r="BC41" s="315"/>
      <c r="BD41" s="424"/>
      <c r="BE41" s="422"/>
      <c r="BF41" s="476"/>
      <c r="BG41" s="445"/>
      <c r="BH41" s="315"/>
      <c r="BI41" s="228" t="str">
        <f t="array" ref="BI41">IFERROR(INDEX('💻シート作成'!$D$6:$D162, MATCH(BJ41, '💻シート作成'!$E$6:$E162, 0)), "")</f>
        <v>7月</v>
      </c>
      <c r="BJ41" s="172" t="str">
        <f>IFERROR(__xludf.DUMMYFUNCTION("""COMPUTED_VALUE"""),"①R8_7集計")</f>
        <v>①R8_7集計</v>
      </c>
      <c r="BK41" s="315"/>
      <c r="BL41" s="453"/>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9"/>
        <v>46142</v>
      </c>
      <c r="D42" s="401" t="str">
        <f t="shared" si="2"/>
        <v>木</v>
      </c>
      <c r="E42" s="401" t="str">
        <f t="shared" si="3"/>
        <v/>
      </c>
      <c r="F42" s="401" t="str">
        <f t="shared" si="4"/>
        <v/>
      </c>
      <c r="G42" s="401" t="str">
        <f t="shared" si="5"/>
        <v/>
      </c>
      <c r="H42" s="419"/>
      <c r="I42" s="420"/>
      <c r="J42" s="420"/>
      <c r="K42" s="420"/>
      <c r="L42" s="420"/>
      <c r="M42" s="420"/>
      <c r="N42" s="420"/>
      <c r="O42" s="420"/>
      <c r="P42" s="420"/>
      <c r="Q42" s="420"/>
      <c r="R42" s="420"/>
      <c r="S42" s="420"/>
      <c r="T42" s="420"/>
      <c r="U42" s="420"/>
      <c r="V42" s="420"/>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411"/>
      <c r="AY42" s="424"/>
      <c r="AZ42" s="422"/>
      <c r="BA42" s="476"/>
      <c r="BB42" s="445"/>
      <c r="BC42" s="315"/>
      <c r="BD42" s="424"/>
      <c r="BE42" s="422"/>
      <c r="BF42" s="476"/>
      <c r="BG42" s="445"/>
      <c r="BH42" s="315"/>
      <c r="BI42" s="228" t="str">
        <f t="array" ref="BI42">IFERROR(INDEX('💻シート作成'!$D$6:$D162, MATCH(BJ42, '💻シート作成'!$E$6:$E162, 0)), "")</f>
        <v>7月</v>
      </c>
      <c r="BJ42" s="172" t="str">
        <f>IFERROR(__xludf.DUMMYFUNCTION("""COMPUTED_VALUE"""),"②R8_7シフト")</f>
        <v>②R8_7シフト</v>
      </c>
      <c r="BK42" s="315"/>
      <c r="BL42" s="453"/>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0"/>
      <c r="J43" s="420"/>
      <c r="K43" s="420"/>
      <c r="L43" s="420"/>
      <c r="M43" s="420"/>
      <c r="N43" s="420"/>
      <c r="O43" s="420"/>
      <c r="P43" s="420"/>
      <c r="Q43" s="420"/>
      <c r="R43" s="420"/>
      <c r="S43" s="420"/>
      <c r="T43" s="420"/>
      <c r="U43" s="420"/>
      <c r="V43" s="420"/>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411"/>
      <c r="AY43" s="424"/>
      <c r="AZ43" s="422"/>
      <c r="BA43" s="476"/>
      <c r="BB43" s="445"/>
      <c r="BC43" s="315"/>
      <c r="BD43" s="424"/>
      <c r="BE43" s="476"/>
      <c r="BF43" s="476"/>
      <c r="BG43" s="445"/>
      <c r="BH43" s="315"/>
      <c r="BI43" s="228" t="str">
        <f t="array" ref="BI43">IFERROR(INDEX('💻シート作成'!$D$6:$D162, MATCH(BJ43, '💻シート作成'!$E$6:$E162, 0)), "")</f>
        <v>7月</v>
      </c>
      <c r="BJ43" s="172" t="str">
        <f>IFERROR(__xludf.DUMMYFUNCTION("""COMPUTED_VALUE"""),"③R8_7日報")</f>
        <v>③R8_7日報</v>
      </c>
      <c r="BK43" s="315"/>
      <c r="BL43" s="453"/>
      <c r="BM43" s="172"/>
      <c r="BN43" s="315"/>
      <c r="BO43" s="315"/>
      <c r="BP43" s="315"/>
      <c r="BQ43" s="315"/>
      <c r="BR43" s="315"/>
      <c r="BS43" s="315"/>
      <c r="BT43" s="315"/>
      <c r="BU43" s="315"/>
      <c r="BV43" s="315"/>
      <c r="BW43" s="315"/>
      <c r="BX43" s="315"/>
      <c r="BY43" s="315"/>
      <c r="BZ43" s="315"/>
      <c r="CA43" s="315"/>
    </row>
    <row r="44" ht="15.75" customHeight="1">
      <c r="A44" s="315"/>
      <c r="B44" s="478"/>
      <c r="C44" s="479" t="s">
        <v>344</v>
      </c>
      <c r="D44" s="480"/>
      <c r="E44" s="481">
        <f>sum(E13:E43)</f>
        <v>175</v>
      </c>
      <c r="F44" s="481">
        <f t="shared" ref="F44:AB44" si="12">SUM(F13:F43)</f>
        <v>160</v>
      </c>
      <c r="G44" s="481">
        <f t="shared" si="12"/>
        <v>152</v>
      </c>
      <c r="H44" s="481">
        <f t="shared" si="12"/>
        <v>47</v>
      </c>
      <c r="I44" s="481">
        <f t="shared" si="12"/>
        <v>9</v>
      </c>
      <c r="J44" s="481">
        <f t="shared" si="12"/>
        <v>18</v>
      </c>
      <c r="K44" s="481">
        <f t="shared" si="12"/>
        <v>78</v>
      </c>
      <c r="L44" s="481">
        <f t="shared" si="12"/>
        <v>8</v>
      </c>
      <c r="M44" s="481">
        <f t="shared" si="12"/>
        <v>4</v>
      </c>
      <c r="N44" s="481">
        <f t="shared" si="12"/>
        <v>41</v>
      </c>
      <c r="O44" s="481">
        <f t="shared" si="12"/>
        <v>6</v>
      </c>
      <c r="P44" s="481">
        <f t="shared" si="12"/>
        <v>0</v>
      </c>
      <c r="Q44" s="481">
        <f t="shared" si="12"/>
        <v>0</v>
      </c>
      <c r="R44" s="481">
        <f t="shared" si="12"/>
        <v>5</v>
      </c>
      <c r="S44" s="481">
        <f t="shared" si="12"/>
        <v>0</v>
      </c>
      <c r="T44" s="481">
        <f t="shared" si="12"/>
        <v>1</v>
      </c>
      <c r="U44" s="481">
        <f t="shared" si="12"/>
        <v>1</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126985</v>
      </c>
      <c r="AT44" s="484">
        <f t="shared" si="13"/>
        <v>67997.66667</v>
      </c>
      <c r="AU44" s="485">
        <f>AVERAGE(AU13:AU43)</f>
        <v>0.5161438923</v>
      </c>
      <c r="AV44" s="481">
        <f t="shared" ref="AV44:AW44" si="14">sum(AV13:AV43)</f>
        <v>0</v>
      </c>
      <c r="AW44" s="486">
        <f t="shared" si="14"/>
        <v>0</v>
      </c>
      <c r="AX44" s="487"/>
      <c r="AY44" s="424"/>
      <c r="AZ44" s="422"/>
      <c r="BA44" s="476"/>
      <c r="BB44" s="445"/>
      <c r="BC44" s="315"/>
      <c r="BD44" s="424"/>
      <c r="BE44" s="476"/>
      <c r="BF44" s="476"/>
      <c r="BG44" s="445"/>
      <c r="BH44" s="315"/>
      <c r="BI44" s="228" t="str">
        <f t="array" ref="BI44">IFERROR(INDEX('💻シート作成'!$D$6:$D162, MATCH(BJ44, '💻シート作成'!$E$6:$E162, 0)), "")</f>
        <v>7月</v>
      </c>
      <c r="BJ44" s="172" t="str">
        <f>IFERROR(__xludf.DUMMYFUNCTION("""COMPUTED_VALUE"""),"④R8_7月報")</f>
        <v>④R8_7月報</v>
      </c>
      <c r="BK44" s="315"/>
      <c r="BL44" s="453"/>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360</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4"/>
      <c r="AZ45" s="422"/>
      <c r="BA45" s="476"/>
      <c r="BB45" s="222"/>
      <c r="BC45" s="315"/>
      <c r="BD45" s="424"/>
      <c r="BE45" s="422"/>
      <c r="BF45" s="476"/>
      <c r="BG45" s="222"/>
      <c r="BH45" s="315"/>
      <c r="BI45" s="228" t="str">
        <f t="array" ref="BI45">IFERROR(INDEX('💻シート作成'!$D$6:$D162, MATCH(BJ45, '💻シート作成'!$E$6:$E162, 0)), "")</f>
        <v>6月</v>
      </c>
      <c r="BJ45" s="172" t="str">
        <f>IFERROR(__xludf.DUMMYFUNCTION("""COMPUTED_VALUE"""),"①R8_6集計")</f>
        <v>①R8_6集計</v>
      </c>
      <c r="BK45" s="315"/>
      <c r="BL45" s="453"/>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377</v>
      </c>
      <c r="F46" s="492"/>
      <c r="G46" s="506">
        <f t="shared" ref="G46:AI46" si="15">G44*G45</f>
        <v>0</v>
      </c>
      <c r="H46" s="506">
        <f t="shared" si="15"/>
        <v>50055</v>
      </c>
      <c r="I46" s="506">
        <f t="shared" si="15"/>
        <v>10710</v>
      </c>
      <c r="J46" s="506">
        <f t="shared" si="15"/>
        <v>24120</v>
      </c>
      <c r="K46" s="506">
        <f t="shared" si="15"/>
        <v>23400</v>
      </c>
      <c r="L46" s="506">
        <f t="shared" si="15"/>
        <v>800</v>
      </c>
      <c r="M46" s="506">
        <f t="shared" si="15"/>
        <v>400</v>
      </c>
      <c r="N46" s="506">
        <f t="shared" si="15"/>
        <v>4100</v>
      </c>
      <c r="O46" s="506">
        <f t="shared" si="15"/>
        <v>1500</v>
      </c>
      <c r="P46" s="506">
        <f t="shared" si="15"/>
        <v>0</v>
      </c>
      <c r="Q46" s="506">
        <f t="shared" si="15"/>
        <v>0</v>
      </c>
      <c r="R46" s="506">
        <f t="shared" si="15"/>
        <v>750</v>
      </c>
      <c r="S46" s="506">
        <f t="shared" si="15"/>
        <v>0</v>
      </c>
      <c r="T46" s="506">
        <f t="shared" si="15"/>
        <v>150</v>
      </c>
      <c r="U46" s="506">
        <f t="shared" si="15"/>
        <v>11000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126985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3"/>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378</v>
      </c>
      <c r="F47" s="512"/>
      <c r="G47" s="513">
        <f t="shared" ref="G47:L47" si="16">G44/$E$44</f>
        <v>0.8685714286</v>
      </c>
      <c r="H47" s="513">
        <f t="shared" si="16"/>
        <v>0.2685714286</v>
      </c>
      <c r="I47" s="513">
        <f t="shared" si="16"/>
        <v>0.05142857143</v>
      </c>
      <c r="J47" s="513">
        <f t="shared" si="16"/>
        <v>0.1028571429</v>
      </c>
      <c r="K47" s="513">
        <f t="shared" si="16"/>
        <v>0.4457142857</v>
      </c>
      <c r="L47" s="513">
        <f t="shared" si="16"/>
        <v>0.04571428571</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3"/>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3"/>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3"/>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3"/>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3"/>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3"/>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3"/>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3"/>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3"/>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3"/>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3"/>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3"/>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3"/>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3"/>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3"/>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3"/>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3"/>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3"/>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3"/>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3"/>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3"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3"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3"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3"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3"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3"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3"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3"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3"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3"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3"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3"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3"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3"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3"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3"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3"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3"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3"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3"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3"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3"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3"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3"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3"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3"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3"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3"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3"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3"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3"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3"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3"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3"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3"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3"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3"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3"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3"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3"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3"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3"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3"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3"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3"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3"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3"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3"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3"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3"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3"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3"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3"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3"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3"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3"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3"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3"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3"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3"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3"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3"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3"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3"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3"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3"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3"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3"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3"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3"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3"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3"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3"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3"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3"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3"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3"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3"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3"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3"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3"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3"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3"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3"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3"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3"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3"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3"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3"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3"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3"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3"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3"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3"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3"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3"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380</v>
      </c>
      <c r="M2" s="532"/>
      <c r="N2" s="533" t="s">
        <v>381</v>
      </c>
      <c r="O2" s="534"/>
      <c r="P2" s="535"/>
      <c r="Q2" s="536"/>
      <c r="R2" s="536"/>
      <c r="S2" s="537"/>
      <c r="T2" s="536"/>
      <c r="U2" s="536"/>
      <c r="V2" s="536"/>
      <c r="W2" s="536"/>
      <c r="X2" s="536"/>
      <c r="Y2" s="538"/>
      <c r="Z2" s="281"/>
      <c r="AA2" s="281"/>
      <c r="AB2" s="281"/>
      <c r="AC2" s="281"/>
      <c r="AD2" s="281"/>
      <c r="AE2" s="281"/>
      <c r="AF2" s="539"/>
      <c r="AG2" s="540"/>
      <c r="AH2" s="541"/>
      <c r="AI2" s="542" t="s">
        <v>382</v>
      </c>
      <c r="AJ2" s="281"/>
      <c r="AS2" s="281"/>
      <c r="AT2" s="543" t="s">
        <v>383</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385</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344</v>
      </c>
      <c r="BI3" s="200"/>
      <c r="BJ3" s="563" t="s">
        <v>386</v>
      </c>
      <c r="BK3" s="3"/>
      <c r="BL3" s="564">
        <v>46113.0</v>
      </c>
      <c r="BT3" s="200"/>
      <c r="BU3" s="200"/>
      <c r="BV3" s="200"/>
      <c r="BW3" s="200"/>
      <c r="BX3" s="200"/>
    </row>
    <row r="4" ht="24.75" customHeight="1">
      <c r="A4" s="529"/>
      <c r="B4" s="565" t="s">
        <v>387</v>
      </c>
      <c r="C4" s="566"/>
      <c r="D4" s="567"/>
      <c r="E4" s="568" t="s">
        <v>388</v>
      </c>
      <c r="F4" s="528"/>
      <c r="G4" s="529"/>
      <c r="H4" s="529"/>
      <c r="I4" s="569" t="s">
        <v>389</v>
      </c>
      <c r="J4" s="3"/>
      <c r="K4" s="570" t="s">
        <v>390</v>
      </c>
      <c r="L4" s="571"/>
      <c r="M4" s="572" t="s">
        <v>391</v>
      </c>
      <c r="N4" s="573"/>
      <c r="O4" s="574"/>
      <c r="P4" s="575" t="s">
        <v>392</v>
      </c>
      <c r="Q4" s="576" t="s">
        <v>393</v>
      </c>
      <c r="R4" s="574"/>
      <c r="S4" s="574"/>
      <c r="T4" s="575" t="s">
        <v>394</v>
      </c>
      <c r="U4" s="576" t="s">
        <v>395</v>
      </c>
      <c r="V4" s="574"/>
      <c r="W4" s="574"/>
      <c r="X4" s="577" t="s">
        <v>192</v>
      </c>
      <c r="Y4" s="576" t="s">
        <v>396</v>
      </c>
      <c r="Z4" s="574"/>
      <c r="AA4" s="574"/>
      <c r="AB4" s="578" t="s">
        <v>397</v>
      </c>
      <c r="AC4" s="576" t="s">
        <v>398</v>
      </c>
      <c r="AD4" s="574"/>
      <c r="AE4" s="574"/>
      <c r="AF4" s="579" t="s">
        <v>399</v>
      </c>
      <c r="AG4" s="576" t="s">
        <v>400</v>
      </c>
      <c r="AH4" s="574"/>
      <c r="AI4" s="574"/>
      <c r="AJ4" s="579" t="s">
        <v>401</v>
      </c>
      <c r="AK4" s="576" t="s">
        <v>402</v>
      </c>
      <c r="AL4" s="574"/>
      <c r="AM4" s="580"/>
      <c r="AN4" s="581"/>
      <c r="AO4" s="581"/>
      <c r="AP4" s="555"/>
      <c r="AQ4" s="582"/>
      <c r="AR4" s="557"/>
      <c r="AS4" s="200"/>
      <c r="AT4" s="583" t="s">
        <v>403</v>
      </c>
      <c r="AU4" s="584" t="s">
        <v>213</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404</v>
      </c>
      <c r="BK4" s="250"/>
      <c r="BL4" s="564">
        <v>46143.0</v>
      </c>
      <c r="BT4" s="526"/>
      <c r="BU4" s="526"/>
      <c r="BV4" s="526"/>
      <c r="BW4" s="526"/>
      <c r="BX4" s="526"/>
    </row>
    <row r="5" ht="24.75" customHeight="1">
      <c r="A5" s="529"/>
      <c r="B5" s="589" t="s">
        <v>405</v>
      </c>
      <c r="C5" s="590"/>
      <c r="D5" s="529"/>
      <c r="E5" s="591" t="s">
        <v>406</v>
      </c>
      <c r="F5" s="590"/>
      <c r="G5" s="529"/>
      <c r="H5" s="529"/>
      <c r="I5" s="592" t="b">
        <v>0</v>
      </c>
      <c r="J5" s="3"/>
      <c r="K5" s="593" t="s">
        <v>132</v>
      </c>
      <c r="L5" s="594"/>
      <c r="M5" s="595" t="s">
        <v>407</v>
      </c>
      <c r="N5" s="596"/>
      <c r="O5" s="574"/>
      <c r="P5" s="597" t="s">
        <v>408</v>
      </c>
      <c r="Q5" s="576" t="s">
        <v>409</v>
      </c>
      <c r="R5" s="574"/>
      <c r="S5" s="574"/>
      <c r="T5" s="597" t="s">
        <v>410</v>
      </c>
      <c r="U5" s="576" t="s">
        <v>411</v>
      </c>
      <c r="V5" s="574"/>
      <c r="W5" s="574"/>
      <c r="X5" s="597" t="s">
        <v>412</v>
      </c>
      <c r="Y5" s="576" t="s">
        <v>413</v>
      </c>
      <c r="Z5" s="574"/>
      <c r="AA5" s="574"/>
      <c r="AB5" s="597" t="s">
        <v>414</v>
      </c>
      <c r="AC5" s="576" t="s">
        <v>415</v>
      </c>
      <c r="AD5" s="574"/>
      <c r="AE5" s="574"/>
      <c r="AF5" s="597" t="s">
        <v>416</v>
      </c>
      <c r="AG5" s="576" t="s">
        <v>417</v>
      </c>
      <c r="AH5" s="574"/>
      <c r="AI5" s="574"/>
      <c r="AJ5" s="597" t="s">
        <v>418</v>
      </c>
      <c r="AK5" s="576" t="s">
        <v>419</v>
      </c>
      <c r="AL5" s="574"/>
      <c r="AM5" s="580"/>
      <c r="AN5" s="581"/>
      <c r="AO5" s="581"/>
      <c r="AP5" s="555"/>
      <c r="AQ5" s="582"/>
      <c r="AR5" s="557"/>
      <c r="AS5" s="200"/>
      <c r="AT5" s="598" t="s">
        <v>420</v>
      </c>
      <c r="AU5" s="584" t="s">
        <v>216</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46114</v>
      </c>
      <c r="C7" s="614"/>
      <c r="D7" s="529"/>
      <c r="E7" s="615">
        <f>today()+1</f>
        <v>46115</v>
      </c>
      <c r="F7" s="616"/>
      <c r="G7" s="529"/>
      <c r="H7" s="529"/>
      <c r="I7" s="617" t="s">
        <v>421</v>
      </c>
      <c r="J7" s="618" t="s">
        <v>422</v>
      </c>
      <c r="K7" s="619">
        <v>46113.0</v>
      </c>
      <c r="L7" s="620" t="s">
        <v>423</v>
      </c>
      <c r="M7" s="621" t="s">
        <v>424</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425</v>
      </c>
      <c r="AT7" s="625" t="s">
        <v>426</v>
      </c>
      <c r="AU7" s="626" t="s">
        <v>81</v>
      </c>
      <c r="AV7" s="626" t="s">
        <v>427</v>
      </c>
      <c r="AW7" s="626" t="s">
        <v>428</v>
      </c>
      <c r="AX7" s="626" t="s">
        <v>429</v>
      </c>
      <c r="AY7" s="626" t="s">
        <v>430</v>
      </c>
      <c r="AZ7" s="626" t="s">
        <v>431</v>
      </c>
      <c r="BA7" s="626" t="s">
        <v>82</v>
      </c>
      <c r="BB7" s="627" t="s">
        <v>342</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木</v>
      </c>
      <c r="D8" s="119"/>
      <c r="E8" s="630" t="s">
        <v>292</v>
      </c>
      <c r="F8" s="631" t="str">
        <f>TEXT(E7,"ddd")</f>
        <v>金</v>
      </c>
      <c r="G8" s="200"/>
      <c r="H8" s="200"/>
      <c r="I8" s="617"/>
      <c r="J8" s="632" t="s">
        <v>432</v>
      </c>
      <c r="K8" s="620" t="s">
        <v>433</v>
      </c>
      <c r="L8" s="633" t="s">
        <v>434</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11</v>
      </c>
      <c r="D9" s="200"/>
      <c r="E9" s="636" t="str">
        <f t="shared" ref="E9:E104" si="5">K9</f>
        <v>出勤者数合計</v>
      </c>
      <c r="F9" s="637">
        <f t="shared" ref="F9:F103" si="6">if(E9="","", xlookup($E$7,$N$7:$AR$7,$N9:$AR9))</f>
        <v>14</v>
      </c>
      <c r="G9" s="200"/>
      <c r="H9" s="200"/>
      <c r="I9" s="172" t="b">
        <v>0</v>
      </c>
      <c r="J9" s="632"/>
      <c r="K9" s="638" t="s">
        <v>435</v>
      </c>
      <c r="L9" s="639" t="s">
        <v>135</v>
      </c>
      <c r="M9" s="640" t="s">
        <v>436</v>
      </c>
      <c r="N9" s="641">
        <f t="array" ref="N9">SUM(COUNTIF(N11:N104, {"◎","〇","☆","共","特","浴"}))</f>
        <v>15</v>
      </c>
      <c r="O9" s="641">
        <f t="array" ref="O9">SUM(COUNTIF(O11:O104, {"◎","〇","☆","共","特","浴"}))</f>
        <v>11</v>
      </c>
      <c r="P9" s="641">
        <f t="array" ref="P9">SUM(COUNTIF(P11:P104, {"◎","〇","☆","共","特","浴"}))</f>
        <v>14</v>
      </c>
      <c r="Q9" s="641">
        <f t="array" ref="Q9">SUM(COUNTIF(Q11:Q104, {"◎","〇","☆","共","特","浴"}))</f>
        <v>12</v>
      </c>
      <c r="R9" s="641">
        <f t="array" ref="R9">SUM(COUNTIF(R11:R104, {"◎","〇","☆","共","特","浴"}))</f>
        <v>13</v>
      </c>
      <c r="S9" s="641">
        <f t="array" ref="S9">SUM(COUNTIF(S11:S104, {"◎","〇","☆","共","特","浴"}))</f>
        <v>14</v>
      </c>
      <c r="T9" s="641">
        <f t="array" ref="T9">SUM(COUNTIF(T11:T104, {"◎","〇","☆","共","特","浴"}))</f>
        <v>18</v>
      </c>
      <c r="U9" s="641">
        <f t="array" ref="U9">SUM(COUNTIF(U11:U104, {"◎","〇","☆","共","特","浴"}))</f>
        <v>15</v>
      </c>
      <c r="V9" s="641">
        <f t="array" ref="V9">SUM(COUNTIF(V11:V104, {"◎","〇","☆","共","特","浴"}))</f>
        <v>11</v>
      </c>
      <c r="W9" s="641">
        <f t="array" ref="W9">SUM(COUNTIF(W11:W104, {"◎","〇","☆","共","特","浴"}))</f>
        <v>15</v>
      </c>
      <c r="X9" s="641">
        <f t="array" ref="X9">SUM(COUNTIF(X11:X104, {"◎","〇","☆","共","特","浴"}))</f>
        <v>13</v>
      </c>
      <c r="Y9" s="641">
        <f t="array" ref="Y9">SUM(COUNTIF(Y11:Y104, {"◎","〇","☆","共","特","浴"}))</f>
        <v>13</v>
      </c>
      <c r="Z9" s="641">
        <f t="array" ref="Z9">SUM(COUNTIF(Z11:Z104, {"◎","〇","☆","共","特","浴"}))</f>
        <v>13</v>
      </c>
      <c r="AA9" s="641">
        <f t="array" ref="AA9">SUM(COUNTIF(AA11:AA104, {"◎","〇","☆","共","特","浴"}))</f>
        <v>17</v>
      </c>
      <c r="AB9" s="641">
        <f t="array" ref="AB9">SUM(COUNTIF(AB11:AB104, {"◎","〇","☆","共","特","浴"}))</f>
        <v>15</v>
      </c>
      <c r="AC9" s="641">
        <f t="array" ref="AC9">SUM(COUNTIF(AC11:AC104, {"◎","〇","☆","共","特","浴"}))</f>
        <v>13</v>
      </c>
      <c r="AD9" s="641">
        <f t="array" ref="AD9">SUM(COUNTIF(AD11:AD104, {"◎","〇","☆","共","特","浴"}))</f>
        <v>15</v>
      </c>
      <c r="AE9" s="641">
        <f t="array" ref="AE9">SUM(COUNTIF(AE11:AE104, {"◎","〇","☆","共","特","浴"}))</f>
        <v>12</v>
      </c>
      <c r="AF9" s="641">
        <f t="array" ref="AF9">SUM(COUNTIF(AF11:AF104, {"◎","〇","☆","共","特","浴"}))</f>
        <v>13</v>
      </c>
      <c r="AG9" s="641">
        <f t="array" ref="AG9">SUM(COUNTIF(AG11:AG104, {"◎","〇","☆","共","特","浴"}))</f>
        <v>15</v>
      </c>
      <c r="AH9" s="641">
        <f t="array" ref="AH9">SUM(COUNTIF(AH11:AH104, {"◎","〇","☆","共","特","浴"}))</f>
        <v>18</v>
      </c>
      <c r="AI9" s="641">
        <f t="array" ref="AI9">SUM(COUNTIF(AI11:AI104, {"◎","〇","☆","共","特","浴"}))</f>
        <v>16</v>
      </c>
      <c r="AJ9" s="641">
        <f t="array" ref="AJ9">SUM(COUNTIF(AJ11:AJ104, {"◎","〇","☆","共","特","浴"}))</f>
        <v>12</v>
      </c>
      <c r="AK9" s="641">
        <f t="array" ref="AK9">SUM(COUNTIF(AK11:AK104, {"◎","〇","☆","共","特","浴"}))</f>
        <v>15</v>
      </c>
      <c r="AL9" s="641">
        <f t="array" ref="AL9">SUM(COUNTIF(AL11:AL104, {"◎","〇","☆","共","特","浴"}))</f>
        <v>12</v>
      </c>
      <c r="AM9" s="641">
        <f t="array" ref="AM9">SUM(COUNTIF(AM11:AM104, {"◎","〇","☆","共","特","浴"}))</f>
        <v>12</v>
      </c>
      <c r="AN9" s="641">
        <f t="array" ref="AN9">SUM(COUNTIF(AN11:AN104, {"◎","〇","☆","共","特","浴"}))</f>
        <v>14</v>
      </c>
      <c r="AO9" s="641">
        <f t="array" ref="AO9">SUM(COUNTIF(AO11:AO104, {"◎","〇","☆","共","特","浴"}))</f>
        <v>15</v>
      </c>
      <c r="AP9" s="641">
        <f t="array" ref="AP9">SUM(COUNTIF(AP11:AP104, {"◎","〇","☆","共","特","浴"}))</f>
        <v>14</v>
      </c>
      <c r="AQ9" s="641">
        <f t="array" ref="AQ9">SUM(COUNTIF(AQ11:AQ104, {"◎","〇","☆","共","特","浴"}))</f>
        <v>13</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3</v>
      </c>
      <c r="D10" s="200"/>
      <c r="E10" s="636" t="str">
        <f t="shared" si="5"/>
        <v>チェッカー数</v>
      </c>
      <c r="F10" s="637">
        <f t="shared" si="6"/>
        <v>3</v>
      </c>
      <c r="G10" s="200"/>
      <c r="H10" s="200"/>
      <c r="I10" s="172" t="b">
        <v>0</v>
      </c>
      <c r="J10" s="632"/>
      <c r="K10" s="638" t="s">
        <v>437</v>
      </c>
      <c r="L10" s="639" t="s">
        <v>135</v>
      </c>
      <c r="M10" s="640" t="s">
        <v>438</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5</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4</v>
      </c>
      <c r="AK10" s="641">
        <f t="array" ref="AK10">SUM(COUNTIF(AK11:AK104, {"◎","☆"}))</f>
        <v>5</v>
      </c>
      <c r="AL10" s="641">
        <f t="array" ref="AL10">SUM(COUNTIF(AL11:AL104, {"◎","☆"}))</f>
        <v>5</v>
      </c>
      <c r="AM10" s="641">
        <f t="array" ref="AM10">SUM(COUNTIF(AM11:AM104, {"◎","☆"}))</f>
        <v>4</v>
      </c>
      <c r="AN10" s="641">
        <f t="array" ref="AN10">SUM(COUNTIF(AN11:AN104, {"◎","☆"}))</f>
        <v>4</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希</v>
      </c>
      <c r="D11" s="200"/>
      <c r="E11" s="636" t="str">
        <f t="shared" si="5"/>
        <v>梅川</v>
      </c>
      <c r="F11" s="637" t="str">
        <f t="shared" si="6"/>
        <v>◎</v>
      </c>
      <c r="G11" s="200"/>
      <c r="H11" s="200"/>
      <c r="I11" s="172" t="b">
        <v>0</v>
      </c>
      <c r="J11" s="618"/>
      <c r="K11" s="638" t="s">
        <v>132</v>
      </c>
      <c r="L11" s="639" t="s">
        <v>439</v>
      </c>
      <c r="M11" s="645"/>
      <c r="N11" s="646" t="s">
        <v>392</v>
      </c>
      <c r="O11" s="646" t="s">
        <v>416</v>
      </c>
      <c r="P11" s="646" t="s">
        <v>392</v>
      </c>
      <c r="Q11" s="646" t="s">
        <v>392</v>
      </c>
      <c r="R11" s="646" t="s">
        <v>392</v>
      </c>
      <c r="S11" s="646" t="s">
        <v>408</v>
      </c>
      <c r="T11" s="646" t="s">
        <v>392</v>
      </c>
      <c r="U11" s="646" t="s">
        <v>392</v>
      </c>
      <c r="V11" s="646" t="s">
        <v>392</v>
      </c>
      <c r="W11" s="646" t="s">
        <v>408</v>
      </c>
      <c r="X11" s="646" t="s">
        <v>392</v>
      </c>
      <c r="Y11" s="646" t="s">
        <v>392</v>
      </c>
      <c r="Z11" s="646" t="s">
        <v>408</v>
      </c>
      <c r="AA11" s="646" t="s">
        <v>392</v>
      </c>
      <c r="AB11" s="646" t="s">
        <v>392</v>
      </c>
      <c r="AC11" s="646" t="s">
        <v>392</v>
      </c>
      <c r="AD11" s="646" t="s">
        <v>416</v>
      </c>
      <c r="AE11" s="646" t="s">
        <v>392</v>
      </c>
      <c r="AF11" s="646" t="s">
        <v>392</v>
      </c>
      <c r="AG11" s="646" t="s">
        <v>416</v>
      </c>
      <c r="AH11" s="646" t="s">
        <v>392</v>
      </c>
      <c r="AI11" s="646" t="s">
        <v>392</v>
      </c>
      <c r="AJ11" s="646" t="s">
        <v>408</v>
      </c>
      <c r="AK11" s="646" t="s">
        <v>392</v>
      </c>
      <c r="AL11" s="646" t="s">
        <v>392</v>
      </c>
      <c r="AM11" s="646" t="s">
        <v>392</v>
      </c>
      <c r="AN11" s="646" t="s">
        <v>416</v>
      </c>
      <c r="AO11" s="646" t="s">
        <v>392</v>
      </c>
      <c r="AP11" s="646" t="s">
        <v>392</v>
      </c>
      <c r="AQ11" s="646" t="s">
        <v>408</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v>
      </c>
      <c r="D12" s="200"/>
      <c r="E12" s="636" t="str">
        <f t="shared" si="5"/>
        <v>メイ</v>
      </c>
      <c r="F12" s="637" t="str">
        <f t="shared" si="6"/>
        <v>☆</v>
      </c>
      <c r="G12" s="200"/>
      <c r="H12" s="200"/>
      <c r="I12" s="172" t="b">
        <v>0</v>
      </c>
      <c r="J12" s="618"/>
      <c r="K12" s="638" t="s">
        <v>142</v>
      </c>
      <c r="L12" s="639" t="s">
        <v>440</v>
      </c>
      <c r="M12" s="645"/>
      <c r="N12" s="646" t="s">
        <v>416</v>
      </c>
      <c r="O12" s="646" t="s">
        <v>394</v>
      </c>
      <c r="P12" s="646" t="s">
        <v>394</v>
      </c>
      <c r="Q12" s="646" t="s">
        <v>394</v>
      </c>
      <c r="R12" s="646" t="s">
        <v>408</v>
      </c>
      <c r="S12" s="646" t="s">
        <v>394</v>
      </c>
      <c r="T12" s="646" t="s">
        <v>394</v>
      </c>
      <c r="U12" s="646" t="s">
        <v>408</v>
      </c>
      <c r="V12" s="646" t="s">
        <v>416</v>
      </c>
      <c r="W12" s="646" t="s">
        <v>394</v>
      </c>
      <c r="X12" s="646" t="s">
        <v>394</v>
      </c>
      <c r="Y12" s="646" t="s">
        <v>394</v>
      </c>
      <c r="Z12" s="646" t="s">
        <v>394</v>
      </c>
      <c r="AA12" s="646" t="s">
        <v>394</v>
      </c>
      <c r="AB12" s="646" t="s">
        <v>408</v>
      </c>
      <c r="AC12" s="646" t="s">
        <v>408</v>
      </c>
      <c r="AD12" s="646" t="s">
        <v>394</v>
      </c>
      <c r="AE12" s="646" t="s">
        <v>394</v>
      </c>
      <c r="AF12" s="646" t="s">
        <v>394</v>
      </c>
      <c r="AG12" s="646" t="s">
        <v>394</v>
      </c>
      <c r="AH12" s="646" t="s">
        <v>408</v>
      </c>
      <c r="AI12" s="646" t="s">
        <v>408</v>
      </c>
      <c r="AJ12" s="646" t="s">
        <v>394</v>
      </c>
      <c r="AK12" s="646" t="s">
        <v>394</v>
      </c>
      <c r="AL12" s="646" t="s">
        <v>394</v>
      </c>
      <c r="AM12" s="646" t="s">
        <v>394</v>
      </c>
      <c r="AN12" s="646" t="s">
        <v>394</v>
      </c>
      <c r="AO12" s="646" t="s">
        <v>408</v>
      </c>
      <c r="AP12" s="646" t="s">
        <v>394</v>
      </c>
      <c r="AQ12" s="646" t="s">
        <v>394</v>
      </c>
      <c r="AR12" s="646"/>
      <c r="AS12" s="647">
        <f t="array" ref="AS12">SUM(COUNTIF(N12:AR12, {"◎","〇","☆","共","特","浴"}))</f>
        <v>21</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成</v>
      </c>
      <c r="D13" s="200"/>
      <c r="E13" s="636" t="str">
        <f t="shared" si="5"/>
        <v>ビマル</v>
      </c>
      <c r="F13" s="637" t="str">
        <f t="shared" si="6"/>
        <v>成</v>
      </c>
      <c r="G13" s="200"/>
      <c r="H13" s="200"/>
      <c r="I13" s="172" t="b">
        <v>0</v>
      </c>
      <c r="J13" s="618"/>
      <c r="K13" s="638" t="s">
        <v>119</v>
      </c>
      <c r="L13" s="639" t="s">
        <v>439</v>
      </c>
      <c r="M13" s="645"/>
      <c r="N13" s="646" t="s">
        <v>392</v>
      </c>
      <c r="O13" s="646" t="s">
        <v>441</v>
      </c>
      <c r="P13" s="646" t="s">
        <v>441</v>
      </c>
      <c r="Q13" s="646" t="s">
        <v>408</v>
      </c>
      <c r="R13" s="646" t="s">
        <v>441</v>
      </c>
      <c r="S13" s="646" t="s">
        <v>408</v>
      </c>
      <c r="T13" s="646" t="s">
        <v>392</v>
      </c>
      <c r="U13" s="646" t="s">
        <v>408</v>
      </c>
      <c r="V13" s="646" t="s">
        <v>441</v>
      </c>
      <c r="W13" s="646" t="s">
        <v>392</v>
      </c>
      <c r="X13" s="646" t="s">
        <v>408</v>
      </c>
      <c r="Y13" s="646" t="s">
        <v>441</v>
      </c>
      <c r="Z13" s="646" t="s">
        <v>441</v>
      </c>
      <c r="AA13" s="646" t="s">
        <v>392</v>
      </c>
      <c r="AB13" s="646" t="s">
        <v>408</v>
      </c>
      <c r="AC13" s="646" t="s">
        <v>441</v>
      </c>
      <c r="AD13" s="646" t="s">
        <v>392</v>
      </c>
      <c r="AE13" s="646" t="s">
        <v>408</v>
      </c>
      <c r="AF13" s="646" t="s">
        <v>441</v>
      </c>
      <c r="AG13" s="646" t="s">
        <v>441</v>
      </c>
      <c r="AH13" s="646" t="s">
        <v>392</v>
      </c>
      <c r="AI13" s="646" t="s">
        <v>441</v>
      </c>
      <c r="AJ13" s="646" t="s">
        <v>441</v>
      </c>
      <c r="AK13" s="646" t="s">
        <v>392</v>
      </c>
      <c r="AL13" s="646" t="s">
        <v>408</v>
      </c>
      <c r="AM13" s="646" t="s">
        <v>441</v>
      </c>
      <c r="AN13" s="646" t="s">
        <v>441</v>
      </c>
      <c r="AO13" s="646" t="s">
        <v>410</v>
      </c>
      <c r="AP13" s="646" t="s">
        <v>408</v>
      </c>
      <c r="AQ13" s="646" t="s">
        <v>441</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
      </c>
      <c r="D14" s="200"/>
      <c r="E14" s="636" t="str">
        <f t="shared" si="5"/>
        <v>サウド</v>
      </c>
      <c r="F14" s="637" t="str">
        <f t="shared" si="6"/>
        <v/>
      </c>
      <c r="G14" s="200"/>
      <c r="H14" s="200"/>
      <c r="I14" s="172" t="b">
        <v>0</v>
      </c>
      <c r="J14" s="618"/>
      <c r="K14" s="638" t="s">
        <v>442</v>
      </c>
      <c r="L14" s="639" t="s">
        <v>440</v>
      </c>
      <c r="M14" s="645"/>
      <c r="N14" s="646" t="s">
        <v>443</v>
      </c>
      <c r="O14" s="646"/>
      <c r="P14" s="646"/>
      <c r="Q14" s="646"/>
      <c r="R14" s="646"/>
      <c r="S14" s="646" t="s">
        <v>443</v>
      </c>
      <c r="T14" s="646" t="s">
        <v>192</v>
      </c>
      <c r="U14" s="646"/>
      <c r="V14" s="646"/>
      <c r="W14" s="646" t="s">
        <v>192</v>
      </c>
      <c r="X14" s="646"/>
      <c r="Y14" s="646"/>
      <c r="Z14" s="646" t="s">
        <v>443</v>
      </c>
      <c r="AA14" s="646" t="s">
        <v>192</v>
      </c>
      <c r="AB14" s="646"/>
      <c r="AC14" s="646"/>
      <c r="AD14" s="646" t="s">
        <v>192</v>
      </c>
      <c r="AE14" s="646"/>
      <c r="AF14" s="646"/>
      <c r="AG14" s="646" t="s">
        <v>443</v>
      </c>
      <c r="AH14" s="646" t="s">
        <v>192</v>
      </c>
      <c r="AI14" s="646"/>
      <c r="AJ14" s="646"/>
      <c r="AK14" s="646" t="s">
        <v>192</v>
      </c>
      <c r="AL14" s="646"/>
      <c r="AM14" s="646"/>
      <c r="AN14" s="646"/>
      <c r="AO14" s="646" t="s">
        <v>192</v>
      </c>
      <c r="AP14" s="646"/>
      <c r="AQ14" s="646"/>
      <c r="AR14" s="641"/>
      <c r="AS14" s="647">
        <f t="array" ref="AS14">SUM(COUNTIF(N14:AR14, {"◎","〇","☆","共","特","浴"}))</f>
        <v>7</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鈴木</v>
      </c>
      <c r="C15" s="637" t="str">
        <f t="shared" si="4"/>
        <v/>
      </c>
      <c r="D15" s="200"/>
      <c r="E15" s="636" t="str">
        <f t="shared" si="5"/>
        <v>鈴木</v>
      </c>
      <c r="F15" s="637" t="str">
        <f t="shared" si="6"/>
        <v/>
      </c>
      <c r="G15" s="200"/>
      <c r="H15" s="200"/>
      <c r="I15" s="172" t="b">
        <v>0</v>
      </c>
      <c r="J15" s="618"/>
      <c r="K15" s="638" t="s">
        <v>444</v>
      </c>
      <c r="L15" s="639" t="s">
        <v>445</v>
      </c>
      <c r="M15" s="645"/>
      <c r="N15" s="646" t="s">
        <v>401</v>
      </c>
      <c r="O15" s="646"/>
      <c r="P15" s="646"/>
      <c r="Q15" s="646"/>
      <c r="R15" s="646"/>
      <c r="S15" s="646"/>
      <c r="T15" s="646" t="s">
        <v>401</v>
      </c>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2</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希</v>
      </c>
      <c r="D17" s="200"/>
      <c r="E17" s="636" t="str">
        <f t="shared" si="5"/>
        <v>宇佐見</v>
      </c>
      <c r="F17" s="637" t="str">
        <f t="shared" si="6"/>
        <v>希</v>
      </c>
      <c r="G17" s="200"/>
      <c r="H17" s="200"/>
      <c r="I17" s="172" t="b">
        <v>0</v>
      </c>
      <c r="J17" s="618"/>
      <c r="K17" s="638" t="s">
        <v>446</v>
      </c>
      <c r="L17" s="639" t="s">
        <v>447</v>
      </c>
      <c r="M17" s="645"/>
      <c r="N17" s="646" t="s">
        <v>416</v>
      </c>
      <c r="O17" s="646" t="s">
        <v>416</v>
      </c>
      <c r="P17" s="646" t="s">
        <v>416</v>
      </c>
      <c r="Q17" s="646" t="s">
        <v>408</v>
      </c>
      <c r="R17" s="646" t="s">
        <v>408</v>
      </c>
      <c r="S17" s="646" t="s">
        <v>408</v>
      </c>
      <c r="T17" s="646" t="s">
        <v>394</v>
      </c>
      <c r="U17" s="646" t="s">
        <v>394</v>
      </c>
      <c r="V17" s="646" t="s">
        <v>408</v>
      </c>
      <c r="W17" s="646" t="s">
        <v>394</v>
      </c>
      <c r="X17" s="646" t="s">
        <v>408</v>
      </c>
      <c r="Y17" s="646" t="s">
        <v>408</v>
      </c>
      <c r="Z17" s="646" t="s">
        <v>394</v>
      </c>
      <c r="AA17" s="646" t="s">
        <v>394</v>
      </c>
      <c r="AB17" s="646" t="s">
        <v>408</v>
      </c>
      <c r="AC17" s="646" t="s">
        <v>408</v>
      </c>
      <c r="AD17" s="646" t="s">
        <v>394</v>
      </c>
      <c r="AE17" s="646" t="s">
        <v>408</v>
      </c>
      <c r="AF17" s="646" t="s">
        <v>408</v>
      </c>
      <c r="AG17" s="646" t="s">
        <v>416</v>
      </c>
      <c r="AH17" s="646" t="s">
        <v>394</v>
      </c>
      <c r="AI17" s="646" t="s">
        <v>394</v>
      </c>
      <c r="AJ17" s="646" t="s">
        <v>408</v>
      </c>
      <c r="AK17" s="646" t="s">
        <v>394</v>
      </c>
      <c r="AL17" s="646" t="s">
        <v>408</v>
      </c>
      <c r="AM17" s="646" t="s">
        <v>408</v>
      </c>
      <c r="AN17" s="646" t="s">
        <v>408</v>
      </c>
      <c r="AO17" s="646" t="s">
        <v>394</v>
      </c>
      <c r="AP17" s="646" t="s">
        <v>408</v>
      </c>
      <c r="AQ17" s="646" t="s">
        <v>394</v>
      </c>
      <c r="AR17" s="641"/>
      <c r="AS17" s="647">
        <f t="array" ref="AS17">SUM(COUNTIF(N17:AR17, {"◎","〇","☆","共","特","浴"}))</f>
        <v>11</v>
      </c>
      <c r="AT17" s="651"/>
      <c r="AU17" s="649"/>
      <c r="AV17" s="649"/>
      <c r="AW17" s="649"/>
      <c r="AX17" s="649"/>
      <c r="AY17" s="649"/>
      <c r="AZ17" s="649"/>
      <c r="BA17" s="649"/>
      <c r="BB17" s="652" t="s">
        <v>448</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v>
      </c>
      <c r="D18" s="200"/>
      <c r="E18" s="636" t="str">
        <f t="shared" si="5"/>
        <v>小田原</v>
      </c>
      <c r="F18" s="637" t="str">
        <f t="shared" si="6"/>
        <v>公</v>
      </c>
      <c r="G18" s="200"/>
      <c r="H18" s="200"/>
      <c r="I18" s="172" t="b">
        <v>0</v>
      </c>
      <c r="J18" s="618"/>
      <c r="K18" s="638" t="s">
        <v>449</v>
      </c>
      <c r="L18" s="639" t="s">
        <v>447</v>
      </c>
      <c r="M18" s="645"/>
      <c r="N18" s="646" t="s">
        <v>408</v>
      </c>
      <c r="O18" s="646" t="s">
        <v>394</v>
      </c>
      <c r="P18" s="646" t="s">
        <v>408</v>
      </c>
      <c r="Q18" s="646" t="s">
        <v>408</v>
      </c>
      <c r="R18" s="646" t="s">
        <v>408</v>
      </c>
      <c r="S18" s="646" t="s">
        <v>394</v>
      </c>
      <c r="T18" s="646" t="s">
        <v>394</v>
      </c>
      <c r="U18" s="646" t="s">
        <v>408</v>
      </c>
      <c r="V18" s="646" t="s">
        <v>394</v>
      </c>
      <c r="W18" s="646" t="s">
        <v>408</v>
      </c>
      <c r="X18" s="646" t="s">
        <v>408</v>
      </c>
      <c r="Y18" s="646" t="s">
        <v>408</v>
      </c>
      <c r="Z18" s="646" t="s">
        <v>416</v>
      </c>
      <c r="AA18" s="646" t="s">
        <v>394</v>
      </c>
      <c r="AB18" s="646" t="s">
        <v>408</v>
      </c>
      <c r="AC18" s="646" t="s">
        <v>394</v>
      </c>
      <c r="AD18" s="646" t="s">
        <v>408</v>
      </c>
      <c r="AE18" s="646" t="s">
        <v>408</v>
      </c>
      <c r="AF18" s="646" t="s">
        <v>408</v>
      </c>
      <c r="AG18" s="646" t="s">
        <v>394</v>
      </c>
      <c r="AH18" s="646" t="s">
        <v>394</v>
      </c>
      <c r="AI18" s="646" t="s">
        <v>408</v>
      </c>
      <c r="AJ18" s="646" t="s">
        <v>394</v>
      </c>
      <c r="AK18" s="646" t="s">
        <v>408</v>
      </c>
      <c r="AL18" s="646" t="s">
        <v>408</v>
      </c>
      <c r="AM18" s="646" t="s">
        <v>408</v>
      </c>
      <c r="AN18" s="646" t="s">
        <v>394</v>
      </c>
      <c r="AO18" s="646" t="s">
        <v>394</v>
      </c>
      <c r="AP18" s="646" t="s">
        <v>408</v>
      </c>
      <c r="AQ18" s="646" t="s">
        <v>394</v>
      </c>
      <c r="AR18" s="641"/>
      <c r="AS18" s="647">
        <f t="array" ref="AS18">SUM(COUNTIF(N18:AR18, {"◎","〇","☆","共","特","浴"}))</f>
        <v>12</v>
      </c>
      <c r="AT18" s="648"/>
      <c r="AU18" s="649"/>
      <c r="AV18" s="649"/>
      <c r="AW18" s="649"/>
      <c r="AX18" s="649"/>
      <c r="AY18" s="649"/>
      <c r="AZ18" s="649"/>
      <c r="BA18" s="649"/>
      <c r="BB18" s="652" t="s">
        <v>448</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希</v>
      </c>
      <c r="D19" s="200"/>
      <c r="E19" s="636" t="str">
        <f t="shared" si="5"/>
        <v>佐藤</v>
      </c>
      <c r="F19" s="637" t="str">
        <f t="shared" si="6"/>
        <v>☆</v>
      </c>
      <c r="G19" s="200"/>
      <c r="H19" s="200"/>
      <c r="I19" s="172" t="b">
        <v>0</v>
      </c>
      <c r="J19" s="618"/>
      <c r="K19" s="638" t="s">
        <v>171</v>
      </c>
      <c r="L19" s="639" t="s">
        <v>447</v>
      </c>
      <c r="M19" s="645"/>
      <c r="N19" s="646" t="s">
        <v>394</v>
      </c>
      <c r="O19" s="646" t="s">
        <v>416</v>
      </c>
      <c r="P19" s="646" t="s">
        <v>394</v>
      </c>
      <c r="Q19" s="646" t="s">
        <v>408</v>
      </c>
      <c r="R19" s="646" t="s">
        <v>408</v>
      </c>
      <c r="S19" s="646" t="s">
        <v>416</v>
      </c>
      <c r="T19" s="646" t="s">
        <v>408</v>
      </c>
      <c r="U19" s="646" t="s">
        <v>394</v>
      </c>
      <c r="V19" s="646" t="s">
        <v>394</v>
      </c>
      <c r="W19" s="646" t="s">
        <v>394</v>
      </c>
      <c r="X19" s="646" t="s">
        <v>408</v>
      </c>
      <c r="Y19" s="646" t="s">
        <v>408</v>
      </c>
      <c r="Z19" s="646" t="s">
        <v>408</v>
      </c>
      <c r="AA19" s="646" t="s">
        <v>408</v>
      </c>
      <c r="AB19" s="646" t="s">
        <v>394</v>
      </c>
      <c r="AC19" s="646" t="s">
        <v>394</v>
      </c>
      <c r="AD19" s="646" t="s">
        <v>394</v>
      </c>
      <c r="AE19" s="646" t="s">
        <v>408</v>
      </c>
      <c r="AF19" s="646" t="s">
        <v>408</v>
      </c>
      <c r="AG19" s="646" t="s">
        <v>408</v>
      </c>
      <c r="AH19" s="646" t="s">
        <v>394</v>
      </c>
      <c r="AI19" s="646" t="s">
        <v>394</v>
      </c>
      <c r="AJ19" s="646" t="s">
        <v>408</v>
      </c>
      <c r="AK19" s="646" t="s">
        <v>408</v>
      </c>
      <c r="AL19" s="646" t="s">
        <v>408</v>
      </c>
      <c r="AM19" s="646" t="s">
        <v>408</v>
      </c>
      <c r="AN19" s="646" t="s">
        <v>408</v>
      </c>
      <c r="AO19" s="646" t="s">
        <v>394</v>
      </c>
      <c r="AP19" s="646" t="s">
        <v>408</v>
      </c>
      <c r="AQ19" s="646" t="s">
        <v>416</v>
      </c>
      <c r="AR19" s="641"/>
      <c r="AS19" s="647">
        <f t="array" ref="AS19">SUM(COUNTIF(N19:AR19, {"◎","〇","☆","共","特","浴"}))</f>
        <v>11</v>
      </c>
      <c r="AT19" s="651"/>
      <c r="AU19" s="649"/>
      <c r="AV19" s="649"/>
      <c r="AW19" s="649"/>
      <c r="AX19" s="649"/>
      <c r="AY19" s="649"/>
      <c r="AZ19" s="649"/>
      <c r="BA19" s="649"/>
      <c r="BB19" s="652" t="s">
        <v>448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v>
      </c>
      <c r="D20" s="200"/>
      <c r="E20" s="636" t="str">
        <f t="shared" si="5"/>
        <v>カン</v>
      </c>
      <c r="F20" s="637" t="str">
        <f t="shared" si="6"/>
        <v>公</v>
      </c>
      <c r="G20" s="200"/>
      <c r="H20" s="200"/>
      <c r="I20" s="172" t="b">
        <v>0</v>
      </c>
      <c r="J20" s="618"/>
      <c r="K20" s="638" t="s">
        <v>450</v>
      </c>
      <c r="L20" s="639" t="s">
        <v>447</v>
      </c>
      <c r="M20" s="645"/>
      <c r="N20" s="646" t="s">
        <v>408</v>
      </c>
      <c r="O20" s="646" t="s">
        <v>394</v>
      </c>
      <c r="P20" s="646" t="s">
        <v>408</v>
      </c>
      <c r="Q20" s="646" t="s">
        <v>394</v>
      </c>
      <c r="R20" s="646" t="s">
        <v>394</v>
      </c>
      <c r="S20" s="646" t="s">
        <v>394</v>
      </c>
      <c r="T20" s="646" t="s">
        <v>408</v>
      </c>
      <c r="U20" s="646" t="s">
        <v>408</v>
      </c>
      <c r="V20" s="646" t="s">
        <v>394</v>
      </c>
      <c r="W20" s="646" t="s">
        <v>408</v>
      </c>
      <c r="X20" s="646" t="s">
        <v>394</v>
      </c>
      <c r="Y20" s="646" t="s">
        <v>394</v>
      </c>
      <c r="Z20" s="646" t="s">
        <v>394</v>
      </c>
      <c r="AA20" s="646" t="s">
        <v>408</v>
      </c>
      <c r="AB20" s="646" t="s">
        <v>408</v>
      </c>
      <c r="AC20" s="646" t="s">
        <v>394</v>
      </c>
      <c r="AD20" s="646" t="s">
        <v>408</v>
      </c>
      <c r="AE20" s="646" t="s">
        <v>394</v>
      </c>
      <c r="AF20" s="646" t="s">
        <v>394</v>
      </c>
      <c r="AG20" s="646" t="s">
        <v>394</v>
      </c>
      <c r="AH20" s="646" t="s">
        <v>408</v>
      </c>
      <c r="AI20" s="646" t="s">
        <v>408</v>
      </c>
      <c r="AJ20" s="646" t="s">
        <v>394</v>
      </c>
      <c r="AK20" s="646" t="s">
        <v>408</v>
      </c>
      <c r="AL20" s="646" t="s">
        <v>394</v>
      </c>
      <c r="AM20" s="646" t="s">
        <v>394</v>
      </c>
      <c r="AN20" s="646" t="s">
        <v>394</v>
      </c>
      <c r="AO20" s="646" t="s">
        <v>408</v>
      </c>
      <c r="AP20" s="646" t="s">
        <v>408</v>
      </c>
      <c r="AQ20" s="646" t="s">
        <v>394</v>
      </c>
      <c r="AR20" s="646"/>
      <c r="AS20" s="647">
        <f t="array" ref="AS20">SUM(COUNTIF(N20:AR20, {"◎","〇","☆","共","特","浴"}))</f>
        <v>17</v>
      </c>
      <c r="AT20" s="651"/>
      <c r="AU20" s="649"/>
      <c r="AV20" s="649"/>
      <c r="AW20" s="649"/>
      <c r="AX20" s="649"/>
      <c r="AY20" s="649"/>
      <c r="AZ20" s="649"/>
      <c r="BA20" s="649"/>
      <c r="BB20" s="652" t="s">
        <v>451</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公</v>
      </c>
      <c r="D21" s="200"/>
      <c r="E21" s="636" t="str">
        <f t="shared" si="5"/>
        <v>エリー</v>
      </c>
      <c r="F21" s="637" t="str">
        <f t="shared" si="6"/>
        <v>公</v>
      </c>
      <c r="G21" s="200"/>
      <c r="H21" s="200"/>
      <c r="I21" s="172" t="b">
        <v>0</v>
      </c>
      <c r="J21" s="618"/>
      <c r="K21" s="638" t="s">
        <v>452</v>
      </c>
      <c r="L21" s="639" t="s">
        <v>447</v>
      </c>
      <c r="M21" s="645"/>
      <c r="N21" s="646" t="s">
        <v>394</v>
      </c>
      <c r="O21" s="646" t="s">
        <v>408</v>
      </c>
      <c r="P21" s="646" t="s">
        <v>408</v>
      </c>
      <c r="Q21" s="646" t="s">
        <v>394</v>
      </c>
      <c r="R21" s="646" t="s">
        <v>394</v>
      </c>
      <c r="S21" s="646" t="s">
        <v>394</v>
      </c>
      <c r="T21" s="646" t="s">
        <v>408</v>
      </c>
      <c r="U21" s="646" t="s">
        <v>408</v>
      </c>
      <c r="V21" s="646" t="s">
        <v>408</v>
      </c>
      <c r="W21" s="646" t="s">
        <v>408</v>
      </c>
      <c r="X21" s="646" t="s">
        <v>394</v>
      </c>
      <c r="Y21" s="646" t="s">
        <v>408</v>
      </c>
      <c r="Z21" s="646" t="s">
        <v>394</v>
      </c>
      <c r="AA21" s="646" t="s">
        <v>408</v>
      </c>
      <c r="AB21" s="646" t="s">
        <v>394</v>
      </c>
      <c r="AC21" s="646" t="s">
        <v>408</v>
      </c>
      <c r="AD21" s="646" t="s">
        <v>408</v>
      </c>
      <c r="AE21" s="646" t="s">
        <v>394</v>
      </c>
      <c r="AF21" s="646" t="s">
        <v>394</v>
      </c>
      <c r="AG21" s="646" t="s">
        <v>394</v>
      </c>
      <c r="AH21" s="646" t="s">
        <v>408</v>
      </c>
      <c r="AI21" s="646" t="s">
        <v>408</v>
      </c>
      <c r="AJ21" s="646" t="s">
        <v>408</v>
      </c>
      <c r="AK21" s="646" t="s">
        <v>408</v>
      </c>
      <c r="AL21" s="646" t="s">
        <v>394</v>
      </c>
      <c r="AM21" s="646" t="s">
        <v>408</v>
      </c>
      <c r="AN21" s="646" t="s">
        <v>394</v>
      </c>
      <c r="AO21" s="646" t="s">
        <v>408</v>
      </c>
      <c r="AP21" s="646" t="s">
        <v>394</v>
      </c>
      <c r="AQ21" s="646" t="s">
        <v>408</v>
      </c>
      <c r="AR21" s="641"/>
      <c r="AS21" s="647">
        <f t="array" ref="AS21">SUM(COUNTIF(N21:AR21, {"◎","〇","☆","共","特","浴"}))</f>
        <v>13</v>
      </c>
      <c r="AT21" s="651"/>
      <c r="AU21" s="649"/>
      <c r="AV21" s="649"/>
      <c r="AW21" s="649"/>
      <c r="AX21" s="649"/>
      <c r="AY21" s="649"/>
      <c r="AZ21" s="649"/>
      <c r="BA21" s="649"/>
      <c r="BB21" s="652" t="s">
        <v>453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希</v>
      </c>
      <c r="D22" s="200"/>
      <c r="E22" s="636" t="str">
        <f t="shared" si="5"/>
        <v>梅澤</v>
      </c>
      <c r="F22" s="637" t="str">
        <f t="shared" si="6"/>
        <v>希</v>
      </c>
      <c r="G22" s="200"/>
      <c r="H22" s="200"/>
      <c r="I22" s="172" t="b">
        <v>0</v>
      </c>
      <c r="J22" s="618"/>
      <c r="K22" s="638" t="s">
        <v>454</v>
      </c>
      <c r="L22" s="639" t="s">
        <v>447</v>
      </c>
      <c r="M22" s="645"/>
      <c r="N22" s="646" t="s">
        <v>394</v>
      </c>
      <c r="O22" s="646" t="s">
        <v>416</v>
      </c>
      <c r="P22" s="646" t="s">
        <v>416</v>
      </c>
      <c r="Q22" s="646" t="s">
        <v>394</v>
      </c>
      <c r="R22" s="646" t="s">
        <v>394</v>
      </c>
      <c r="S22" s="646" t="s">
        <v>408</v>
      </c>
      <c r="T22" s="646" t="s">
        <v>408</v>
      </c>
      <c r="U22" s="646" t="s">
        <v>394</v>
      </c>
      <c r="V22" s="646" t="s">
        <v>416</v>
      </c>
      <c r="W22" s="646" t="s">
        <v>394</v>
      </c>
      <c r="X22" s="646" t="s">
        <v>394</v>
      </c>
      <c r="Y22" s="646" t="s">
        <v>394</v>
      </c>
      <c r="Z22" s="646" t="s">
        <v>408</v>
      </c>
      <c r="AA22" s="646" t="s">
        <v>408</v>
      </c>
      <c r="AB22" s="646" t="s">
        <v>394</v>
      </c>
      <c r="AC22" s="646" t="s">
        <v>394</v>
      </c>
      <c r="AD22" s="646" t="s">
        <v>394</v>
      </c>
      <c r="AE22" s="646" t="s">
        <v>416</v>
      </c>
      <c r="AF22" s="646" t="s">
        <v>416</v>
      </c>
      <c r="AG22" s="646" t="s">
        <v>408</v>
      </c>
      <c r="AH22" s="646" t="s">
        <v>416</v>
      </c>
      <c r="AI22" s="646" t="s">
        <v>394</v>
      </c>
      <c r="AJ22" s="646" t="s">
        <v>394</v>
      </c>
      <c r="AK22" s="646" t="s">
        <v>394</v>
      </c>
      <c r="AL22" s="646" t="s">
        <v>394</v>
      </c>
      <c r="AM22" s="646" t="s">
        <v>394</v>
      </c>
      <c r="AN22" s="646" t="s">
        <v>408</v>
      </c>
      <c r="AO22" s="646" t="s">
        <v>408</v>
      </c>
      <c r="AP22" s="646" t="s">
        <v>394</v>
      </c>
      <c r="AQ22" s="646" t="s">
        <v>394</v>
      </c>
      <c r="AR22" s="641"/>
      <c r="AS22" s="647">
        <f t="array" ref="AS22">SUM(COUNTIF(N22:AR22, {"◎","〇","☆","共","特","浴"}))</f>
        <v>17</v>
      </c>
      <c r="AT22" s="648"/>
      <c r="AU22" s="649"/>
      <c r="AV22" s="649"/>
      <c r="AW22" s="649"/>
      <c r="AX22" s="649"/>
      <c r="AY22" s="649"/>
      <c r="AZ22" s="649"/>
      <c r="BA22" s="649"/>
      <c r="BB22" s="652" t="s">
        <v>455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3"/>
        <v>ガルセス</v>
      </c>
      <c r="C26" s="637" t="str">
        <f t="shared" si="4"/>
        <v>N</v>
      </c>
      <c r="D26" s="200"/>
      <c r="E26" s="636" t="str">
        <f t="shared" si="5"/>
        <v>ガルセス</v>
      </c>
      <c r="F26" s="637" t="str">
        <f t="shared" si="6"/>
        <v>N</v>
      </c>
      <c r="G26" s="200"/>
      <c r="H26" s="200"/>
      <c r="I26" s="172" t="b">
        <v>0</v>
      </c>
      <c r="J26" s="618"/>
      <c r="K26" s="638" t="s">
        <v>456</v>
      </c>
      <c r="L26" s="639" t="s">
        <v>135</v>
      </c>
      <c r="M26" s="645"/>
      <c r="N26" s="646" t="s">
        <v>457</v>
      </c>
      <c r="O26" s="646" t="s">
        <v>457</v>
      </c>
      <c r="P26" s="646" t="s">
        <v>457</v>
      </c>
      <c r="Q26" s="646" t="s">
        <v>457</v>
      </c>
      <c r="R26" s="646" t="s">
        <v>457</v>
      </c>
      <c r="S26" s="646" t="s">
        <v>408</v>
      </c>
      <c r="T26" s="646" t="s">
        <v>408</v>
      </c>
      <c r="U26" s="646" t="s">
        <v>457</v>
      </c>
      <c r="V26" s="646" t="s">
        <v>457</v>
      </c>
      <c r="W26" s="646" t="s">
        <v>457</v>
      </c>
      <c r="X26" s="646" t="s">
        <v>457</v>
      </c>
      <c r="Y26" s="646" t="s">
        <v>457</v>
      </c>
      <c r="Z26" s="646" t="s">
        <v>408</v>
      </c>
      <c r="AA26" s="646" t="s">
        <v>408</v>
      </c>
      <c r="AB26" s="646" t="s">
        <v>457</v>
      </c>
      <c r="AC26" s="646" t="s">
        <v>457</v>
      </c>
      <c r="AD26" s="646" t="s">
        <v>457</v>
      </c>
      <c r="AE26" s="646" t="s">
        <v>457</v>
      </c>
      <c r="AF26" s="646" t="s">
        <v>457</v>
      </c>
      <c r="AG26" s="646" t="s">
        <v>408</v>
      </c>
      <c r="AH26" s="646" t="s">
        <v>408</v>
      </c>
      <c r="AI26" s="646" t="s">
        <v>457</v>
      </c>
      <c r="AJ26" s="646" t="s">
        <v>457</v>
      </c>
      <c r="AK26" s="646" t="s">
        <v>457</v>
      </c>
      <c r="AL26" s="646" t="s">
        <v>457</v>
      </c>
      <c r="AM26" s="646" t="s">
        <v>457</v>
      </c>
      <c r="AN26" s="646" t="s">
        <v>408</v>
      </c>
      <c r="AO26" s="646" t="s">
        <v>408</v>
      </c>
      <c r="AP26" s="646" t="s">
        <v>457</v>
      </c>
      <c r="AQ26" s="646" t="s">
        <v>457</v>
      </c>
      <c r="AR26" s="646"/>
      <c r="AS26" s="647">
        <f t="array" ref="AS26">SUM(COUNTIF(N26:AR26, {"◎","〇","☆","共","特","浴"}))</f>
        <v>0</v>
      </c>
      <c r="AT26" s="648"/>
      <c r="AU26" s="649"/>
      <c r="AV26" s="649"/>
      <c r="AW26" s="649"/>
      <c r="AX26" s="649"/>
      <c r="AY26" s="649"/>
      <c r="AZ26" s="649"/>
      <c r="BA26" s="649"/>
      <c r="BB26" s="652" t="s">
        <v>458</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3"/>
        <v>グレース</v>
      </c>
      <c r="C27" s="637" t="str">
        <f t="shared" si="4"/>
        <v>公</v>
      </c>
      <c r="D27" s="200"/>
      <c r="E27" s="636" t="str">
        <f t="shared" si="5"/>
        <v>グレース</v>
      </c>
      <c r="F27" s="637" t="str">
        <f t="shared" si="6"/>
        <v>公</v>
      </c>
      <c r="G27" s="200"/>
      <c r="H27" s="200"/>
      <c r="I27" s="172" t="b">
        <v>0</v>
      </c>
      <c r="J27" s="618"/>
      <c r="K27" s="638" t="s">
        <v>459</v>
      </c>
      <c r="L27" s="639" t="s">
        <v>135</v>
      </c>
      <c r="M27" s="645"/>
      <c r="N27" s="646" t="s">
        <v>408</v>
      </c>
      <c r="O27" s="646" t="s">
        <v>408</v>
      </c>
      <c r="P27" s="646" t="s">
        <v>408</v>
      </c>
      <c r="Q27" s="646" t="s">
        <v>457</v>
      </c>
      <c r="R27" s="646" t="s">
        <v>408</v>
      </c>
      <c r="S27" s="646" t="s">
        <v>457</v>
      </c>
      <c r="T27" s="646" t="s">
        <v>457</v>
      </c>
      <c r="U27" s="646" t="s">
        <v>408</v>
      </c>
      <c r="V27" s="646" t="s">
        <v>408</v>
      </c>
      <c r="W27" s="646" t="s">
        <v>408</v>
      </c>
      <c r="X27" s="646" t="s">
        <v>457</v>
      </c>
      <c r="Y27" s="646" t="s">
        <v>408</v>
      </c>
      <c r="Z27" s="646" t="s">
        <v>457</v>
      </c>
      <c r="AA27" s="646" t="s">
        <v>457</v>
      </c>
      <c r="AB27" s="646" t="s">
        <v>408</v>
      </c>
      <c r="AC27" s="646" t="s">
        <v>408</v>
      </c>
      <c r="AD27" s="646" t="s">
        <v>408</v>
      </c>
      <c r="AE27" s="646" t="s">
        <v>457</v>
      </c>
      <c r="AF27" s="646" t="s">
        <v>408</v>
      </c>
      <c r="AG27" s="646" t="s">
        <v>457</v>
      </c>
      <c r="AH27" s="646" t="s">
        <v>457</v>
      </c>
      <c r="AI27" s="646" t="s">
        <v>408</v>
      </c>
      <c r="AJ27" s="646" t="s">
        <v>408</v>
      </c>
      <c r="AK27" s="646" t="s">
        <v>408</v>
      </c>
      <c r="AL27" s="646" t="s">
        <v>457</v>
      </c>
      <c r="AM27" s="646" t="s">
        <v>408</v>
      </c>
      <c r="AN27" s="646" t="s">
        <v>457</v>
      </c>
      <c r="AO27" s="646" t="s">
        <v>457</v>
      </c>
      <c r="AP27" s="646" t="s">
        <v>408</v>
      </c>
      <c r="AQ27" s="646" t="s">
        <v>408</v>
      </c>
      <c r="AR27" s="641"/>
      <c r="AS27" s="647">
        <f t="array" ref="AS27">SUM(COUNTIF(N27:AR27, {"◎","〇","☆","共","特","浴"}))</f>
        <v>0</v>
      </c>
      <c r="AT27" s="648"/>
      <c r="AU27" s="649"/>
      <c r="AV27" s="649"/>
      <c r="AW27" s="649"/>
      <c r="AX27" s="649"/>
      <c r="AY27" s="649"/>
      <c r="AZ27" s="649"/>
      <c r="BA27" s="649"/>
      <c r="BB27" s="652" t="s">
        <v>460</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3"/>
        <v>メイド数</v>
      </c>
      <c r="C41" s="637">
        <f t="shared" si="4"/>
        <v>7</v>
      </c>
      <c r="D41" s="200"/>
      <c r="E41" s="636" t="str">
        <f t="shared" si="5"/>
        <v>メイド数</v>
      </c>
      <c r="F41" s="637">
        <f t="shared" si="6"/>
        <v>10</v>
      </c>
      <c r="G41" s="200"/>
      <c r="H41" s="200"/>
      <c r="I41" s="172" t="b">
        <v>0</v>
      </c>
      <c r="J41" s="618"/>
      <c r="K41" s="638" t="s">
        <v>461</v>
      </c>
      <c r="L41" s="639" t="s">
        <v>447</v>
      </c>
      <c r="M41" s="640" t="s">
        <v>192</v>
      </c>
      <c r="N41" s="641">
        <f t="shared" ref="N41:P41" si="7">COUNTIF(N45:N104,"〇")+countif(N14:N40,"〇")</f>
        <v>8</v>
      </c>
      <c r="O41" s="641">
        <f t="shared" si="7"/>
        <v>7</v>
      </c>
      <c r="P41" s="641">
        <f t="shared" si="7"/>
        <v>10</v>
      </c>
      <c r="Q41" s="641">
        <f t="shared" ref="Q41:AR41" si="8">COUNTIF(Q45:Q104,"〇")+countif(Q$11:Q$40,"〇")</f>
        <v>7</v>
      </c>
      <c r="R41" s="641">
        <f t="shared" si="8"/>
        <v>8</v>
      </c>
      <c r="S41" s="641">
        <f t="shared" si="8"/>
        <v>9</v>
      </c>
      <c r="T41" s="641">
        <f t="shared" si="8"/>
        <v>10</v>
      </c>
      <c r="U41" s="641">
        <f t="shared" si="8"/>
        <v>9</v>
      </c>
      <c r="V41" s="641">
        <f t="shared" si="8"/>
        <v>6</v>
      </c>
      <c r="W41" s="641">
        <f t="shared" si="8"/>
        <v>9</v>
      </c>
      <c r="X41" s="641">
        <f t="shared" si="8"/>
        <v>8</v>
      </c>
      <c r="Y41" s="641">
        <f t="shared" si="8"/>
        <v>8</v>
      </c>
      <c r="Z41" s="641">
        <f t="shared" si="8"/>
        <v>8</v>
      </c>
      <c r="AA41" s="641">
        <f t="shared" si="8"/>
        <v>10</v>
      </c>
      <c r="AB41" s="641">
        <f t="shared" si="8"/>
        <v>9</v>
      </c>
      <c r="AC41" s="641">
        <f t="shared" si="8"/>
        <v>7</v>
      </c>
      <c r="AD41" s="641">
        <f t="shared" si="8"/>
        <v>9</v>
      </c>
      <c r="AE41" s="641">
        <f t="shared" si="8"/>
        <v>8</v>
      </c>
      <c r="AF41" s="641">
        <f t="shared" si="8"/>
        <v>8</v>
      </c>
      <c r="AG41" s="641">
        <f t="shared" si="8"/>
        <v>10</v>
      </c>
      <c r="AH41" s="641">
        <f t="shared" si="8"/>
        <v>11</v>
      </c>
      <c r="AI41" s="641">
        <f t="shared" si="8"/>
        <v>10</v>
      </c>
      <c r="AJ41" s="641">
        <f t="shared" si="8"/>
        <v>7</v>
      </c>
      <c r="AK41" s="641">
        <f t="shared" si="8"/>
        <v>9</v>
      </c>
      <c r="AL41" s="641">
        <f t="shared" si="8"/>
        <v>7</v>
      </c>
      <c r="AM41" s="641">
        <f t="shared" si="8"/>
        <v>7</v>
      </c>
      <c r="AN41" s="641">
        <f t="shared" si="8"/>
        <v>9</v>
      </c>
      <c r="AO41" s="641">
        <f t="shared" si="8"/>
        <v>10</v>
      </c>
      <c r="AP41" s="641">
        <f t="shared" si="8"/>
        <v>9</v>
      </c>
      <c r="AQ41" s="641">
        <f t="shared" si="8"/>
        <v>7</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462</v>
      </c>
      <c r="L42" s="639" t="s">
        <v>447</v>
      </c>
      <c r="M42" s="640" t="s">
        <v>397</v>
      </c>
      <c r="N42" s="646">
        <f t="shared" ref="N42:AR42" si="10">COUNTIF(N45:N104,"共")+countif(N$11:N$40,"共")</f>
        <v>1</v>
      </c>
      <c r="O42" s="646">
        <f t="shared" si="10"/>
        <v>1</v>
      </c>
      <c r="P42" s="646">
        <f t="shared" si="10"/>
        <v>1</v>
      </c>
      <c r="Q42" s="646">
        <f t="shared" si="10"/>
        <v>0</v>
      </c>
      <c r="R42" s="646">
        <f t="shared" si="10"/>
        <v>1</v>
      </c>
      <c r="S42" s="646">
        <f t="shared" si="10"/>
        <v>1</v>
      </c>
      <c r="T42" s="646">
        <f t="shared" si="10"/>
        <v>2</v>
      </c>
      <c r="U42" s="646">
        <f t="shared" si="10"/>
        <v>2</v>
      </c>
      <c r="V42" s="646">
        <f t="shared" si="10"/>
        <v>1</v>
      </c>
      <c r="W42" s="646">
        <f t="shared" si="10"/>
        <v>1</v>
      </c>
      <c r="X42" s="646">
        <f t="shared" si="10"/>
        <v>0</v>
      </c>
      <c r="Y42" s="646">
        <f t="shared" si="10"/>
        <v>1</v>
      </c>
      <c r="Z42" s="646">
        <f t="shared" si="10"/>
        <v>1</v>
      </c>
      <c r="AA42" s="646">
        <f t="shared" si="10"/>
        <v>2</v>
      </c>
      <c r="AB42" s="646">
        <f t="shared" si="10"/>
        <v>2</v>
      </c>
      <c r="AC42" s="646">
        <f t="shared" si="10"/>
        <v>1</v>
      </c>
      <c r="AD42" s="646">
        <f t="shared" si="10"/>
        <v>1</v>
      </c>
      <c r="AE42" s="646">
        <f t="shared" si="10"/>
        <v>0</v>
      </c>
      <c r="AF42" s="646">
        <f t="shared" si="10"/>
        <v>1</v>
      </c>
      <c r="AG42" s="646">
        <f t="shared" si="10"/>
        <v>1</v>
      </c>
      <c r="AH42" s="646">
        <f t="shared" si="10"/>
        <v>2</v>
      </c>
      <c r="AI42" s="646">
        <f t="shared" si="10"/>
        <v>2</v>
      </c>
      <c r="AJ42" s="646">
        <f t="shared" si="10"/>
        <v>1</v>
      </c>
      <c r="AK42" s="646">
        <f t="shared" si="10"/>
        <v>1</v>
      </c>
      <c r="AL42" s="646">
        <f t="shared" si="10"/>
        <v>0</v>
      </c>
      <c r="AM42" s="646">
        <f t="shared" si="10"/>
        <v>1</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3"/>
        <v>合計清掃数</v>
      </c>
      <c r="C43" s="637">
        <f t="shared" si="4"/>
        <v>95</v>
      </c>
      <c r="D43" s="200"/>
      <c r="E43" s="636" t="str">
        <f t="shared" si="5"/>
        <v>合計清掃数</v>
      </c>
      <c r="F43" s="637">
        <f t="shared" si="6"/>
        <v>117</v>
      </c>
      <c r="G43" s="200"/>
      <c r="H43" s="200"/>
      <c r="I43" s="655" t="b">
        <v>0</v>
      </c>
      <c r="J43" s="618"/>
      <c r="K43" s="656" t="s">
        <v>463</v>
      </c>
      <c r="L43" s="657" t="s">
        <v>445</v>
      </c>
      <c r="M43" s="658"/>
      <c r="N43" s="641">
        <f t="shared" ref="N43:AR43" si="12">sumif(N45:N104,"〇",$J45:$J104)+sumif(N11:N40,"〇",$J11:$J40)</f>
        <v>102</v>
      </c>
      <c r="O43" s="641">
        <f t="shared" si="12"/>
        <v>95</v>
      </c>
      <c r="P43" s="641">
        <f t="shared" si="12"/>
        <v>117</v>
      </c>
      <c r="Q43" s="641">
        <f t="shared" si="12"/>
        <v>92</v>
      </c>
      <c r="R43" s="641">
        <f t="shared" si="12"/>
        <v>106</v>
      </c>
      <c r="S43" s="641">
        <f t="shared" si="12"/>
        <v>105</v>
      </c>
      <c r="T43" s="641">
        <f t="shared" si="12"/>
        <v>102</v>
      </c>
      <c r="U43" s="641">
        <f t="shared" si="12"/>
        <v>96</v>
      </c>
      <c r="V43" s="641">
        <f t="shared" si="12"/>
        <v>65</v>
      </c>
      <c r="W43" s="641">
        <f t="shared" si="12"/>
        <v>102</v>
      </c>
      <c r="X43" s="641">
        <f t="shared" si="12"/>
        <v>107</v>
      </c>
      <c r="Y43" s="641">
        <f t="shared" si="12"/>
        <v>106</v>
      </c>
      <c r="Z43" s="641">
        <f t="shared" si="12"/>
        <v>90</v>
      </c>
      <c r="AA43" s="641">
        <f t="shared" si="12"/>
        <v>102</v>
      </c>
      <c r="AB43" s="641">
        <f t="shared" si="12"/>
        <v>96</v>
      </c>
      <c r="AC43" s="641">
        <f t="shared" si="12"/>
        <v>80</v>
      </c>
      <c r="AD43" s="641">
        <f t="shared" si="12"/>
        <v>102</v>
      </c>
      <c r="AE43" s="641">
        <f t="shared" si="12"/>
        <v>107</v>
      </c>
      <c r="AF43" s="641">
        <f t="shared" si="12"/>
        <v>106</v>
      </c>
      <c r="AG43" s="641">
        <f t="shared" si="12"/>
        <v>120</v>
      </c>
      <c r="AH43" s="641">
        <f t="shared" si="12"/>
        <v>117</v>
      </c>
      <c r="AI43" s="641">
        <f t="shared" si="12"/>
        <v>111</v>
      </c>
      <c r="AJ43" s="641">
        <f t="shared" si="12"/>
        <v>80</v>
      </c>
      <c r="AK43" s="641">
        <f t="shared" si="12"/>
        <v>102</v>
      </c>
      <c r="AL43" s="641">
        <f t="shared" si="12"/>
        <v>93</v>
      </c>
      <c r="AM43" s="641">
        <f t="shared" si="12"/>
        <v>92</v>
      </c>
      <c r="AN43" s="641">
        <f t="shared" si="12"/>
        <v>106</v>
      </c>
      <c r="AO43" s="641">
        <f t="shared" si="12"/>
        <v>103</v>
      </c>
      <c r="AP43" s="641">
        <f t="shared" si="12"/>
        <v>97</v>
      </c>
      <c r="AQ43" s="641">
        <f t="shared" si="12"/>
        <v>80</v>
      </c>
      <c r="AR43" s="641">
        <f t="shared" si="12"/>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464</v>
      </c>
      <c r="L44" s="639" t="s">
        <v>445</v>
      </c>
      <c r="M44" s="640" t="s">
        <v>465</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3"/>
        <v>早川</v>
      </c>
      <c r="C45" s="637" t="str">
        <f t="shared" si="4"/>
        <v>〇</v>
      </c>
      <c r="D45" s="200"/>
      <c r="E45" s="636" t="str">
        <f t="shared" si="5"/>
        <v>早川</v>
      </c>
      <c r="F45" s="637" t="str">
        <f t="shared" si="6"/>
        <v>〇</v>
      </c>
      <c r="G45" s="200"/>
      <c r="H45" s="200"/>
      <c r="I45" s="172" t="b">
        <v>0</v>
      </c>
      <c r="J45" s="618">
        <v>15.0</v>
      </c>
      <c r="K45" s="638" t="s">
        <v>466</v>
      </c>
      <c r="L45" s="639" t="s">
        <v>467</v>
      </c>
      <c r="M45" s="645"/>
      <c r="N45" s="646" t="s">
        <v>192</v>
      </c>
      <c r="O45" s="646" t="s">
        <v>192</v>
      </c>
      <c r="P45" s="646" t="s">
        <v>192</v>
      </c>
      <c r="Q45" s="646" t="s">
        <v>416</v>
      </c>
      <c r="R45" s="646" t="s">
        <v>416</v>
      </c>
      <c r="S45" s="646" t="s">
        <v>416</v>
      </c>
      <c r="T45" s="646" t="s">
        <v>416</v>
      </c>
      <c r="U45" s="646" t="s">
        <v>416</v>
      </c>
      <c r="V45" s="646" t="s">
        <v>416</v>
      </c>
      <c r="W45" s="646" t="s">
        <v>416</v>
      </c>
      <c r="X45" s="646" t="s">
        <v>416</v>
      </c>
      <c r="Y45" s="646" t="s">
        <v>416</v>
      </c>
      <c r="Z45" s="646" t="s">
        <v>416</v>
      </c>
      <c r="AA45" s="646" t="s">
        <v>416</v>
      </c>
      <c r="AB45" s="646" t="s">
        <v>416</v>
      </c>
      <c r="AC45" s="646" t="s">
        <v>416</v>
      </c>
      <c r="AD45" s="646" t="s">
        <v>416</v>
      </c>
      <c r="AE45" s="646" t="s">
        <v>416</v>
      </c>
      <c r="AF45" s="646" t="s">
        <v>416</v>
      </c>
      <c r="AG45" s="646" t="s">
        <v>192</v>
      </c>
      <c r="AH45" s="646" t="s">
        <v>192</v>
      </c>
      <c r="AI45" s="646" t="s">
        <v>192</v>
      </c>
      <c r="AJ45" s="646" t="s">
        <v>192</v>
      </c>
      <c r="AK45" s="646" t="s">
        <v>408</v>
      </c>
      <c r="AL45" s="646" t="s">
        <v>408</v>
      </c>
      <c r="AM45" s="646" t="s">
        <v>408</v>
      </c>
      <c r="AN45" s="646" t="s">
        <v>192</v>
      </c>
      <c r="AO45" s="646" t="s">
        <v>192</v>
      </c>
      <c r="AP45" s="646" t="s">
        <v>192</v>
      </c>
      <c r="AQ45" s="646" t="s">
        <v>192</v>
      </c>
      <c r="AR45" s="641"/>
      <c r="AS45" s="647">
        <f t="array" ref="AS45">SUM(COUNTIF(N45:AR45, {"◎","〇","☆","共","特","浴"}))</f>
        <v>11</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〇</v>
      </c>
      <c r="G46" s="200"/>
      <c r="H46" s="200"/>
      <c r="I46" s="172" t="b">
        <v>0</v>
      </c>
      <c r="J46" s="618">
        <v>15.0</v>
      </c>
      <c r="K46" s="638" t="s">
        <v>468</v>
      </c>
      <c r="L46" s="639" t="s">
        <v>467</v>
      </c>
      <c r="M46" s="645"/>
      <c r="N46" s="646" t="s">
        <v>192</v>
      </c>
      <c r="O46" s="646" t="s">
        <v>192</v>
      </c>
      <c r="P46" s="646" t="s">
        <v>192</v>
      </c>
      <c r="Q46" s="646" t="s">
        <v>408</v>
      </c>
      <c r="R46" s="646" t="s">
        <v>408</v>
      </c>
      <c r="S46" s="646" t="s">
        <v>192</v>
      </c>
      <c r="T46" s="646" t="s">
        <v>192</v>
      </c>
      <c r="U46" s="646" t="s">
        <v>192</v>
      </c>
      <c r="V46" s="646" t="s">
        <v>408</v>
      </c>
      <c r="W46" s="646" t="s">
        <v>192</v>
      </c>
      <c r="X46" s="646" t="s">
        <v>192</v>
      </c>
      <c r="Y46" s="646" t="s">
        <v>408</v>
      </c>
      <c r="Z46" s="646" t="s">
        <v>408</v>
      </c>
      <c r="AA46" s="646" t="s">
        <v>192</v>
      </c>
      <c r="AB46" s="646" t="s">
        <v>192</v>
      </c>
      <c r="AC46" s="646" t="s">
        <v>192</v>
      </c>
      <c r="AD46" s="646" t="s">
        <v>192</v>
      </c>
      <c r="AE46" s="646" t="s">
        <v>192</v>
      </c>
      <c r="AF46" s="646" t="s">
        <v>408</v>
      </c>
      <c r="AG46" s="646" t="s">
        <v>192</v>
      </c>
      <c r="AH46" s="646" t="s">
        <v>192</v>
      </c>
      <c r="AI46" s="646" t="s">
        <v>192</v>
      </c>
      <c r="AJ46" s="646" t="s">
        <v>408</v>
      </c>
      <c r="AK46" s="646" t="s">
        <v>192</v>
      </c>
      <c r="AL46" s="646" t="s">
        <v>192</v>
      </c>
      <c r="AM46" s="646" t="s">
        <v>408</v>
      </c>
      <c r="AN46" s="646" t="s">
        <v>192</v>
      </c>
      <c r="AO46" s="646" t="s">
        <v>192</v>
      </c>
      <c r="AP46" s="646" t="s">
        <v>192</v>
      </c>
      <c r="AQ46" s="646" t="s">
        <v>408</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〇</v>
      </c>
      <c r="G47" s="200"/>
      <c r="H47" s="200"/>
      <c r="I47" s="172" t="b">
        <v>0</v>
      </c>
      <c r="J47" s="618">
        <v>17.0</v>
      </c>
      <c r="K47" s="638" t="s">
        <v>113</v>
      </c>
      <c r="L47" s="639" t="s">
        <v>467</v>
      </c>
      <c r="M47" s="645"/>
      <c r="N47" s="646" t="s">
        <v>408</v>
      </c>
      <c r="O47" s="646" t="s">
        <v>192</v>
      </c>
      <c r="P47" s="646" t="s">
        <v>192</v>
      </c>
      <c r="Q47" s="646" t="s">
        <v>192</v>
      </c>
      <c r="R47" s="646" t="s">
        <v>192</v>
      </c>
      <c r="S47" s="646" t="s">
        <v>192</v>
      </c>
      <c r="T47" s="646" t="s">
        <v>192</v>
      </c>
      <c r="U47" s="646" t="s">
        <v>408</v>
      </c>
      <c r="V47" s="646" t="s">
        <v>192</v>
      </c>
      <c r="W47" s="646" t="s">
        <v>192</v>
      </c>
      <c r="X47" s="646" t="s">
        <v>192</v>
      </c>
      <c r="Y47" s="646" t="s">
        <v>192</v>
      </c>
      <c r="Z47" s="646" t="s">
        <v>192</v>
      </c>
      <c r="AA47" s="646" t="s">
        <v>192</v>
      </c>
      <c r="AB47" s="646" t="s">
        <v>408</v>
      </c>
      <c r="AC47" s="646" t="s">
        <v>192</v>
      </c>
      <c r="AD47" s="646" t="s">
        <v>192</v>
      </c>
      <c r="AE47" s="646" t="s">
        <v>192</v>
      </c>
      <c r="AF47" s="646" t="s">
        <v>192</v>
      </c>
      <c r="AG47" s="646" t="s">
        <v>192</v>
      </c>
      <c r="AH47" s="646" t="s">
        <v>192</v>
      </c>
      <c r="AI47" s="646" t="s">
        <v>408</v>
      </c>
      <c r="AJ47" s="646" t="s">
        <v>192</v>
      </c>
      <c r="AK47" s="646" t="s">
        <v>192</v>
      </c>
      <c r="AL47" s="646" t="s">
        <v>192</v>
      </c>
      <c r="AM47" s="646" t="s">
        <v>192</v>
      </c>
      <c r="AN47" s="646" t="s">
        <v>192</v>
      </c>
      <c r="AO47" s="646" t="s">
        <v>192</v>
      </c>
      <c r="AP47" s="646" t="s">
        <v>408</v>
      </c>
      <c r="AQ47" s="646" t="s">
        <v>192</v>
      </c>
      <c r="AR47" s="641"/>
      <c r="AS47" s="647">
        <f t="array" ref="AS47">SUM(COUNTIF(N47:AR47, {"◎","〇","☆","共","特","浴"}))</f>
        <v>25</v>
      </c>
      <c r="AT47" s="648"/>
      <c r="AU47" s="649"/>
      <c r="AV47" s="649"/>
      <c r="AW47" s="649"/>
      <c r="AX47" s="649"/>
      <c r="AY47" s="649"/>
      <c r="AZ47" s="649"/>
      <c r="BA47" s="649"/>
      <c r="BB47" s="652" t="s">
        <v>469</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3"/>
        <v>タラ</v>
      </c>
      <c r="C48" s="637" t="str">
        <f t="shared" si="4"/>
        <v>〇</v>
      </c>
      <c r="D48" s="200"/>
      <c r="E48" s="636" t="str">
        <f t="shared" si="5"/>
        <v>タラ</v>
      </c>
      <c r="F48" s="637" t="str">
        <f t="shared" si="6"/>
        <v>〇</v>
      </c>
      <c r="G48" s="200"/>
      <c r="H48" s="200"/>
      <c r="I48" s="172" t="b">
        <v>0</v>
      </c>
      <c r="J48" s="618">
        <v>16.0</v>
      </c>
      <c r="K48" s="638" t="s">
        <v>470</v>
      </c>
      <c r="L48" s="639" t="s">
        <v>467</v>
      </c>
      <c r="M48" s="645"/>
      <c r="N48" s="646" t="s">
        <v>192</v>
      </c>
      <c r="O48" s="646" t="s">
        <v>192</v>
      </c>
      <c r="P48" s="646" t="s">
        <v>192</v>
      </c>
      <c r="Q48" s="646" t="s">
        <v>192</v>
      </c>
      <c r="R48" s="646" t="s">
        <v>192</v>
      </c>
      <c r="S48" s="646" t="s">
        <v>408</v>
      </c>
      <c r="T48" s="646" t="s">
        <v>408</v>
      </c>
      <c r="U48" s="646" t="s">
        <v>192</v>
      </c>
      <c r="V48" s="646" t="s">
        <v>192</v>
      </c>
      <c r="W48" s="646" t="s">
        <v>192</v>
      </c>
      <c r="X48" s="646" t="s">
        <v>192</v>
      </c>
      <c r="Y48" s="646" t="s">
        <v>192</v>
      </c>
      <c r="Z48" s="646" t="s">
        <v>408</v>
      </c>
      <c r="AA48" s="646" t="s">
        <v>408</v>
      </c>
      <c r="AB48" s="646" t="s">
        <v>192</v>
      </c>
      <c r="AC48" s="646" t="s">
        <v>192</v>
      </c>
      <c r="AD48" s="646" t="s">
        <v>192</v>
      </c>
      <c r="AE48" s="646" t="s">
        <v>192</v>
      </c>
      <c r="AF48" s="646" t="s">
        <v>192</v>
      </c>
      <c r="AG48" s="646" t="s">
        <v>408</v>
      </c>
      <c r="AH48" s="646" t="s">
        <v>408</v>
      </c>
      <c r="AI48" s="646" t="s">
        <v>192</v>
      </c>
      <c r="AJ48" s="646" t="s">
        <v>192</v>
      </c>
      <c r="AK48" s="646" t="s">
        <v>192</v>
      </c>
      <c r="AL48" s="646" t="s">
        <v>192</v>
      </c>
      <c r="AM48" s="646" t="s">
        <v>192</v>
      </c>
      <c r="AN48" s="646" t="s">
        <v>408</v>
      </c>
      <c r="AO48" s="646" t="s">
        <v>408</v>
      </c>
      <c r="AP48" s="646" t="s">
        <v>192</v>
      </c>
      <c r="AQ48" s="646" t="s">
        <v>192</v>
      </c>
      <c r="AR48" s="641"/>
      <c r="AS48" s="647">
        <f t="array" ref="AS48">SUM(COUNTIF(N48:AR48, {"◎","〇","☆","共","特","浴"}))</f>
        <v>22</v>
      </c>
      <c r="AT48" s="651"/>
      <c r="AU48" s="649"/>
      <c r="AV48" s="649"/>
      <c r="AW48" s="649"/>
      <c r="AX48" s="649"/>
      <c r="AY48" s="649"/>
      <c r="AZ48" s="649"/>
      <c r="BA48" s="649"/>
      <c r="BB48" s="652" t="s">
        <v>458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3"/>
        <v>タン</v>
      </c>
      <c r="C49" s="637" t="str">
        <f t="shared" si="4"/>
        <v>公</v>
      </c>
      <c r="D49" s="200"/>
      <c r="E49" s="636" t="str">
        <f t="shared" si="5"/>
        <v>タン</v>
      </c>
      <c r="F49" s="637" t="str">
        <f t="shared" si="6"/>
        <v>公</v>
      </c>
      <c r="G49" s="200"/>
      <c r="H49" s="200"/>
      <c r="I49" s="172" t="b">
        <v>0</v>
      </c>
      <c r="J49" s="618">
        <v>14.0</v>
      </c>
      <c r="K49" s="638" t="s">
        <v>471</v>
      </c>
      <c r="L49" s="639" t="s">
        <v>467</v>
      </c>
      <c r="M49" s="645"/>
      <c r="N49" s="646" t="s">
        <v>192</v>
      </c>
      <c r="O49" s="646" t="s">
        <v>408</v>
      </c>
      <c r="P49" s="646" t="s">
        <v>408</v>
      </c>
      <c r="Q49" s="646" t="s">
        <v>192</v>
      </c>
      <c r="R49" s="646" t="s">
        <v>192</v>
      </c>
      <c r="S49" s="646" t="s">
        <v>192</v>
      </c>
      <c r="T49" s="646" t="s">
        <v>192</v>
      </c>
      <c r="U49" s="646" t="s">
        <v>192</v>
      </c>
      <c r="V49" s="646" t="s">
        <v>408</v>
      </c>
      <c r="W49" s="646" t="s">
        <v>408</v>
      </c>
      <c r="X49" s="646" t="s">
        <v>192</v>
      </c>
      <c r="Y49" s="646" t="s">
        <v>192</v>
      </c>
      <c r="Z49" s="646" t="s">
        <v>192</v>
      </c>
      <c r="AA49" s="646" t="s">
        <v>192</v>
      </c>
      <c r="AB49" s="646" t="s">
        <v>192</v>
      </c>
      <c r="AC49" s="646" t="s">
        <v>408</v>
      </c>
      <c r="AD49" s="646" t="s">
        <v>408</v>
      </c>
      <c r="AE49" s="646" t="s">
        <v>192</v>
      </c>
      <c r="AF49" s="646" t="s">
        <v>192</v>
      </c>
      <c r="AG49" s="646" t="s">
        <v>192</v>
      </c>
      <c r="AH49" s="646" t="s">
        <v>192</v>
      </c>
      <c r="AI49" s="646" t="s">
        <v>192</v>
      </c>
      <c r="AJ49" s="646" t="s">
        <v>408</v>
      </c>
      <c r="AK49" s="646" t="s">
        <v>416</v>
      </c>
      <c r="AL49" s="646" t="s">
        <v>416</v>
      </c>
      <c r="AM49" s="646" t="s">
        <v>416</v>
      </c>
      <c r="AN49" s="646" t="s">
        <v>416</v>
      </c>
      <c r="AO49" s="646" t="s">
        <v>416</v>
      </c>
      <c r="AP49" s="646" t="s">
        <v>416</v>
      </c>
      <c r="AQ49" s="646" t="s">
        <v>416</v>
      </c>
      <c r="AR49" s="641"/>
      <c r="AS49" s="647">
        <f t="array" ref="AS49">SUM(COUNTIF(N49:AR49, {"◎","〇","☆","共","特","浴"}))</f>
        <v>16</v>
      </c>
      <c r="AT49" s="651"/>
      <c r="AU49" s="649"/>
      <c r="AV49" s="649"/>
      <c r="AW49" s="649"/>
      <c r="AX49" s="649"/>
      <c r="AY49" s="649"/>
      <c r="AZ49" s="649"/>
      <c r="BA49" s="649"/>
      <c r="BB49" s="652" t="s">
        <v>472</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3"/>
        <v>ウィン</v>
      </c>
      <c r="C50" s="637" t="str">
        <f t="shared" si="4"/>
        <v>〇</v>
      </c>
      <c r="D50" s="200"/>
      <c r="E50" s="636" t="str">
        <f t="shared" si="5"/>
        <v>ウィン</v>
      </c>
      <c r="F50" s="637" t="str">
        <f t="shared" si="6"/>
        <v>〇</v>
      </c>
      <c r="G50" s="200"/>
      <c r="H50" s="200"/>
      <c r="I50" s="172" t="b">
        <v>0</v>
      </c>
      <c r="J50" s="618">
        <v>12.0</v>
      </c>
      <c r="K50" s="638" t="s">
        <v>473</v>
      </c>
      <c r="L50" s="639" t="s">
        <v>474</v>
      </c>
      <c r="M50" s="645"/>
      <c r="N50" s="646" t="s">
        <v>192</v>
      </c>
      <c r="O50" s="646" t="s">
        <v>192</v>
      </c>
      <c r="P50" s="646" t="s">
        <v>192</v>
      </c>
      <c r="Q50" s="646" t="s">
        <v>408</v>
      </c>
      <c r="R50" s="646" t="s">
        <v>408</v>
      </c>
      <c r="S50" s="646" t="s">
        <v>408</v>
      </c>
      <c r="T50" s="646" t="s">
        <v>408</v>
      </c>
      <c r="U50" s="646" t="s">
        <v>192</v>
      </c>
      <c r="V50" s="646" t="s">
        <v>192</v>
      </c>
      <c r="W50" s="646" t="s">
        <v>192</v>
      </c>
      <c r="X50" s="646" t="s">
        <v>408</v>
      </c>
      <c r="Y50" s="646" t="s">
        <v>408</v>
      </c>
      <c r="Z50" s="646" t="s">
        <v>408</v>
      </c>
      <c r="AA50" s="646" t="s">
        <v>408</v>
      </c>
      <c r="AB50" s="646" t="s">
        <v>192</v>
      </c>
      <c r="AC50" s="646" t="s">
        <v>192</v>
      </c>
      <c r="AD50" s="646" t="s">
        <v>192</v>
      </c>
      <c r="AE50" s="646" t="s">
        <v>408</v>
      </c>
      <c r="AF50" s="646" t="s">
        <v>408</v>
      </c>
      <c r="AG50" s="646" t="s">
        <v>408</v>
      </c>
      <c r="AH50" s="646" t="s">
        <v>408</v>
      </c>
      <c r="AI50" s="646" t="s">
        <v>192</v>
      </c>
      <c r="AJ50" s="646" t="s">
        <v>192</v>
      </c>
      <c r="AK50" s="646" t="s">
        <v>192</v>
      </c>
      <c r="AL50" s="646" t="s">
        <v>408</v>
      </c>
      <c r="AM50" s="646" t="s">
        <v>408</v>
      </c>
      <c r="AN50" s="646" t="s">
        <v>408</v>
      </c>
      <c r="AO50" s="646" t="s">
        <v>408</v>
      </c>
      <c r="AP50" s="646" t="s">
        <v>192</v>
      </c>
      <c r="AQ50" s="646" t="s">
        <v>192</v>
      </c>
      <c r="AR50" s="641"/>
      <c r="AS50" s="647">
        <f t="array" ref="AS50">SUM(COUNTIF(N50:AR50, {"◎","〇","☆","共","特","浴"}))</f>
        <v>14</v>
      </c>
      <c r="AT50" s="651"/>
      <c r="AU50" s="649"/>
      <c r="AV50" s="649"/>
      <c r="AW50" s="649"/>
      <c r="AX50" s="649"/>
      <c r="AY50" s="649"/>
      <c r="AZ50" s="649"/>
      <c r="BA50" s="649"/>
      <c r="BB50" s="652" t="s">
        <v>475</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3"/>
        <v>スレスタ</v>
      </c>
      <c r="C51" s="637" t="str">
        <f t="shared" si="4"/>
        <v>〇</v>
      </c>
      <c r="D51" s="200"/>
      <c r="E51" s="636" t="str">
        <f t="shared" si="5"/>
        <v>スレスタ</v>
      </c>
      <c r="F51" s="637" t="str">
        <f t="shared" si="6"/>
        <v>公</v>
      </c>
      <c r="G51" s="200"/>
      <c r="H51" s="200"/>
      <c r="I51" s="172" t="b">
        <v>0</v>
      </c>
      <c r="J51" s="618">
        <v>13.0</v>
      </c>
      <c r="K51" s="638" t="s">
        <v>476</v>
      </c>
      <c r="L51" s="639"/>
      <c r="M51" s="645"/>
      <c r="N51" s="646" t="s">
        <v>192</v>
      </c>
      <c r="O51" s="646" t="s">
        <v>192</v>
      </c>
      <c r="P51" s="646" t="s">
        <v>408</v>
      </c>
      <c r="Q51" s="646" t="s">
        <v>408</v>
      </c>
      <c r="R51" s="646" t="s">
        <v>408</v>
      </c>
      <c r="S51" s="646" t="s">
        <v>192</v>
      </c>
      <c r="T51" s="646" t="s">
        <v>192</v>
      </c>
      <c r="U51" s="646" t="s">
        <v>192</v>
      </c>
      <c r="V51" s="646" t="s">
        <v>192</v>
      </c>
      <c r="W51" s="646" t="s">
        <v>408</v>
      </c>
      <c r="X51" s="646" t="s">
        <v>408</v>
      </c>
      <c r="Y51" s="646" t="s">
        <v>408</v>
      </c>
      <c r="Z51" s="646" t="s">
        <v>192</v>
      </c>
      <c r="AA51" s="646" t="s">
        <v>192</v>
      </c>
      <c r="AB51" s="646" t="s">
        <v>192</v>
      </c>
      <c r="AC51" s="646" t="s">
        <v>192</v>
      </c>
      <c r="AD51" s="646" t="s">
        <v>408</v>
      </c>
      <c r="AE51" s="646" t="s">
        <v>408</v>
      </c>
      <c r="AF51" s="646" t="s">
        <v>408</v>
      </c>
      <c r="AG51" s="646" t="s">
        <v>192</v>
      </c>
      <c r="AH51" s="646" t="s">
        <v>192</v>
      </c>
      <c r="AI51" s="646" t="s">
        <v>192</v>
      </c>
      <c r="AJ51" s="646" t="s">
        <v>192</v>
      </c>
      <c r="AK51" s="646" t="s">
        <v>408</v>
      </c>
      <c r="AL51" s="646" t="s">
        <v>408</v>
      </c>
      <c r="AM51" s="646" t="s">
        <v>408</v>
      </c>
      <c r="AN51" s="646" t="s">
        <v>192</v>
      </c>
      <c r="AO51" s="646" t="s">
        <v>192</v>
      </c>
      <c r="AP51" s="646" t="s">
        <v>192</v>
      </c>
      <c r="AQ51" s="646" t="s">
        <v>192</v>
      </c>
      <c r="AR51" s="641"/>
      <c r="AS51" s="647">
        <f t="array" ref="AS51">SUM(COUNTIF(N51:AR51, {"◎","〇","☆","共","特","浴"}))</f>
        <v>18</v>
      </c>
      <c r="AT51" s="651"/>
      <c r="AU51" s="649"/>
      <c r="AV51" s="649"/>
      <c r="AW51" s="649"/>
      <c r="AX51" s="649"/>
      <c r="AY51" s="649"/>
      <c r="AZ51" s="649"/>
      <c r="BA51" s="649"/>
      <c r="BB51" s="652" t="s">
        <v>477</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3"/>
        <v>バンダリ</v>
      </c>
      <c r="C52" s="637" t="str">
        <f t="shared" si="4"/>
        <v>公</v>
      </c>
      <c r="D52" s="200"/>
      <c r="E52" s="636" t="str">
        <f t="shared" si="5"/>
        <v>バンダリ</v>
      </c>
      <c r="F52" s="637" t="str">
        <f t="shared" si="6"/>
        <v>公</v>
      </c>
      <c r="G52" s="200"/>
      <c r="H52" s="200"/>
      <c r="I52" s="172" t="b">
        <v>0</v>
      </c>
      <c r="J52" s="618">
        <v>14.0</v>
      </c>
      <c r="K52" s="638" t="s">
        <v>478</v>
      </c>
      <c r="L52" s="639" t="s">
        <v>467</v>
      </c>
      <c r="M52" s="640"/>
      <c r="N52" s="646" t="s">
        <v>408</v>
      </c>
      <c r="O52" s="646" t="s">
        <v>408</v>
      </c>
      <c r="P52" s="646" t="s">
        <v>408</v>
      </c>
      <c r="Q52" s="646" t="s">
        <v>408</v>
      </c>
      <c r="R52" s="646" t="s">
        <v>192</v>
      </c>
      <c r="S52" s="646" t="s">
        <v>192</v>
      </c>
      <c r="T52" s="646" t="s">
        <v>192</v>
      </c>
      <c r="U52" s="646" t="s">
        <v>408</v>
      </c>
      <c r="V52" s="646" t="s">
        <v>408</v>
      </c>
      <c r="W52" s="646" t="s">
        <v>408</v>
      </c>
      <c r="X52" s="646" t="s">
        <v>408</v>
      </c>
      <c r="Y52" s="646" t="s">
        <v>192</v>
      </c>
      <c r="Z52" s="646" t="s">
        <v>192</v>
      </c>
      <c r="AA52" s="646" t="s">
        <v>192</v>
      </c>
      <c r="AB52" s="646" t="s">
        <v>408</v>
      </c>
      <c r="AC52" s="646" t="s">
        <v>408</v>
      </c>
      <c r="AD52" s="646" t="s">
        <v>408</v>
      </c>
      <c r="AE52" s="646" t="s">
        <v>408</v>
      </c>
      <c r="AF52" s="646" t="s">
        <v>192</v>
      </c>
      <c r="AG52" s="646" t="s">
        <v>192</v>
      </c>
      <c r="AH52" s="646" t="s">
        <v>192</v>
      </c>
      <c r="AI52" s="646" t="s">
        <v>408</v>
      </c>
      <c r="AJ52" s="646" t="s">
        <v>408</v>
      </c>
      <c r="AK52" s="646" t="s">
        <v>408</v>
      </c>
      <c r="AL52" s="646" t="s">
        <v>408</v>
      </c>
      <c r="AM52" s="646" t="s">
        <v>192</v>
      </c>
      <c r="AN52" s="646" t="s">
        <v>192</v>
      </c>
      <c r="AO52" s="646" t="s">
        <v>192</v>
      </c>
      <c r="AP52" s="646" t="s">
        <v>408</v>
      </c>
      <c r="AQ52" s="646" t="s">
        <v>408</v>
      </c>
      <c r="AR52" s="641"/>
      <c r="AS52" s="647">
        <f t="array" ref="AS52">SUM(COUNTIF(N52:AR52, {"◎","〇","☆","共","特","浴"}))</f>
        <v>12</v>
      </c>
      <c r="AT52" s="648"/>
      <c r="AU52" s="649"/>
      <c r="AV52" s="649"/>
      <c r="AW52" s="649"/>
      <c r="AX52" s="649"/>
      <c r="AY52" s="649"/>
      <c r="AZ52" s="649"/>
      <c r="BA52" s="649"/>
      <c r="BB52" s="652" t="s">
        <v>479</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3"/>
        <v>ランジュ</v>
      </c>
      <c r="C53" s="637" t="str">
        <f t="shared" si="4"/>
        <v>公</v>
      </c>
      <c r="D53" s="200"/>
      <c r="E53" s="636" t="str">
        <f t="shared" si="5"/>
        <v>ランジュ</v>
      </c>
      <c r="F53" s="637" t="str">
        <f t="shared" si="6"/>
        <v>公</v>
      </c>
      <c r="G53" s="200"/>
      <c r="H53" s="200"/>
      <c r="I53" s="172" t="b">
        <v>0</v>
      </c>
      <c r="J53" s="618">
        <v>10.0</v>
      </c>
      <c r="K53" s="638" t="s">
        <v>165</v>
      </c>
      <c r="L53" s="639"/>
      <c r="M53" s="640"/>
      <c r="N53" s="646" t="s">
        <v>408</v>
      </c>
      <c r="O53" s="646" t="s">
        <v>408</v>
      </c>
      <c r="P53" s="646" t="s">
        <v>408</v>
      </c>
      <c r="Q53" s="646" t="s">
        <v>192</v>
      </c>
      <c r="R53" s="646" t="s">
        <v>192</v>
      </c>
      <c r="S53" s="646" t="s">
        <v>408</v>
      </c>
      <c r="T53" s="646" t="s">
        <v>192</v>
      </c>
      <c r="U53" s="646" t="s">
        <v>408</v>
      </c>
      <c r="V53" s="646" t="s">
        <v>408</v>
      </c>
      <c r="W53" s="646" t="s">
        <v>408</v>
      </c>
      <c r="X53" s="646" t="s">
        <v>192</v>
      </c>
      <c r="Y53" s="646" t="s">
        <v>192</v>
      </c>
      <c r="Z53" s="646" t="s">
        <v>408</v>
      </c>
      <c r="AA53" s="646" t="s">
        <v>192</v>
      </c>
      <c r="AB53" s="646" t="s">
        <v>408</v>
      </c>
      <c r="AC53" s="646" t="s">
        <v>408</v>
      </c>
      <c r="AD53" s="646" t="s">
        <v>408</v>
      </c>
      <c r="AE53" s="646" t="s">
        <v>192</v>
      </c>
      <c r="AF53" s="646" t="s">
        <v>192</v>
      </c>
      <c r="AG53" s="646" t="s">
        <v>408</v>
      </c>
      <c r="AH53" s="646" t="s">
        <v>192</v>
      </c>
      <c r="AI53" s="646" t="s">
        <v>408</v>
      </c>
      <c r="AJ53" s="646" t="s">
        <v>408</v>
      </c>
      <c r="AK53" s="646" t="s">
        <v>408</v>
      </c>
      <c r="AL53" s="646" t="s">
        <v>192</v>
      </c>
      <c r="AM53" s="646" t="s">
        <v>192</v>
      </c>
      <c r="AN53" s="646" t="s">
        <v>408</v>
      </c>
      <c r="AO53" s="646" t="s">
        <v>192</v>
      </c>
      <c r="AP53" s="646" t="s">
        <v>408</v>
      </c>
      <c r="AQ53" s="646" t="s">
        <v>408</v>
      </c>
      <c r="AR53" s="641"/>
      <c r="AS53" s="647">
        <f t="array" ref="AS53">SUM(COUNTIF(N53:AR53, {"◎","〇","☆","共","特","浴"}))</f>
        <v>12</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3"/>
        <v>カトリ</v>
      </c>
      <c r="C54" s="637" t="str">
        <f t="shared" si="4"/>
        <v>公</v>
      </c>
      <c r="D54" s="200"/>
      <c r="E54" s="636" t="str">
        <f t="shared" si="5"/>
        <v>カトリ</v>
      </c>
      <c r="F54" s="637" t="str">
        <f t="shared" si="6"/>
        <v>〇</v>
      </c>
      <c r="G54" s="200"/>
      <c r="H54" s="200"/>
      <c r="I54" s="172" t="b">
        <v>0</v>
      </c>
      <c r="J54" s="618">
        <v>11.0</v>
      </c>
      <c r="K54" s="638" t="s">
        <v>125</v>
      </c>
      <c r="L54" s="639"/>
      <c r="M54" s="645"/>
      <c r="N54" s="646" t="s">
        <v>408</v>
      </c>
      <c r="O54" s="646" t="s">
        <v>408</v>
      </c>
      <c r="P54" s="646" t="s">
        <v>192</v>
      </c>
      <c r="Q54" s="646" t="s">
        <v>192</v>
      </c>
      <c r="R54" s="646" t="s">
        <v>192</v>
      </c>
      <c r="S54" s="646" t="s">
        <v>192</v>
      </c>
      <c r="T54" s="646" t="s">
        <v>408</v>
      </c>
      <c r="U54" s="646" t="s">
        <v>408</v>
      </c>
      <c r="V54" s="646" t="s">
        <v>408</v>
      </c>
      <c r="W54" s="646" t="s">
        <v>192</v>
      </c>
      <c r="X54" s="646" t="s">
        <v>192</v>
      </c>
      <c r="Y54" s="646" t="s">
        <v>192</v>
      </c>
      <c r="Z54" s="646" t="s">
        <v>192</v>
      </c>
      <c r="AA54" s="646" t="s">
        <v>408</v>
      </c>
      <c r="AB54" s="646" t="s">
        <v>408</v>
      </c>
      <c r="AC54" s="646" t="s">
        <v>408</v>
      </c>
      <c r="AD54" s="646" t="s">
        <v>192</v>
      </c>
      <c r="AE54" s="646" t="s">
        <v>192</v>
      </c>
      <c r="AF54" s="646" t="s">
        <v>192</v>
      </c>
      <c r="AG54" s="646" t="s">
        <v>192</v>
      </c>
      <c r="AH54" s="646" t="s">
        <v>408</v>
      </c>
      <c r="AI54" s="646" t="s">
        <v>408</v>
      </c>
      <c r="AJ54" s="646" t="s">
        <v>408</v>
      </c>
      <c r="AK54" s="646" t="s">
        <v>192</v>
      </c>
      <c r="AL54" s="646" t="s">
        <v>192</v>
      </c>
      <c r="AM54" s="646" t="s">
        <v>192</v>
      </c>
      <c r="AN54" s="646" t="s">
        <v>192</v>
      </c>
      <c r="AO54" s="646" t="s">
        <v>408</v>
      </c>
      <c r="AP54" s="646" t="s">
        <v>408</v>
      </c>
      <c r="AQ54" s="646" t="s">
        <v>408</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3"/>
        <v>GT</v>
      </c>
      <c r="C55" s="637" t="str">
        <f t="shared" si="4"/>
        <v>公</v>
      </c>
      <c r="D55" s="200"/>
      <c r="E55" s="636" t="str">
        <f t="shared" si="5"/>
        <v>GT</v>
      </c>
      <c r="F55" s="637" t="str">
        <f t="shared" si="6"/>
        <v>〇</v>
      </c>
      <c r="G55" s="200"/>
      <c r="H55" s="200"/>
      <c r="I55" s="172" t="b">
        <v>0</v>
      </c>
      <c r="J55" s="618">
        <v>14.0</v>
      </c>
      <c r="K55" s="638" t="s">
        <v>480</v>
      </c>
      <c r="L55" s="639"/>
      <c r="M55" s="645"/>
      <c r="N55" s="646" t="s">
        <v>408</v>
      </c>
      <c r="O55" s="646" t="s">
        <v>408</v>
      </c>
      <c r="P55" s="646" t="s">
        <v>192</v>
      </c>
      <c r="Q55" s="646" t="s">
        <v>192</v>
      </c>
      <c r="R55" s="646" t="s">
        <v>192</v>
      </c>
      <c r="S55" s="646" t="s">
        <v>192</v>
      </c>
      <c r="T55" s="646" t="s">
        <v>408</v>
      </c>
      <c r="U55" s="646" t="s">
        <v>408</v>
      </c>
      <c r="V55" s="646" t="s">
        <v>408</v>
      </c>
      <c r="W55" s="646" t="s">
        <v>192</v>
      </c>
      <c r="X55" s="646" t="s">
        <v>192</v>
      </c>
      <c r="Y55" s="646" t="s">
        <v>192</v>
      </c>
      <c r="Z55" s="646" t="s">
        <v>192</v>
      </c>
      <c r="AA55" s="646" t="s">
        <v>408</v>
      </c>
      <c r="AB55" s="646" t="s">
        <v>408</v>
      </c>
      <c r="AC55" s="646" t="s">
        <v>408</v>
      </c>
      <c r="AD55" s="646" t="s">
        <v>192</v>
      </c>
      <c r="AE55" s="646" t="s">
        <v>192</v>
      </c>
      <c r="AF55" s="646" t="s">
        <v>192</v>
      </c>
      <c r="AG55" s="646" t="s">
        <v>192</v>
      </c>
      <c r="AH55" s="646" t="s">
        <v>408</v>
      </c>
      <c r="AI55" s="646" t="s">
        <v>408</v>
      </c>
      <c r="AJ55" s="646" t="s">
        <v>408</v>
      </c>
      <c r="AK55" s="646" t="s">
        <v>192</v>
      </c>
      <c r="AL55" s="646" t="s">
        <v>192</v>
      </c>
      <c r="AM55" s="646" t="s">
        <v>192</v>
      </c>
      <c r="AN55" s="646" t="s">
        <v>192</v>
      </c>
      <c r="AO55" s="646" t="s">
        <v>408</v>
      </c>
      <c r="AP55" s="646" t="s">
        <v>408</v>
      </c>
      <c r="AQ55" s="646" t="s">
        <v>408</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3"/>
        <v>ギミレ</v>
      </c>
      <c r="C56" s="637" t="str">
        <f t="shared" si="4"/>
        <v>公</v>
      </c>
      <c r="D56" s="200"/>
      <c r="E56" s="636" t="str">
        <f t="shared" si="5"/>
        <v>ギミレ</v>
      </c>
      <c r="F56" s="637" t="str">
        <f t="shared" si="6"/>
        <v>〇</v>
      </c>
      <c r="G56" s="200"/>
      <c r="H56" s="200"/>
      <c r="I56" s="172" t="b">
        <v>0</v>
      </c>
      <c r="J56" s="618">
        <v>10.0</v>
      </c>
      <c r="K56" s="638" t="s">
        <v>159</v>
      </c>
      <c r="L56" s="639"/>
      <c r="M56" s="645"/>
      <c r="N56" s="646" t="s">
        <v>192</v>
      </c>
      <c r="O56" s="646" t="s">
        <v>408</v>
      </c>
      <c r="P56" s="646" t="s">
        <v>192</v>
      </c>
      <c r="Q56" s="646" t="s">
        <v>192</v>
      </c>
      <c r="R56" s="646" t="s">
        <v>408</v>
      </c>
      <c r="S56" s="646" t="s">
        <v>408</v>
      </c>
      <c r="T56" s="646" t="s">
        <v>192</v>
      </c>
      <c r="U56" s="646" t="s">
        <v>192</v>
      </c>
      <c r="V56" s="646" t="s">
        <v>408</v>
      </c>
      <c r="W56" s="646" t="s">
        <v>192</v>
      </c>
      <c r="X56" s="646" t="s">
        <v>192</v>
      </c>
      <c r="Y56" s="646" t="s">
        <v>408</v>
      </c>
      <c r="Z56" s="646" t="s">
        <v>408</v>
      </c>
      <c r="AA56" s="646" t="s">
        <v>192</v>
      </c>
      <c r="AB56" s="646" t="s">
        <v>192</v>
      </c>
      <c r="AC56" s="646" t="s">
        <v>408</v>
      </c>
      <c r="AD56" s="646" t="s">
        <v>192</v>
      </c>
      <c r="AE56" s="646" t="s">
        <v>192</v>
      </c>
      <c r="AF56" s="646" t="s">
        <v>408</v>
      </c>
      <c r="AG56" s="646" t="s">
        <v>408</v>
      </c>
      <c r="AH56" s="646" t="s">
        <v>192</v>
      </c>
      <c r="AI56" s="646" t="s">
        <v>192</v>
      </c>
      <c r="AJ56" s="646" t="s">
        <v>408</v>
      </c>
      <c r="AK56" s="646" t="s">
        <v>192</v>
      </c>
      <c r="AL56" s="646" t="s">
        <v>192</v>
      </c>
      <c r="AM56" s="646" t="s">
        <v>408</v>
      </c>
      <c r="AN56" s="646" t="s">
        <v>408</v>
      </c>
      <c r="AO56" s="646" t="s">
        <v>192</v>
      </c>
      <c r="AP56" s="646" t="s">
        <v>192</v>
      </c>
      <c r="AQ56" s="646" t="s">
        <v>408</v>
      </c>
      <c r="AR56" s="641"/>
      <c r="AS56" s="647">
        <f t="array" ref="AS56">SUM(COUNTIF(N56:AR56, {"◎","〇","☆","共","特","浴"}))</f>
        <v>17</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3"/>
        <v>スザナ</v>
      </c>
      <c r="C57" s="637" t="str">
        <f t="shared" si="4"/>
        <v>〇</v>
      </c>
      <c r="D57" s="200"/>
      <c r="E57" s="636" t="str">
        <f t="shared" si="5"/>
        <v>スザナ</v>
      </c>
      <c r="F57" s="637" t="str">
        <f t="shared" si="6"/>
        <v>〇</v>
      </c>
      <c r="G57" s="200"/>
      <c r="H57" s="200"/>
      <c r="I57" s="172" t="b">
        <v>0</v>
      </c>
      <c r="J57" s="618">
        <v>7.0</v>
      </c>
      <c r="K57" s="638" t="s">
        <v>481</v>
      </c>
      <c r="L57" s="639" t="s">
        <v>474</v>
      </c>
      <c r="M57" s="645"/>
      <c r="N57" s="646" t="s">
        <v>192</v>
      </c>
      <c r="O57" s="646" t="s">
        <v>192</v>
      </c>
      <c r="P57" s="646" t="s">
        <v>192</v>
      </c>
      <c r="Q57" s="646"/>
      <c r="R57" s="646"/>
      <c r="S57" s="646" t="s">
        <v>192</v>
      </c>
      <c r="T57" s="646"/>
      <c r="U57" s="646" t="s">
        <v>192</v>
      </c>
      <c r="V57" s="646" t="s">
        <v>192</v>
      </c>
      <c r="W57" s="646" t="s">
        <v>192</v>
      </c>
      <c r="X57" s="646"/>
      <c r="Y57" s="646"/>
      <c r="Z57" s="646" t="s">
        <v>192</v>
      </c>
      <c r="AA57" s="646"/>
      <c r="AB57" s="646" t="s">
        <v>192</v>
      </c>
      <c r="AC57" s="646" t="s">
        <v>192</v>
      </c>
      <c r="AD57" s="646" t="s">
        <v>192</v>
      </c>
      <c r="AE57" s="646"/>
      <c r="AF57" s="646"/>
      <c r="AG57" s="646" t="s">
        <v>192</v>
      </c>
      <c r="AH57" s="646"/>
      <c r="AI57" s="646" t="s">
        <v>192</v>
      </c>
      <c r="AJ57" s="646" t="s">
        <v>192</v>
      </c>
      <c r="AK57" s="646" t="s">
        <v>192</v>
      </c>
      <c r="AL57" s="646"/>
      <c r="AM57" s="646"/>
      <c r="AN57" s="646" t="s">
        <v>192</v>
      </c>
      <c r="AO57" s="646"/>
      <c r="AP57" s="646" t="s">
        <v>192</v>
      </c>
      <c r="AQ57" s="646" t="s">
        <v>192</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3"/>
        <v>サナム</v>
      </c>
      <c r="C58" s="637" t="str">
        <f t="shared" si="4"/>
        <v/>
      </c>
      <c r="D58" s="200"/>
      <c r="E58" s="636" t="str">
        <f t="shared" si="5"/>
        <v>サナム</v>
      </c>
      <c r="F58" s="637" t="str">
        <f t="shared" si="6"/>
        <v/>
      </c>
      <c r="G58" s="200"/>
      <c r="H58" s="200"/>
      <c r="I58" s="172" t="b">
        <v>0</v>
      </c>
      <c r="J58" s="618">
        <v>9.0</v>
      </c>
      <c r="K58" s="638" t="s">
        <v>482</v>
      </c>
      <c r="L58" s="639" t="s">
        <v>474</v>
      </c>
      <c r="M58" s="645"/>
      <c r="N58" s="646"/>
      <c r="O58" s="646"/>
      <c r="P58" s="646"/>
      <c r="Q58" s="646"/>
      <c r="R58" s="646"/>
      <c r="S58" s="646"/>
      <c r="T58" s="646" t="s">
        <v>192</v>
      </c>
      <c r="U58" s="646" t="s">
        <v>192</v>
      </c>
      <c r="V58" s="646"/>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t="s">
        <v>192</v>
      </c>
      <c r="AP58" s="646" t="s">
        <v>192</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公</v>
      </c>
      <c r="G59" s="200"/>
      <c r="H59" s="200"/>
      <c r="I59" s="172" t="b">
        <v>0</v>
      </c>
      <c r="J59" s="618">
        <v>10.0</v>
      </c>
      <c r="K59" s="638" t="s">
        <v>483</v>
      </c>
      <c r="L59" s="639" t="s">
        <v>474</v>
      </c>
      <c r="M59" s="645"/>
      <c r="N59" s="646" t="s">
        <v>408</v>
      </c>
      <c r="O59" s="646" t="s">
        <v>408</v>
      </c>
      <c r="P59" s="646" t="s">
        <v>408</v>
      </c>
      <c r="Q59" s="646" t="s">
        <v>408</v>
      </c>
      <c r="R59" s="646" t="s">
        <v>192</v>
      </c>
      <c r="S59" s="646" t="s">
        <v>408</v>
      </c>
      <c r="T59" s="646" t="s">
        <v>408</v>
      </c>
      <c r="U59" s="646" t="s">
        <v>408</v>
      </c>
      <c r="V59" s="646" t="s">
        <v>408</v>
      </c>
      <c r="W59" s="646" t="s">
        <v>408</v>
      </c>
      <c r="X59" s="646" t="s">
        <v>408</v>
      </c>
      <c r="Y59" s="646" t="s">
        <v>192</v>
      </c>
      <c r="Z59" s="646" t="s">
        <v>408</v>
      </c>
      <c r="AA59" s="646" t="s">
        <v>408</v>
      </c>
      <c r="AB59" s="646" t="s">
        <v>408</v>
      </c>
      <c r="AC59" s="646" t="s">
        <v>408</v>
      </c>
      <c r="AD59" s="646" t="s">
        <v>408</v>
      </c>
      <c r="AE59" s="646" t="s">
        <v>408</v>
      </c>
      <c r="AF59" s="646" t="s">
        <v>192</v>
      </c>
      <c r="AG59" s="646" t="s">
        <v>408</v>
      </c>
      <c r="AH59" s="646" t="s">
        <v>408</v>
      </c>
      <c r="AI59" s="646" t="s">
        <v>408</v>
      </c>
      <c r="AJ59" s="646" t="s">
        <v>408</v>
      </c>
      <c r="AK59" s="646" t="s">
        <v>408</v>
      </c>
      <c r="AL59" s="646" t="s">
        <v>408</v>
      </c>
      <c r="AM59" s="646" t="s">
        <v>192</v>
      </c>
      <c r="AN59" s="646" t="s">
        <v>408</v>
      </c>
      <c r="AO59" s="646" t="s">
        <v>408</v>
      </c>
      <c r="AP59" s="646" t="s">
        <v>408</v>
      </c>
      <c r="AQ59" s="646" t="s">
        <v>408</v>
      </c>
      <c r="AR59" s="641"/>
      <c r="AS59" s="647">
        <f t="array" ref="AS59">SUM(COUNTIF(N59:AR59, {"◎","〇","☆","共","特","浴"}))</f>
        <v>4</v>
      </c>
      <c r="AT59" s="651"/>
      <c r="AU59" s="649"/>
      <c r="AV59" s="649"/>
      <c r="AW59" s="649"/>
      <c r="AX59" s="649"/>
      <c r="AY59" s="649"/>
      <c r="AZ59" s="649"/>
      <c r="BA59" s="649"/>
      <c r="BB59" s="652" t="s">
        <v>484</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3"/>
        <v>アスミタ</v>
      </c>
      <c r="C60" s="637" t="str">
        <f t="shared" si="4"/>
        <v>公</v>
      </c>
      <c r="D60" s="200"/>
      <c r="E60" s="636" t="str">
        <f t="shared" si="5"/>
        <v>アスミタ</v>
      </c>
      <c r="F60" s="637" t="str">
        <f t="shared" si="6"/>
        <v>〇</v>
      </c>
      <c r="G60" s="200"/>
      <c r="H60" s="200"/>
      <c r="I60" s="172" t="b">
        <v>0</v>
      </c>
      <c r="J60" s="618"/>
      <c r="K60" s="638" t="s">
        <v>485</v>
      </c>
      <c r="L60" s="639" t="s">
        <v>474</v>
      </c>
      <c r="M60" s="645"/>
      <c r="N60" s="646" t="s">
        <v>408</v>
      </c>
      <c r="O60" s="646" t="s">
        <v>408</v>
      </c>
      <c r="P60" s="646" t="s">
        <v>192</v>
      </c>
      <c r="Q60" s="646" t="s">
        <v>408</v>
      </c>
      <c r="R60" s="646" t="s">
        <v>408</v>
      </c>
      <c r="S60" s="646" t="s">
        <v>192</v>
      </c>
      <c r="T60" s="646" t="s">
        <v>192</v>
      </c>
      <c r="U60" s="646" t="s">
        <v>192</v>
      </c>
      <c r="V60" s="646" t="s">
        <v>192</v>
      </c>
      <c r="W60" s="646" t="s">
        <v>408</v>
      </c>
      <c r="X60" s="646" t="s">
        <v>408</v>
      </c>
      <c r="Y60" s="646" t="s">
        <v>408</v>
      </c>
      <c r="Z60" s="646" t="s">
        <v>192</v>
      </c>
      <c r="AA60" s="646" t="s">
        <v>192</v>
      </c>
      <c r="AB60" s="646" t="s">
        <v>192</v>
      </c>
      <c r="AC60" s="646" t="s">
        <v>192</v>
      </c>
      <c r="AD60" s="646" t="s">
        <v>408</v>
      </c>
      <c r="AE60" s="646" t="s">
        <v>408</v>
      </c>
      <c r="AF60" s="646" t="s">
        <v>408</v>
      </c>
      <c r="AG60" s="646" t="s">
        <v>192</v>
      </c>
      <c r="AH60" s="646" t="s">
        <v>192</v>
      </c>
      <c r="AI60" s="646" t="s">
        <v>192</v>
      </c>
      <c r="AJ60" s="646" t="s">
        <v>192</v>
      </c>
      <c r="AK60" s="646" t="s">
        <v>408</v>
      </c>
      <c r="AL60" s="646" t="s">
        <v>408</v>
      </c>
      <c r="AM60" s="646" t="s">
        <v>408</v>
      </c>
      <c r="AN60" s="646" t="s">
        <v>192</v>
      </c>
      <c r="AO60" s="646" t="s">
        <v>192</v>
      </c>
      <c r="AP60" s="646" t="s">
        <v>192</v>
      </c>
      <c r="AQ60" s="646" t="s">
        <v>192</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3"/>
        <v>ソノダ</v>
      </c>
      <c r="C63" s="637" t="str">
        <f t="shared" si="4"/>
        <v>共</v>
      </c>
      <c r="D63" s="200"/>
      <c r="E63" s="636" t="str">
        <f t="shared" si="5"/>
        <v>ソノダ</v>
      </c>
      <c r="F63" s="637" t="str">
        <f t="shared" si="6"/>
        <v>共</v>
      </c>
      <c r="G63" s="200"/>
      <c r="H63" s="200"/>
      <c r="I63" s="172" t="b">
        <v>0</v>
      </c>
      <c r="J63" s="618"/>
      <c r="K63" s="638" t="s">
        <v>486</v>
      </c>
      <c r="L63" s="639" t="s">
        <v>135</v>
      </c>
      <c r="M63" s="645"/>
      <c r="N63" s="646" t="s">
        <v>408</v>
      </c>
      <c r="O63" s="646" t="s">
        <v>397</v>
      </c>
      <c r="P63" s="646" t="s">
        <v>397</v>
      </c>
      <c r="Q63" s="646" t="s">
        <v>408</v>
      </c>
      <c r="R63" s="646" t="s">
        <v>397</v>
      </c>
      <c r="S63" s="646" t="s">
        <v>397</v>
      </c>
      <c r="T63" s="646" t="s">
        <v>397</v>
      </c>
      <c r="U63" s="646" t="s">
        <v>397</v>
      </c>
      <c r="V63" s="646" t="s">
        <v>397</v>
      </c>
      <c r="W63" s="646" t="s">
        <v>397</v>
      </c>
      <c r="X63" s="646" t="s">
        <v>408</v>
      </c>
      <c r="Y63" s="646" t="s">
        <v>397</v>
      </c>
      <c r="Z63" s="646" t="s">
        <v>397</v>
      </c>
      <c r="AA63" s="646" t="s">
        <v>397</v>
      </c>
      <c r="AB63" s="646" t="s">
        <v>397</v>
      </c>
      <c r="AC63" s="646" t="s">
        <v>397</v>
      </c>
      <c r="AD63" s="646" t="s">
        <v>397</v>
      </c>
      <c r="AE63" s="646" t="s">
        <v>408</v>
      </c>
      <c r="AF63" s="646" t="s">
        <v>397</v>
      </c>
      <c r="AG63" s="646" t="s">
        <v>397</v>
      </c>
      <c r="AH63" s="646" t="s">
        <v>397</v>
      </c>
      <c r="AI63" s="646" t="s">
        <v>397</v>
      </c>
      <c r="AJ63" s="646" t="s">
        <v>397</v>
      </c>
      <c r="AK63" s="646" t="s">
        <v>397</v>
      </c>
      <c r="AL63" s="646" t="s">
        <v>408</v>
      </c>
      <c r="AM63" s="646" t="s">
        <v>397</v>
      </c>
      <c r="AN63" s="646" t="s">
        <v>397</v>
      </c>
      <c r="AO63" s="646" t="s">
        <v>408</v>
      </c>
      <c r="AP63" s="646" t="s">
        <v>408</v>
      </c>
      <c r="AQ63" s="646" t="s">
        <v>397</v>
      </c>
      <c r="AR63" s="641"/>
      <c r="AS63" s="647">
        <f t="array" ref="AS63">SUM(COUNTIF(N63:AR63, {"◎","〇","☆","共","特","浴"}))</f>
        <v>23</v>
      </c>
      <c r="AT63" s="651"/>
      <c r="AU63" s="649"/>
      <c r="AV63" s="649"/>
      <c r="AW63" s="649"/>
      <c r="AX63" s="649"/>
      <c r="AY63" s="649"/>
      <c r="AZ63" s="649"/>
      <c r="BA63" s="649"/>
      <c r="BB63" s="652" t="s">
        <v>487</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3"/>
        <v>サルマ</v>
      </c>
      <c r="C64" s="637" t="str">
        <f t="shared" si="4"/>
        <v>公</v>
      </c>
      <c r="D64" s="200"/>
      <c r="E64" s="636" t="str">
        <f t="shared" si="5"/>
        <v>サルマ</v>
      </c>
      <c r="F64" s="637" t="str">
        <f t="shared" si="6"/>
        <v>公</v>
      </c>
      <c r="G64" s="200"/>
      <c r="H64" s="200"/>
      <c r="I64" s="172" t="b">
        <v>0</v>
      </c>
      <c r="J64" s="618"/>
      <c r="K64" s="638" t="s">
        <v>488</v>
      </c>
      <c r="L64" s="639" t="s">
        <v>135</v>
      </c>
      <c r="M64" s="645"/>
      <c r="N64" s="646" t="s">
        <v>397</v>
      </c>
      <c r="O64" s="646" t="s">
        <v>408</v>
      </c>
      <c r="P64" s="646" t="s">
        <v>408</v>
      </c>
      <c r="Q64" s="646" t="s">
        <v>408</v>
      </c>
      <c r="R64" s="646" t="s">
        <v>408</v>
      </c>
      <c r="S64" s="646" t="s">
        <v>408</v>
      </c>
      <c r="T64" s="646" t="s">
        <v>397</v>
      </c>
      <c r="U64" s="646" t="s">
        <v>397</v>
      </c>
      <c r="V64" s="646" t="s">
        <v>408</v>
      </c>
      <c r="W64" s="646" t="s">
        <v>408</v>
      </c>
      <c r="X64" s="646" t="s">
        <v>408</v>
      </c>
      <c r="Y64" s="646" t="s">
        <v>408</v>
      </c>
      <c r="Z64" s="646" t="s">
        <v>408</v>
      </c>
      <c r="AA64" s="646" t="s">
        <v>397</v>
      </c>
      <c r="AB64" s="646" t="s">
        <v>397</v>
      </c>
      <c r="AC64" s="646" t="s">
        <v>408</v>
      </c>
      <c r="AD64" s="646" t="s">
        <v>408</v>
      </c>
      <c r="AE64" s="646" t="s">
        <v>408</v>
      </c>
      <c r="AF64" s="646" t="s">
        <v>408</v>
      </c>
      <c r="AG64" s="646" t="s">
        <v>408</v>
      </c>
      <c r="AH64" s="646" t="s">
        <v>397</v>
      </c>
      <c r="AI64" s="646" t="s">
        <v>397</v>
      </c>
      <c r="AJ64" s="646" t="s">
        <v>408</v>
      </c>
      <c r="AK64" s="646" t="s">
        <v>408</v>
      </c>
      <c r="AL64" s="646" t="s">
        <v>408</v>
      </c>
      <c r="AM64" s="646" t="s">
        <v>408</v>
      </c>
      <c r="AN64" s="646" t="s">
        <v>408</v>
      </c>
      <c r="AO64" s="646" t="s">
        <v>397</v>
      </c>
      <c r="AP64" s="646" t="s">
        <v>397</v>
      </c>
      <c r="AQ64" s="646" t="s">
        <v>408</v>
      </c>
      <c r="AR64" s="641"/>
      <c r="AS64" s="647">
        <f t="array" ref="AS64">SUM(COUNTIF(N64:AR64, {"◎","〇","☆","共","特","浴"}))</f>
        <v>9</v>
      </c>
      <c r="AT64" s="651"/>
      <c r="AU64" s="649"/>
      <c r="AV64" s="649"/>
      <c r="AW64" s="649"/>
      <c r="AX64" s="649"/>
      <c r="AY64" s="649"/>
      <c r="AZ64" s="649"/>
      <c r="BA64" s="649"/>
      <c r="BB64" s="652" t="s">
        <v>489</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490</v>
      </c>
      <c r="C2" s="531"/>
      <c r="D2" s="531"/>
      <c r="E2" s="531"/>
      <c r="F2" s="666" t="s">
        <v>491</v>
      </c>
      <c r="G2" s="667" t="s">
        <v>492</v>
      </c>
      <c r="H2" s="232"/>
      <c r="I2" s="232"/>
      <c r="J2" s="232"/>
      <c r="K2" s="232"/>
      <c r="L2" s="232"/>
      <c r="M2" s="232"/>
      <c r="N2" s="232"/>
      <c r="O2" s="232"/>
      <c r="P2" s="232"/>
      <c r="Q2" s="3"/>
      <c r="R2" s="668" t="s">
        <v>493</v>
      </c>
      <c r="S2" s="661"/>
      <c r="T2" s="663"/>
      <c r="U2" s="669"/>
      <c r="V2" s="665"/>
      <c r="W2" s="661"/>
      <c r="X2" s="661"/>
      <c r="Y2" s="661"/>
      <c r="Z2" s="661"/>
    </row>
    <row r="3" ht="33.0" customHeight="1">
      <c r="A3" s="661"/>
      <c r="B3" s="670" t="s">
        <v>494</v>
      </c>
      <c r="C3" s="531"/>
      <c r="D3" s="531"/>
      <c r="E3" s="531"/>
      <c r="F3" s="671" t="s">
        <v>495</v>
      </c>
      <c r="G3" s="672" t="s">
        <v>496</v>
      </c>
      <c r="H3" s="232"/>
      <c r="I3" s="232"/>
      <c r="J3" s="232"/>
      <c r="K3" s="232"/>
      <c r="L3" s="232"/>
      <c r="M3" s="232"/>
      <c r="N3" s="232"/>
      <c r="O3" s="232"/>
      <c r="P3" s="232"/>
      <c r="Q3" s="3"/>
      <c r="R3" s="673" t="s">
        <v>493</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46113.0</v>
      </c>
      <c r="E5" s="675"/>
      <c r="F5" s="677" t="s">
        <v>497</v>
      </c>
      <c r="G5" s="678" t="s">
        <v>498</v>
      </c>
      <c r="H5" s="679"/>
      <c r="I5" s="679"/>
      <c r="J5" s="679"/>
      <c r="K5" s="679"/>
      <c r="L5" s="679"/>
      <c r="M5" s="679"/>
      <c r="N5" s="679"/>
      <c r="O5" s="679"/>
      <c r="P5" s="679"/>
      <c r="Q5" s="118"/>
      <c r="R5" s="680"/>
      <c r="S5" s="661"/>
      <c r="T5" s="663"/>
      <c r="U5" s="664"/>
      <c r="V5" s="681" t="s">
        <v>499</v>
      </c>
      <c r="W5" s="661"/>
      <c r="X5" s="661"/>
      <c r="Y5" s="661"/>
      <c r="Z5" s="661"/>
    </row>
    <row r="6">
      <c r="A6" s="661"/>
      <c r="B6" s="682" t="s">
        <v>500</v>
      </c>
      <c r="C6" s="683" t="s">
        <v>253</v>
      </c>
      <c r="D6" s="683" t="s">
        <v>292</v>
      </c>
      <c r="E6" s="683" t="s">
        <v>501</v>
      </c>
      <c r="F6" s="683" t="s">
        <v>84</v>
      </c>
      <c r="G6" s="684" t="s">
        <v>502</v>
      </c>
      <c r="H6" s="685" t="s">
        <v>37</v>
      </c>
      <c r="I6" s="686" t="s">
        <v>503</v>
      </c>
      <c r="J6" s="686" t="s">
        <v>504</v>
      </c>
      <c r="K6" s="686" t="s">
        <v>505</v>
      </c>
      <c r="L6" s="687" t="s">
        <v>506</v>
      </c>
      <c r="M6" s="688"/>
      <c r="N6" s="689" t="s">
        <v>507</v>
      </c>
      <c r="O6" s="690" t="s">
        <v>508</v>
      </c>
      <c r="P6" s="679"/>
      <c r="Q6" s="118"/>
      <c r="R6" s="691"/>
      <c r="S6" s="692" t="s">
        <v>96</v>
      </c>
      <c r="T6" s="692" t="s">
        <v>97</v>
      </c>
      <c r="U6" s="664"/>
      <c r="V6" s="693" t="s">
        <v>509</v>
      </c>
      <c r="W6" s="694"/>
      <c r="X6" s="695" t="s">
        <v>268</v>
      </c>
      <c r="Y6" s="661"/>
      <c r="Z6" s="661"/>
    </row>
    <row r="7">
      <c r="A7" s="661"/>
      <c r="B7" s="696"/>
      <c r="C7" s="697"/>
      <c r="D7" s="697"/>
      <c r="E7" s="697"/>
      <c r="F7" s="697"/>
      <c r="G7" s="698"/>
      <c r="H7" s="697"/>
      <c r="I7" s="697"/>
      <c r="J7" s="697"/>
      <c r="K7" s="697"/>
      <c r="L7" s="699" t="s">
        <v>510</v>
      </c>
      <c r="M7" s="699" t="s">
        <v>511</v>
      </c>
      <c r="N7" s="697"/>
      <c r="O7" s="700"/>
      <c r="P7" s="701"/>
      <c r="Q7" s="702"/>
      <c r="R7" s="691"/>
      <c r="S7" s="222"/>
      <c r="T7" s="222"/>
      <c r="V7" s="703">
        <f>month(D5)</f>
        <v>4</v>
      </c>
      <c r="W7" s="704"/>
      <c r="X7" s="695" t="s">
        <v>512</v>
      </c>
      <c r="Y7" s="661"/>
      <c r="Z7" s="661"/>
    </row>
    <row r="8" ht="17.25" customHeight="1">
      <c r="A8" s="661"/>
      <c r="B8" s="705" t="s">
        <v>513</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t="48.0" customHeight="1" outlineLevel="1">
      <c r="A9" s="661"/>
      <c r="B9" s="718"/>
      <c r="C9" s="719">
        <f>D5</f>
        <v>46113</v>
      </c>
      <c r="D9" s="720" t="str">
        <f>TEXT(C9,"ddd")</f>
        <v>水</v>
      </c>
      <c r="E9" s="721"/>
      <c r="F9" s="722" t="s">
        <v>132</v>
      </c>
      <c r="G9" s="723" t="s">
        <v>514</v>
      </c>
      <c r="H9" s="724"/>
      <c r="I9" s="725">
        <v>0.625</v>
      </c>
      <c r="J9" s="724">
        <v>8.0</v>
      </c>
      <c r="K9" s="724">
        <v>2.0</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446</v>
      </c>
      <c r="W9" s="716"/>
      <c r="X9" s="717">
        <v>46082.0</v>
      </c>
      <c r="Y9" s="661"/>
      <c r="Z9" s="661"/>
    </row>
    <row r="10" ht="48.0" customHeight="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171</v>
      </c>
      <c r="W10" s="716"/>
      <c r="X10" s="717">
        <v>46113.0</v>
      </c>
      <c r="Y10" s="661"/>
      <c r="Z10" s="661"/>
    </row>
    <row r="11" ht="48.0" customHeight="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450</v>
      </c>
      <c r="W11" s="716"/>
      <c r="X11" s="717">
        <v>46143.0</v>
      </c>
      <c r="Y11" s="661"/>
      <c r="Z11" s="661"/>
    </row>
    <row r="12" ht="48.0" customHeight="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452</v>
      </c>
      <c r="W12" s="716"/>
      <c r="X12" s="717">
        <v>46174.0</v>
      </c>
      <c r="Y12" s="661"/>
      <c r="Z12" s="661"/>
    </row>
    <row r="13" ht="48.0" customHeight="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454</v>
      </c>
      <c r="W13" s="716"/>
      <c r="X13" s="717">
        <v>46204.0</v>
      </c>
      <c r="Y13" s="661"/>
      <c r="Z13" s="661"/>
    </row>
    <row r="14" ht="48.0" customHeight="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515</v>
      </c>
      <c r="W14" s="716"/>
      <c r="X14" s="717">
        <v>46235.0</v>
      </c>
      <c r="Y14" s="661"/>
      <c r="Z14" s="661"/>
    </row>
    <row r="15" ht="48.0" customHeight="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488</v>
      </c>
      <c r="W15" s="716"/>
      <c r="X15" s="717">
        <v>46266.0</v>
      </c>
      <c r="Y15" s="661"/>
      <c r="Z15" s="661"/>
    </row>
    <row r="16" ht="48.0" customHeight="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516</v>
      </c>
      <c r="W16" s="716"/>
      <c r="X16" s="717">
        <v>46296.0</v>
      </c>
      <c r="Y16" s="661"/>
      <c r="Z16" s="661"/>
    </row>
    <row r="17" ht="48.0" customHeight="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456</v>
      </c>
      <c r="W17" s="716"/>
      <c r="X17" s="717">
        <v>46327.0</v>
      </c>
      <c r="Y17" s="661"/>
      <c r="Z17" s="661"/>
    </row>
    <row r="18" ht="48.0" customHeight="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459</v>
      </c>
      <c r="W18" s="716"/>
      <c r="X18" s="717">
        <v>46357.0</v>
      </c>
      <c r="Y18" s="661"/>
      <c r="Z18" s="661"/>
    </row>
    <row r="19" outlineLevel="1">
      <c r="B19" s="738"/>
      <c r="C19" s="697"/>
      <c r="D19" s="697"/>
      <c r="E19" s="697"/>
      <c r="F19" s="739" t="s">
        <v>517</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468</v>
      </c>
      <c r="W19" s="716"/>
      <c r="X19" s="717">
        <v>46388.0</v>
      </c>
      <c r="Y19" s="661"/>
      <c r="Z19" s="661"/>
    </row>
    <row r="20" outlineLevel="1">
      <c r="A20" s="661"/>
      <c r="B20" s="743"/>
      <c r="C20" s="744">
        <f>IF(C9="","",IF(DAY(C9+1)=1,"",C9+1))</f>
        <v>46114</v>
      </c>
      <c r="D20" s="745" t="str">
        <f>TEXT(C20,"ddd")</f>
        <v>木</v>
      </c>
      <c r="E20" s="746"/>
      <c r="F20" s="747" t="s">
        <v>518</v>
      </c>
      <c r="G20" s="748" t="s">
        <v>519</v>
      </c>
      <c r="H20" s="749"/>
      <c r="I20" s="750">
        <v>0.0</v>
      </c>
      <c r="J20" s="751"/>
      <c r="K20" s="751"/>
      <c r="L20" s="752"/>
      <c r="M20" s="752"/>
      <c r="N20" s="747"/>
      <c r="O20" s="753"/>
      <c r="Q20" s="728"/>
      <c r="R20" s="661"/>
      <c r="S20" s="228" t="str">
        <f t="array" ref="S20">IFERROR(INDEX('💻シート作成'!$D$6:$D1001, MATCH(T20, '💻シート作成'!$E$6:$E1001, 0)), "")</f>
        <v>11月</v>
      </c>
      <c r="T20" s="172" t="str">
        <f>IFERROR(__xludf.DUMMYFUNCTION("""COMPUTED_VALUE"""),"①R8_11集計")</f>
        <v>①R8_11集計</v>
      </c>
      <c r="U20" s="754"/>
      <c r="V20" s="715" t="s">
        <v>466</v>
      </c>
      <c r="W20" s="716"/>
      <c r="X20" s="717"/>
      <c r="Y20" s="661"/>
      <c r="Z20" s="661"/>
    </row>
    <row r="21" outlineLevel="1">
      <c r="A21" s="661"/>
      <c r="B21" s="729"/>
      <c r="C21" s="730"/>
      <c r="D21" s="730"/>
      <c r="E21" s="730"/>
      <c r="F21" s="730"/>
      <c r="G21" s="731"/>
      <c r="H21" s="730"/>
      <c r="I21" s="730"/>
      <c r="J21" s="730"/>
      <c r="K21" s="730"/>
      <c r="L21" s="755"/>
      <c r="M21" s="755"/>
      <c r="N21" s="730"/>
      <c r="O21" s="733"/>
      <c r="Q21" s="728"/>
      <c r="R21" s="661"/>
      <c r="S21" s="228" t="str">
        <f t="array" ref="S21">IFERROR(INDEX('💻シート作成'!$D$6:$D1001, MATCH(T21, '💻シート作成'!$E$6:$E1001, 0)), "")</f>
        <v>11月</v>
      </c>
      <c r="T21" s="172" t="str">
        <f>IFERROR(__xludf.DUMMYFUNCTION("""COMPUTED_VALUE"""),"②R8_11シフト")</f>
        <v>②R8_11シフト</v>
      </c>
      <c r="U21" s="754"/>
      <c r="V21" s="715" t="s">
        <v>113</v>
      </c>
      <c r="W21" s="716"/>
      <c r="X21" s="717"/>
      <c r="Y21" s="661"/>
      <c r="Z21" s="661"/>
    </row>
    <row r="22" outlineLevel="1">
      <c r="A22" s="661"/>
      <c r="B22" s="729"/>
      <c r="C22" s="730"/>
      <c r="D22" s="730"/>
      <c r="E22" s="730"/>
      <c r="F22" s="730"/>
      <c r="G22" s="731"/>
      <c r="H22" s="730"/>
      <c r="I22" s="730"/>
      <c r="J22" s="730"/>
      <c r="K22" s="730"/>
      <c r="L22" s="755"/>
      <c r="M22" s="755"/>
      <c r="N22" s="730"/>
      <c r="O22" s="733"/>
      <c r="Q22" s="728"/>
      <c r="R22" s="661"/>
      <c r="S22" s="228" t="str">
        <f t="array" ref="S22">IFERROR(INDEX('💻シート作成'!$D$6:$D1001, MATCH(T22, '💻シート作成'!$E$6:$E1001, 0)), "")</f>
        <v>11月</v>
      </c>
      <c r="T22" s="172" t="str">
        <f>IFERROR(__xludf.DUMMYFUNCTION("""COMPUTED_VALUE"""),"③R8_11日報")</f>
        <v>③R8_11日報</v>
      </c>
      <c r="U22" s="754"/>
      <c r="V22" s="715" t="s">
        <v>520</v>
      </c>
      <c r="W22" s="716"/>
      <c r="X22" s="717"/>
      <c r="Y22" s="661"/>
      <c r="Z22" s="661"/>
    </row>
    <row r="23" outlineLevel="1">
      <c r="A23" s="661"/>
      <c r="B23" s="729"/>
      <c r="C23" s="730"/>
      <c r="D23" s="730"/>
      <c r="E23" s="730"/>
      <c r="F23" s="730"/>
      <c r="G23" s="731"/>
      <c r="H23" s="730"/>
      <c r="I23" s="730"/>
      <c r="J23" s="730"/>
      <c r="K23" s="730"/>
      <c r="L23" s="756"/>
      <c r="M23" s="755"/>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478</v>
      </c>
      <c r="W23" s="661"/>
      <c r="X23" s="757"/>
      <c r="Y23" s="661"/>
      <c r="Z23" s="661"/>
    </row>
    <row r="24" outlineLevel="1">
      <c r="A24" s="661"/>
      <c r="B24" s="729"/>
      <c r="C24" s="730"/>
      <c r="D24" s="730"/>
      <c r="E24" s="730"/>
      <c r="F24" s="730"/>
      <c r="G24" s="731"/>
      <c r="H24" s="730"/>
      <c r="I24" s="730"/>
      <c r="J24" s="730"/>
      <c r="K24" s="730"/>
      <c r="L24" s="756"/>
      <c r="M24" s="755"/>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473</v>
      </c>
      <c r="W24" s="661"/>
      <c r="X24" s="757"/>
      <c r="Y24" s="661"/>
      <c r="Z24" s="661"/>
    </row>
    <row r="25" outlineLevel="1">
      <c r="A25" s="661"/>
      <c r="B25" s="729"/>
      <c r="C25" s="730"/>
      <c r="D25" s="730"/>
      <c r="E25" s="730"/>
      <c r="F25" s="730"/>
      <c r="G25" s="731"/>
      <c r="H25" s="730"/>
      <c r="I25" s="730"/>
      <c r="J25" s="730"/>
      <c r="K25" s="730"/>
      <c r="L25" s="756"/>
      <c r="M25" s="755"/>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471</v>
      </c>
      <c r="W25" s="661"/>
      <c r="X25" s="757"/>
      <c r="Y25" s="661"/>
      <c r="Z25" s="661"/>
    </row>
    <row r="26" outlineLevel="1">
      <c r="A26" s="661"/>
      <c r="B26" s="729"/>
      <c r="C26" s="730"/>
      <c r="D26" s="730"/>
      <c r="E26" s="730"/>
      <c r="F26" s="730"/>
      <c r="G26" s="731"/>
      <c r="H26" s="730"/>
      <c r="I26" s="730"/>
      <c r="J26" s="730"/>
      <c r="K26" s="730"/>
      <c r="L26" s="756"/>
      <c r="M26" s="755"/>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470</v>
      </c>
      <c r="W26" s="661"/>
      <c r="X26" s="757"/>
      <c r="Y26" s="661"/>
      <c r="Z26" s="661"/>
    </row>
    <row r="27" outlineLevel="1">
      <c r="A27" s="661"/>
      <c r="B27" s="729"/>
      <c r="C27" s="730"/>
      <c r="D27" s="730"/>
      <c r="E27" s="730"/>
      <c r="F27" s="730"/>
      <c r="G27" s="731"/>
      <c r="H27" s="730"/>
      <c r="I27" s="730"/>
      <c r="J27" s="730"/>
      <c r="K27" s="730"/>
      <c r="L27" s="756"/>
      <c r="M27" s="755"/>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112</v>
      </c>
      <c r="W27" s="661"/>
      <c r="X27" s="757"/>
      <c r="Y27" s="661"/>
      <c r="Z27" s="661"/>
    </row>
    <row r="28" outlineLevel="1">
      <c r="A28" s="661"/>
      <c r="B28" s="729"/>
      <c r="C28" s="730"/>
      <c r="D28" s="730"/>
      <c r="E28" s="730"/>
      <c r="F28" s="730"/>
      <c r="G28" s="731"/>
      <c r="H28" s="730"/>
      <c r="I28" s="730"/>
      <c r="J28" s="730"/>
      <c r="K28" s="730"/>
      <c r="L28" s="756"/>
      <c r="M28" s="755"/>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476</v>
      </c>
      <c r="W28" s="661"/>
      <c r="X28" s="757"/>
      <c r="Y28" s="661"/>
      <c r="Z28" s="661"/>
    </row>
    <row r="29" outlineLevel="1">
      <c r="A29" s="661"/>
      <c r="B29" s="729"/>
      <c r="C29" s="730"/>
      <c r="D29" s="730"/>
      <c r="E29" s="730"/>
      <c r="F29" s="697"/>
      <c r="G29" s="698"/>
      <c r="H29" s="697"/>
      <c r="I29" s="697"/>
      <c r="J29" s="697"/>
      <c r="K29" s="697"/>
      <c r="L29" s="756"/>
      <c r="M29" s="755"/>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483</v>
      </c>
      <c r="W29" s="661"/>
      <c r="X29" s="757"/>
      <c r="Y29" s="661"/>
      <c r="Z29" s="661"/>
    </row>
    <row r="30" outlineLevel="1">
      <c r="A30" s="661"/>
      <c r="B30" s="738"/>
      <c r="C30" s="697"/>
      <c r="D30" s="697"/>
      <c r="E30" s="697"/>
      <c r="F30" s="758" t="s">
        <v>517</v>
      </c>
      <c r="G30" s="759"/>
      <c r="H30" s="741"/>
      <c r="I30" s="741"/>
      <c r="J30" s="741"/>
      <c r="K30" s="741"/>
      <c r="L30" s="759"/>
      <c r="M30" s="759"/>
      <c r="N30" s="759"/>
      <c r="O30" s="759"/>
      <c r="P30" s="759"/>
      <c r="Q30" s="760"/>
      <c r="R30" s="661"/>
      <c r="S30" s="228" t="str">
        <f t="array" ref="S30">IFERROR(INDEX('💻シート作成'!$D$6:$D1001, MATCH(T30, '💻シート作成'!$E$6:$E1001, 0)), "")</f>
        <v>9月</v>
      </c>
      <c r="T30" s="172" t="str">
        <f>IFERROR(__xludf.DUMMYFUNCTION("""COMPUTED_VALUE"""),"③R8_9日報")</f>
        <v>③R8_9日報</v>
      </c>
      <c r="U30" s="664"/>
      <c r="V30" s="715" t="s">
        <v>165</v>
      </c>
      <c r="W30" s="661"/>
      <c r="X30" s="757"/>
      <c r="Y30" s="661"/>
      <c r="Z30" s="661"/>
    </row>
    <row r="31" outlineLevel="1">
      <c r="A31" s="661"/>
      <c r="B31" s="761"/>
      <c r="C31" s="762">
        <f>IF(C20="","",IF(DAY(C20+1)=1,"",C20+1))</f>
        <v>46115</v>
      </c>
      <c r="D31" s="763" t="str">
        <f>TEXT(C31,"ddd")</f>
        <v>金</v>
      </c>
      <c r="E31" s="764"/>
      <c r="F31" s="765" t="s">
        <v>518</v>
      </c>
      <c r="G31" s="766" t="s">
        <v>519</v>
      </c>
      <c r="H31" s="767"/>
      <c r="I31" s="768">
        <v>0.0</v>
      </c>
      <c r="J31" s="763"/>
      <c r="K31" s="763"/>
      <c r="L31" s="769"/>
      <c r="M31" s="769"/>
      <c r="N31" s="765"/>
      <c r="O31" s="770"/>
      <c r="P31" s="771"/>
      <c r="Q31" s="772"/>
      <c r="R31" s="661"/>
      <c r="S31" s="228" t="str">
        <f t="array" ref="S31">IFERROR(INDEX('💻シート作成'!$D$6:$D1001, MATCH(T31, '💻シート作成'!$E$6:$E1001, 0)), "")</f>
        <v>9月</v>
      </c>
      <c r="T31" s="172" t="str">
        <f>IFERROR(__xludf.DUMMYFUNCTION("""COMPUTED_VALUE"""),"④R8_9月報")</f>
        <v>④R8_9月報</v>
      </c>
      <c r="U31" s="664"/>
      <c r="V31" s="715" t="s">
        <v>159</v>
      </c>
      <c r="W31" s="661"/>
      <c r="X31" s="757"/>
      <c r="Y31" s="661"/>
      <c r="Z31" s="661"/>
    </row>
    <row r="32" outlineLevel="1">
      <c r="A32" s="661"/>
      <c r="B32" s="729"/>
      <c r="C32" s="730"/>
      <c r="D32" s="730"/>
      <c r="E32" s="730"/>
      <c r="F32" s="730"/>
      <c r="G32" s="731"/>
      <c r="H32" s="730"/>
      <c r="I32" s="730"/>
      <c r="J32" s="730"/>
      <c r="K32" s="730"/>
      <c r="L32" s="769"/>
      <c r="M32" s="769"/>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480</v>
      </c>
      <c r="W32" s="661"/>
      <c r="X32" s="757"/>
      <c r="Y32" s="661"/>
      <c r="Z32" s="661"/>
    </row>
    <row r="33" outlineLevel="1">
      <c r="A33" s="661"/>
      <c r="B33" s="729"/>
      <c r="C33" s="730"/>
      <c r="D33" s="730"/>
      <c r="E33" s="730"/>
      <c r="F33" s="730"/>
      <c r="G33" s="731"/>
      <c r="H33" s="730"/>
      <c r="I33" s="730"/>
      <c r="J33" s="730"/>
      <c r="K33" s="730"/>
      <c r="L33" s="769"/>
      <c r="M33" s="769"/>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125</v>
      </c>
      <c r="W33" s="661"/>
      <c r="X33" s="757"/>
      <c r="Y33" s="661"/>
      <c r="Z33" s="661"/>
    </row>
    <row r="34" outlineLevel="1">
      <c r="A34" s="661"/>
      <c r="B34" s="729"/>
      <c r="C34" s="730"/>
      <c r="D34" s="730"/>
      <c r="E34" s="730"/>
      <c r="F34" s="730"/>
      <c r="G34" s="731"/>
      <c r="H34" s="730"/>
      <c r="I34" s="730"/>
      <c r="J34" s="730"/>
      <c r="K34" s="730"/>
      <c r="L34" s="773"/>
      <c r="M34" s="769"/>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521</v>
      </c>
      <c r="W34" s="661"/>
      <c r="X34" s="757"/>
      <c r="Y34" s="661"/>
      <c r="Z34" s="661"/>
    </row>
    <row r="35" outlineLevel="1">
      <c r="A35" s="661"/>
      <c r="B35" s="729"/>
      <c r="C35" s="730"/>
      <c r="D35" s="730"/>
      <c r="E35" s="730"/>
      <c r="F35" s="730"/>
      <c r="G35" s="731"/>
      <c r="H35" s="730"/>
      <c r="I35" s="730"/>
      <c r="J35" s="730"/>
      <c r="K35" s="730"/>
      <c r="L35" s="773"/>
      <c r="M35" s="769"/>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481</v>
      </c>
      <c r="W35" s="661"/>
      <c r="X35" s="757"/>
      <c r="Y35" s="661"/>
      <c r="Z35" s="661"/>
    </row>
    <row r="36" outlineLevel="1">
      <c r="A36" s="661"/>
      <c r="B36" s="729"/>
      <c r="C36" s="730"/>
      <c r="D36" s="730"/>
      <c r="E36" s="730"/>
      <c r="F36" s="730"/>
      <c r="G36" s="731"/>
      <c r="H36" s="730"/>
      <c r="I36" s="730"/>
      <c r="J36" s="730"/>
      <c r="K36" s="730"/>
      <c r="L36" s="773"/>
      <c r="M36" s="769"/>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482</v>
      </c>
      <c r="W36" s="661"/>
      <c r="X36" s="757"/>
      <c r="Y36" s="661"/>
      <c r="Z36" s="661"/>
    </row>
    <row r="37" outlineLevel="1">
      <c r="A37" s="661"/>
      <c r="B37" s="729"/>
      <c r="C37" s="730"/>
      <c r="D37" s="730"/>
      <c r="E37" s="730"/>
      <c r="F37" s="730"/>
      <c r="G37" s="731"/>
      <c r="H37" s="730"/>
      <c r="I37" s="730"/>
      <c r="J37" s="730"/>
      <c r="K37" s="730"/>
      <c r="L37" s="773"/>
      <c r="M37" s="769"/>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74" t="s">
        <v>485</v>
      </c>
      <c r="W37" s="661"/>
      <c r="X37" s="757"/>
      <c r="Y37" s="661"/>
      <c r="Z37" s="661"/>
    </row>
    <row r="38" outlineLevel="1">
      <c r="A38" s="661"/>
      <c r="B38" s="729"/>
      <c r="C38" s="730"/>
      <c r="D38" s="730"/>
      <c r="E38" s="730"/>
      <c r="F38" s="730"/>
      <c r="G38" s="731"/>
      <c r="H38" s="730"/>
      <c r="I38" s="730"/>
      <c r="J38" s="730"/>
      <c r="K38" s="730"/>
      <c r="L38" s="773"/>
      <c r="M38" s="769"/>
      <c r="N38" s="730"/>
      <c r="O38" s="733"/>
      <c r="Q38" s="728"/>
      <c r="R38" s="661"/>
      <c r="S38" s="228" t="str">
        <f t="array" ref="S38">IFERROR(INDEX('💻シート作成'!$D$6:$D1001, MATCH(T38, '💻シート作成'!$E$6:$E1001, 0)), "")</f>
        <v>7月</v>
      </c>
      <c r="T38" s="172" t="str">
        <f>IFERROR(__xludf.DUMMYFUNCTION("""COMPUTED_VALUE"""),"③R8_7日報")</f>
        <v>③R8_7日報</v>
      </c>
      <c r="U38" s="664"/>
      <c r="V38" s="774"/>
      <c r="W38" s="661"/>
      <c r="X38" s="757"/>
      <c r="Y38" s="661"/>
      <c r="Z38" s="661"/>
    </row>
    <row r="39" outlineLevel="1">
      <c r="A39" s="661"/>
      <c r="B39" s="729"/>
      <c r="C39" s="730"/>
      <c r="D39" s="730"/>
      <c r="E39" s="730"/>
      <c r="F39" s="730"/>
      <c r="G39" s="731"/>
      <c r="H39" s="730"/>
      <c r="I39" s="730"/>
      <c r="J39" s="730"/>
      <c r="K39" s="730"/>
      <c r="L39" s="773"/>
      <c r="M39" s="769"/>
      <c r="N39" s="730"/>
      <c r="O39" s="733"/>
      <c r="Q39" s="728"/>
      <c r="R39" s="661"/>
      <c r="S39" s="228" t="str">
        <f t="array" ref="S39">IFERROR(INDEX('💻シート作成'!$D$6:$D1001, MATCH(T39, '💻シート作成'!$E$6:$E1001, 0)), "")</f>
        <v>7月</v>
      </c>
      <c r="T39" s="172" t="str">
        <f>IFERROR(__xludf.DUMMYFUNCTION("""COMPUTED_VALUE"""),"④R8_7月報")</f>
        <v>④R8_7月報</v>
      </c>
      <c r="U39" s="664"/>
      <c r="V39" s="774"/>
      <c r="W39" s="661"/>
      <c r="X39" s="757"/>
      <c r="Y39" s="661"/>
      <c r="Z39" s="661"/>
    </row>
    <row r="40" outlineLevel="1">
      <c r="A40" s="661"/>
      <c r="B40" s="729"/>
      <c r="C40" s="730"/>
      <c r="D40" s="730"/>
      <c r="E40" s="730"/>
      <c r="F40" s="697"/>
      <c r="G40" s="698"/>
      <c r="H40" s="697"/>
      <c r="I40" s="697"/>
      <c r="J40" s="697"/>
      <c r="K40" s="697"/>
      <c r="L40" s="773"/>
      <c r="M40" s="769"/>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4"/>
      <c r="W40" s="661"/>
      <c r="X40" s="757"/>
      <c r="Y40" s="661"/>
      <c r="Z40" s="661"/>
    </row>
    <row r="41" outlineLevel="1">
      <c r="A41" s="661"/>
      <c r="B41" s="738"/>
      <c r="C41" s="697"/>
      <c r="D41" s="697"/>
      <c r="E41" s="697"/>
      <c r="F41" s="739" t="s">
        <v>517</v>
      </c>
      <c r="G41" s="740"/>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4"/>
      <c r="W41" s="661"/>
      <c r="X41" s="757"/>
      <c r="Y41" s="661"/>
      <c r="Z41" s="661"/>
    </row>
    <row r="42" outlineLevel="1">
      <c r="A42" s="661"/>
      <c r="B42" s="743"/>
      <c r="C42" s="744">
        <f>IF(C31="","",IF(DAY(C31+1)=1,"",C31+1))</f>
        <v>46116</v>
      </c>
      <c r="D42" s="745" t="str">
        <f>TEXT(C42,"ddd")</f>
        <v>土</v>
      </c>
      <c r="E42" s="746"/>
      <c r="F42" s="775" t="s">
        <v>518</v>
      </c>
      <c r="G42" s="776" t="s">
        <v>519</v>
      </c>
      <c r="H42" s="777"/>
      <c r="I42" s="778">
        <v>0.0</v>
      </c>
      <c r="J42" s="745"/>
      <c r="K42" s="745"/>
      <c r="L42" s="755"/>
      <c r="M42" s="755"/>
      <c r="N42" s="775"/>
      <c r="O42" s="779"/>
      <c r="P42" s="771"/>
      <c r="Q42" s="772"/>
      <c r="R42" s="661"/>
      <c r="S42" s="228" t="str">
        <f t="array" ref="S42">IFERROR(INDEX('💻シート作成'!$D$6:$D1001, MATCH(T42, '💻シート作成'!$E$6:$E1001, 0)), "")</f>
        <v>6月</v>
      </c>
      <c r="T42" s="172" t="str">
        <f>IFERROR(__xludf.DUMMYFUNCTION("""COMPUTED_VALUE"""),"③R8_6日報")</f>
        <v>③R8_6日報</v>
      </c>
      <c r="U42" s="664"/>
      <c r="V42" s="774"/>
      <c r="W42" s="661"/>
      <c r="X42" s="757"/>
      <c r="Y42" s="661"/>
      <c r="Z42" s="661"/>
    </row>
    <row r="43" outlineLevel="1">
      <c r="A43" s="661"/>
      <c r="B43" s="729"/>
      <c r="C43" s="730"/>
      <c r="D43" s="730"/>
      <c r="E43" s="730"/>
      <c r="F43" s="730"/>
      <c r="G43" s="731"/>
      <c r="H43" s="730"/>
      <c r="I43" s="730"/>
      <c r="J43" s="730"/>
      <c r="K43" s="730"/>
      <c r="L43" s="755"/>
      <c r="M43" s="755"/>
      <c r="N43" s="730"/>
      <c r="O43" s="733"/>
      <c r="Q43" s="728"/>
      <c r="R43" s="661"/>
      <c r="S43" s="228" t="str">
        <f t="array" ref="S43">IFERROR(INDEX('💻シート作成'!$D$6:$D1001, MATCH(T43, '💻シート作成'!$E$6:$E1001, 0)), "")</f>
        <v>6月</v>
      </c>
      <c r="T43" s="172" t="str">
        <f>IFERROR(__xludf.DUMMYFUNCTION("""COMPUTED_VALUE"""),"④R8_6月報")</f>
        <v>④R8_6月報</v>
      </c>
      <c r="U43" s="664"/>
      <c r="V43" s="774"/>
      <c r="W43" s="661"/>
      <c r="X43" s="757"/>
      <c r="Y43" s="661"/>
      <c r="Z43" s="661"/>
    </row>
    <row r="44" outlineLevel="1">
      <c r="A44" s="661"/>
      <c r="B44" s="729"/>
      <c r="C44" s="730"/>
      <c r="D44" s="730"/>
      <c r="E44" s="730"/>
      <c r="F44" s="730"/>
      <c r="G44" s="731"/>
      <c r="H44" s="730"/>
      <c r="I44" s="730"/>
      <c r="J44" s="730"/>
      <c r="K44" s="730"/>
      <c r="L44" s="755"/>
      <c r="M44" s="755"/>
      <c r="N44" s="730"/>
      <c r="O44" s="733"/>
      <c r="Q44" s="728"/>
      <c r="R44" s="661"/>
      <c r="S44" s="228" t="str">
        <f t="array" ref="S44">IFERROR(INDEX('💻シート作成'!$D$6:$D1001, MATCH(T44, '💻シート作成'!$E$6:$E1001, 0)), "")</f>
        <v>5月</v>
      </c>
      <c r="T44" s="172" t="str">
        <f>IFERROR(__xludf.DUMMYFUNCTION("""COMPUTED_VALUE"""),"①R8_5集計")</f>
        <v>①R8_5集計</v>
      </c>
      <c r="U44" s="664"/>
      <c r="V44" s="774"/>
      <c r="W44" s="661"/>
      <c r="X44" s="757"/>
      <c r="Y44" s="661"/>
      <c r="Z44" s="661"/>
    </row>
    <row r="45" outlineLevel="1">
      <c r="A45" s="661"/>
      <c r="B45" s="729"/>
      <c r="C45" s="730"/>
      <c r="D45" s="730"/>
      <c r="E45" s="730"/>
      <c r="F45" s="730"/>
      <c r="G45" s="731"/>
      <c r="H45" s="730"/>
      <c r="I45" s="730"/>
      <c r="J45" s="730"/>
      <c r="K45" s="730"/>
      <c r="L45" s="756"/>
      <c r="M45" s="755"/>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4"/>
      <c r="W45" s="661"/>
      <c r="X45" s="757"/>
      <c r="Y45" s="661"/>
      <c r="Z45" s="661"/>
    </row>
    <row r="46" outlineLevel="1">
      <c r="A46" s="661"/>
      <c r="B46" s="729"/>
      <c r="C46" s="730"/>
      <c r="D46" s="730"/>
      <c r="E46" s="730"/>
      <c r="F46" s="730"/>
      <c r="G46" s="731"/>
      <c r="H46" s="730"/>
      <c r="I46" s="730"/>
      <c r="J46" s="730"/>
      <c r="K46" s="730"/>
      <c r="L46" s="756"/>
      <c r="M46" s="755"/>
      <c r="N46" s="730"/>
      <c r="O46" s="733"/>
      <c r="Q46" s="728"/>
      <c r="R46" s="661"/>
      <c r="S46" s="228" t="str">
        <f t="array" ref="S46">IFERROR(INDEX('💻シート作成'!$D$6:$D1001, MATCH(T46, '💻シート作成'!$E$6:$E1001, 0)), "")</f>
        <v>5月</v>
      </c>
      <c r="T46" s="172" t="str">
        <f>IFERROR(__xludf.DUMMYFUNCTION("""COMPUTED_VALUE"""),"③R8_5日報")</f>
        <v>③R8_5日報</v>
      </c>
      <c r="U46" s="664"/>
      <c r="V46" s="774"/>
      <c r="W46" s="661"/>
      <c r="X46" s="757"/>
      <c r="Y46" s="661"/>
      <c r="Z46" s="661"/>
    </row>
    <row r="47" outlineLevel="1">
      <c r="A47" s="661"/>
      <c r="B47" s="729"/>
      <c r="C47" s="730"/>
      <c r="D47" s="730"/>
      <c r="E47" s="730"/>
      <c r="F47" s="730"/>
      <c r="G47" s="731"/>
      <c r="H47" s="730"/>
      <c r="I47" s="730"/>
      <c r="J47" s="730"/>
      <c r="K47" s="730"/>
      <c r="L47" s="756"/>
      <c r="M47" s="755"/>
      <c r="N47" s="730"/>
      <c r="O47" s="733"/>
      <c r="Q47" s="728"/>
      <c r="R47" s="661"/>
      <c r="S47" s="228" t="str">
        <f t="array" ref="S47">IFERROR(INDEX('💻シート作成'!$D$6:$D1001, MATCH(T47, '💻シート作成'!$E$6:$E1001, 0)), "")</f>
        <v>5月</v>
      </c>
      <c r="T47" s="172" t="str">
        <f>IFERROR(__xludf.DUMMYFUNCTION("""COMPUTED_VALUE"""),"④R8_5月報")</f>
        <v>④R8_5月報</v>
      </c>
      <c r="U47" s="664"/>
      <c r="V47" s="774"/>
      <c r="W47" s="661"/>
      <c r="X47" s="757"/>
      <c r="Y47" s="661"/>
      <c r="Z47" s="661"/>
    </row>
    <row r="48" outlineLevel="1">
      <c r="A48" s="661"/>
      <c r="B48" s="729"/>
      <c r="C48" s="730"/>
      <c r="D48" s="730"/>
      <c r="E48" s="730"/>
      <c r="F48" s="730"/>
      <c r="G48" s="731"/>
      <c r="H48" s="730"/>
      <c r="I48" s="730"/>
      <c r="J48" s="730"/>
      <c r="K48" s="730"/>
      <c r="L48" s="756"/>
      <c r="M48" s="755"/>
      <c r="N48" s="730"/>
      <c r="O48" s="733"/>
      <c r="Q48" s="728"/>
      <c r="R48" s="661"/>
      <c r="S48" s="228" t="str">
        <f t="array" ref="S48">IFERROR(INDEX('💻シート作成'!$D$6:$D1001, MATCH(T48, '💻シート作成'!$E$6:$E1001, 0)), "")</f>
        <v>4月</v>
      </c>
      <c r="T48" s="171" t="str">
        <f>IFERROR(__xludf.DUMMYFUNCTION("""COMPUTED_VALUE"""),"①R8_4集計")</f>
        <v>①R8_4集計</v>
      </c>
      <c r="U48" s="664"/>
      <c r="V48" s="774"/>
      <c r="W48" s="661"/>
      <c r="X48" s="757"/>
      <c r="Y48" s="661"/>
      <c r="Z48" s="661"/>
    </row>
    <row r="49" outlineLevel="1">
      <c r="A49" s="661"/>
      <c r="B49" s="729"/>
      <c r="C49" s="730"/>
      <c r="D49" s="730"/>
      <c r="E49" s="730"/>
      <c r="F49" s="730"/>
      <c r="G49" s="731"/>
      <c r="H49" s="730"/>
      <c r="I49" s="730"/>
      <c r="J49" s="730"/>
      <c r="K49" s="730"/>
      <c r="L49" s="756"/>
      <c r="M49" s="755"/>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4"/>
      <c r="W49" s="661"/>
      <c r="X49" s="757"/>
      <c r="Y49" s="661"/>
      <c r="Z49" s="661"/>
    </row>
    <row r="50" outlineLevel="1">
      <c r="A50" s="661"/>
      <c r="B50" s="729"/>
      <c r="C50" s="730"/>
      <c r="D50" s="730"/>
      <c r="E50" s="730"/>
      <c r="F50" s="730"/>
      <c r="G50" s="731"/>
      <c r="H50" s="730"/>
      <c r="I50" s="730"/>
      <c r="J50" s="730"/>
      <c r="K50" s="730"/>
      <c r="L50" s="756"/>
      <c r="M50" s="755"/>
      <c r="N50" s="730"/>
      <c r="O50" s="733"/>
      <c r="Q50" s="728"/>
      <c r="R50" s="661"/>
      <c r="S50" s="228" t="str">
        <f t="array" ref="S50">IFERROR(INDEX('💻シート作成'!$D$6:$D1001, MATCH(T50, '💻シート作成'!$E$6:$E1001, 0)), "")</f>
        <v>4月</v>
      </c>
      <c r="T50" s="171" t="str">
        <f>IFERROR(__xludf.DUMMYFUNCTION("""COMPUTED_VALUE"""),"③R8_4日報")</f>
        <v>③R8_4日報</v>
      </c>
      <c r="U50" s="664"/>
      <c r="V50" s="774"/>
      <c r="W50" s="661"/>
      <c r="X50" s="757"/>
      <c r="Y50" s="661"/>
      <c r="Z50" s="661"/>
    </row>
    <row r="51" outlineLevel="1">
      <c r="A51" s="661"/>
      <c r="B51" s="729"/>
      <c r="C51" s="730"/>
      <c r="D51" s="730"/>
      <c r="E51" s="730"/>
      <c r="F51" s="697"/>
      <c r="G51" s="698"/>
      <c r="H51" s="697"/>
      <c r="I51" s="697"/>
      <c r="J51" s="697"/>
      <c r="K51" s="697"/>
      <c r="L51" s="756"/>
      <c r="M51" s="755"/>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4"/>
      <c r="W51" s="661"/>
      <c r="X51" s="757"/>
      <c r="Y51" s="661"/>
      <c r="Z51" s="661"/>
    </row>
    <row r="52" outlineLevel="1">
      <c r="A52" s="661"/>
      <c r="B52" s="738"/>
      <c r="C52" s="697"/>
      <c r="D52" s="697"/>
      <c r="E52" s="697"/>
      <c r="F52" s="758" t="s">
        <v>517</v>
      </c>
      <c r="G52" s="759"/>
      <c r="H52" s="741"/>
      <c r="I52" s="741"/>
      <c r="J52" s="741"/>
      <c r="K52" s="741"/>
      <c r="L52" s="759"/>
      <c r="M52" s="759"/>
      <c r="N52" s="759"/>
      <c r="O52" s="759"/>
      <c r="P52" s="759"/>
      <c r="Q52" s="760"/>
      <c r="R52" s="661"/>
      <c r="S52" s="228" t="str">
        <f t="array" ref="S52">IFERROR(INDEX('💻シート作成'!$D$6:$D1001, MATCH(T52, '💻シート作成'!$E$6:$E1001, 0)), "")</f>
        <v>3月</v>
      </c>
      <c r="T52" s="171" t="str">
        <f>IFERROR(__xludf.DUMMYFUNCTION("""COMPUTED_VALUE"""),"①R8_3集計")</f>
        <v>①R8_3集計</v>
      </c>
      <c r="U52" s="664"/>
      <c r="V52" s="774"/>
      <c r="W52" s="661"/>
      <c r="X52" s="757"/>
      <c r="Y52" s="661"/>
      <c r="Z52" s="661"/>
    </row>
    <row r="53" outlineLevel="1">
      <c r="A53" s="661"/>
      <c r="B53" s="761"/>
      <c r="C53" s="762">
        <f>IF(C42="","",IF(DAY(C42+1)=1,"",C42+1))</f>
        <v>46117</v>
      </c>
      <c r="D53" s="763" t="str">
        <f>TEXT(C53,"ddd")</f>
        <v>日</v>
      </c>
      <c r="E53" s="764"/>
      <c r="F53" s="765" t="s">
        <v>518</v>
      </c>
      <c r="G53" s="766" t="s">
        <v>519</v>
      </c>
      <c r="H53" s="767"/>
      <c r="I53" s="768">
        <v>0.0</v>
      </c>
      <c r="J53" s="763"/>
      <c r="K53" s="763"/>
      <c r="L53" s="769"/>
      <c r="M53" s="769"/>
      <c r="N53" s="765"/>
      <c r="O53" s="770"/>
      <c r="P53" s="771"/>
      <c r="Q53" s="772"/>
      <c r="R53" s="661"/>
      <c r="S53" s="228" t="str">
        <f t="array" ref="S53">IFERROR(INDEX('💻シート作成'!$D$6:$D1001, MATCH(T53, '💻シート作成'!$E$6:$E1001, 0)), "")</f>
        <v>3月</v>
      </c>
      <c r="T53" s="171" t="str">
        <f>IFERROR(__xludf.DUMMYFUNCTION("""COMPUTED_VALUE"""),"②R8_3シフト")</f>
        <v>②R8_3シフト</v>
      </c>
      <c r="U53" s="664"/>
      <c r="V53" s="774"/>
      <c r="W53" s="661"/>
      <c r="X53" s="757"/>
      <c r="Y53" s="661"/>
      <c r="Z53" s="661"/>
    </row>
    <row r="54" outlineLevel="1">
      <c r="A54" s="661"/>
      <c r="B54" s="729"/>
      <c r="C54" s="730"/>
      <c r="D54" s="730"/>
      <c r="E54" s="730"/>
      <c r="F54" s="730"/>
      <c r="G54" s="731"/>
      <c r="H54" s="730"/>
      <c r="I54" s="730"/>
      <c r="J54" s="730"/>
      <c r="K54" s="730"/>
      <c r="L54" s="769"/>
      <c r="M54" s="769"/>
      <c r="N54" s="730"/>
      <c r="O54" s="733"/>
      <c r="Q54" s="728"/>
      <c r="R54" s="661"/>
      <c r="S54" s="228" t="str">
        <f t="array" ref="S54">IFERROR(INDEX('💻シート作成'!$D$6:$D1001, MATCH(T54, '💻シート作成'!$E$6:$E1001, 0)), "")</f>
        <v>3月</v>
      </c>
      <c r="T54" s="171" t="str">
        <f>IFERROR(__xludf.DUMMYFUNCTION("""COMPUTED_VALUE"""),"③R8_3日報")</f>
        <v>③R8_3日報</v>
      </c>
      <c r="U54" s="664"/>
      <c r="V54" s="774"/>
      <c r="W54" s="661"/>
      <c r="X54" s="757"/>
      <c r="Y54" s="661"/>
      <c r="Z54" s="661"/>
    </row>
    <row r="55" outlineLevel="1">
      <c r="A55" s="661"/>
      <c r="B55" s="729"/>
      <c r="C55" s="730"/>
      <c r="D55" s="730"/>
      <c r="E55" s="730"/>
      <c r="F55" s="730"/>
      <c r="G55" s="731"/>
      <c r="H55" s="730"/>
      <c r="I55" s="730"/>
      <c r="J55" s="730"/>
      <c r="K55" s="730"/>
      <c r="L55" s="769"/>
      <c r="M55" s="769"/>
      <c r="N55" s="730"/>
      <c r="O55" s="733"/>
      <c r="Q55" s="728"/>
      <c r="R55" s="661"/>
      <c r="S55" s="228" t="str">
        <f t="array" ref="S55">IFERROR(INDEX('💻シート作成'!$D$6:$D1001, MATCH(T55, '💻シート作成'!$E$6:$E1001, 0)), "")</f>
        <v>3月</v>
      </c>
      <c r="T55" s="171" t="str">
        <f>IFERROR(__xludf.DUMMYFUNCTION("""COMPUTED_VALUE"""),"④R8_3月報")</f>
        <v>④R8_3月報</v>
      </c>
      <c r="U55" s="664"/>
      <c r="V55" s="774"/>
      <c r="W55" s="661"/>
      <c r="X55" s="757"/>
      <c r="Y55" s="661"/>
      <c r="Z55" s="661"/>
    </row>
    <row r="56" outlineLevel="1">
      <c r="A56" s="661"/>
      <c r="B56" s="729"/>
      <c r="C56" s="730"/>
      <c r="D56" s="730"/>
      <c r="E56" s="730"/>
      <c r="F56" s="730"/>
      <c r="G56" s="731"/>
      <c r="H56" s="730"/>
      <c r="I56" s="730"/>
      <c r="J56" s="730"/>
      <c r="K56" s="730"/>
      <c r="L56" s="773"/>
      <c r="M56" s="769"/>
      <c r="N56" s="730"/>
      <c r="O56" s="733"/>
      <c r="Q56" s="728"/>
      <c r="R56" s="661"/>
      <c r="S56" s="228" t="str">
        <f t="array" ref="S56">IFERROR(INDEX('💻シート作成'!$D$6:$D1001, MATCH(T56, '💻シート作成'!$E$6:$E1001, 0)), "")</f>
        <v>2月</v>
      </c>
      <c r="T56" s="171" t="str">
        <f>IFERROR(__xludf.DUMMYFUNCTION("""COMPUTED_VALUE"""),"①R8_2集計")</f>
        <v>①R8_2集計</v>
      </c>
      <c r="U56" s="664"/>
      <c r="V56" s="774"/>
      <c r="W56" s="661"/>
      <c r="X56" s="757"/>
      <c r="Y56" s="661"/>
      <c r="Z56" s="661"/>
    </row>
    <row r="57" outlineLevel="1">
      <c r="A57" s="661"/>
      <c r="B57" s="729"/>
      <c r="C57" s="730"/>
      <c r="D57" s="730"/>
      <c r="E57" s="730"/>
      <c r="F57" s="730"/>
      <c r="G57" s="731"/>
      <c r="H57" s="730"/>
      <c r="I57" s="730"/>
      <c r="J57" s="730"/>
      <c r="K57" s="730"/>
      <c r="L57" s="773"/>
      <c r="M57" s="769"/>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4"/>
      <c r="W57" s="661"/>
      <c r="X57" s="757"/>
      <c r="Y57" s="661"/>
      <c r="Z57" s="661"/>
    </row>
    <row r="58" outlineLevel="1">
      <c r="A58" s="661"/>
      <c r="B58" s="729"/>
      <c r="C58" s="730"/>
      <c r="D58" s="730"/>
      <c r="E58" s="730"/>
      <c r="F58" s="730"/>
      <c r="G58" s="731"/>
      <c r="H58" s="730"/>
      <c r="I58" s="730"/>
      <c r="J58" s="730"/>
      <c r="K58" s="730"/>
      <c r="L58" s="773"/>
      <c r="M58" s="769"/>
      <c r="N58" s="730"/>
      <c r="O58" s="733"/>
      <c r="Q58" s="728"/>
      <c r="R58" s="661"/>
      <c r="S58" s="228" t="str">
        <f t="array" ref="S58">IFERROR(INDEX('💻シート作成'!$D$6:$D1001, MATCH(T58, '💻シート作成'!$E$6:$E1001, 0)), "")</f>
        <v>2月</v>
      </c>
      <c r="T58" s="171" t="str">
        <f>IFERROR(__xludf.DUMMYFUNCTION("""COMPUTED_VALUE"""),"③R8_2日報")</f>
        <v>③R8_2日報</v>
      </c>
      <c r="U58" s="664"/>
      <c r="V58" s="774"/>
      <c r="W58" s="661"/>
      <c r="X58" s="757"/>
      <c r="Y58" s="661"/>
      <c r="Z58" s="661"/>
    </row>
    <row r="59" outlineLevel="1">
      <c r="A59" s="661"/>
      <c r="B59" s="729"/>
      <c r="C59" s="730"/>
      <c r="D59" s="730"/>
      <c r="E59" s="730"/>
      <c r="F59" s="730"/>
      <c r="G59" s="731"/>
      <c r="H59" s="730"/>
      <c r="I59" s="730"/>
      <c r="J59" s="730"/>
      <c r="K59" s="730"/>
      <c r="L59" s="773"/>
      <c r="M59" s="769"/>
      <c r="N59" s="730"/>
      <c r="O59" s="733"/>
      <c r="Q59" s="728"/>
      <c r="R59" s="661"/>
      <c r="S59" s="228" t="str">
        <f t="array" ref="S59">IFERROR(INDEX('💻シート作成'!$D$6:$D1001, MATCH(T59, '💻シート作成'!$E$6:$E1001, 0)), "")</f>
        <v>2月</v>
      </c>
      <c r="T59" s="171" t="str">
        <f>IFERROR(__xludf.DUMMYFUNCTION("""COMPUTED_VALUE"""),"④R8_2月報")</f>
        <v>④R8_2月報</v>
      </c>
      <c r="U59" s="664"/>
      <c r="V59" s="774"/>
      <c r="W59" s="661"/>
      <c r="X59" s="757"/>
      <c r="Y59" s="661"/>
      <c r="Z59" s="661"/>
    </row>
    <row r="60" outlineLevel="1">
      <c r="A60" s="661"/>
      <c r="B60" s="729"/>
      <c r="C60" s="730"/>
      <c r="D60" s="730"/>
      <c r="E60" s="730"/>
      <c r="F60" s="730"/>
      <c r="G60" s="731"/>
      <c r="H60" s="730"/>
      <c r="I60" s="730"/>
      <c r="J60" s="730"/>
      <c r="K60" s="730"/>
      <c r="L60" s="773"/>
      <c r="M60" s="769"/>
      <c r="N60" s="730"/>
      <c r="O60" s="733"/>
      <c r="Q60" s="728"/>
      <c r="R60" s="661"/>
      <c r="S60" s="228" t="str">
        <f t="array" ref="S60">IFERROR(INDEX('💻シート作成'!$D$6:$D1001, MATCH(T60, '💻シート作成'!$E$6:$E1001, 0)), "")</f>
        <v/>
      </c>
      <c r="T60" s="171" t="str">
        <f>IFERROR(__xludf.DUMMYFUNCTION("""COMPUTED_VALUE"""),"💻シート作成")</f>
        <v>💻シート作成</v>
      </c>
      <c r="U60" s="664"/>
      <c r="V60" s="774"/>
      <c r="W60" s="661"/>
      <c r="X60" s="757"/>
      <c r="Y60" s="661"/>
      <c r="Z60" s="661"/>
    </row>
    <row r="61" outlineLevel="1">
      <c r="A61" s="661"/>
      <c r="B61" s="729"/>
      <c r="C61" s="730"/>
      <c r="D61" s="730"/>
      <c r="E61" s="730"/>
      <c r="F61" s="730"/>
      <c r="G61" s="731"/>
      <c r="H61" s="730"/>
      <c r="I61" s="730"/>
      <c r="J61" s="730"/>
      <c r="K61" s="730"/>
      <c r="L61" s="773"/>
      <c r="M61" s="769"/>
      <c r="N61" s="730"/>
      <c r="O61" s="733"/>
      <c r="Q61" s="728"/>
      <c r="R61" s="661"/>
      <c r="S61" s="228" t="str">
        <f t="array" ref="S61">IFERROR(INDEX('💻シート作成'!$D$6:$D1001, MATCH(T61, '💻シート作成'!$E$6:$E1001, 0)), "")</f>
        <v/>
      </c>
      <c r="T61" s="171" t="str">
        <f>IFERROR(__xludf.DUMMYFUNCTION("""COMPUTED_VALUE"""),"🌟目標数値")</f>
        <v>🌟目標数値</v>
      </c>
      <c r="U61" s="664"/>
      <c r="V61" s="774"/>
      <c r="W61" s="661"/>
      <c r="X61" s="757"/>
      <c r="Y61" s="661"/>
      <c r="Z61" s="661"/>
    </row>
    <row r="62" outlineLevel="1">
      <c r="A62" s="661"/>
      <c r="B62" s="729"/>
      <c r="C62" s="730"/>
      <c r="D62" s="730"/>
      <c r="E62" s="730"/>
      <c r="F62" s="697"/>
      <c r="G62" s="698"/>
      <c r="H62" s="697"/>
      <c r="I62" s="697"/>
      <c r="J62" s="697"/>
      <c r="K62" s="697"/>
      <c r="L62" s="773"/>
      <c r="M62" s="769"/>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4"/>
      <c r="W62" s="661"/>
      <c r="X62" s="757"/>
      <c r="Y62" s="661"/>
      <c r="Z62" s="661"/>
    </row>
    <row r="63" outlineLevel="1">
      <c r="A63" s="661"/>
      <c r="B63" s="738"/>
      <c r="C63" s="697"/>
      <c r="D63" s="697"/>
      <c r="E63" s="697"/>
      <c r="F63" s="739" t="s">
        <v>517</v>
      </c>
      <c r="G63" s="740"/>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4"/>
      <c r="W63" s="661"/>
      <c r="X63" s="757"/>
      <c r="Y63" s="661"/>
      <c r="Z63" s="661"/>
    </row>
    <row r="64" collapsed="1">
      <c r="A64" s="661"/>
      <c r="B64" s="780" t="s">
        <v>522</v>
      </c>
      <c r="C64" s="781"/>
      <c r="D64" s="781"/>
      <c r="E64" s="781"/>
      <c r="F64" s="782"/>
      <c r="G64" s="783"/>
      <c r="H64" s="784"/>
      <c r="I64" s="784"/>
      <c r="J64" s="785"/>
      <c r="K64" s="785"/>
      <c r="L64" s="783"/>
      <c r="M64" s="783"/>
      <c r="N64" s="786"/>
      <c r="O64" s="787"/>
      <c r="P64" s="787"/>
      <c r="Q64" s="788"/>
      <c r="R64" s="661"/>
      <c r="S64" s="228" t="str">
        <f t="array" ref="S64">IFERROR(INDEX('💻シート作成'!$D$6:$D1001, MATCH(T64, '💻シート作成'!$E$6:$E1001, 0)), "")</f>
        <v/>
      </c>
      <c r="T64" s="171" t="str">
        <f>IFERROR(__xludf.DUMMYFUNCTION("""COMPUTED_VALUE"""),"①集計_原本")</f>
        <v>①集計_原本</v>
      </c>
      <c r="U64" s="664"/>
      <c r="V64" s="774"/>
      <c r="W64" s="661"/>
      <c r="X64" s="757"/>
      <c r="Y64" s="661"/>
      <c r="Z64" s="661"/>
    </row>
    <row r="65" hidden="1" outlineLevel="1">
      <c r="A65" s="661"/>
      <c r="B65" s="743"/>
      <c r="C65" s="744">
        <f>IF(C53="","",IF(DAY(C53+1)=1,"",C53+1))</f>
        <v>46118</v>
      </c>
      <c r="D65" s="745" t="str">
        <f>TEXT(C65,"ddd")</f>
        <v>月</v>
      </c>
      <c r="E65" s="746"/>
      <c r="F65" s="775" t="s">
        <v>518</v>
      </c>
      <c r="G65" s="776" t="s">
        <v>519</v>
      </c>
      <c r="H65" s="777"/>
      <c r="I65" s="778">
        <v>0.0</v>
      </c>
      <c r="J65" s="745"/>
      <c r="K65" s="745"/>
      <c r="L65" s="755"/>
      <c r="M65" s="755"/>
      <c r="N65" s="775"/>
      <c r="O65" s="779"/>
      <c r="P65" s="771"/>
      <c r="Q65" s="772"/>
      <c r="R65" s="661"/>
      <c r="S65" s="228" t="str">
        <f t="array" ref="S65">IFERROR(INDEX('💻シート作成'!$D$6:$D1001, MATCH(T65, '💻シート作成'!$E$6:$E1001, 0)), "")</f>
        <v/>
      </c>
      <c r="T65" s="171" t="str">
        <f>IFERROR(__xludf.DUMMYFUNCTION("""COMPUTED_VALUE"""),"②シフト_原本")</f>
        <v>②シフト_原本</v>
      </c>
      <c r="U65" s="664"/>
      <c r="V65" s="774"/>
      <c r="W65" s="661"/>
      <c r="X65" s="757"/>
      <c r="Y65" s="661"/>
      <c r="Z65" s="661"/>
    </row>
    <row r="66" hidden="1" outlineLevel="1">
      <c r="A66" s="661"/>
      <c r="B66" s="729"/>
      <c r="C66" s="730"/>
      <c r="D66" s="730"/>
      <c r="E66" s="730"/>
      <c r="F66" s="730"/>
      <c r="G66" s="731"/>
      <c r="H66" s="730"/>
      <c r="I66" s="730"/>
      <c r="J66" s="730"/>
      <c r="K66" s="730"/>
      <c r="L66" s="755"/>
      <c r="M66" s="755"/>
      <c r="N66" s="730"/>
      <c r="O66" s="733"/>
      <c r="Q66" s="728"/>
      <c r="R66" s="661"/>
      <c r="S66" s="228" t="str">
        <f t="array" ref="S66">IFERROR(INDEX('💻シート作成'!$D$6:$D1001, MATCH(T66, '💻シート作成'!$E$6:$E1001, 0)), "")</f>
        <v/>
      </c>
      <c r="T66" s="171" t="str">
        <f>IFERROR(__xludf.DUMMYFUNCTION("""COMPUTED_VALUE"""),"③日報_原本")</f>
        <v>③日報_原本</v>
      </c>
      <c r="U66" s="664"/>
      <c r="V66" s="774"/>
      <c r="W66" s="661"/>
      <c r="X66" s="757"/>
      <c r="Y66" s="661"/>
      <c r="Z66" s="661"/>
    </row>
    <row r="67" hidden="1" outlineLevel="1">
      <c r="A67" s="661"/>
      <c r="B67" s="729"/>
      <c r="C67" s="730"/>
      <c r="D67" s="730"/>
      <c r="E67" s="730"/>
      <c r="F67" s="730"/>
      <c r="G67" s="731"/>
      <c r="H67" s="730"/>
      <c r="I67" s="730"/>
      <c r="J67" s="730"/>
      <c r="K67" s="730"/>
      <c r="L67" s="755"/>
      <c r="M67" s="755"/>
      <c r="N67" s="730"/>
      <c r="O67" s="733"/>
      <c r="Q67" s="728"/>
      <c r="R67" s="661"/>
      <c r="S67" s="228" t="str">
        <f t="array" ref="S67">IFERROR(INDEX('💻シート作成'!$D$6:$D1001, MATCH(T67, '💻シート作成'!$E$6:$E1001, 0)), "")</f>
        <v/>
      </c>
      <c r="T67" s="171" t="str">
        <f>IFERROR(__xludf.DUMMYFUNCTION("""COMPUTED_VALUE"""),"④月報_原本")</f>
        <v>④月報_原本</v>
      </c>
      <c r="U67" s="664"/>
      <c r="V67" s="774"/>
      <c r="W67" s="661"/>
      <c r="X67" s="757"/>
      <c r="Y67" s="661"/>
      <c r="Z67" s="661"/>
    </row>
    <row r="68" hidden="1" outlineLevel="1">
      <c r="A68" s="661"/>
      <c r="B68" s="729"/>
      <c r="C68" s="730"/>
      <c r="D68" s="730"/>
      <c r="E68" s="730"/>
      <c r="F68" s="730"/>
      <c r="G68" s="731"/>
      <c r="H68" s="730"/>
      <c r="I68" s="730"/>
      <c r="J68" s="730"/>
      <c r="K68" s="730"/>
      <c r="L68" s="756"/>
      <c r="M68" s="755"/>
      <c r="N68" s="730"/>
      <c r="O68" s="733"/>
      <c r="Q68" s="728"/>
      <c r="R68" s="661"/>
      <c r="S68" s="228" t="str">
        <f t="array" ref="S68">IFERROR(INDEX('💻シート作成'!$D$6:$D1001, MATCH(T68, '💻シート作成'!$E$6:$E1001, 0)), "")</f>
        <v/>
      </c>
      <c r="T68" s="172"/>
      <c r="U68" s="664"/>
      <c r="V68" s="774"/>
      <c r="W68" s="661"/>
      <c r="X68" s="757"/>
      <c r="Y68" s="661"/>
      <c r="Z68" s="661"/>
    </row>
    <row r="69" hidden="1" outlineLevel="1">
      <c r="A69" s="661"/>
      <c r="B69" s="729"/>
      <c r="C69" s="730"/>
      <c r="D69" s="730"/>
      <c r="E69" s="730"/>
      <c r="F69" s="730"/>
      <c r="G69" s="731"/>
      <c r="H69" s="730"/>
      <c r="I69" s="730"/>
      <c r="J69" s="730"/>
      <c r="K69" s="730"/>
      <c r="L69" s="756"/>
      <c r="M69" s="755"/>
      <c r="N69" s="730"/>
      <c r="O69" s="733"/>
      <c r="Q69" s="728"/>
      <c r="R69" s="661"/>
      <c r="S69" s="228" t="str">
        <f t="array" ref="S69">IFERROR(INDEX('💻シート作成'!$D$6:$D1001, MATCH(T69, '💻シート作成'!$E$6:$E1001, 0)), "")</f>
        <v/>
      </c>
      <c r="T69" s="172"/>
      <c r="U69" s="664"/>
      <c r="V69" s="774"/>
      <c r="W69" s="661"/>
      <c r="X69" s="757"/>
      <c r="Y69" s="661"/>
      <c r="Z69" s="661"/>
    </row>
    <row r="70" hidden="1" outlineLevel="1">
      <c r="A70" s="661"/>
      <c r="B70" s="729"/>
      <c r="C70" s="730"/>
      <c r="D70" s="730"/>
      <c r="E70" s="730"/>
      <c r="F70" s="730"/>
      <c r="G70" s="731"/>
      <c r="H70" s="730"/>
      <c r="I70" s="730"/>
      <c r="J70" s="730"/>
      <c r="K70" s="730"/>
      <c r="L70" s="756"/>
      <c r="M70" s="755"/>
      <c r="N70" s="730"/>
      <c r="O70" s="733"/>
      <c r="Q70" s="728"/>
      <c r="R70" s="661"/>
      <c r="S70" s="228" t="str">
        <f t="array" ref="S70">IFERROR(INDEX('💻シート作成'!$D$6:$D1001, MATCH(T70, '💻シート作成'!$E$6:$E1001, 0)), "")</f>
        <v/>
      </c>
      <c r="T70" s="172"/>
      <c r="U70" s="664"/>
      <c r="V70" s="774"/>
      <c r="W70" s="661"/>
      <c r="X70" s="757"/>
      <c r="Y70" s="661"/>
      <c r="Z70" s="661"/>
    </row>
    <row r="71" hidden="1" outlineLevel="1">
      <c r="A71" s="661"/>
      <c r="B71" s="729"/>
      <c r="C71" s="730"/>
      <c r="D71" s="730"/>
      <c r="E71" s="730"/>
      <c r="F71" s="730"/>
      <c r="G71" s="731"/>
      <c r="H71" s="730"/>
      <c r="I71" s="730"/>
      <c r="J71" s="730"/>
      <c r="K71" s="730"/>
      <c r="L71" s="756"/>
      <c r="M71" s="755"/>
      <c r="N71" s="730"/>
      <c r="O71" s="733"/>
      <c r="Q71" s="728"/>
      <c r="R71" s="661"/>
      <c r="S71" s="228" t="str">
        <f t="array" ref="S71">IFERROR(INDEX('💻シート作成'!$D$6:$D1001, MATCH(T71, '💻シート作成'!$E$6:$E1001, 0)), "")</f>
        <v/>
      </c>
      <c r="T71" s="172"/>
      <c r="U71" s="664"/>
      <c r="V71" s="774"/>
      <c r="W71" s="661"/>
      <c r="X71" s="757"/>
      <c r="Y71" s="661"/>
      <c r="Z71" s="661"/>
    </row>
    <row r="72" hidden="1" outlineLevel="1">
      <c r="A72" s="661"/>
      <c r="B72" s="729"/>
      <c r="C72" s="730"/>
      <c r="D72" s="730"/>
      <c r="E72" s="730"/>
      <c r="F72" s="730"/>
      <c r="G72" s="731"/>
      <c r="H72" s="730"/>
      <c r="I72" s="730"/>
      <c r="J72" s="730"/>
      <c r="K72" s="730"/>
      <c r="L72" s="756"/>
      <c r="M72" s="755"/>
      <c r="N72" s="730"/>
      <c r="O72" s="733"/>
      <c r="Q72" s="728"/>
      <c r="R72" s="661"/>
      <c r="S72" s="228" t="str">
        <f t="array" ref="S72">IFERROR(INDEX('💻シート作成'!$D$6:$D1001, MATCH(T72, '💻シート作成'!$E$6:$E1001, 0)), "")</f>
        <v/>
      </c>
      <c r="T72" s="172"/>
      <c r="U72" s="664"/>
      <c r="V72" s="774"/>
      <c r="W72" s="661"/>
      <c r="X72" s="757"/>
      <c r="Y72" s="661"/>
      <c r="Z72" s="661"/>
    </row>
    <row r="73" hidden="1" outlineLevel="1">
      <c r="A73" s="661"/>
      <c r="B73" s="729"/>
      <c r="C73" s="730"/>
      <c r="D73" s="730"/>
      <c r="E73" s="730"/>
      <c r="F73" s="730"/>
      <c r="G73" s="731"/>
      <c r="H73" s="730"/>
      <c r="I73" s="730"/>
      <c r="J73" s="730"/>
      <c r="K73" s="730"/>
      <c r="L73" s="756"/>
      <c r="M73" s="755"/>
      <c r="N73" s="730"/>
      <c r="O73" s="733"/>
      <c r="Q73" s="728"/>
      <c r="R73" s="661"/>
      <c r="S73" s="228" t="str">
        <f t="array" ref="S73">IFERROR(INDEX('💻シート作成'!$D$6:$D1001, MATCH(T73, '💻シート作成'!$E$6:$E1001, 0)), "")</f>
        <v/>
      </c>
      <c r="T73" s="172"/>
      <c r="U73" s="664"/>
      <c r="V73" s="774"/>
      <c r="W73" s="661"/>
      <c r="X73" s="757"/>
      <c r="Y73" s="661"/>
      <c r="Z73" s="661"/>
    </row>
    <row r="74" hidden="1" outlineLevel="1">
      <c r="A74" s="661"/>
      <c r="B74" s="729"/>
      <c r="C74" s="730"/>
      <c r="D74" s="730"/>
      <c r="E74" s="730"/>
      <c r="F74" s="697"/>
      <c r="G74" s="698"/>
      <c r="H74" s="697"/>
      <c r="I74" s="697"/>
      <c r="J74" s="697"/>
      <c r="K74" s="697"/>
      <c r="L74" s="756"/>
      <c r="M74" s="755"/>
      <c r="N74" s="697"/>
      <c r="O74" s="700"/>
      <c r="P74" s="701"/>
      <c r="Q74" s="737"/>
      <c r="R74" s="661"/>
      <c r="S74" s="228" t="str">
        <f t="array" ref="S74">IFERROR(INDEX('💻シート作成'!$D$6:$D1001, MATCH(T74, '💻シート作成'!$E$6:$E1001, 0)), "")</f>
        <v/>
      </c>
      <c r="T74" s="172"/>
      <c r="U74" s="664"/>
      <c r="V74" s="774"/>
      <c r="W74" s="661"/>
      <c r="X74" s="757"/>
      <c r="Y74" s="661"/>
      <c r="Z74" s="661"/>
    </row>
    <row r="75" hidden="1" outlineLevel="1">
      <c r="A75" s="661"/>
      <c r="B75" s="738"/>
      <c r="C75" s="697"/>
      <c r="D75" s="697"/>
      <c r="E75" s="697"/>
      <c r="F75" s="758" t="s">
        <v>517</v>
      </c>
      <c r="G75" s="759"/>
      <c r="H75" s="741"/>
      <c r="I75" s="741"/>
      <c r="J75" s="741"/>
      <c r="K75" s="741"/>
      <c r="L75" s="759"/>
      <c r="M75" s="759"/>
      <c r="N75" s="759"/>
      <c r="O75" s="759"/>
      <c r="P75" s="759"/>
      <c r="Q75" s="760"/>
      <c r="R75" s="661"/>
      <c r="S75" s="228" t="str">
        <f t="array" ref="S75">IFERROR(INDEX('💻シート作成'!$D$6:$D1001, MATCH(T75, '💻シート作成'!$E$6:$E1001, 0)), "")</f>
        <v/>
      </c>
      <c r="T75" s="172"/>
      <c r="U75" s="664"/>
      <c r="V75" s="774"/>
      <c r="W75" s="661"/>
      <c r="X75" s="757"/>
      <c r="Y75" s="661"/>
      <c r="Z75" s="661"/>
    </row>
    <row r="76" hidden="1" outlineLevel="1">
      <c r="A76" s="661"/>
      <c r="B76" s="761"/>
      <c r="C76" s="762">
        <f>IF(C65="","",IF(DAY(C65+1)=1,"",C65+1))</f>
        <v>46119</v>
      </c>
      <c r="D76" s="763" t="str">
        <f>TEXT(C76,"ddd")</f>
        <v>火</v>
      </c>
      <c r="E76" s="764"/>
      <c r="F76" s="765" t="s">
        <v>518</v>
      </c>
      <c r="G76" s="766" t="s">
        <v>519</v>
      </c>
      <c r="H76" s="767"/>
      <c r="I76" s="768">
        <v>0.0</v>
      </c>
      <c r="J76" s="763"/>
      <c r="K76" s="763"/>
      <c r="L76" s="769"/>
      <c r="M76" s="769"/>
      <c r="N76" s="765"/>
      <c r="O76" s="770"/>
      <c r="P76" s="771"/>
      <c r="Q76" s="772"/>
      <c r="R76" s="661"/>
      <c r="S76" s="228" t="str">
        <f t="array" ref="S76">IFERROR(INDEX('💻シート作成'!$D$6:$D1001, MATCH(T76, '💻シート作成'!$E$6:$E1001, 0)), "")</f>
        <v/>
      </c>
      <c r="T76" s="172"/>
      <c r="U76" s="664"/>
      <c r="V76" s="774"/>
      <c r="W76" s="661"/>
      <c r="X76" s="757"/>
      <c r="Y76" s="661"/>
      <c r="Z76" s="661"/>
    </row>
    <row r="77" hidden="1" outlineLevel="1">
      <c r="A77" s="661"/>
      <c r="B77" s="729"/>
      <c r="C77" s="730"/>
      <c r="D77" s="730"/>
      <c r="E77" s="730"/>
      <c r="F77" s="730"/>
      <c r="G77" s="731"/>
      <c r="H77" s="730"/>
      <c r="I77" s="730"/>
      <c r="J77" s="730"/>
      <c r="K77" s="730"/>
      <c r="L77" s="769"/>
      <c r="M77" s="769"/>
      <c r="N77" s="730"/>
      <c r="O77" s="733"/>
      <c r="Q77" s="728"/>
      <c r="R77" s="661"/>
      <c r="S77" s="228" t="str">
        <f t="array" ref="S77">IFERROR(INDEX('💻シート作成'!$D$6:$D1001, MATCH(T77, '💻シート作成'!$E$6:$E1001, 0)), "")</f>
        <v/>
      </c>
      <c r="T77" s="172"/>
      <c r="U77" s="664"/>
      <c r="V77" s="774"/>
      <c r="W77" s="661"/>
      <c r="X77" s="757"/>
      <c r="Y77" s="661"/>
      <c r="Z77" s="661"/>
    </row>
    <row r="78" hidden="1" outlineLevel="1">
      <c r="A78" s="661"/>
      <c r="B78" s="729"/>
      <c r="C78" s="730"/>
      <c r="D78" s="730"/>
      <c r="E78" s="730"/>
      <c r="F78" s="730"/>
      <c r="G78" s="731"/>
      <c r="H78" s="730"/>
      <c r="I78" s="730"/>
      <c r="J78" s="730"/>
      <c r="K78" s="730"/>
      <c r="L78" s="769"/>
      <c r="M78" s="769"/>
      <c r="N78" s="730"/>
      <c r="O78" s="733"/>
      <c r="Q78" s="728"/>
      <c r="R78" s="661"/>
      <c r="S78" s="228" t="str">
        <f t="array" ref="S78">IFERROR(INDEX('💻シート作成'!$D$6:$D1001, MATCH(T78, '💻シート作成'!$E$6:$E1001, 0)), "")</f>
        <v/>
      </c>
      <c r="T78" s="172"/>
      <c r="U78" s="664"/>
      <c r="V78" s="774"/>
      <c r="W78" s="661"/>
      <c r="X78" s="757"/>
      <c r="Y78" s="661"/>
      <c r="Z78" s="661"/>
    </row>
    <row r="79" hidden="1" outlineLevel="1">
      <c r="A79" s="661"/>
      <c r="B79" s="729"/>
      <c r="C79" s="730"/>
      <c r="D79" s="730"/>
      <c r="E79" s="730"/>
      <c r="F79" s="730"/>
      <c r="G79" s="731"/>
      <c r="H79" s="730"/>
      <c r="I79" s="730"/>
      <c r="J79" s="730"/>
      <c r="K79" s="730"/>
      <c r="L79" s="773"/>
      <c r="M79" s="769"/>
      <c r="N79" s="730"/>
      <c r="O79" s="733"/>
      <c r="Q79" s="728"/>
      <c r="R79" s="661"/>
      <c r="S79" s="228" t="str">
        <f t="array" ref="S79">IFERROR(INDEX('💻シート作成'!$D$6:$D1001, MATCH(T79, '💻シート作成'!$E$6:$E1001, 0)), "")</f>
        <v/>
      </c>
      <c r="T79" s="172"/>
      <c r="U79" s="664"/>
      <c r="V79" s="774"/>
      <c r="W79" s="661"/>
      <c r="X79" s="757"/>
      <c r="Y79" s="661"/>
      <c r="Z79" s="661"/>
    </row>
    <row r="80" hidden="1" outlineLevel="1">
      <c r="A80" s="661"/>
      <c r="B80" s="729"/>
      <c r="C80" s="730"/>
      <c r="D80" s="730"/>
      <c r="E80" s="730"/>
      <c r="F80" s="730"/>
      <c r="G80" s="731"/>
      <c r="H80" s="730"/>
      <c r="I80" s="730"/>
      <c r="J80" s="730"/>
      <c r="K80" s="730"/>
      <c r="L80" s="773"/>
      <c r="M80" s="769"/>
      <c r="N80" s="730"/>
      <c r="O80" s="733"/>
      <c r="Q80" s="728"/>
      <c r="R80" s="661"/>
      <c r="S80" s="228" t="str">
        <f t="array" ref="S80">IFERROR(INDEX('💻シート作成'!$D$6:$D1001, MATCH(T80, '💻シート作成'!$E$6:$E1001, 0)), "")</f>
        <v/>
      </c>
      <c r="T80" s="172"/>
      <c r="U80" s="664"/>
      <c r="V80" s="774"/>
      <c r="W80" s="661"/>
      <c r="X80" s="757"/>
      <c r="Y80" s="661"/>
      <c r="Z80" s="661"/>
    </row>
    <row r="81" hidden="1" outlineLevel="1">
      <c r="A81" s="661"/>
      <c r="B81" s="729"/>
      <c r="C81" s="730"/>
      <c r="D81" s="730"/>
      <c r="E81" s="730"/>
      <c r="F81" s="730"/>
      <c r="G81" s="731"/>
      <c r="H81" s="730"/>
      <c r="I81" s="730"/>
      <c r="J81" s="730"/>
      <c r="K81" s="730"/>
      <c r="L81" s="773"/>
      <c r="M81" s="769"/>
      <c r="N81" s="730"/>
      <c r="O81" s="733"/>
      <c r="Q81" s="728"/>
      <c r="R81" s="661"/>
      <c r="S81" s="228" t="str">
        <f t="array" ref="S81">IFERROR(INDEX('💻シート作成'!$D$6:$D1001, MATCH(T81, '💻シート作成'!$E$6:$E1001, 0)), "")</f>
        <v/>
      </c>
      <c r="T81" s="172"/>
      <c r="U81" s="664"/>
      <c r="V81" s="774"/>
      <c r="W81" s="661"/>
      <c r="X81" s="757"/>
      <c r="Y81" s="661"/>
      <c r="Z81" s="661"/>
    </row>
    <row r="82" hidden="1" outlineLevel="1">
      <c r="A82" s="661"/>
      <c r="B82" s="729"/>
      <c r="C82" s="730"/>
      <c r="D82" s="730"/>
      <c r="E82" s="730"/>
      <c r="F82" s="730"/>
      <c r="G82" s="731"/>
      <c r="H82" s="730"/>
      <c r="I82" s="730"/>
      <c r="J82" s="730"/>
      <c r="K82" s="730"/>
      <c r="L82" s="773"/>
      <c r="M82" s="769"/>
      <c r="N82" s="730"/>
      <c r="O82" s="733"/>
      <c r="Q82" s="728"/>
      <c r="R82" s="661"/>
      <c r="S82" s="228" t="str">
        <f t="array" ref="S82">IFERROR(INDEX('💻シート作成'!$D$6:$D1001, MATCH(T82, '💻シート作成'!$E$6:$E1001, 0)), "")</f>
        <v/>
      </c>
      <c r="T82" s="172"/>
      <c r="U82" s="664"/>
      <c r="V82" s="774"/>
      <c r="W82" s="661"/>
      <c r="X82" s="757"/>
      <c r="Y82" s="661"/>
      <c r="Z82" s="661"/>
    </row>
    <row r="83" hidden="1" outlineLevel="1">
      <c r="A83" s="661"/>
      <c r="B83" s="729"/>
      <c r="C83" s="730"/>
      <c r="D83" s="730"/>
      <c r="E83" s="730"/>
      <c r="F83" s="730"/>
      <c r="G83" s="731"/>
      <c r="H83" s="730"/>
      <c r="I83" s="730"/>
      <c r="J83" s="730"/>
      <c r="K83" s="730"/>
      <c r="L83" s="773"/>
      <c r="M83" s="769"/>
      <c r="N83" s="730"/>
      <c r="O83" s="733"/>
      <c r="Q83" s="728"/>
      <c r="R83" s="661"/>
      <c r="S83" s="228" t="str">
        <f t="array" ref="S83">IFERROR(INDEX('💻シート作成'!$D$6:$D1001, MATCH(T83, '💻シート作成'!$E$6:$E1001, 0)), "")</f>
        <v/>
      </c>
      <c r="T83" s="172"/>
      <c r="U83" s="664"/>
      <c r="V83" s="774"/>
      <c r="W83" s="661"/>
      <c r="X83" s="757"/>
      <c r="Y83" s="661"/>
      <c r="Z83" s="661"/>
    </row>
    <row r="84" hidden="1" outlineLevel="1">
      <c r="A84" s="661"/>
      <c r="B84" s="729"/>
      <c r="C84" s="730"/>
      <c r="D84" s="730"/>
      <c r="E84" s="730"/>
      <c r="F84" s="730"/>
      <c r="G84" s="731"/>
      <c r="H84" s="730"/>
      <c r="I84" s="730"/>
      <c r="J84" s="730"/>
      <c r="K84" s="730"/>
      <c r="L84" s="773"/>
      <c r="M84" s="769"/>
      <c r="N84" s="730"/>
      <c r="O84" s="733"/>
      <c r="Q84" s="728"/>
      <c r="R84" s="661"/>
      <c r="S84" s="228" t="str">
        <f t="array" ref="S84">IFERROR(INDEX('💻シート作成'!$D$6:$D1001, MATCH(T84, '💻シート作成'!$E$6:$E1001, 0)), "")</f>
        <v/>
      </c>
      <c r="T84" s="172"/>
      <c r="U84" s="664"/>
      <c r="V84" s="774"/>
      <c r="W84" s="661"/>
      <c r="X84" s="757"/>
      <c r="Y84" s="661"/>
      <c r="Z84" s="661"/>
    </row>
    <row r="85" hidden="1" outlineLevel="1">
      <c r="A85" s="661"/>
      <c r="B85" s="729"/>
      <c r="C85" s="730"/>
      <c r="D85" s="730"/>
      <c r="E85" s="730"/>
      <c r="F85" s="697"/>
      <c r="G85" s="698"/>
      <c r="H85" s="697"/>
      <c r="I85" s="697"/>
      <c r="J85" s="697"/>
      <c r="K85" s="697"/>
      <c r="L85" s="773"/>
      <c r="M85" s="769"/>
      <c r="N85" s="697"/>
      <c r="O85" s="700"/>
      <c r="P85" s="701"/>
      <c r="Q85" s="737"/>
      <c r="R85" s="661"/>
      <c r="S85" s="228" t="str">
        <f t="array" ref="S85">IFERROR(INDEX('💻シート作成'!$D$6:$D1001, MATCH(T85, '💻シート作成'!$E$6:$E1001, 0)), "")</f>
        <v/>
      </c>
      <c r="T85" s="172"/>
      <c r="U85" s="664"/>
      <c r="V85" s="774"/>
      <c r="W85" s="661"/>
      <c r="X85" s="757"/>
      <c r="Y85" s="661"/>
      <c r="Z85" s="661"/>
    </row>
    <row r="86" hidden="1" outlineLevel="1">
      <c r="A86" s="661"/>
      <c r="B86" s="738"/>
      <c r="C86" s="697"/>
      <c r="D86" s="697"/>
      <c r="E86" s="697"/>
      <c r="F86" s="739" t="s">
        <v>517</v>
      </c>
      <c r="G86" s="740"/>
      <c r="H86" s="741"/>
      <c r="I86" s="741"/>
      <c r="J86" s="741"/>
      <c r="K86" s="741"/>
      <c r="L86" s="740"/>
      <c r="M86" s="740"/>
      <c r="N86" s="740"/>
      <c r="O86" s="740"/>
      <c r="P86" s="740"/>
      <c r="Q86" s="742"/>
      <c r="R86" s="661"/>
      <c r="S86" s="228" t="str">
        <f t="array" ref="S86">IFERROR(INDEX('💻シート作成'!$D$6:$D1001, MATCH(T86, '💻シート作成'!$E$6:$E1001, 0)), "")</f>
        <v/>
      </c>
      <c r="T86" s="172"/>
      <c r="U86" s="664"/>
      <c r="V86" s="774"/>
      <c r="W86" s="661"/>
      <c r="X86" s="757"/>
      <c r="Y86" s="661"/>
      <c r="Z86" s="661"/>
    </row>
    <row r="87" hidden="1" outlineLevel="1">
      <c r="A87" s="661"/>
      <c r="B87" s="743"/>
      <c r="C87" s="744">
        <f>IF(C76="","",IF(DAY(C76+1)=1,"",C76+1))</f>
        <v>46120</v>
      </c>
      <c r="D87" s="745" t="str">
        <f>TEXT(C87,"ddd")</f>
        <v>水</v>
      </c>
      <c r="E87" s="746"/>
      <c r="F87" s="775" t="s">
        <v>518</v>
      </c>
      <c r="G87" s="776" t="s">
        <v>519</v>
      </c>
      <c r="H87" s="777"/>
      <c r="I87" s="778">
        <v>0.0</v>
      </c>
      <c r="J87" s="745"/>
      <c r="K87" s="745"/>
      <c r="L87" s="755"/>
      <c r="M87" s="755"/>
      <c r="N87" s="775"/>
      <c r="O87" s="779"/>
      <c r="P87" s="771"/>
      <c r="Q87" s="772"/>
      <c r="R87" s="661"/>
      <c r="S87" s="228" t="str">
        <f t="array" ref="S87">IFERROR(INDEX('💻シート作成'!$D$6:$D1001, MATCH(T87, '💻シート作成'!$E$6:$E1001, 0)), "")</f>
        <v/>
      </c>
      <c r="T87" s="172"/>
      <c r="U87" s="664"/>
      <c r="V87" s="774"/>
      <c r="W87" s="661"/>
      <c r="X87" s="757"/>
      <c r="Y87" s="661"/>
      <c r="Z87" s="661"/>
    </row>
    <row r="88" hidden="1" outlineLevel="1">
      <c r="A88" s="661"/>
      <c r="B88" s="729"/>
      <c r="C88" s="730"/>
      <c r="D88" s="730"/>
      <c r="E88" s="730"/>
      <c r="F88" s="730"/>
      <c r="G88" s="731"/>
      <c r="H88" s="730"/>
      <c r="I88" s="730"/>
      <c r="J88" s="730"/>
      <c r="K88" s="730"/>
      <c r="L88" s="755"/>
      <c r="M88" s="755"/>
      <c r="N88" s="730"/>
      <c r="O88" s="733"/>
      <c r="Q88" s="728"/>
      <c r="R88" s="661"/>
      <c r="S88" s="228" t="str">
        <f t="array" ref="S88">IFERROR(INDEX('💻シート作成'!$D$6:$D1001, MATCH(T88, '💻シート作成'!$E$6:$E1001, 0)), "")</f>
        <v/>
      </c>
      <c r="T88" s="172"/>
      <c r="U88" s="664"/>
      <c r="V88" s="774"/>
      <c r="W88" s="661"/>
      <c r="X88" s="757"/>
      <c r="Y88" s="661"/>
      <c r="Z88" s="661"/>
    </row>
    <row r="89" hidden="1" outlineLevel="1">
      <c r="A89" s="661"/>
      <c r="B89" s="729"/>
      <c r="C89" s="730"/>
      <c r="D89" s="730"/>
      <c r="E89" s="730"/>
      <c r="F89" s="730"/>
      <c r="G89" s="731"/>
      <c r="H89" s="730"/>
      <c r="I89" s="730"/>
      <c r="J89" s="730"/>
      <c r="K89" s="730"/>
      <c r="L89" s="755"/>
      <c r="M89" s="755"/>
      <c r="N89" s="730"/>
      <c r="O89" s="733"/>
      <c r="Q89" s="728"/>
      <c r="R89" s="661"/>
      <c r="S89" s="228" t="str">
        <f t="array" ref="S89">IFERROR(INDEX('💻シート作成'!$D$6:$D1001, MATCH(T89, '💻シート作成'!$E$6:$E1001, 0)), "")</f>
        <v/>
      </c>
      <c r="T89" s="172"/>
      <c r="U89" s="664"/>
      <c r="V89" s="774"/>
      <c r="W89" s="661"/>
      <c r="X89" s="757"/>
      <c r="Y89" s="661"/>
      <c r="Z89" s="661"/>
    </row>
    <row r="90" hidden="1" outlineLevel="1">
      <c r="A90" s="661"/>
      <c r="B90" s="729"/>
      <c r="C90" s="730"/>
      <c r="D90" s="730"/>
      <c r="E90" s="730"/>
      <c r="F90" s="730"/>
      <c r="G90" s="731"/>
      <c r="H90" s="730"/>
      <c r="I90" s="730"/>
      <c r="J90" s="730"/>
      <c r="K90" s="730"/>
      <c r="L90" s="756"/>
      <c r="M90" s="755"/>
      <c r="N90" s="730"/>
      <c r="O90" s="733"/>
      <c r="Q90" s="728"/>
      <c r="R90" s="661"/>
      <c r="S90" s="228" t="str">
        <f t="array" ref="S90">IFERROR(INDEX('💻シート作成'!$D$6:$D1001, MATCH(T90, '💻シート作成'!$E$6:$E1001, 0)), "")</f>
        <v/>
      </c>
      <c r="T90" s="172"/>
      <c r="U90" s="664"/>
      <c r="V90" s="774"/>
      <c r="W90" s="661"/>
      <c r="X90" s="757"/>
      <c r="Y90" s="661"/>
      <c r="Z90" s="661"/>
    </row>
    <row r="91" hidden="1" outlineLevel="1">
      <c r="A91" s="661"/>
      <c r="B91" s="729"/>
      <c r="C91" s="730"/>
      <c r="D91" s="730"/>
      <c r="E91" s="730"/>
      <c r="F91" s="730"/>
      <c r="G91" s="731"/>
      <c r="H91" s="730"/>
      <c r="I91" s="730"/>
      <c r="J91" s="730"/>
      <c r="K91" s="730"/>
      <c r="L91" s="756"/>
      <c r="M91" s="755"/>
      <c r="N91" s="730"/>
      <c r="O91" s="733"/>
      <c r="Q91" s="728"/>
      <c r="R91" s="661"/>
      <c r="S91" s="228" t="str">
        <f t="array" ref="S91">IFERROR(INDEX('💻シート作成'!$D$6:$D1001, MATCH(T91, '💻シート作成'!$E$6:$E1001, 0)), "")</f>
        <v/>
      </c>
      <c r="T91" s="172"/>
      <c r="U91" s="664"/>
      <c r="V91" s="774"/>
      <c r="W91" s="661"/>
      <c r="X91" s="757"/>
      <c r="Y91" s="661"/>
      <c r="Z91" s="661"/>
    </row>
    <row r="92" hidden="1" outlineLevel="1">
      <c r="A92" s="661"/>
      <c r="B92" s="729"/>
      <c r="C92" s="730"/>
      <c r="D92" s="730"/>
      <c r="E92" s="730"/>
      <c r="F92" s="730"/>
      <c r="G92" s="731"/>
      <c r="H92" s="730"/>
      <c r="I92" s="730"/>
      <c r="J92" s="730"/>
      <c r="K92" s="730"/>
      <c r="L92" s="756"/>
      <c r="M92" s="755"/>
      <c r="N92" s="730"/>
      <c r="O92" s="733"/>
      <c r="Q92" s="728"/>
      <c r="R92" s="661"/>
      <c r="S92" s="228" t="str">
        <f t="array" ref="S92">IFERROR(INDEX('💻シート作成'!$D$6:$D1001, MATCH(T92, '💻シート作成'!$E$6:$E1001, 0)), "")</f>
        <v/>
      </c>
      <c r="T92" s="172"/>
      <c r="U92" s="664"/>
      <c r="V92" s="774"/>
      <c r="W92" s="661"/>
      <c r="X92" s="757"/>
      <c r="Y92" s="661"/>
      <c r="Z92" s="661"/>
    </row>
    <row r="93" hidden="1" outlineLevel="1">
      <c r="A93" s="661"/>
      <c r="B93" s="729"/>
      <c r="C93" s="730"/>
      <c r="D93" s="730"/>
      <c r="E93" s="730"/>
      <c r="F93" s="730"/>
      <c r="G93" s="731"/>
      <c r="H93" s="730"/>
      <c r="I93" s="730"/>
      <c r="J93" s="730"/>
      <c r="K93" s="730"/>
      <c r="L93" s="756"/>
      <c r="M93" s="755"/>
      <c r="N93" s="730"/>
      <c r="O93" s="733"/>
      <c r="Q93" s="728"/>
      <c r="R93" s="661"/>
      <c r="S93" s="228" t="str">
        <f t="array" ref="S93">IFERROR(INDEX('💻シート作成'!$D$6:$D1001, MATCH(T93, '💻シート作成'!$E$6:$E1001, 0)), "")</f>
        <v/>
      </c>
      <c r="T93" s="172"/>
      <c r="U93" s="664"/>
      <c r="V93" s="774"/>
      <c r="W93" s="661"/>
      <c r="X93" s="757"/>
      <c r="Y93" s="661"/>
      <c r="Z93" s="661"/>
    </row>
    <row r="94" hidden="1" outlineLevel="1">
      <c r="A94" s="661"/>
      <c r="B94" s="729"/>
      <c r="C94" s="730"/>
      <c r="D94" s="730"/>
      <c r="E94" s="730"/>
      <c r="F94" s="730"/>
      <c r="G94" s="731"/>
      <c r="H94" s="730"/>
      <c r="I94" s="730"/>
      <c r="J94" s="730"/>
      <c r="K94" s="730"/>
      <c r="L94" s="756"/>
      <c r="M94" s="755"/>
      <c r="N94" s="730"/>
      <c r="O94" s="733"/>
      <c r="Q94" s="728"/>
      <c r="R94" s="661"/>
      <c r="S94" s="228" t="str">
        <f t="array" ref="S94">IFERROR(INDEX('💻シート作成'!$D$6:$D1001, MATCH(T94, '💻シート作成'!$E$6:$E1001, 0)), "")</f>
        <v/>
      </c>
      <c r="T94" s="172"/>
      <c r="U94" s="664"/>
      <c r="V94" s="774"/>
      <c r="W94" s="661"/>
      <c r="X94" s="757"/>
      <c r="Y94" s="661"/>
      <c r="Z94" s="661"/>
    </row>
    <row r="95" hidden="1" outlineLevel="1">
      <c r="A95" s="661"/>
      <c r="B95" s="729"/>
      <c r="C95" s="730"/>
      <c r="D95" s="730"/>
      <c r="E95" s="730"/>
      <c r="F95" s="730"/>
      <c r="G95" s="731"/>
      <c r="H95" s="730"/>
      <c r="I95" s="730"/>
      <c r="J95" s="730"/>
      <c r="K95" s="730"/>
      <c r="L95" s="756"/>
      <c r="M95" s="755"/>
      <c r="N95" s="730"/>
      <c r="O95" s="733"/>
      <c r="Q95" s="728"/>
      <c r="R95" s="661"/>
      <c r="S95" s="228" t="str">
        <f t="array" ref="S95">IFERROR(INDEX('💻シート作成'!$D$6:$D1001, MATCH(T95, '💻シート作成'!$E$6:$E1001, 0)), "")</f>
        <v/>
      </c>
      <c r="T95" s="172"/>
      <c r="U95" s="664"/>
      <c r="V95" s="774"/>
      <c r="W95" s="661"/>
      <c r="X95" s="757"/>
      <c r="Y95" s="661"/>
      <c r="Z95" s="661"/>
    </row>
    <row r="96" hidden="1" outlineLevel="1">
      <c r="A96" s="661"/>
      <c r="B96" s="729"/>
      <c r="C96" s="730"/>
      <c r="D96" s="730"/>
      <c r="E96" s="730"/>
      <c r="F96" s="697"/>
      <c r="G96" s="698"/>
      <c r="H96" s="697"/>
      <c r="I96" s="697"/>
      <c r="J96" s="697"/>
      <c r="K96" s="697"/>
      <c r="L96" s="756"/>
      <c r="M96" s="755"/>
      <c r="N96" s="697"/>
      <c r="O96" s="700"/>
      <c r="P96" s="701"/>
      <c r="Q96" s="737"/>
      <c r="R96" s="661"/>
      <c r="S96" s="228" t="str">
        <f t="array" ref="S96">IFERROR(INDEX('💻シート作成'!$D$6:$D1001, MATCH(T96, '💻シート作成'!$E$6:$E1001, 0)), "")</f>
        <v/>
      </c>
      <c r="T96" s="172"/>
      <c r="U96" s="664"/>
      <c r="V96" s="774"/>
      <c r="W96" s="661"/>
      <c r="X96" s="757"/>
      <c r="Y96" s="661"/>
      <c r="Z96" s="661"/>
    </row>
    <row r="97" hidden="1" outlineLevel="1">
      <c r="A97" s="661"/>
      <c r="B97" s="738"/>
      <c r="C97" s="697"/>
      <c r="D97" s="697"/>
      <c r="E97" s="697"/>
      <c r="F97" s="758" t="s">
        <v>517</v>
      </c>
      <c r="G97" s="759"/>
      <c r="H97" s="741"/>
      <c r="I97" s="741"/>
      <c r="J97" s="741"/>
      <c r="K97" s="741"/>
      <c r="L97" s="759"/>
      <c r="M97" s="759"/>
      <c r="N97" s="759"/>
      <c r="O97" s="759"/>
      <c r="P97" s="759"/>
      <c r="Q97" s="760"/>
      <c r="R97" s="661"/>
      <c r="S97" s="228" t="str">
        <f t="array" ref="S97">IFERROR(INDEX('💻シート作成'!$D$6:$D1001, MATCH(T97, '💻シート作成'!$E$6:$E1001, 0)), "")</f>
        <v/>
      </c>
      <c r="T97" s="172"/>
      <c r="U97" s="664"/>
      <c r="V97" s="774"/>
      <c r="W97" s="661"/>
      <c r="X97" s="757"/>
      <c r="Y97" s="661"/>
      <c r="Z97" s="661"/>
    </row>
    <row r="98" hidden="1" outlineLevel="1">
      <c r="A98" s="661"/>
      <c r="B98" s="761"/>
      <c r="C98" s="762">
        <f>IF(C87="","",IF(DAY(C87+1)=1,"",C87+1))</f>
        <v>46121</v>
      </c>
      <c r="D98" s="763" t="str">
        <f>TEXT(C98,"ddd")</f>
        <v>木</v>
      </c>
      <c r="E98" s="764"/>
      <c r="F98" s="765" t="s">
        <v>518</v>
      </c>
      <c r="G98" s="766" t="s">
        <v>519</v>
      </c>
      <c r="H98" s="767"/>
      <c r="I98" s="768">
        <v>0.0</v>
      </c>
      <c r="J98" s="763"/>
      <c r="K98" s="763"/>
      <c r="L98" s="769"/>
      <c r="M98" s="769"/>
      <c r="N98" s="765"/>
      <c r="O98" s="770"/>
      <c r="P98" s="771"/>
      <c r="Q98" s="772"/>
      <c r="R98" s="661"/>
      <c r="S98" s="228" t="str">
        <f t="array" ref="S98">IFERROR(INDEX('💻シート作成'!$D$6:$D1001, MATCH(T98, '💻シート作成'!$E$6:$E1001, 0)), "")</f>
        <v/>
      </c>
      <c r="T98" s="172"/>
      <c r="U98" s="664"/>
      <c r="V98" s="774"/>
      <c r="W98" s="661"/>
      <c r="X98" s="757"/>
      <c r="Y98" s="661"/>
      <c r="Z98" s="661"/>
    </row>
    <row r="99" hidden="1" outlineLevel="1">
      <c r="A99" s="661"/>
      <c r="B99" s="729"/>
      <c r="C99" s="730"/>
      <c r="D99" s="730"/>
      <c r="E99" s="730"/>
      <c r="F99" s="730"/>
      <c r="G99" s="731"/>
      <c r="H99" s="730"/>
      <c r="I99" s="730"/>
      <c r="J99" s="730"/>
      <c r="K99" s="730"/>
      <c r="L99" s="769"/>
      <c r="M99" s="769"/>
      <c r="N99" s="730"/>
      <c r="O99" s="733"/>
      <c r="Q99" s="728"/>
      <c r="R99" s="661"/>
      <c r="S99" s="228" t="str">
        <f t="array" ref="S99">IFERROR(INDEX('💻シート作成'!$D$6:$D1001, MATCH(T99, '💻シート作成'!$E$6:$E1001, 0)), "")</f>
        <v/>
      </c>
      <c r="T99" s="172"/>
      <c r="U99" s="664"/>
      <c r="V99" s="774"/>
      <c r="W99" s="661"/>
      <c r="X99" s="757"/>
      <c r="Y99" s="661"/>
      <c r="Z99" s="661"/>
    </row>
    <row r="100" hidden="1" outlineLevel="1">
      <c r="A100" s="661"/>
      <c r="B100" s="729"/>
      <c r="C100" s="730"/>
      <c r="D100" s="730"/>
      <c r="E100" s="730"/>
      <c r="F100" s="730"/>
      <c r="G100" s="731"/>
      <c r="H100" s="730"/>
      <c r="I100" s="730"/>
      <c r="J100" s="730"/>
      <c r="K100" s="730"/>
      <c r="L100" s="769"/>
      <c r="M100" s="769"/>
      <c r="N100" s="730"/>
      <c r="O100" s="733"/>
      <c r="Q100" s="728"/>
      <c r="R100" s="661"/>
      <c r="S100" s="228" t="str">
        <f t="array" ref="S100">IFERROR(INDEX('💻シート作成'!$D$6:$D1001, MATCH(T100, '💻シート作成'!$E$6:$E1001, 0)), "")</f>
        <v/>
      </c>
      <c r="T100" s="172"/>
      <c r="U100" s="664"/>
      <c r="V100" s="774"/>
      <c r="W100" s="661"/>
      <c r="X100" s="757"/>
      <c r="Y100" s="661"/>
      <c r="Z100" s="661"/>
    </row>
    <row r="101" hidden="1" outlineLevel="1">
      <c r="A101" s="661"/>
      <c r="B101" s="729"/>
      <c r="C101" s="730"/>
      <c r="D101" s="730"/>
      <c r="E101" s="730"/>
      <c r="F101" s="730"/>
      <c r="G101" s="731"/>
      <c r="H101" s="730"/>
      <c r="I101" s="730"/>
      <c r="J101" s="730"/>
      <c r="K101" s="730"/>
      <c r="L101" s="773"/>
      <c r="M101" s="769"/>
      <c r="N101" s="730"/>
      <c r="O101" s="733"/>
      <c r="Q101" s="728"/>
      <c r="R101" s="661"/>
      <c r="S101" s="228" t="str">
        <f t="array" ref="S101">IFERROR(INDEX('💻シート作成'!$D$6:$D1001, MATCH(T101, '💻シート作成'!$E$6:$E1001, 0)), "")</f>
        <v/>
      </c>
      <c r="T101" s="172"/>
      <c r="U101" s="664"/>
      <c r="V101" s="774"/>
      <c r="W101" s="661"/>
      <c r="X101" s="757"/>
      <c r="Y101" s="661"/>
      <c r="Z101" s="661"/>
    </row>
    <row r="102" hidden="1" outlineLevel="1">
      <c r="A102" s="661"/>
      <c r="B102" s="729"/>
      <c r="C102" s="730"/>
      <c r="D102" s="730"/>
      <c r="E102" s="730"/>
      <c r="F102" s="730"/>
      <c r="G102" s="731"/>
      <c r="H102" s="730"/>
      <c r="I102" s="730"/>
      <c r="J102" s="730"/>
      <c r="K102" s="730"/>
      <c r="L102" s="773"/>
      <c r="M102" s="769"/>
      <c r="N102" s="730"/>
      <c r="O102" s="733"/>
      <c r="Q102" s="728"/>
      <c r="R102" s="661"/>
      <c r="S102" s="228" t="str">
        <f t="array" ref="S102">IFERROR(INDEX('💻シート作成'!$D$6:$D1001, MATCH(T102, '💻シート作成'!$E$6:$E1001, 0)), "")</f>
        <v/>
      </c>
      <c r="T102" s="172"/>
      <c r="U102" s="664"/>
      <c r="V102" s="774"/>
      <c r="W102" s="661"/>
      <c r="X102" s="757"/>
      <c r="Y102" s="661"/>
      <c r="Z102" s="661"/>
    </row>
    <row r="103" hidden="1" outlineLevel="1">
      <c r="A103" s="661"/>
      <c r="B103" s="729"/>
      <c r="C103" s="730"/>
      <c r="D103" s="730"/>
      <c r="E103" s="730"/>
      <c r="F103" s="730"/>
      <c r="G103" s="731"/>
      <c r="H103" s="730"/>
      <c r="I103" s="730"/>
      <c r="J103" s="730"/>
      <c r="K103" s="730"/>
      <c r="L103" s="773"/>
      <c r="M103" s="769"/>
      <c r="N103" s="730"/>
      <c r="O103" s="733"/>
      <c r="Q103" s="728"/>
      <c r="R103" s="661"/>
      <c r="S103" s="228" t="str">
        <f t="array" ref="S103">IFERROR(INDEX('💻シート作成'!$D$6:$D1001, MATCH(T103, '💻シート作成'!$E$6:$E1001, 0)), "")</f>
        <v/>
      </c>
      <c r="T103" s="172"/>
      <c r="U103" s="664"/>
      <c r="V103" s="774"/>
      <c r="W103" s="661"/>
      <c r="X103" s="757"/>
      <c r="Y103" s="661"/>
      <c r="Z103" s="661"/>
    </row>
    <row r="104" hidden="1" outlineLevel="1">
      <c r="A104" s="661"/>
      <c r="B104" s="729"/>
      <c r="C104" s="730"/>
      <c r="D104" s="730"/>
      <c r="E104" s="730"/>
      <c r="F104" s="730"/>
      <c r="G104" s="731"/>
      <c r="H104" s="730"/>
      <c r="I104" s="730"/>
      <c r="J104" s="730"/>
      <c r="K104" s="730"/>
      <c r="L104" s="773"/>
      <c r="M104" s="769"/>
      <c r="N104" s="730"/>
      <c r="O104" s="733"/>
      <c r="Q104" s="728"/>
      <c r="R104" s="661"/>
      <c r="S104" s="228" t="str">
        <f t="array" ref="S104">IFERROR(INDEX('💻シート作成'!$D$6:$D1001, MATCH(T104, '💻シート作成'!$E$6:$E1001, 0)), "")</f>
        <v/>
      </c>
      <c r="T104" s="172"/>
      <c r="U104" s="664"/>
      <c r="V104" s="774"/>
      <c r="W104" s="661"/>
      <c r="X104" s="757"/>
      <c r="Y104" s="661"/>
      <c r="Z104" s="661"/>
    </row>
    <row r="105" hidden="1" outlineLevel="1">
      <c r="A105" s="661"/>
      <c r="B105" s="729"/>
      <c r="C105" s="730"/>
      <c r="D105" s="730"/>
      <c r="E105" s="730"/>
      <c r="F105" s="730"/>
      <c r="G105" s="731"/>
      <c r="H105" s="730"/>
      <c r="I105" s="730"/>
      <c r="J105" s="730"/>
      <c r="K105" s="730"/>
      <c r="L105" s="773"/>
      <c r="M105" s="769"/>
      <c r="N105" s="730"/>
      <c r="O105" s="733"/>
      <c r="Q105" s="728"/>
      <c r="R105" s="661"/>
      <c r="S105" s="228" t="str">
        <f t="array" ref="S105">IFERROR(INDEX('💻シート作成'!$D$6:$D1001, MATCH(T105, '💻シート作成'!$E$6:$E1001, 0)), "")</f>
        <v/>
      </c>
      <c r="T105" s="172"/>
      <c r="U105" s="664"/>
      <c r="V105" s="774"/>
      <c r="W105" s="661"/>
      <c r="X105" s="757"/>
      <c r="Y105" s="661"/>
      <c r="Z105" s="661"/>
    </row>
    <row r="106" hidden="1" outlineLevel="1">
      <c r="A106" s="661"/>
      <c r="B106" s="729"/>
      <c r="C106" s="730"/>
      <c r="D106" s="730"/>
      <c r="E106" s="730"/>
      <c r="F106" s="730"/>
      <c r="G106" s="731"/>
      <c r="H106" s="730"/>
      <c r="I106" s="730"/>
      <c r="J106" s="730"/>
      <c r="K106" s="730"/>
      <c r="L106" s="773"/>
      <c r="M106" s="769"/>
      <c r="N106" s="730"/>
      <c r="O106" s="733"/>
      <c r="Q106" s="728"/>
      <c r="R106" s="661"/>
      <c r="S106" s="228" t="str">
        <f t="array" ref="S106">IFERROR(INDEX('💻シート作成'!$D$6:$D1001, MATCH(T106, '💻シート作成'!$E$6:$E1001, 0)), "")</f>
        <v/>
      </c>
      <c r="T106" s="172"/>
      <c r="U106" s="664"/>
      <c r="V106" s="774"/>
      <c r="W106" s="661"/>
      <c r="X106" s="757"/>
      <c r="Y106" s="661"/>
      <c r="Z106" s="661"/>
    </row>
    <row r="107" hidden="1" outlineLevel="1">
      <c r="A107" s="661"/>
      <c r="B107" s="729"/>
      <c r="C107" s="730"/>
      <c r="D107" s="730"/>
      <c r="E107" s="730"/>
      <c r="F107" s="697"/>
      <c r="G107" s="698"/>
      <c r="H107" s="697"/>
      <c r="I107" s="697"/>
      <c r="J107" s="697"/>
      <c r="K107" s="697"/>
      <c r="L107" s="773"/>
      <c r="M107" s="769"/>
      <c r="N107" s="697"/>
      <c r="O107" s="700"/>
      <c r="P107" s="701"/>
      <c r="Q107" s="737"/>
      <c r="R107" s="661"/>
      <c r="S107" s="228" t="str">
        <f t="array" ref="S107">IFERROR(INDEX('💻シート作成'!$D$6:$D1001, MATCH(T107, '💻シート作成'!$E$6:$E1001, 0)), "")</f>
        <v/>
      </c>
      <c r="T107" s="172"/>
      <c r="U107" s="664"/>
      <c r="V107" s="774"/>
      <c r="W107" s="661"/>
      <c r="X107" s="757"/>
      <c r="Y107" s="661"/>
      <c r="Z107" s="661"/>
    </row>
    <row r="108" hidden="1" outlineLevel="1">
      <c r="A108" s="661"/>
      <c r="B108" s="738"/>
      <c r="C108" s="697"/>
      <c r="D108" s="697"/>
      <c r="E108" s="697"/>
      <c r="F108" s="739" t="s">
        <v>517</v>
      </c>
      <c r="G108" s="740"/>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4"/>
      <c r="W108" s="661"/>
      <c r="X108" s="757"/>
      <c r="Y108" s="661"/>
      <c r="Z108" s="661"/>
    </row>
    <row r="109" hidden="1" outlineLevel="1">
      <c r="A109" s="661"/>
      <c r="B109" s="743"/>
      <c r="C109" s="744">
        <f>IF(C98="","",IF(DAY(C98+1)=1,"",C98+1))</f>
        <v>46122</v>
      </c>
      <c r="D109" s="745" t="str">
        <f>TEXT(C109,"ddd")</f>
        <v>金</v>
      </c>
      <c r="E109" s="746"/>
      <c r="F109" s="775" t="s">
        <v>518</v>
      </c>
      <c r="G109" s="776" t="s">
        <v>519</v>
      </c>
      <c r="H109" s="777"/>
      <c r="I109" s="778">
        <v>0.0</v>
      </c>
      <c r="J109" s="745"/>
      <c r="K109" s="745"/>
      <c r="L109" s="755"/>
      <c r="M109" s="755"/>
      <c r="N109" s="775"/>
      <c r="O109" s="779"/>
      <c r="P109" s="771"/>
      <c r="Q109" s="772"/>
      <c r="R109" s="661"/>
      <c r="S109" s="228" t="str">
        <f t="array" ref="S109">IFERROR(INDEX('💻シート作成'!$D$6:$D1001, MATCH(T109, '💻シート作成'!$E$6:$E1001, 0)), "")</f>
        <v/>
      </c>
      <c r="T109" s="172"/>
      <c r="U109" s="664"/>
      <c r="V109" s="774"/>
      <c r="W109" s="661"/>
      <c r="X109" s="757"/>
      <c r="Y109" s="661"/>
      <c r="Z109" s="661"/>
    </row>
    <row r="110" hidden="1" outlineLevel="1">
      <c r="A110" s="661"/>
      <c r="B110" s="729"/>
      <c r="C110" s="730"/>
      <c r="D110" s="730"/>
      <c r="E110" s="730"/>
      <c r="F110" s="730"/>
      <c r="G110" s="731"/>
      <c r="H110" s="730"/>
      <c r="I110" s="730"/>
      <c r="J110" s="730"/>
      <c r="K110" s="730"/>
      <c r="L110" s="755"/>
      <c r="M110" s="755"/>
      <c r="N110" s="730"/>
      <c r="O110" s="733"/>
      <c r="Q110" s="728"/>
      <c r="R110" s="661"/>
      <c r="S110" s="228" t="str">
        <f t="array" ref="S110">IFERROR(INDEX('💻シート作成'!$D$6:$D1001, MATCH(T110, '💻シート作成'!$E$6:$E1001, 0)), "")</f>
        <v/>
      </c>
      <c r="T110" s="184"/>
      <c r="U110" s="664"/>
      <c r="V110" s="774"/>
      <c r="W110" s="661"/>
      <c r="X110" s="757"/>
      <c r="Y110" s="661"/>
      <c r="Z110" s="661"/>
    </row>
    <row r="111" hidden="1" outlineLevel="1">
      <c r="A111" s="661"/>
      <c r="B111" s="729"/>
      <c r="C111" s="730"/>
      <c r="D111" s="730"/>
      <c r="E111" s="730"/>
      <c r="F111" s="730"/>
      <c r="G111" s="731"/>
      <c r="H111" s="730"/>
      <c r="I111" s="730"/>
      <c r="J111" s="730"/>
      <c r="K111" s="730"/>
      <c r="L111" s="755"/>
      <c r="M111" s="755"/>
      <c r="N111" s="730"/>
      <c r="O111" s="733"/>
      <c r="Q111" s="728"/>
      <c r="R111" s="661"/>
      <c r="S111" s="228" t="str">
        <f t="array" ref="S111">IFERROR(INDEX('💻シート作成'!$D$6:$D1001, MATCH(T111, '💻シート作成'!$E$6:$E1001, 0)), "")</f>
        <v/>
      </c>
      <c r="T111" s="184"/>
      <c r="U111" s="664"/>
      <c r="V111" s="774"/>
      <c r="W111" s="661"/>
      <c r="X111" s="757"/>
      <c r="Y111" s="661"/>
      <c r="Z111" s="661"/>
    </row>
    <row r="112" hidden="1" outlineLevel="1">
      <c r="A112" s="661"/>
      <c r="B112" s="729"/>
      <c r="C112" s="730"/>
      <c r="D112" s="730"/>
      <c r="E112" s="730"/>
      <c r="F112" s="730"/>
      <c r="G112" s="731"/>
      <c r="H112" s="730"/>
      <c r="I112" s="730"/>
      <c r="J112" s="730"/>
      <c r="K112" s="730"/>
      <c r="L112" s="756"/>
      <c r="M112" s="755"/>
      <c r="N112" s="730"/>
      <c r="O112" s="733"/>
      <c r="Q112" s="728"/>
      <c r="R112" s="661"/>
      <c r="S112" s="228" t="str">
        <f t="array" ref="S112">IFERROR(INDEX('💻シート作成'!$D$6:$D1001, MATCH(T112, '💻シート作成'!$E$6:$E1001, 0)), "")</f>
        <v/>
      </c>
      <c r="T112" s="184"/>
      <c r="U112" s="664"/>
      <c r="V112" s="774"/>
      <c r="W112" s="661"/>
      <c r="X112" s="757"/>
      <c r="Y112" s="661"/>
      <c r="Z112" s="661"/>
    </row>
    <row r="113" hidden="1" outlineLevel="1">
      <c r="A113" s="661"/>
      <c r="B113" s="729"/>
      <c r="C113" s="730"/>
      <c r="D113" s="730"/>
      <c r="E113" s="730"/>
      <c r="F113" s="730"/>
      <c r="G113" s="731"/>
      <c r="H113" s="730"/>
      <c r="I113" s="730"/>
      <c r="J113" s="730"/>
      <c r="K113" s="730"/>
      <c r="L113" s="756"/>
      <c r="M113" s="755"/>
      <c r="N113" s="730"/>
      <c r="O113" s="733"/>
      <c r="Q113" s="728"/>
      <c r="R113" s="661"/>
      <c r="S113" s="228" t="str">
        <f t="array" ref="S113">IFERROR(INDEX('💻シート作成'!$D$6:$D1001, MATCH(T113, '💻シート作成'!$E$6:$E1001, 0)), "")</f>
        <v/>
      </c>
      <c r="T113" s="184"/>
      <c r="U113" s="664"/>
      <c r="V113" s="774"/>
      <c r="W113" s="661"/>
      <c r="X113" s="757"/>
      <c r="Y113" s="661"/>
      <c r="Z113" s="661"/>
    </row>
    <row r="114" hidden="1" outlineLevel="1">
      <c r="A114" s="661"/>
      <c r="B114" s="729"/>
      <c r="C114" s="730"/>
      <c r="D114" s="730"/>
      <c r="E114" s="730"/>
      <c r="F114" s="730"/>
      <c r="G114" s="731"/>
      <c r="H114" s="730"/>
      <c r="I114" s="730"/>
      <c r="J114" s="730"/>
      <c r="K114" s="730"/>
      <c r="L114" s="756"/>
      <c r="M114" s="755"/>
      <c r="N114" s="730"/>
      <c r="O114" s="733"/>
      <c r="Q114" s="728"/>
      <c r="R114" s="661"/>
      <c r="S114" s="228" t="str">
        <f t="array" ref="S114">IFERROR(INDEX('💻シート作成'!$D$6:$D1001, MATCH(T114, '💻シート作成'!$E$6:$E1001, 0)), "")</f>
        <v/>
      </c>
      <c r="T114" s="184"/>
      <c r="U114" s="664"/>
      <c r="V114" s="774"/>
      <c r="W114" s="661"/>
      <c r="X114" s="757"/>
      <c r="Y114" s="661"/>
      <c r="Z114" s="661"/>
    </row>
    <row r="115" hidden="1" outlineLevel="1">
      <c r="A115" s="661"/>
      <c r="B115" s="729"/>
      <c r="C115" s="730"/>
      <c r="D115" s="730"/>
      <c r="E115" s="730"/>
      <c r="F115" s="730"/>
      <c r="G115" s="731"/>
      <c r="H115" s="730"/>
      <c r="I115" s="730"/>
      <c r="J115" s="730"/>
      <c r="K115" s="730"/>
      <c r="L115" s="756"/>
      <c r="M115" s="755"/>
      <c r="N115" s="730"/>
      <c r="O115" s="733"/>
      <c r="Q115" s="728"/>
      <c r="R115" s="661"/>
      <c r="S115" s="228" t="str">
        <f t="array" ref="S115">IFERROR(INDEX('💻シート作成'!$D$6:$D1001, MATCH(T115, '💻シート作成'!$E$6:$E1001, 0)), "")</f>
        <v/>
      </c>
      <c r="T115" s="184"/>
      <c r="U115" s="664"/>
      <c r="V115" s="774"/>
      <c r="W115" s="661"/>
      <c r="X115" s="757"/>
      <c r="Y115" s="661"/>
      <c r="Z115" s="661"/>
    </row>
    <row r="116" hidden="1" outlineLevel="1">
      <c r="A116" s="661"/>
      <c r="B116" s="729"/>
      <c r="C116" s="730"/>
      <c r="D116" s="730"/>
      <c r="E116" s="730"/>
      <c r="F116" s="730"/>
      <c r="G116" s="731"/>
      <c r="H116" s="730"/>
      <c r="I116" s="730"/>
      <c r="J116" s="730"/>
      <c r="K116" s="730"/>
      <c r="L116" s="756"/>
      <c r="M116" s="755"/>
      <c r="N116" s="730"/>
      <c r="O116" s="733"/>
      <c r="Q116" s="728"/>
      <c r="R116" s="661"/>
      <c r="S116" s="228" t="str">
        <f t="array" ref="S116">IFERROR(INDEX('💻シート作成'!$D$6:$D1001, MATCH(T116, '💻シート作成'!$E$6:$E1001, 0)), "")</f>
        <v/>
      </c>
      <c r="T116" s="184"/>
      <c r="U116" s="664"/>
      <c r="V116" s="774"/>
      <c r="W116" s="661"/>
      <c r="X116" s="757"/>
      <c r="Y116" s="661"/>
      <c r="Z116" s="661"/>
    </row>
    <row r="117" hidden="1" outlineLevel="1">
      <c r="A117" s="661"/>
      <c r="B117" s="729"/>
      <c r="C117" s="730"/>
      <c r="D117" s="730"/>
      <c r="E117" s="730"/>
      <c r="F117" s="730"/>
      <c r="G117" s="731"/>
      <c r="H117" s="730"/>
      <c r="I117" s="730"/>
      <c r="J117" s="730"/>
      <c r="K117" s="730"/>
      <c r="L117" s="756"/>
      <c r="M117" s="755"/>
      <c r="N117" s="730"/>
      <c r="O117" s="733"/>
      <c r="Q117" s="728"/>
      <c r="R117" s="661"/>
      <c r="S117" s="228" t="str">
        <f t="array" ref="S117">IFERROR(INDEX('💻シート作成'!$D$6:$D1001, MATCH(T117, '💻シート作成'!$E$6:$E1001, 0)), "")</f>
        <v/>
      </c>
      <c r="T117" s="184"/>
      <c r="U117" s="664"/>
      <c r="V117" s="774"/>
      <c r="W117" s="661"/>
      <c r="X117" s="757"/>
      <c r="Y117" s="661"/>
      <c r="Z117" s="661"/>
    </row>
    <row r="118" hidden="1" outlineLevel="1">
      <c r="A118" s="661"/>
      <c r="B118" s="729"/>
      <c r="C118" s="730"/>
      <c r="D118" s="730"/>
      <c r="E118" s="730"/>
      <c r="F118" s="697"/>
      <c r="G118" s="698"/>
      <c r="H118" s="697"/>
      <c r="I118" s="697"/>
      <c r="J118" s="697"/>
      <c r="K118" s="697"/>
      <c r="L118" s="756"/>
      <c r="M118" s="755"/>
      <c r="N118" s="697"/>
      <c r="O118" s="700"/>
      <c r="P118" s="701"/>
      <c r="Q118" s="737"/>
      <c r="R118" s="661"/>
      <c r="S118" s="228" t="str">
        <f t="array" ref="S118">IFERROR(INDEX('💻シート作成'!$D$6:$D1001, MATCH(T118, '💻シート作成'!$E$6:$E1001, 0)), "")</f>
        <v/>
      </c>
      <c r="T118" s="184"/>
      <c r="U118" s="664"/>
      <c r="V118" s="774"/>
      <c r="W118" s="661"/>
      <c r="X118" s="757"/>
      <c r="Y118" s="661"/>
      <c r="Z118" s="661"/>
    </row>
    <row r="119" hidden="1" outlineLevel="1">
      <c r="A119" s="661"/>
      <c r="B119" s="738"/>
      <c r="C119" s="697"/>
      <c r="D119" s="697"/>
      <c r="E119" s="697"/>
      <c r="F119" s="758" t="s">
        <v>517</v>
      </c>
      <c r="G119" s="759"/>
      <c r="H119" s="741"/>
      <c r="I119" s="741"/>
      <c r="J119" s="741"/>
      <c r="K119" s="741"/>
      <c r="L119" s="759"/>
      <c r="M119" s="759"/>
      <c r="N119" s="759"/>
      <c r="O119" s="759"/>
      <c r="P119" s="759"/>
      <c r="Q119" s="760"/>
      <c r="R119" s="661"/>
      <c r="S119" s="228" t="str">
        <f t="array" ref="S119">IFERROR(INDEX('💻シート作成'!$D$6:$D1001, MATCH(T119, '💻シート作成'!$E$6:$E1001, 0)), "")</f>
        <v/>
      </c>
      <c r="T119" s="184"/>
      <c r="U119" s="664"/>
      <c r="V119" s="774"/>
      <c r="W119" s="661"/>
      <c r="X119" s="757"/>
      <c r="Y119" s="661"/>
      <c r="Z119" s="661"/>
    </row>
    <row r="120" collapsed="1">
      <c r="A120" s="661"/>
      <c r="B120" s="780" t="s">
        <v>523</v>
      </c>
      <c r="C120" s="781"/>
      <c r="D120" s="781"/>
      <c r="E120" s="781"/>
      <c r="F120" s="782"/>
      <c r="G120" s="783"/>
      <c r="H120" s="784"/>
      <c r="I120" s="784"/>
      <c r="J120" s="785"/>
      <c r="K120" s="785"/>
      <c r="L120" s="783"/>
      <c r="M120" s="783"/>
      <c r="N120" s="786"/>
      <c r="O120" s="787"/>
      <c r="P120" s="787"/>
      <c r="Q120" s="788"/>
      <c r="R120" s="661"/>
      <c r="S120" s="228" t="str">
        <f t="array" ref="S120">IFERROR(INDEX('💻シート作成'!$D$6:$D1001, MATCH(T120, '💻シート作成'!$E$6:$E1001, 0)), "")</f>
        <v/>
      </c>
      <c r="T120" s="184"/>
      <c r="U120" s="664"/>
      <c r="V120" s="774"/>
      <c r="W120" s="661"/>
      <c r="X120" s="757"/>
      <c r="Y120" s="661"/>
      <c r="Z120" s="661"/>
    </row>
    <row r="121" hidden="1" outlineLevel="1">
      <c r="A121" s="661"/>
      <c r="B121" s="761"/>
      <c r="C121" s="762">
        <f>IF(C109="","",IF(DAY(C109+1)=1,"",C109+1))</f>
        <v>46123</v>
      </c>
      <c r="D121" s="763" t="str">
        <f>TEXT(C121,"ddd")</f>
        <v>土</v>
      </c>
      <c r="E121" s="764"/>
      <c r="F121" s="765" t="s">
        <v>518</v>
      </c>
      <c r="G121" s="766" t="s">
        <v>519</v>
      </c>
      <c r="H121" s="767"/>
      <c r="I121" s="768">
        <v>0.0</v>
      </c>
      <c r="J121" s="763"/>
      <c r="K121" s="763"/>
      <c r="L121" s="769"/>
      <c r="M121" s="769"/>
      <c r="N121" s="765"/>
      <c r="O121" s="770"/>
      <c r="P121" s="771"/>
      <c r="Q121" s="772"/>
      <c r="R121" s="661"/>
      <c r="S121" s="228" t="str">
        <f t="array" ref="S121">IFERROR(INDEX('💻シート作成'!$D$6:$D1001, MATCH(T121, '💻シート作成'!$E$6:$E1001, 0)), "")</f>
        <v/>
      </c>
      <c r="T121" s="184"/>
      <c r="U121" s="664"/>
      <c r="V121" s="774"/>
      <c r="W121" s="661"/>
      <c r="X121" s="757"/>
      <c r="Y121" s="661"/>
      <c r="Z121" s="661"/>
    </row>
    <row r="122" hidden="1" outlineLevel="1">
      <c r="A122" s="661"/>
      <c r="B122" s="729"/>
      <c r="C122" s="730"/>
      <c r="D122" s="730"/>
      <c r="E122" s="730"/>
      <c r="F122" s="730"/>
      <c r="G122" s="731"/>
      <c r="H122" s="730"/>
      <c r="I122" s="730"/>
      <c r="J122" s="730"/>
      <c r="K122" s="730"/>
      <c r="L122" s="769"/>
      <c r="M122" s="769"/>
      <c r="N122" s="730"/>
      <c r="O122" s="733"/>
      <c r="Q122" s="728"/>
      <c r="R122" s="661"/>
      <c r="S122" s="228" t="str">
        <f t="array" ref="S122">IFERROR(INDEX('💻シート作成'!$D$6:$D1001, MATCH(T122, '💻シート作成'!$E$6:$E1001, 0)), "")</f>
        <v/>
      </c>
      <c r="T122" s="184"/>
      <c r="U122" s="664"/>
      <c r="V122" s="774"/>
      <c r="W122" s="661"/>
      <c r="X122" s="757"/>
      <c r="Y122" s="661"/>
      <c r="Z122" s="661"/>
    </row>
    <row r="123" hidden="1" outlineLevel="1">
      <c r="A123" s="661"/>
      <c r="B123" s="729"/>
      <c r="C123" s="730"/>
      <c r="D123" s="730"/>
      <c r="E123" s="730"/>
      <c r="F123" s="730"/>
      <c r="G123" s="731"/>
      <c r="H123" s="730"/>
      <c r="I123" s="730"/>
      <c r="J123" s="730"/>
      <c r="K123" s="730"/>
      <c r="L123" s="769"/>
      <c r="M123" s="769"/>
      <c r="N123" s="730"/>
      <c r="O123" s="733"/>
      <c r="Q123" s="728"/>
      <c r="R123" s="661"/>
      <c r="S123" s="228" t="str">
        <f t="array" ref="S123">IFERROR(INDEX('💻シート作成'!$D$6:$D1001, MATCH(T123, '💻シート作成'!$E$6:$E1001, 0)), "")</f>
        <v/>
      </c>
      <c r="T123" s="184"/>
      <c r="U123" s="664"/>
      <c r="V123" s="774"/>
      <c r="W123" s="661"/>
      <c r="X123" s="757"/>
      <c r="Y123" s="661"/>
      <c r="Z123" s="661"/>
    </row>
    <row r="124" hidden="1" outlineLevel="1">
      <c r="A124" s="661"/>
      <c r="B124" s="729"/>
      <c r="C124" s="730"/>
      <c r="D124" s="730"/>
      <c r="E124" s="730"/>
      <c r="F124" s="730"/>
      <c r="G124" s="731"/>
      <c r="H124" s="730"/>
      <c r="I124" s="730"/>
      <c r="J124" s="730"/>
      <c r="K124" s="730"/>
      <c r="L124" s="773"/>
      <c r="M124" s="769"/>
      <c r="N124" s="730"/>
      <c r="O124" s="733"/>
      <c r="Q124" s="728"/>
      <c r="R124" s="661"/>
      <c r="S124" s="228" t="str">
        <f t="array" ref="S124">IFERROR(INDEX('💻シート作成'!$D$6:$D1001, MATCH(T124, '💻シート作成'!$E$6:$E1001, 0)), "")</f>
        <v/>
      </c>
      <c r="T124" s="184"/>
      <c r="U124" s="664"/>
      <c r="V124" s="774"/>
      <c r="W124" s="661"/>
      <c r="X124" s="757"/>
      <c r="Y124" s="661"/>
      <c r="Z124" s="661"/>
    </row>
    <row r="125" hidden="1" outlineLevel="1">
      <c r="A125" s="661"/>
      <c r="B125" s="729"/>
      <c r="C125" s="730"/>
      <c r="D125" s="730"/>
      <c r="E125" s="730"/>
      <c r="F125" s="730"/>
      <c r="G125" s="731"/>
      <c r="H125" s="730"/>
      <c r="I125" s="730"/>
      <c r="J125" s="730"/>
      <c r="K125" s="730"/>
      <c r="L125" s="773"/>
      <c r="M125" s="769"/>
      <c r="N125" s="730"/>
      <c r="O125" s="733"/>
      <c r="Q125" s="728"/>
      <c r="R125" s="661"/>
      <c r="S125" s="228" t="str">
        <f t="array" ref="S125">IFERROR(INDEX('💻シート作成'!$D$6:$D1001, MATCH(T125, '💻シート作成'!$E$6:$E1001, 0)), "")</f>
        <v/>
      </c>
      <c r="T125" s="184"/>
      <c r="U125" s="664"/>
      <c r="V125" s="774"/>
      <c r="W125" s="661"/>
      <c r="X125" s="757"/>
      <c r="Y125" s="661"/>
      <c r="Z125" s="661"/>
    </row>
    <row r="126" hidden="1" outlineLevel="1">
      <c r="A126" s="661"/>
      <c r="B126" s="729"/>
      <c r="C126" s="730"/>
      <c r="D126" s="730"/>
      <c r="E126" s="730"/>
      <c r="F126" s="730"/>
      <c r="G126" s="731"/>
      <c r="H126" s="730"/>
      <c r="I126" s="730"/>
      <c r="J126" s="730"/>
      <c r="K126" s="730"/>
      <c r="L126" s="773"/>
      <c r="M126" s="769"/>
      <c r="N126" s="730"/>
      <c r="O126" s="733"/>
      <c r="Q126" s="728"/>
      <c r="R126" s="661"/>
      <c r="S126" s="228" t="str">
        <f t="array" ref="S126">IFERROR(INDEX('💻シート作成'!$D$6:$D1001, MATCH(T126, '💻シート作成'!$E$6:$E1001, 0)), "")</f>
        <v/>
      </c>
      <c r="T126" s="184"/>
      <c r="U126" s="664"/>
      <c r="V126" s="774"/>
      <c r="W126" s="661"/>
      <c r="X126" s="757"/>
      <c r="Y126" s="661"/>
      <c r="Z126" s="661"/>
    </row>
    <row r="127" hidden="1" outlineLevel="1">
      <c r="A127" s="661"/>
      <c r="B127" s="729"/>
      <c r="C127" s="730"/>
      <c r="D127" s="730"/>
      <c r="E127" s="730"/>
      <c r="F127" s="730"/>
      <c r="G127" s="731"/>
      <c r="H127" s="730"/>
      <c r="I127" s="730"/>
      <c r="J127" s="730"/>
      <c r="K127" s="730"/>
      <c r="L127" s="773"/>
      <c r="M127" s="769"/>
      <c r="N127" s="730"/>
      <c r="O127" s="733"/>
      <c r="Q127" s="728"/>
      <c r="R127" s="661"/>
      <c r="S127" s="228" t="str">
        <f t="array" ref="S127">IFERROR(INDEX('💻シート作成'!$D$6:$D1001, MATCH(T127, '💻シート作成'!$E$6:$E1001, 0)), "")</f>
        <v/>
      </c>
      <c r="T127" s="184"/>
      <c r="U127" s="664"/>
      <c r="V127" s="774"/>
      <c r="W127" s="661"/>
      <c r="X127" s="757"/>
      <c r="Y127" s="661"/>
      <c r="Z127" s="661"/>
    </row>
    <row r="128" hidden="1" outlineLevel="1">
      <c r="A128" s="661"/>
      <c r="B128" s="729"/>
      <c r="C128" s="730"/>
      <c r="D128" s="730"/>
      <c r="E128" s="730"/>
      <c r="F128" s="730"/>
      <c r="G128" s="731"/>
      <c r="H128" s="730"/>
      <c r="I128" s="730"/>
      <c r="J128" s="730"/>
      <c r="K128" s="730"/>
      <c r="L128" s="773"/>
      <c r="M128" s="769"/>
      <c r="N128" s="730"/>
      <c r="O128" s="733"/>
      <c r="Q128" s="728"/>
      <c r="R128" s="661"/>
      <c r="S128" s="228" t="str">
        <f t="array" ref="S128">IFERROR(INDEX('💻シート作成'!$D$6:$D1001, MATCH(T128, '💻シート作成'!$E$6:$E1001, 0)), "")</f>
        <v/>
      </c>
      <c r="T128" s="184"/>
      <c r="U128" s="664"/>
      <c r="V128" s="774"/>
      <c r="W128" s="661"/>
      <c r="X128" s="757"/>
      <c r="Y128" s="661"/>
      <c r="Z128" s="661"/>
    </row>
    <row r="129" hidden="1" outlineLevel="1">
      <c r="A129" s="661"/>
      <c r="B129" s="729"/>
      <c r="C129" s="730"/>
      <c r="D129" s="730"/>
      <c r="E129" s="730"/>
      <c r="F129" s="730"/>
      <c r="G129" s="731"/>
      <c r="H129" s="730"/>
      <c r="I129" s="730"/>
      <c r="J129" s="730"/>
      <c r="K129" s="730"/>
      <c r="L129" s="773"/>
      <c r="M129" s="769"/>
      <c r="N129" s="730"/>
      <c r="O129" s="733"/>
      <c r="Q129" s="728"/>
      <c r="R129" s="661"/>
      <c r="S129" s="228" t="str">
        <f t="array" ref="S129">IFERROR(INDEX('💻シート作成'!$D$6:$D1001, MATCH(T129, '💻シート作成'!$E$6:$E1001, 0)), "")</f>
        <v/>
      </c>
      <c r="T129" s="184"/>
      <c r="U129" s="664"/>
      <c r="V129" s="774"/>
      <c r="W129" s="661"/>
      <c r="X129" s="757"/>
      <c r="Y129" s="661"/>
      <c r="Z129" s="661"/>
    </row>
    <row r="130" hidden="1" outlineLevel="1">
      <c r="A130" s="661"/>
      <c r="B130" s="729"/>
      <c r="C130" s="730"/>
      <c r="D130" s="730"/>
      <c r="E130" s="730"/>
      <c r="F130" s="697"/>
      <c r="G130" s="698"/>
      <c r="H130" s="697"/>
      <c r="I130" s="697"/>
      <c r="J130" s="697"/>
      <c r="K130" s="697"/>
      <c r="L130" s="773"/>
      <c r="M130" s="769"/>
      <c r="N130" s="697"/>
      <c r="O130" s="700"/>
      <c r="P130" s="701"/>
      <c r="Q130" s="737"/>
      <c r="R130" s="661"/>
      <c r="S130" s="228" t="str">
        <f t="array" ref="S130">IFERROR(INDEX('💻シート作成'!$D$6:$D1001, MATCH(T130, '💻シート作成'!$E$6:$E1001, 0)), "")</f>
        <v/>
      </c>
      <c r="T130" s="184"/>
      <c r="U130" s="664"/>
      <c r="V130" s="774"/>
      <c r="W130" s="661"/>
      <c r="X130" s="757"/>
      <c r="Y130" s="661"/>
      <c r="Z130" s="661"/>
    </row>
    <row r="131" hidden="1" outlineLevel="1">
      <c r="A131" s="661"/>
      <c r="B131" s="738"/>
      <c r="C131" s="697"/>
      <c r="D131" s="697"/>
      <c r="E131" s="697"/>
      <c r="F131" s="739" t="s">
        <v>517</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4"/>
      <c r="W131" s="661"/>
      <c r="X131" s="757"/>
      <c r="Y131" s="661"/>
      <c r="Z131" s="661"/>
    </row>
    <row r="132" hidden="1" outlineLevel="1">
      <c r="A132" s="661"/>
      <c r="B132" s="743"/>
      <c r="C132" s="744">
        <f>IF(C121="","",IF(DAY(C121+1)=1,"",C121+1))</f>
        <v>46124</v>
      </c>
      <c r="D132" s="745" t="str">
        <f>TEXT(C132,"ddd")</f>
        <v>日</v>
      </c>
      <c r="E132" s="746"/>
      <c r="F132" s="775" t="s">
        <v>518</v>
      </c>
      <c r="G132" s="776" t="s">
        <v>519</v>
      </c>
      <c r="H132" s="777"/>
      <c r="I132" s="778">
        <v>0.0</v>
      </c>
      <c r="J132" s="745"/>
      <c r="K132" s="745"/>
      <c r="L132" s="755"/>
      <c r="M132" s="755"/>
      <c r="N132" s="775"/>
      <c r="O132" s="779"/>
      <c r="P132" s="771"/>
      <c r="Q132" s="772"/>
      <c r="R132" s="661"/>
      <c r="S132" s="228" t="str">
        <f t="array" ref="S132">IFERROR(INDEX('💻シート作成'!$D$6:$D1001, MATCH(T132, '💻シート作成'!$E$6:$E1001, 0)), "")</f>
        <v/>
      </c>
      <c r="T132" s="184"/>
      <c r="U132" s="664"/>
      <c r="V132" s="774"/>
      <c r="W132" s="661"/>
      <c r="X132" s="757"/>
      <c r="Y132" s="661"/>
      <c r="Z132" s="661"/>
    </row>
    <row r="133" hidden="1" outlineLevel="1">
      <c r="A133" s="661"/>
      <c r="B133" s="729"/>
      <c r="C133" s="730"/>
      <c r="D133" s="730"/>
      <c r="E133" s="730"/>
      <c r="F133" s="730"/>
      <c r="G133" s="731"/>
      <c r="H133" s="730"/>
      <c r="I133" s="730"/>
      <c r="J133" s="730"/>
      <c r="K133" s="730"/>
      <c r="L133" s="755"/>
      <c r="M133" s="755"/>
      <c r="N133" s="730"/>
      <c r="O133" s="733"/>
      <c r="Q133" s="728"/>
      <c r="R133" s="661"/>
      <c r="S133" s="228" t="str">
        <f t="array" ref="S133">IFERROR(INDEX('💻シート作成'!$D$6:$D1001, MATCH(T133, '💻シート作成'!$E$6:$E1001, 0)), "")</f>
        <v/>
      </c>
      <c r="T133" s="184"/>
      <c r="U133" s="664"/>
      <c r="V133" s="774"/>
      <c r="W133" s="661"/>
      <c r="X133" s="757"/>
      <c r="Y133" s="661"/>
      <c r="Z133" s="661"/>
    </row>
    <row r="134" hidden="1" outlineLevel="1">
      <c r="A134" s="661"/>
      <c r="B134" s="729"/>
      <c r="C134" s="730"/>
      <c r="D134" s="730"/>
      <c r="E134" s="730"/>
      <c r="F134" s="730"/>
      <c r="G134" s="731"/>
      <c r="H134" s="730"/>
      <c r="I134" s="730"/>
      <c r="J134" s="730"/>
      <c r="K134" s="730"/>
      <c r="L134" s="755"/>
      <c r="M134" s="755"/>
      <c r="N134" s="730"/>
      <c r="O134" s="733"/>
      <c r="Q134" s="728"/>
      <c r="R134" s="661"/>
      <c r="S134" s="228" t="str">
        <f t="array" ref="S134">IFERROR(INDEX('💻シート作成'!$D$6:$D1001, MATCH(T134, '💻シート作成'!$E$6:$E1001, 0)), "")</f>
        <v/>
      </c>
      <c r="T134" s="184"/>
      <c r="U134" s="664"/>
      <c r="V134" s="774"/>
      <c r="W134" s="661"/>
      <c r="X134" s="757"/>
      <c r="Y134" s="661"/>
      <c r="Z134" s="661"/>
    </row>
    <row r="135" hidden="1" outlineLevel="1">
      <c r="A135" s="661"/>
      <c r="B135" s="729"/>
      <c r="C135" s="730"/>
      <c r="D135" s="730"/>
      <c r="E135" s="730"/>
      <c r="F135" s="730"/>
      <c r="G135" s="731"/>
      <c r="H135" s="730"/>
      <c r="I135" s="730"/>
      <c r="J135" s="730"/>
      <c r="K135" s="730"/>
      <c r="L135" s="756"/>
      <c r="M135" s="755"/>
      <c r="N135" s="730"/>
      <c r="O135" s="733"/>
      <c r="Q135" s="728"/>
      <c r="R135" s="661"/>
      <c r="S135" s="228" t="str">
        <f t="array" ref="S135">IFERROR(INDEX('💻シート作成'!$D$6:$D1001, MATCH(T135, '💻シート作成'!$E$6:$E1001, 0)), "")</f>
        <v/>
      </c>
      <c r="T135" s="184"/>
      <c r="U135" s="664"/>
      <c r="V135" s="774"/>
      <c r="W135" s="661"/>
      <c r="X135" s="757"/>
      <c r="Y135" s="661"/>
      <c r="Z135" s="661"/>
    </row>
    <row r="136" hidden="1" outlineLevel="1">
      <c r="A136" s="661"/>
      <c r="B136" s="729"/>
      <c r="C136" s="730"/>
      <c r="D136" s="730"/>
      <c r="E136" s="730"/>
      <c r="F136" s="730"/>
      <c r="G136" s="731"/>
      <c r="H136" s="730"/>
      <c r="I136" s="730"/>
      <c r="J136" s="730"/>
      <c r="K136" s="730"/>
      <c r="L136" s="756"/>
      <c r="M136" s="755"/>
      <c r="N136" s="730"/>
      <c r="O136" s="733"/>
      <c r="Q136" s="728"/>
      <c r="R136" s="661"/>
      <c r="S136" s="228" t="str">
        <f t="array" ref="S136">IFERROR(INDEX('💻シート作成'!$D$6:$D1001, MATCH(T136, '💻シート作成'!$E$6:$E1001, 0)), "")</f>
        <v/>
      </c>
      <c r="T136" s="184"/>
      <c r="U136" s="664"/>
      <c r="V136" s="774"/>
      <c r="W136" s="661"/>
      <c r="X136" s="757"/>
      <c r="Y136" s="661"/>
      <c r="Z136" s="661"/>
    </row>
    <row r="137" hidden="1" outlineLevel="1">
      <c r="A137" s="661"/>
      <c r="B137" s="729"/>
      <c r="C137" s="730"/>
      <c r="D137" s="730"/>
      <c r="E137" s="730"/>
      <c r="F137" s="730"/>
      <c r="G137" s="731"/>
      <c r="H137" s="730"/>
      <c r="I137" s="730"/>
      <c r="J137" s="730"/>
      <c r="K137" s="730"/>
      <c r="L137" s="756"/>
      <c r="M137" s="755"/>
      <c r="N137" s="730"/>
      <c r="O137" s="733"/>
      <c r="Q137" s="728"/>
      <c r="R137" s="661"/>
      <c r="S137" s="228" t="str">
        <f t="array" ref="S137">IFERROR(INDEX('💻シート作成'!$D$6:$D1001, MATCH(T137, '💻シート作成'!$E$6:$E1001, 0)), "")</f>
        <v/>
      </c>
      <c r="T137" s="184"/>
      <c r="U137" s="664"/>
      <c r="V137" s="774"/>
      <c r="W137" s="661"/>
      <c r="X137" s="757"/>
      <c r="Y137" s="661"/>
      <c r="Z137" s="661"/>
    </row>
    <row r="138" hidden="1" outlineLevel="1">
      <c r="A138" s="661"/>
      <c r="B138" s="729"/>
      <c r="C138" s="730"/>
      <c r="D138" s="730"/>
      <c r="E138" s="730"/>
      <c r="F138" s="730"/>
      <c r="G138" s="731"/>
      <c r="H138" s="730"/>
      <c r="I138" s="730"/>
      <c r="J138" s="730"/>
      <c r="K138" s="730"/>
      <c r="L138" s="756"/>
      <c r="M138" s="755"/>
      <c r="N138" s="730"/>
      <c r="O138" s="733"/>
      <c r="Q138" s="728"/>
      <c r="R138" s="661"/>
      <c r="S138" s="228" t="str">
        <f t="array" ref="S138">IFERROR(INDEX('💻シート作成'!$D$6:$D1001, MATCH(T138, '💻シート作成'!$E$6:$E1001, 0)), "")</f>
        <v/>
      </c>
      <c r="T138" s="184"/>
      <c r="U138" s="664"/>
      <c r="V138" s="774"/>
      <c r="W138" s="661"/>
      <c r="X138" s="757"/>
      <c r="Y138" s="661"/>
      <c r="Z138" s="661"/>
    </row>
    <row r="139" hidden="1" outlineLevel="1">
      <c r="A139" s="661"/>
      <c r="B139" s="729"/>
      <c r="C139" s="730"/>
      <c r="D139" s="730"/>
      <c r="E139" s="730"/>
      <c r="F139" s="730"/>
      <c r="G139" s="731"/>
      <c r="H139" s="730"/>
      <c r="I139" s="730"/>
      <c r="J139" s="730"/>
      <c r="K139" s="730"/>
      <c r="L139" s="756"/>
      <c r="M139" s="755"/>
      <c r="N139" s="730"/>
      <c r="O139" s="733"/>
      <c r="Q139" s="728"/>
      <c r="R139" s="661"/>
      <c r="S139" s="228" t="str">
        <f t="array" ref="S139">IFERROR(INDEX('💻シート作成'!$D$6:$D1001, MATCH(T139, '💻シート作成'!$E$6:$E1001, 0)), "")</f>
        <v/>
      </c>
      <c r="T139" s="184"/>
      <c r="U139" s="664"/>
      <c r="V139" s="774"/>
      <c r="W139" s="661"/>
      <c r="X139" s="757"/>
      <c r="Y139" s="661"/>
      <c r="Z139" s="661"/>
    </row>
    <row r="140" hidden="1" outlineLevel="1">
      <c r="A140" s="661"/>
      <c r="B140" s="729"/>
      <c r="C140" s="730"/>
      <c r="D140" s="730"/>
      <c r="E140" s="730"/>
      <c r="F140" s="730"/>
      <c r="G140" s="731"/>
      <c r="H140" s="730"/>
      <c r="I140" s="730"/>
      <c r="J140" s="730"/>
      <c r="K140" s="730"/>
      <c r="L140" s="756"/>
      <c r="M140" s="755"/>
      <c r="N140" s="730"/>
      <c r="O140" s="733"/>
      <c r="Q140" s="728"/>
      <c r="R140" s="661"/>
      <c r="S140" s="228" t="str">
        <f t="array" ref="S140">IFERROR(INDEX('💻シート作成'!$D$6:$D1001, MATCH(T140, '💻シート作成'!$E$6:$E1001, 0)), "")</f>
        <v/>
      </c>
      <c r="T140" s="184"/>
      <c r="U140" s="664"/>
      <c r="V140" s="774"/>
      <c r="W140" s="661"/>
      <c r="X140" s="757"/>
      <c r="Y140" s="661"/>
      <c r="Z140" s="661"/>
    </row>
    <row r="141" hidden="1" outlineLevel="1">
      <c r="A141" s="661"/>
      <c r="B141" s="729"/>
      <c r="C141" s="730"/>
      <c r="D141" s="730"/>
      <c r="E141" s="730"/>
      <c r="F141" s="697"/>
      <c r="G141" s="698"/>
      <c r="H141" s="697"/>
      <c r="I141" s="697"/>
      <c r="J141" s="697"/>
      <c r="K141" s="697"/>
      <c r="L141" s="756"/>
      <c r="M141" s="755"/>
      <c r="N141" s="697"/>
      <c r="O141" s="700"/>
      <c r="P141" s="701"/>
      <c r="Q141" s="737"/>
      <c r="R141" s="661"/>
      <c r="S141" s="228" t="str">
        <f t="array" ref="S141">IFERROR(INDEX('💻シート作成'!$D$6:$D1001, MATCH(T141, '💻シート作成'!$E$6:$E1001, 0)), "")</f>
        <v/>
      </c>
      <c r="T141" s="184"/>
      <c r="U141" s="664"/>
      <c r="V141" s="774"/>
      <c r="W141" s="661"/>
      <c r="X141" s="757"/>
      <c r="Y141" s="661"/>
      <c r="Z141" s="661"/>
    </row>
    <row r="142" hidden="1" outlineLevel="1">
      <c r="A142" s="661"/>
      <c r="B142" s="738"/>
      <c r="C142" s="697"/>
      <c r="D142" s="697"/>
      <c r="E142" s="697"/>
      <c r="F142" s="758" t="s">
        <v>517</v>
      </c>
      <c r="G142" s="759"/>
      <c r="H142" s="741"/>
      <c r="I142" s="741"/>
      <c r="J142" s="741"/>
      <c r="K142" s="741"/>
      <c r="L142" s="759"/>
      <c r="M142" s="759"/>
      <c r="N142" s="759"/>
      <c r="O142" s="759"/>
      <c r="P142" s="759"/>
      <c r="Q142" s="760"/>
      <c r="R142" s="661"/>
      <c r="S142" s="228" t="str">
        <f t="array" ref="S142">IFERROR(INDEX('💻シート作成'!$D$6:$D1001, MATCH(T142, '💻シート作成'!$E$6:$E1001, 0)), "")</f>
        <v/>
      </c>
      <c r="T142" s="184"/>
      <c r="U142" s="664"/>
      <c r="V142" s="774"/>
      <c r="W142" s="661"/>
      <c r="X142" s="757"/>
      <c r="Y142" s="661"/>
      <c r="Z142" s="661"/>
    </row>
    <row r="143" hidden="1" outlineLevel="1">
      <c r="A143" s="661"/>
      <c r="B143" s="761"/>
      <c r="C143" s="762">
        <f>IF(C132="","",IF(DAY(C132+1)=1,"",C132+1))</f>
        <v>46125</v>
      </c>
      <c r="D143" s="763" t="str">
        <f>TEXT(C143,"ddd")</f>
        <v>月</v>
      </c>
      <c r="E143" s="764"/>
      <c r="F143" s="765" t="s">
        <v>518</v>
      </c>
      <c r="G143" s="766" t="s">
        <v>519</v>
      </c>
      <c r="H143" s="767"/>
      <c r="I143" s="768">
        <v>0.0</v>
      </c>
      <c r="J143" s="763"/>
      <c r="K143" s="763"/>
      <c r="L143" s="769"/>
      <c r="M143" s="769"/>
      <c r="N143" s="765"/>
      <c r="O143" s="770"/>
      <c r="P143" s="771"/>
      <c r="Q143" s="772"/>
      <c r="R143" s="661"/>
      <c r="S143" s="228" t="str">
        <f t="array" ref="S143">IFERROR(INDEX('💻シート作成'!$D$6:$D1001, MATCH(T143, '💻シート作成'!$E$6:$E1001, 0)), "")</f>
        <v/>
      </c>
      <c r="T143" s="184"/>
      <c r="U143" s="664"/>
      <c r="V143" s="774"/>
      <c r="W143" s="661"/>
      <c r="X143" s="757"/>
      <c r="Y143" s="661"/>
      <c r="Z143" s="661"/>
    </row>
    <row r="144" hidden="1" outlineLevel="1">
      <c r="A144" s="661"/>
      <c r="B144" s="729"/>
      <c r="C144" s="730"/>
      <c r="D144" s="730"/>
      <c r="E144" s="730"/>
      <c r="F144" s="730"/>
      <c r="G144" s="731"/>
      <c r="H144" s="730"/>
      <c r="I144" s="730"/>
      <c r="J144" s="730"/>
      <c r="K144" s="730"/>
      <c r="L144" s="769"/>
      <c r="M144" s="769"/>
      <c r="N144" s="730"/>
      <c r="O144" s="733"/>
      <c r="Q144" s="728"/>
      <c r="R144" s="661"/>
      <c r="S144" s="228" t="str">
        <f t="array" ref="S144">IFERROR(INDEX('💻シート作成'!$D$6:$D1001, MATCH(T144, '💻シート作成'!$E$6:$E1001, 0)), "")</f>
        <v/>
      </c>
      <c r="T144" s="184"/>
      <c r="U144" s="664"/>
      <c r="V144" s="774"/>
      <c r="W144" s="661"/>
      <c r="X144" s="757"/>
      <c r="Y144" s="661"/>
      <c r="Z144" s="661"/>
    </row>
    <row r="145" hidden="1" outlineLevel="1">
      <c r="A145" s="661"/>
      <c r="B145" s="729"/>
      <c r="C145" s="730"/>
      <c r="D145" s="730"/>
      <c r="E145" s="730"/>
      <c r="F145" s="730"/>
      <c r="G145" s="731"/>
      <c r="H145" s="730"/>
      <c r="I145" s="730"/>
      <c r="J145" s="730"/>
      <c r="K145" s="730"/>
      <c r="L145" s="769"/>
      <c r="M145" s="769"/>
      <c r="N145" s="730"/>
      <c r="O145" s="733"/>
      <c r="Q145" s="728"/>
      <c r="R145" s="661"/>
      <c r="S145" s="228" t="str">
        <f t="array" ref="S145">IFERROR(INDEX('💻シート作成'!$D$6:$D1001, MATCH(T145, '💻シート作成'!$E$6:$E1001, 0)), "")</f>
        <v/>
      </c>
      <c r="T145" s="184"/>
      <c r="U145" s="664"/>
      <c r="V145" s="774"/>
      <c r="W145" s="661"/>
      <c r="X145" s="757"/>
      <c r="Y145" s="661"/>
      <c r="Z145" s="661"/>
    </row>
    <row r="146" hidden="1" outlineLevel="1">
      <c r="A146" s="661"/>
      <c r="B146" s="729"/>
      <c r="C146" s="730"/>
      <c r="D146" s="730"/>
      <c r="E146" s="730"/>
      <c r="F146" s="730"/>
      <c r="G146" s="731"/>
      <c r="H146" s="730"/>
      <c r="I146" s="730"/>
      <c r="J146" s="730"/>
      <c r="K146" s="730"/>
      <c r="L146" s="773"/>
      <c r="M146" s="769"/>
      <c r="N146" s="730"/>
      <c r="O146" s="733"/>
      <c r="Q146" s="728"/>
      <c r="R146" s="661"/>
      <c r="S146" s="228" t="str">
        <f t="array" ref="S146">IFERROR(INDEX('💻シート作成'!$D$6:$D1001, MATCH(T146, '💻シート作成'!$E$6:$E1001, 0)), "")</f>
        <v/>
      </c>
      <c r="T146" s="184"/>
      <c r="U146" s="664"/>
      <c r="V146" s="774"/>
      <c r="W146" s="661"/>
      <c r="X146" s="757"/>
      <c r="Y146" s="661"/>
      <c r="Z146" s="661"/>
    </row>
    <row r="147" hidden="1" outlineLevel="1">
      <c r="A147" s="661"/>
      <c r="B147" s="729"/>
      <c r="C147" s="730"/>
      <c r="D147" s="730"/>
      <c r="E147" s="730"/>
      <c r="F147" s="730"/>
      <c r="G147" s="731"/>
      <c r="H147" s="730"/>
      <c r="I147" s="730"/>
      <c r="J147" s="730"/>
      <c r="K147" s="730"/>
      <c r="L147" s="773"/>
      <c r="M147" s="769"/>
      <c r="N147" s="730"/>
      <c r="O147" s="733"/>
      <c r="Q147" s="728"/>
      <c r="R147" s="661"/>
      <c r="S147" s="228" t="str">
        <f t="array" ref="S147">IFERROR(INDEX('💻シート作成'!$D$6:$D1001, MATCH(T147, '💻シート作成'!$E$6:$E1001, 0)), "")</f>
        <v/>
      </c>
      <c r="T147" s="184"/>
      <c r="U147" s="664"/>
      <c r="V147" s="774"/>
      <c r="W147" s="661"/>
      <c r="X147" s="757"/>
      <c r="Y147" s="661"/>
      <c r="Z147" s="661"/>
    </row>
    <row r="148" hidden="1" outlineLevel="1">
      <c r="A148" s="661"/>
      <c r="B148" s="729"/>
      <c r="C148" s="730"/>
      <c r="D148" s="730"/>
      <c r="E148" s="730"/>
      <c r="F148" s="730"/>
      <c r="G148" s="731"/>
      <c r="H148" s="730"/>
      <c r="I148" s="730"/>
      <c r="J148" s="730"/>
      <c r="K148" s="730"/>
      <c r="L148" s="773"/>
      <c r="M148" s="769"/>
      <c r="N148" s="730"/>
      <c r="O148" s="733"/>
      <c r="Q148" s="728"/>
      <c r="R148" s="661"/>
      <c r="S148" s="228" t="str">
        <f t="array" ref="S148">IFERROR(INDEX('💻シート作成'!$D$6:$D1001, MATCH(T148, '💻シート作成'!$E$6:$E1001, 0)), "")</f>
        <v/>
      </c>
      <c r="T148" s="184"/>
      <c r="U148" s="664"/>
      <c r="V148" s="774"/>
      <c r="W148" s="661"/>
      <c r="X148" s="757"/>
      <c r="Y148" s="661"/>
      <c r="Z148" s="661"/>
    </row>
    <row r="149" hidden="1" outlineLevel="1">
      <c r="A149" s="661"/>
      <c r="B149" s="729"/>
      <c r="C149" s="730"/>
      <c r="D149" s="730"/>
      <c r="E149" s="730"/>
      <c r="F149" s="730"/>
      <c r="G149" s="731"/>
      <c r="H149" s="730"/>
      <c r="I149" s="730"/>
      <c r="J149" s="730"/>
      <c r="K149" s="730"/>
      <c r="L149" s="773"/>
      <c r="M149" s="769"/>
      <c r="N149" s="730"/>
      <c r="O149" s="733"/>
      <c r="Q149" s="728"/>
      <c r="R149" s="661"/>
      <c r="S149" s="228" t="str">
        <f t="array" ref="S149">IFERROR(INDEX('💻シート作成'!$D$6:$D1001, MATCH(T149, '💻シート作成'!$E$6:$E1001, 0)), "")</f>
        <v/>
      </c>
      <c r="T149" s="184"/>
      <c r="U149" s="664"/>
      <c r="V149" s="774"/>
      <c r="W149" s="661"/>
      <c r="X149" s="757"/>
      <c r="Y149" s="661"/>
      <c r="Z149" s="661"/>
    </row>
    <row r="150" hidden="1" outlineLevel="1">
      <c r="A150" s="661"/>
      <c r="B150" s="729"/>
      <c r="C150" s="730"/>
      <c r="D150" s="730"/>
      <c r="E150" s="730"/>
      <c r="F150" s="730"/>
      <c r="G150" s="731"/>
      <c r="H150" s="730"/>
      <c r="I150" s="730"/>
      <c r="J150" s="730"/>
      <c r="K150" s="730"/>
      <c r="L150" s="773"/>
      <c r="M150" s="769"/>
      <c r="N150" s="730"/>
      <c r="O150" s="733"/>
      <c r="Q150" s="728"/>
      <c r="R150" s="661"/>
      <c r="S150" s="228" t="str">
        <f t="array" ref="S150">IFERROR(INDEX('💻シート作成'!$D$6:$D1001, MATCH(T150, '💻シート作成'!$E$6:$E1001, 0)), "")</f>
        <v/>
      </c>
      <c r="T150" s="184"/>
      <c r="U150" s="664"/>
      <c r="V150" s="774"/>
      <c r="W150" s="661"/>
      <c r="X150" s="757"/>
      <c r="Y150" s="661"/>
      <c r="Z150" s="661"/>
    </row>
    <row r="151" hidden="1" outlineLevel="1">
      <c r="A151" s="661"/>
      <c r="B151" s="729"/>
      <c r="C151" s="730"/>
      <c r="D151" s="730"/>
      <c r="E151" s="730"/>
      <c r="F151" s="730"/>
      <c r="G151" s="731"/>
      <c r="H151" s="730"/>
      <c r="I151" s="730"/>
      <c r="J151" s="730"/>
      <c r="K151" s="730"/>
      <c r="L151" s="773"/>
      <c r="M151" s="769"/>
      <c r="N151" s="730"/>
      <c r="O151" s="733"/>
      <c r="Q151" s="728"/>
      <c r="R151" s="661"/>
      <c r="S151" s="228" t="str">
        <f t="array" ref="S151">IFERROR(INDEX('💻シート作成'!$D$6:$D1001, MATCH(T151, '💻シート作成'!$E$6:$E1001, 0)), "")</f>
        <v/>
      </c>
      <c r="T151" s="184"/>
      <c r="U151" s="664"/>
      <c r="V151" s="774"/>
      <c r="W151" s="661"/>
      <c r="X151" s="757"/>
      <c r="Y151" s="661"/>
      <c r="Z151" s="661"/>
    </row>
    <row r="152" hidden="1" outlineLevel="1">
      <c r="A152" s="661"/>
      <c r="B152" s="729"/>
      <c r="C152" s="730"/>
      <c r="D152" s="730"/>
      <c r="E152" s="730"/>
      <c r="F152" s="697"/>
      <c r="G152" s="698"/>
      <c r="H152" s="697"/>
      <c r="I152" s="697"/>
      <c r="J152" s="697"/>
      <c r="K152" s="697"/>
      <c r="L152" s="773"/>
      <c r="M152" s="769"/>
      <c r="N152" s="697"/>
      <c r="O152" s="700"/>
      <c r="P152" s="701"/>
      <c r="Q152" s="737"/>
      <c r="R152" s="661"/>
      <c r="S152" s="228" t="str">
        <f t="array" ref="S152">IFERROR(INDEX('💻シート作成'!$D$6:$D1001, MATCH(T152, '💻シート作成'!$E$6:$E1001, 0)), "")</f>
        <v/>
      </c>
      <c r="T152" s="184"/>
      <c r="U152" s="664"/>
      <c r="V152" s="774"/>
      <c r="W152" s="661"/>
      <c r="X152" s="757"/>
      <c r="Y152" s="661"/>
      <c r="Z152" s="661"/>
    </row>
    <row r="153" hidden="1" outlineLevel="1">
      <c r="A153" s="661"/>
      <c r="B153" s="738"/>
      <c r="C153" s="697"/>
      <c r="D153" s="697"/>
      <c r="E153" s="697"/>
      <c r="F153" s="739" t="s">
        <v>517</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4"/>
      <c r="W153" s="661"/>
      <c r="X153" s="757"/>
      <c r="Y153" s="661"/>
      <c r="Z153" s="661"/>
    </row>
    <row r="154" hidden="1" outlineLevel="1">
      <c r="A154" s="661"/>
      <c r="B154" s="743"/>
      <c r="C154" s="744">
        <f>IF(C143="","",IF(DAY(C143+1)=1,"",C143+1))</f>
        <v>46126</v>
      </c>
      <c r="D154" s="745" t="str">
        <f>TEXT(C154,"ddd")</f>
        <v>火</v>
      </c>
      <c r="E154" s="746"/>
      <c r="F154" s="775" t="s">
        <v>518</v>
      </c>
      <c r="G154" s="776" t="s">
        <v>519</v>
      </c>
      <c r="H154" s="777"/>
      <c r="I154" s="778">
        <v>0.0</v>
      </c>
      <c r="J154" s="745"/>
      <c r="K154" s="745"/>
      <c r="L154" s="755"/>
      <c r="M154" s="755"/>
      <c r="N154" s="775"/>
      <c r="O154" s="779"/>
      <c r="P154" s="771"/>
      <c r="Q154" s="772"/>
      <c r="R154" s="661"/>
      <c r="S154" s="228" t="str">
        <f t="array" ref="S154">IFERROR(INDEX('💻シート作成'!$D$6:$D1001, MATCH(T154, '💻シート作成'!$E$6:$E1001, 0)), "")</f>
        <v/>
      </c>
      <c r="T154" s="184"/>
      <c r="U154" s="664"/>
      <c r="V154" s="774"/>
      <c r="W154" s="661"/>
      <c r="X154" s="757"/>
      <c r="Y154" s="661"/>
      <c r="Z154" s="661"/>
    </row>
    <row r="155" hidden="1" outlineLevel="1">
      <c r="A155" s="661"/>
      <c r="B155" s="729"/>
      <c r="C155" s="730"/>
      <c r="D155" s="730"/>
      <c r="E155" s="730"/>
      <c r="F155" s="730"/>
      <c r="G155" s="731"/>
      <c r="H155" s="730"/>
      <c r="I155" s="730"/>
      <c r="J155" s="730"/>
      <c r="K155" s="730"/>
      <c r="L155" s="755"/>
      <c r="M155" s="755"/>
      <c r="N155" s="730"/>
      <c r="O155" s="733"/>
      <c r="Q155" s="728"/>
      <c r="R155" s="661"/>
      <c r="S155" s="228" t="str">
        <f t="array" ref="S155">IFERROR(INDEX('💻シート作成'!$D$6:$D1001, MATCH(T155, '💻シート作成'!$E$6:$E1001, 0)), "")</f>
        <v/>
      </c>
      <c r="T155" s="184"/>
      <c r="U155" s="664"/>
      <c r="V155" s="774"/>
      <c r="W155" s="661"/>
      <c r="X155" s="757"/>
      <c r="Y155" s="661"/>
      <c r="Z155" s="661"/>
    </row>
    <row r="156" hidden="1" outlineLevel="1">
      <c r="A156" s="661"/>
      <c r="B156" s="729"/>
      <c r="C156" s="730"/>
      <c r="D156" s="730"/>
      <c r="E156" s="730"/>
      <c r="F156" s="730"/>
      <c r="G156" s="731"/>
      <c r="H156" s="730"/>
      <c r="I156" s="730"/>
      <c r="J156" s="730"/>
      <c r="K156" s="730"/>
      <c r="L156" s="755"/>
      <c r="M156" s="755"/>
      <c r="N156" s="730"/>
      <c r="O156" s="733"/>
      <c r="Q156" s="728"/>
      <c r="R156" s="661"/>
      <c r="S156" s="228" t="str">
        <f t="array" ref="S156">IFERROR(INDEX('💻シート作成'!$D$6:$D1001, MATCH(T156, '💻シート作成'!$E$6:$E1001, 0)), "")</f>
        <v/>
      </c>
      <c r="T156" s="184"/>
      <c r="U156" s="664"/>
      <c r="V156" s="774"/>
      <c r="W156" s="661"/>
      <c r="X156" s="757"/>
      <c r="Y156" s="661"/>
      <c r="Z156" s="661"/>
    </row>
    <row r="157" hidden="1" outlineLevel="1">
      <c r="A157" s="661"/>
      <c r="B157" s="729"/>
      <c r="C157" s="730"/>
      <c r="D157" s="730"/>
      <c r="E157" s="730"/>
      <c r="F157" s="730"/>
      <c r="G157" s="731"/>
      <c r="H157" s="730"/>
      <c r="I157" s="730"/>
      <c r="J157" s="730"/>
      <c r="K157" s="730"/>
      <c r="L157" s="756"/>
      <c r="M157" s="755"/>
      <c r="N157" s="730"/>
      <c r="O157" s="733"/>
      <c r="Q157" s="728"/>
      <c r="R157" s="661"/>
      <c r="S157" s="228" t="str">
        <f t="array" ref="S157">IFERROR(INDEX('💻シート作成'!$D$6:$D1001, MATCH(T157, '💻シート作成'!$E$6:$E1001, 0)), "")</f>
        <v/>
      </c>
      <c r="T157" s="184"/>
      <c r="U157" s="664"/>
      <c r="V157" s="774"/>
      <c r="W157" s="661"/>
      <c r="X157" s="757"/>
      <c r="Y157" s="661"/>
      <c r="Z157" s="661"/>
    </row>
    <row r="158" hidden="1" outlineLevel="1">
      <c r="A158" s="661"/>
      <c r="B158" s="729"/>
      <c r="C158" s="730"/>
      <c r="D158" s="730"/>
      <c r="E158" s="730"/>
      <c r="F158" s="730"/>
      <c r="G158" s="731"/>
      <c r="H158" s="730"/>
      <c r="I158" s="730"/>
      <c r="J158" s="730"/>
      <c r="K158" s="730"/>
      <c r="L158" s="756"/>
      <c r="M158" s="755"/>
      <c r="N158" s="730"/>
      <c r="O158" s="733"/>
      <c r="Q158" s="728"/>
      <c r="R158" s="661"/>
      <c r="S158" s="228" t="str">
        <f t="array" ref="S158">IFERROR(INDEX('💻シート作成'!$D$6:$D1001, MATCH(T158, '💻シート作成'!$E$6:$E1001, 0)), "")</f>
        <v/>
      </c>
      <c r="T158" s="184"/>
      <c r="U158" s="664"/>
      <c r="V158" s="774"/>
      <c r="W158" s="661"/>
      <c r="X158" s="757"/>
      <c r="Y158" s="661"/>
      <c r="Z158" s="661"/>
    </row>
    <row r="159" hidden="1" outlineLevel="1">
      <c r="A159" s="661"/>
      <c r="B159" s="729"/>
      <c r="C159" s="730"/>
      <c r="D159" s="730"/>
      <c r="E159" s="730"/>
      <c r="F159" s="730"/>
      <c r="G159" s="731"/>
      <c r="H159" s="730"/>
      <c r="I159" s="730"/>
      <c r="J159" s="730"/>
      <c r="K159" s="730"/>
      <c r="L159" s="756"/>
      <c r="M159" s="755"/>
      <c r="N159" s="730"/>
      <c r="O159" s="733"/>
      <c r="Q159" s="728"/>
      <c r="R159" s="661"/>
      <c r="S159" s="228" t="str">
        <f t="array" ref="S159">IFERROR(INDEX('💻シート作成'!$D$6:$D1001, MATCH(T159, '💻シート作成'!$E$6:$E1001, 0)), "")</f>
        <v/>
      </c>
      <c r="T159" s="184"/>
      <c r="U159" s="664"/>
      <c r="V159" s="774"/>
      <c r="W159" s="661"/>
      <c r="X159" s="757"/>
      <c r="Y159" s="661"/>
      <c r="Z159" s="661"/>
    </row>
    <row r="160" hidden="1" outlineLevel="1">
      <c r="A160" s="661"/>
      <c r="B160" s="729"/>
      <c r="C160" s="730"/>
      <c r="D160" s="730"/>
      <c r="E160" s="730"/>
      <c r="F160" s="730"/>
      <c r="G160" s="731"/>
      <c r="H160" s="730"/>
      <c r="I160" s="730"/>
      <c r="J160" s="730"/>
      <c r="K160" s="730"/>
      <c r="L160" s="756"/>
      <c r="M160" s="755"/>
      <c r="N160" s="730"/>
      <c r="O160" s="733"/>
      <c r="Q160" s="728"/>
      <c r="R160" s="661"/>
      <c r="S160" s="228" t="str">
        <f t="array" ref="S160">IFERROR(INDEX('💻シート作成'!$D$6:$D1001, MATCH(T160, '💻シート作成'!$E$6:$E1001, 0)), "")</f>
        <v/>
      </c>
      <c r="T160" s="184"/>
      <c r="U160" s="664"/>
      <c r="V160" s="774"/>
      <c r="W160" s="661"/>
      <c r="X160" s="757"/>
      <c r="Y160" s="661"/>
      <c r="Z160" s="661"/>
    </row>
    <row r="161" hidden="1" outlineLevel="1">
      <c r="A161" s="661"/>
      <c r="B161" s="729"/>
      <c r="C161" s="730"/>
      <c r="D161" s="730"/>
      <c r="E161" s="730"/>
      <c r="F161" s="730"/>
      <c r="G161" s="731"/>
      <c r="H161" s="730"/>
      <c r="I161" s="730"/>
      <c r="J161" s="730"/>
      <c r="K161" s="730"/>
      <c r="L161" s="756"/>
      <c r="M161" s="755"/>
      <c r="N161" s="730"/>
      <c r="O161" s="733"/>
      <c r="Q161" s="728"/>
      <c r="R161" s="661"/>
      <c r="S161" s="228" t="str">
        <f t="array" ref="S161">IFERROR(INDEX('💻シート作成'!$D$6:$D1001, MATCH(T161, '💻シート作成'!$E$6:$E1001, 0)), "")</f>
        <v/>
      </c>
      <c r="T161" s="184"/>
      <c r="U161" s="664"/>
      <c r="V161" s="774"/>
      <c r="W161" s="661"/>
      <c r="X161" s="757"/>
      <c r="Y161" s="661"/>
      <c r="Z161" s="661"/>
    </row>
    <row r="162" hidden="1" outlineLevel="1">
      <c r="A162" s="661"/>
      <c r="B162" s="729"/>
      <c r="C162" s="730"/>
      <c r="D162" s="730"/>
      <c r="E162" s="730"/>
      <c r="F162" s="730"/>
      <c r="G162" s="731"/>
      <c r="H162" s="730"/>
      <c r="I162" s="730"/>
      <c r="J162" s="730"/>
      <c r="K162" s="730"/>
      <c r="L162" s="756"/>
      <c r="M162" s="755"/>
      <c r="N162" s="730"/>
      <c r="O162" s="733"/>
      <c r="Q162" s="728"/>
      <c r="R162" s="661"/>
      <c r="S162" s="228" t="str">
        <f t="array" ref="S162">IFERROR(INDEX('💻シート作成'!$D$6:$D1001, MATCH(T162, '💻シート作成'!$E$6:$E1001, 0)), "")</f>
        <v/>
      </c>
      <c r="T162" s="184"/>
      <c r="U162" s="664"/>
      <c r="V162" s="774"/>
      <c r="W162" s="661"/>
      <c r="X162" s="757"/>
      <c r="Y162" s="661"/>
      <c r="Z162" s="661"/>
    </row>
    <row r="163" hidden="1" outlineLevel="1">
      <c r="A163" s="661"/>
      <c r="B163" s="729"/>
      <c r="C163" s="730"/>
      <c r="D163" s="730"/>
      <c r="E163" s="730"/>
      <c r="F163" s="697"/>
      <c r="G163" s="698"/>
      <c r="H163" s="697"/>
      <c r="I163" s="697"/>
      <c r="J163" s="697"/>
      <c r="K163" s="697"/>
      <c r="L163" s="756"/>
      <c r="M163" s="755"/>
      <c r="N163" s="697"/>
      <c r="O163" s="700"/>
      <c r="P163" s="701"/>
      <c r="Q163" s="737"/>
      <c r="R163" s="661"/>
      <c r="S163" s="228" t="str">
        <f t="array" ref="S163">IFERROR(INDEX('💻シート作成'!$D$6:$D1001, MATCH(T163, '💻シート作成'!$E$6:$E1001, 0)), "")</f>
        <v/>
      </c>
      <c r="T163" s="184"/>
      <c r="U163" s="664"/>
      <c r="V163" s="774"/>
      <c r="W163" s="661"/>
      <c r="X163" s="757"/>
      <c r="Y163" s="661"/>
      <c r="Z163" s="661"/>
    </row>
    <row r="164" hidden="1" outlineLevel="1">
      <c r="A164" s="661"/>
      <c r="B164" s="738"/>
      <c r="C164" s="697"/>
      <c r="D164" s="697"/>
      <c r="E164" s="697"/>
      <c r="F164" s="758" t="s">
        <v>517</v>
      </c>
      <c r="G164" s="759"/>
      <c r="H164" s="741"/>
      <c r="I164" s="741"/>
      <c r="J164" s="741"/>
      <c r="K164" s="741"/>
      <c r="L164" s="759"/>
      <c r="M164" s="759"/>
      <c r="N164" s="759"/>
      <c r="O164" s="759"/>
      <c r="P164" s="759"/>
      <c r="Q164" s="760"/>
      <c r="R164" s="661"/>
      <c r="S164" s="228" t="str">
        <f t="array" ref="S164">IFERROR(INDEX('💻シート作成'!$D$6:$D1001, MATCH(T164, '💻シート作成'!$E$6:$E1001, 0)), "")</f>
        <v/>
      </c>
      <c r="T164" s="184"/>
      <c r="U164" s="664"/>
      <c r="V164" s="774"/>
      <c r="W164" s="661"/>
      <c r="X164" s="757"/>
      <c r="Y164" s="661"/>
      <c r="Z164" s="661"/>
    </row>
    <row r="165" hidden="1" outlineLevel="1">
      <c r="A165" s="661"/>
      <c r="B165" s="761"/>
      <c r="C165" s="762">
        <f>IF(C154="","",IF(DAY(C154+1)=1,"",C154+1))</f>
        <v>46127</v>
      </c>
      <c r="D165" s="763" t="str">
        <f>TEXT(C165,"ddd")</f>
        <v>水</v>
      </c>
      <c r="E165" s="764"/>
      <c r="F165" s="765" t="s">
        <v>518</v>
      </c>
      <c r="G165" s="766" t="s">
        <v>519</v>
      </c>
      <c r="H165" s="767"/>
      <c r="I165" s="768">
        <v>0.0</v>
      </c>
      <c r="J165" s="763"/>
      <c r="K165" s="763"/>
      <c r="L165" s="769"/>
      <c r="M165" s="769"/>
      <c r="N165" s="765"/>
      <c r="O165" s="770"/>
      <c r="P165" s="771"/>
      <c r="Q165" s="772"/>
      <c r="R165" s="661"/>
      <c r="S165" s="228" t="str">
        <f t="array" ref="S165">IFERROR(INDEX('💻シート作成'!$D$6:$D1001, MATCH(T165, '💻シート作成'!$E$6:$E1001, 0)), "")</f>
        <v/>
      </c>
      <c r="T165" s="184"/>
      <c r="U165" s="664"/>
      <c r="V165" s="774"/>
      <c r="W165" s="661"/>
      <c r="X165" s="757"/>
      <c r="Y165" s="661"/>
      <c r="Z165" s="661"/>
    </row>
    <row r="166" hidden="1" outlineLevel="1">
      <c r="A166" s="661"/>
      <c r="B166" s="729"/>
      <c r="C166" s="730"/>
      <c r="D166" s="730"/>
      <c r="E166" s="730"/>
      <c r="F166" s="730"/>
      <c r="G166" s="731"/>
      <c r="H166" s="730"/>
      <c r="I166" s="730"/>
      <c r="J166" s="730"/>
      <c r="K166" s="730"/>
      <c r="L166" s="769"/>
      <c r="M166" s="769"/>
      <c r="N166" s="730"/>
      <c r="O166" s="733"/>
      <c r="Q166" s="728"/>
      <c r="R166" s="661"/>
      <c r="S166" s="228" t="str">
        <f t="array" ref="S166">IFERROR(INDEX('💻シート作成'!$D$6:$D1001, MATCH(T166, '💻シート作成'!$E$6:$E1001, 0)), "")</f>
        <v/>
      </c>
      <c r="T166" s="184"/>
      <c r="U166" s="664"/>
      <c r="V166" s="774"/>
      <c r="W166" s="661"/>
      <c r="X166" s="757"/>
      <c r="Y166" s="661"/>
      <c r="Z166" s="661"/>
    </row>
    <row r="167" hidden="1" outlineLevel="1">
      <c r="A167" s="661"/>
      <c r="B167" s="729"/>
      <c r="C167" s="730"/>
      <c r="D167" s="730"/>
      <c r="E167" s="730"/>
      <c r="F167" s="730"/>
      <c r="G167" s="731"/>
      <c r="H167" s="730"/>
      <c r="I167" s="730"/>
      <c r="J167" s="730"/>
      <c r="K167" s="730"/>
      <c r="L167" s="769"/>
      <c r="M167" s="769"/>
      <c r="N167" s="730"/>
      <c r="O167" s="733"/>
      <c r="Q167" s="728"/>
      <c r="R167" s="661"/>
      <c r="S167" s="228" t="str">
        <f t="array" ref="S167">IFERROR(INDEX('💻シート作成'!$D$6:$D1001, MATCH(T167, '💻シート作成'!$E$6:$E1001, 0)), "")</f>
        <v/>
      </c>
      <c r="T167" s="184"/>
      <c r="U167" s="664"/>
      <c r="V167" s="774"/>
      <c r="W167" s="661"/>
      <c r="X167" s="757"/>
      <c r="Y167" s="661"/>
      <c r="Z167" s="661"/>
    </row>
    <row r="168" hidden="1" outlineLevel="1">
      <c r="A168" s="661"/>
      <c r="B168" s="729"/>
      <c r="C168" s="730"/>
      <c r="D168" s="730"/>
      <c r="E168" s="730"/>
      <c r="F168" s="730"/>
      <c r="G168" s="731"/>
      <c r="H168" s="730"/>
      <c r="I168" s="730"/>
      <c r="J168" s="730"/>
      <c r="K168" s="730"/>
      <c r="L168" s="773"/>
      <c r="M168" s="769"/>
      <c r="N168" s="730"/>
      <c r="O168" s="733"/>
      <c r="Q168" s="728"/>
      <c r="R168" s="661"/>
      <c r="S168" s="228" t="str">
        <f t="array" ref="S168">IFERROR(INDEX('💻シート作成'!$D$6:$D1001, MATCH(T168, '💻シート作成'!$E$6:$E1001, 0)), "")</f>
        <v/>
      </c>
      <c r="T168" s="184"/>
      <c r="U168" s="664"/>
      <c r="V168" s="774"/>
      <c r="W168" s="661"/>
      <c r="X168" s="757"/>
      <c r="Y168" s="661"/>
      <c r="Z168" s="661"/>
    </row>
    <row r="169" hidden="1" outlineLevel="1">
      <c r="A169" s="661"/>
      <c r="B169" s="729"/>
      <c r="C169" s="730"/>
      <c r="D169" s="730"/>
      <c r="E169" s="730"/>
      <c r="F169" s="730"/>
      <c r="G169" s="731"/>
      <c r="H169" s="730"/>
      <c r="I169" s="730"/>
      <c r="J169" s="730"/>
      <c r="K169" s="730"/>
      <c r="L169" s="773"/>
      <c r="M169" s="769"/>
      <c r="N169" s="730"/>
      <c r="O169" s="733"/>
      <c r="Q169" s="728"/>
      <c r="R169" s="661"/>
      <c r="S169" s="228" t="str">
        <f t="array" ref="S169">IFERROR(INDEX('💻シート作成'!$D$6:$D1001, MATCH(T169, '💻シート作成'!$E$6:$E1001, 0)), "")</f>
        <v/>
      </c>
      <c r="T169" s="184"/>
      <c r="U169" s="664"/>
      <c r="V169" s="774"/>
      <c r="W169" s="661"/>
      <c r="X169" s="757"/>
      <c r="Y169" s="661"/>
      <c r="Z169" s="661"/>
    </row>
    <row r="170" hidden="1" outlineLevel="1">
      <c r="A170" s="661"/>
      <c r="B170" s="729"/>
      <c r="C170" s="730"/>
      <c r="D170" s="730"/>
      <c r="E170" s="730"/>
      <c r="F170" s="730"/>
      <c r="G170" s="731"/>
      <c r="H170" s="730"/>
      <c r="I170" s="730"/>
      <c r="J170" s="730"/>
      <c r="K170" s="730"/>
      <c r="L170" s="773"/>
      <c r="M170" s="769"/>
      <c r="N170" s="730"/>
      <c r="O170" s="733"/>
      <c r="Q170" s="728"/>
      <c r="R170" s="661"/>
      <c r="S170" s="228" t="str">
        <f t="array" ref="S170">IFERROR(INDEX('💻シート作成'!$D$6:$D1001, MATCH(T170, '💻シート作成'!$E$6:$E1001, 0)), "")</f>
        <v/>
      </c>
      <c r="T170" s="184"/>
      <c r="U170" s="664"/>
      <c r="V170" s="774"/>
      <c r="W170" s="661"/>
      <c r="X170" s="757"/>
      <c r="Y170" s="661"/>
      <c r="Z170" s="661"/>
    </row>
    <row r="171" hidden="1" outlineLevel="1">
      <c r="A171" s="661"/>
      <c r="B171" s="729"/>
      <c r="C171" s="730"/>
      <c r="D171" s="730"/>
      <c r="E171" s="730"/>
      <c r="F171" s="730"/>
      <c r="G171" s="731"/>
      <c r="H171" s="730"/>
      <c r="I171" s="730"/>
      <c r="J171" s="730"/>
      <c r="K171" s="730"/>
      <c r="L171" s="773"/>
      <c r="M171" s="769"/>
      <c r="N171" s="730"/>
      <c r="O171" s="733"/>
      <c r="Q171" s="728"/>
      <c r="R171" s="661"/>
      <c r="S171" s="228" t="str">
        <f t="array" ref="S171">IFERROR(INDEX('💻シート作成'!$D$6:$D1001, MATCH(T171, '💻シート作成'!$E$6:$E1001, 0)), "")</f>
        <v/>
      </c>
      <c r="T171" s="184"/>
      <c r="U171" s="664"/>
      <c r="V171" s="774"/>
      <c r="W171" s="661"/>
      <c r="X171" s="757"/>
      <c r="Y171" s="661"/>
      <c r="Z171" s="661"/>
    </row>
    <row r="172" hidden="1" outlineLevel="1">
      <c r="A172" s="661"/>
      <c r="B172" s="729"/>
      <c r="C172" s="730"/>
      <c r="D172" s="730"/>
      <c r="E172" s="730"/>
      <c r="F172" s="730"/>
      <c r="G172" s="731"/>
      <c r="H172" s="730"/>
      <c r="I172" s="730"/>
      <c r="J172" s="730"/>
      <c r="K172" s="730"/>
      <c r="L172" s="773"/>
      <c r="M172" s="769"/>
      <c r="N172" s="730"/>
      <c r="O172" s="733"/>
      <c r="Q172" s="728"/>
      <c r="R172" s="661"/>
      <c r="S172" s="228" t="str">
        <f t="array" ref="S172">IFERROR(INDEX('💻シート作成'!$D$6:$D1001, MATCH(T172, '💻シート作成'!$E$6:$E1001, 0)), "")</f>
        <v/>
      </c>
      <c r="T172" s="184"/>
      <c r="U172" s="664"/>
      <c r="V172" s="774"/>
      <c r="W172" s="661"/>
      <c r="X172" s="757"/>
      <c r="Y172" s="661"/>
      <c r="Z172" s="661"/>
    </row>
    <row r="173" hidden="1" outlineLevel="1">
      <c r="A173" s="661"/>
      <c r="B173" s="729"/>
      <c r="C173" s="730"/>
      <c r="D173" s="730"/>
      <c r="E173" s="730"/>
      <c r="F173" s="730"/>
      <c r="G173" s="731"/>
      <c r="H173" s="730"/>
      <c r="I173" s="730"/>
      <c r="J173" s="730"/>
      <c r="K173" s="730"/>
      <c r="L173" s="773"/>
      <c r="M173" s="769"/>
      <c r="N173" s="730"/>
      <c r="O173" s="733"/>
      <c r="Q173" s="728"/>
      <c r="R173" s="661"/>
      <c r="S173" s="228" t="str">
        <f t="array" ref="S173">IFERROR(INDEX('💻シート作成'!$D$6:$D1001, MATCH(T173, '💻シート作成'!$E$6:$E1001, 0)), "")</f>
        <v/>
      </c>
      <c r="T173" s="184"/>
      <c r="U173" s="664"/>
      <c r="V173" s="774"/>
      <c r="W173" s="661"/>
      <c r="X173" s="757"/>
      <c r="Y173" s="661"/>
      <c r="Z173" s="661"/>
    </row>
    <row r="174" hidden="1" outlineLevel="1">
      <c r="A174" s="661"/>
      <c r="B174" s="729"/>
      <c r="C174" s="730"/>
      <c r="D174" s="730"/>
      <c r="E174" s="730"/>
      <c r="F174" s="697"/>
      <c r="G174" s="698"/>
      <c r="H174" s="697"/>
      <c r="I174" s="697"/>
      <c r="J174" s="697"/>
      <c r="K174" s="697"/>
      <c r="L174" s="773"/>
      <c r="M174" s="769"/>
      <c r="N174" s="697"/>
      <c r="O174" s="700"/>
      <c r="P174" s="701"/>
      <c r="Q174" s="737"/>
      <c r="R174" s="661"/>
      <c r="S174" s="228" t="str">
        <f t="array" ref="S174">IFERROR(INDEX('💻シート作成'!$D$6:$D1001, MATCH(T174, '💻シート作成'!$E$6:$E1001, 0)), "")</f>
        <v/>
      </c>
      <c r="T174" s="184"/>
      <c r="U174" s="664"/>
      <c r="V174" s="774"/>
      <c r="W174" s="661"/>
      <c r="X174" s="757"/>
      <c r="Y174" s="661"/>
      <c r="Z174" s="661"/>
    </row>
    <row r="175" hidden="1" outlineLevel="1">
      <c r="A175" s="661"/>
      <c r="B175" s="738"/>
      <c r="C175" s="697"/>
      <c r="D175" s="697"/>
      <c r="E175" s="697"/>
      <c r="F175" s="739" t="s">
        <v>517</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4"/>
      <c r="W175" s="661"/>
      <c r="X175" s="757"/>
      <c r="Y175" s="661"/>
      <c r="Z175" s="661"/>
    </row>
    <row r="176" collapsed="1">
      <c r="A176" s="661"/>
      <c r="B176" s="780" t="s">
        <v>524</v>
      </c>
      <c r="C176" s="781"/>
      <c r="D176" s="781"/>
      <c r="E176" s="781"/>
      <c r="F176" s="782"/>
      <c r="G176" s="783"/>
      <c r="H176" s="784"/>
      <c r="I176" s="784"/>
      <c r="J176" s="785"/>
      <c r="K176" s="785"/>
      <c r="L176" s="783"/>
      <c r="M176" s="783"/>
      <c r="N176" s="786"/>
      <c r="O176" s="787"/>
      <c r="P176" s="787"/>
      <c r="Q176" s="788"/>
      <c r="R176" s="661"/>
      <c r="S176" s="228" t="str">
        <f t="array" ref="S176">IFERROR(INDEX('💻シート作成'!$D$6:$D1001, MATCH(T176, '💻シート作成'!$E$6:$E1001, 0)), "")</f>
        <v/>
      </c>
      <c r="T176" s="184"/>
      <c r="U176" s="664"/>
      <c r="V176" s="774"/>
      <c r="W176" s="661"/>
      <c r="X176" s="757"/>
      <c r="Y176" s="661"/>
      <c r="Z176" s="661"/>
    </row>
    <row r="177" hidden="1" outlineLevel="1">
      <c r="A177" s="661"/>
      <c r="B177" s="743"/>
      <c r="C177" s="744">
        <f>IF(C165="","",IF(DAY(C165+1)=1,"",C165+1))</f>
        <v>46128</v>
      </c>
      <c r="D177" s="745" t="str">
        <f>TEXT(C177,"ddd")</f>
        <v>木</v>
      </c>
      <c r="E177" s="746"/>
      <c r="F177" s="775" t="s">
        <v>518</v>
      </c>
      <c r="G177" s="776" t="s">
        <v>519</v>
      </c>
      <c r="H177" s="777"/>
      <c r="I177" s="778">
        <v>0.0</v>
      </c>
      <c r="J177" s="745"/>
      <c r="K177" s="745"/>
      <c r="L177" s="755"/>
      <c r="M177" s="755"/>
      <c r="N177" s="775"/>
      <c r="O177" s="779"/>
      <c r="P177" s="771"/>
      <c r="Q177" s="772"/>
      <c r="R177" s="661"/>
      <c r="S177" s="228" t="str">
        <f t="array" ref="S177">IFERROR(INDEX('💻シート作成'!$D$6:$D1001, MATCH(T177, '💻シート作成'!$E$6:$E1001, 0)), "")</f>
        <v/>
      </c>
      <c r="T177" s="184"/>
      <c r="U177" s="664"/>
      <c r="V177" s="774"/>
      <c r="W177" s="661"/>
      <c r="X177" s="757"/>
      <c r="Y177" s="661"/>
      <c r="Z177" s="661"/>
    </row>
    <row r="178" hidden="1" outlineLevel="1">
      <c r="A178" s="661"/>
      <c r="B178" s="729"/>
      <c r="C178" s="730"/>
      <c r="D178" s="730"/>
      <c r="E178" s="730"/>
      <c r="F178" s="730"/>
      <c r="G178" s="731"/>
      <c r="H178" s="730"/>
      <c r="I178" s="730"/>
      <c r="J178" s="730"/>
      <c r="K178" s="730"/>
      <c r="L178" s="755"/>
      <c r="M178" s="755"/>
      <c r="N178" s="730"/>
      <c r="O178" s="733"/>
      <c r="Q178" s="728"/>
      <c r="R178" s="661"/>
      <c r="S178" s="228" t="str">
        <f t="array" ref="S178">IFERROR(INDEX('💻シート作成'!$D$6:$D1001, MATCH(T178, '💻シート作成'!$E$6:$E1001, 0)), "")</f>
        <v/>
      </c>
      <c r="T178" s="184"/>
      <c r="U178" s="664"/>
      <c r="V178" s="774"/>
      <c r="W178" s="661"/>
      <c r="X178" s="757"/>
      <c r="Y178" s="661"/>
      <c r="Z178" s="661"/>
    </row>
    <row r="179" hidden="1" outlineLevel="1">
      <c r="A179" s="661"/>
      <c r="B179" s="729"/>
      <c r="C179" s="730"/>
      <c r="D179" s="730"/>
      <c r="E179" s="730"/>
      <c r="F179" s="730"/>
      <c r="G179" s="731"/>
      <c r="H179" s="730"/>
      <c r="I179" s="730"/>
      <c r="J179" s="730"/>
      <c r="K179" s="730"/>
      <c r="L179" s="755"/>
      <c r="M179" s="755"/>
      <c r="N179" s="730"/>
      <c r="O179" s="733"/>
      <c r="Q179" s="728"/>
      <c r="R179" s="661"/>
      <c r="S179" s="228" t="str">
        <f t="array" ref="S179">IFERROR(INDEX('💻シート作成'!$D$6:$D1001, MATCH(T179, '💻シート作成'!$E$6:$E1001, 0)), "")</f>
        <v/>
      </c>
      <c r="T179" s="184"/>
      <c r="U179" s="664"/>
      <c r="V179" s="774"/>
      <c r="W179" s="661"/>
      <c r="X179" s="757"/>
      <c r="Y179" s="661"/>
      <c r="Z179" s="661"/>
    </row>
    <row r="180" hidden="1" outlineLevel="1">
      <c r="A180" s="661"/>
      <c r="B180" s="729"/>
      <c r="C180" s="730"/>
      <c r="D180" s="730"/>
      <c r="E180" s="730"/>
      <c r="F180" s="730"/>
      <c r="G180" s="731"/>
      <c r="H180" s="730"/>
      <c r="I180" s="730"/>
      <c r="J180" s="730"/>
      <c r="K180" s="730"/>
      <c r="L180" s="756"/>
      <c r="M180" s="755"/>
      <c r="N180" s="730"/>
      <c r="O180" s="733"/>
      <c r="Q180" s="728"/>
      <c r="R180" s="661"/>
      <c r="S180" s="228" t="str">
        <f t="array" ref="S180">IFERROR(INDEX('💻シート作成'!$D$6:$D1001, MATCH(T180, '💻シート作成'!$E$6:$E1001, 0)), "")</f>
        <v/>
      </c>
      <c r="T180" s="184"/>
      <c r="U180" s="664"/>
      <c r="V180" s="774"/>
      <c r="W180" s="661"/>
      <c r="X180" s="757"/>
      <c r="Y180" s="661"/>
      <c r="Z180" s="661"/>
    </row>
    <row r="181" hidden="1" outlineLevel="1">
      <c r="A181" s="661"/>
      <c r="B181" s="729"/>
      <c r="C181" s="730"/>
      <c r="D181" s="730"/>
      <c r="E181" s="730"/>
      <c r="F181" s="730"/>
      <c r="G181" s="731"/>
      <c r="H181" s="730"/>
      <c r="I181" s="730"/>
      <c r="J181" s="730"/>
      <c r="K181" s="730"/>
      <c r="L181" s="756"/>
      <c r="M181" s="755"/>
      <c r="N181" s="730"/>
      <c r="O181" s="733"/>
      <c r="Q181" s="728"/>
      <c r="R181" s="661"/>
      <c r="S181" s="228" t="str">
        <f t="array" ref="S181">IFERROR(INDEX('💻シート作成'!$D$6:$D1001, MATCH(T181, '💻シート作成'!$E$6:$E1001, 0)), "")</f>
        <v/>
      </c>
      <c r="T181" s="184"/>
      <c r="U181" s="664"/>
      <c r="V181" s="774"/>
      <c r="W181" s="661"/>
      <c r="X181" s="757"/>
      <c r="Y181" s="661"/>
      <c r="Z181" s="661"/>
    </row>
    <row r="182" hidden="1" outlineLevel="1">
      <c r="A182" s="661"/>
      <c r="B182" s="729"/>
      <c r="C182" s="730"/>
      <c r="D182" s="730"/>
      <c r="E182" s="730"/>
      <c r="F182" s="730"/>
      <c r="G182" s="731"/>
      <c r="H182" s="730"/>
      <c r="I182" s="730"/>
      <c r="J182" s="730"/>
      <c r="K182" s="730"/>
      <c r="L182" s="756"/>
      <c r="M182" s="755"/>
      <c r="N182" s="730"/>
      <c r="O182" s="733"/>
      <c r="Q182" s="728"/>
      <c r="R182" s="661"/>
      <c r="S182" s="228" t="str">
        <f t="array" ref="S182">IFERROR(INDEX('💻シート作成'!$D$6:$D1001, MATCH(T182, '💻シート作成'!$E$6:$E1001, 0)), "")</f>
        <v/>
      </c>
      <c r="T182" s="184"/>
      <c r="U182" s="664"/>
      <c r="V182" s="774"/>
      <c r="W182" s="661"/>
      <c r="X182" s="757"/>
      <c r="Y182" s="661"/>
      <c r="Z182" s="661"/>
    </row>
    <row r="183" hidden="1" outlineLevel="1">
      <c r="A183" s="661"/>
      <c r="B183" s="729"/>
      <c r="C183" s="730"/>
      <c r="D183" s="730"/>
      <c r="E183" s="730"/>
      <c r="F183" s="730"/>
      <c r="G183" s="731"/>
      <c r="H183" s="730"/>
      <c r="I183" s="730"/>
      <c r="J183" s="730"/>
      <c r="K183" s="730"/>
      <c r="L183" s="756"/>
      <c r="M183" s="755"/>
      <c r="N183" s="730"/>
      <c r="O183" s="733"/>
      <c r="Q183" s="728"/>
      <c r="R183" s="661"/>
      <c r="S183" s="228" t="str">
        <f t="array" ref="S183">IFERROR(INDEX('💻シート作成'!$D$6:$D1001, MATCH(T183, '💻シート作成'!$E$6:$E1001, 0)), "")</f>
        <v/>
      </c>
      <c r="T183" s="184"/>
      <c r="U183" s="664"/>
      <c r="V183" s="774"/>
      <c r="W183" s="661"/>
      <c r="X183" s="757"/>
      <c r="Y183" s="661"/>
      <c r="Z183" s="661"/>
    </row>
    <row r="184" hidden="1" outlineLevel="1">
      <c r="A184" s="661"/>
      <c r="B184" s="729"/>
      <c r="C184" s="730"/>
      <c r="D184" s="730"/>
      <c r="E184" s="730"/>
      <c r="F184" s="730"/>
      <c r="G184" s="731"/>
      <c r="H184" s="730"/>
      <c r="I184" s="730"/>
      <c r="J184" s="730"/>
      <c r="K184" s="730"/>
      <c r="L184" s="756"/>
      <c r="M184" s="755"/>
      <c r="N184" s="730"/>
      <c r="O184" s="733"/>
      <c r="Q184" s="728"/>
      <c r="R184" s="661"/>
      <c r="S184" s="228" t="str">
        <f t="array" ref="S184">IFERROR(INDEX('💻シート作成'!$D$6:$D1001, MATCH(T184, '💻シート作成'!$E$6:$E1001, 0)), "")</f>
        <v/>
      </c>
      <c r="T184" s="184"/>
      <c r="U184" s="664"/>
      <c r="V184" s="774"/>
      <c r="W184" s="661"/>
      <c r="X184" s="757"/>
      <c r="Y184" s="661"/>
      <c r="Z184" s="661"/>
    </row>
    <row r="185" hidden="1" outlineLevel="1">
      <c r="A185" s="661"/>
      <c r="B185" s="729"/>
      <c r="C185" s="730"/>
      <c r="D185" s="730"/>
      <c r="E185" s="730"/>
      <c r="F185" s="730"/>
      <c r="G185" s="731"/>
      <c r="H185" s="730"/>
      <c r="I185" s="730"/>
      <c r="J185" s="730"/>
      <c r="K185" s="730"/>
      <c r="L185" s="756"/>
      <c r="M185" s="755"/>
      <c r="N185" s="730"/>
      <c r="O185" s="733"/>
      <c r="Q185" s="728"/>
      <c r="R185" s="661"/>
      <c r="S185" s="228" t="str">
        <f t="array" ref="S185">IFERROR(INDEX('💻シート作成'!$D$6:$D1001, MATCH(T185, '💻シート作成'!$E$6:$E1001, 0)), "")</f>
        <v/>
      </c>
      <c r="T185" s="184"/>
      <c r="U185" s="664"/>
      <c r="V185" s="774"/>
      <c r="W185" s="661"/>
      <c r="X185" s="757"/>
      <c r="Y185" s="661"/>
      <c r="Z185" s="661"/>
    </row>
    <row r="186" hidden="1" outlineLevel="1">
      <c r="A186" s="661"/>
      <c r="B186" s="729"/>
      <c r="C186" s="730"/>
      <c r="D186" s="730"/>
      <c r="E186" s="730"/>
      <c r="F186" s="697"/>
      <c r="G186" s="698"/>
      <c r="H186" s="697"/>
      <c r="I186" s="697"/>
      <c r="J186" s="697"/>
      <c r="K186" s="697"/>
      <c r="L186" s="756"/>
      <c r="M186" s="755"/>
      <c r="N186" s="697"/>
      <c r="O186" s="700"/>
      <c r="P186" s="701"/>
      <c r="Q186" s="737"/>
      <c r="R186" s="661"/>
      <c r="S186" s="228" t="str">
        <f t="array" ref="S186">IFERROR(INDEX('💻シート作成'!$D$6:$D1001, MATCH(T186, '💻シート作成'!$E$6:$E1001, 0)), "")</f>
        <v/>
      </c>
      <c r="T186" s="184"/>
      <c r="U186" s="664"/>
      <c r="V186" s="774"/>
      <c r="W186" s="661"/>
      <c r="X186" s="757"/>
      <c r="Y186" s="661"/>
      <c r="Z186" s="661"/>
    </row>
    <row r="187" hidden="1" outlineLevel="1">
      <c r="A187" s="661"/>
      <c r="B187" s="738"/>
      <c r="C187" s="697"/>
      <c r="D187" s="697"/>
      <c r="E187" s="697"/>
      <c r="F187" s="758" t="s">
        <v>517</v>
      </c>
      <c r="G187" s="759"/>
      <c r="H187" s="741"/>
      <c r="I187" s="741"/>
      <c r="J187" s="741"/>
      <c r="K187" s="741"/>
      <c r="L187" s="759"/>
      <c r="M187" s="759"/>
      <c r="N187" s="759"/>
      <c r="O187" s="759"/>
      <c r="P187" s="759"/>
      <c r="Q187" s="760"/>
      <c r="R187" s="661"/>
      <c r="S187" s="228" t="str">
        <f t="array" ref="S187">IFERROR(INDEX('💻シート作成'!$D$6:$D1001, MATCH(T187, '💻シート作成'!$E$6:$E1001, 0)), "")</f>
        <v/>
      </c>
      <c r="T187" s="184"/>
      <c r="U187" s="664"/>
      <c r="V187" s="774"/>
      <c r="W187" s="661"/>
      <c r="X187" s="757"/>
      <c r="Y187" s="661"/>
      <c r="Z187" s="661"/>
    </row>
    <row r="188" hidden="1" outlineLevel="1">
      <c r="A188" s="661"/>
      <c r="B188" s="761"/>
      <c r="C188" s="762">
        <f>IF(C177="","",IF(DAY(C177+1)=1,"",C177+1))</f>
        <v>46129</v>
      </c>
      <c r="D188" s="763" t="str">
        <f>TEXT(C188,"ddd")</f>
        <v>金</v>
      </c>
      <c r="E188" s="764"/>
      <c r="F188" s="765" t="s">
        <v>518</v>
      </c>
      <c r="G188" s="766" t="s">
        <v>519</v>
      </c>
      <c r="H188" s="767"/>
      <c r="I188" s="768">
        <v>0.0</v>
      </c>
      <c r="J188" s="763"/>
      <c r="K188" s="763"/>
      <c r="L188" s="769"/>
      <c r="M188" s="769"/>
      <c r="N188" s="765"/>
      <c r="O188" s="770"/>
      <c r="P188" s="771"/>
      <c r="Q188" s="772"/>
      <c r="R188" s="661"/>
      <c r="S188" s="228" t="str">
        <f t="array" ref="S188">IFERROR(INDEX('💻シート作成'!$D$6:$D1001, MATCH(T188, '💻シート作成'!$E$6:$E1001, 0)), "")</f>
        <v/>
      </c>
      <c r="T188" s="184"/>
      <c r="U188" s="664"/>
      <c r="V188" s="774"/>
      <c r="W188" s="661"/>
      <c r="X188" s="757"/>
      <c r="Y188" s="661"/>
      <c r="Z188" s="661"/>
    </row>
    <row r="189" hidden="1" outlineLevel="1">
      <c r="A189" s="661"/>
      <c r="B189" s="729"/>
      <c r="C189" s="730"/>
      <c r="D189" s="730"/>
      <c r="E189" s="730"/>
      <c r="F189" s="730"/>
      <c r="G189" s="731"/>
      <c r="H189" s="730"/>
      <c r="I189" s="730"/>
      <c r="J189" s="730"/>
      <c r="K189" s="730"/>
      <c r="L189" s="769"/>
      <c r="M189" s="769"/>
      <c r="N189" s="730"/>
      <c r="O189" s="733"/>
      <c r="Q189" s="728"/>
      <c r="R189" s="661"/>
      <c r="S189" s="228" t="str">
        <f t="array" ref="S189">IFERROR(INDEX('💻シート作成'!$D$6:$D1001, MATCH(T189, '💻シート作成'!$E$6:$E1001, 0)), "")</f>
        <v/>
      </c>
      <c r="T189" s="184"/>
      <c r="U189" s="664"/>
      <c r="V189" s="774"/>
      <c r="W189" s="661"/>
      <c r="X189" s="757"/>
      <c r="Y189" s="661"/>
      <c r="Z189" s="661"/>
    </row>
    <row r="190" hidden="1" outlineLevel="1">
      <c r="A190" s="661"/>
      <c r="B190" s="729"/>
      <c r="C190" s="730"/>
      <c r="D190" s="730"/>
      <c r="E190" s="730"/>
      <c r="F190" s="730"/>
      <c r="G190" s="731"/>
      <c r="H190" s="730"/>
      <c r="I190" s="730"/>
      <c r="J190" s="730"/>
      <c r="K190" s="730"/>
      <c r="L190" s="769"/>
      <c r="M190" s="769"/>
      <c r="N190" s="730"/>
      <c r="O190" s="733"/>
      <c r="Q190" s="728"/>
      <c r="R190" s="661"/>
      <c r="S190" s="228" t="str">
        <f t="array" ref="S190">IFERROR(INDEX('💻シート作成'!$D$6:$D1001, MATCH(T190, '💻シート作成'!$E$6:$E1001, 0)), "")</f>
        <v/>
      </c>
      <c r="T190" s="184"/>
      <c r="U190" s="664"/>
      <c r="V190" s="774"/>
      <c r="W190" s="661"/>
      <c r="X190" s="757"/>
      <c r="Y190" s="661"/>
      <c r="Z190" s="661"/>
    </row>
    <row r="191" hidden="1" outlineLevel="1">
      <c r="A191" s="661"/>
      <c r="B191" s="729"/>
      <c r="C191" s="730"/>
      <c r="D191" s="730"/>
      <c r="E191" s="730"/>
      <c r="F191" s="730"/>
      <c r="G191" s="731"/>
      <c r="H191" s="730"/>
      <c r="I191" s="730"/>
      <c r="J191" s="730"/>
      <c r="K191" s="730"/>
      <c r="L191" s="773"/>
      <c r="M191" s="769"/>
      <c r="N191" s="730"/>
      <c r="O191" s="733"/>
      <c r="Q191" s="728"/>
      <c r="R191" s="661"/>
      <c r="S191" s="228" t="str">
        <f t="array" ref="S191">IFERROR(INDEX('💻シート作成'!$D$6:$D1001, MATCH(T191, '💻シート作成'!$E$6:$E1001, 0)), "")</f>
        <v/>
      </c>
      <c r="T191" s="184"/>
      <c r="U191" s="664"/>
      <c r="V191" s="774"/>
      <c r="W191" s="661"/>
      <c r="X191" s="757"/>
      <c r="Y191" s="661"/>
      <c r="Z191" s="661"/>
    </row>
    <row r="192" hidden="1" outlineLevel="1">
      <c r="A192" s="661"/>
      <c r="B192" s="729"/>
      <c r="C192" s="730"/>
      <c r="D192" s="730"/>
      <c r="E192" s="730"/>
      <c r="F192" s="730"/>
      <c r="G192" s="731"/>
      <c r="H192" s="730"/>
      <c r="I192" s="730"/>
      <c r="J192" s="730"/>
      <c r="K192" s="730"/>
      <c r="L192" s="773"/>
      <c r="M192" s="769"/>
      <c r="N192" s="730"/>
      <c r="O192" s="733"/>
      <c r="Q192" s="728"/>
      <c r="R192" s="661"/>
      <c r="S192" s="228" t="str">
        <f t="array" ref="S192">IFERROR(INDEX('💻シート作成'!$D$6:$D1001, MATCH(T192, '💻シート作成'!$E$6:$E1001, 0)), "")</f>
        <v/>
      </c>
      <c r="T192" s="184"/>
      <c r="U192" s="664"/>
      <c r="V192" s="774"/>
      <c r="W192" s="661"/>
      <c r="X192" s="757"/>
      <c r="Y192" s="661"/>
      <c r="Z192" s="661"/>
    </row>
    <row r="193" hidden="1" outlineLevel="1">
      <c r="A193" s="661"/>
      <c r="B193" s="729"/>
      <c r="C193" s="730"/>
      <c r="D193" s="730"/>
      <c r="E193" s="730"/>
      <c r="F193" s="730"/>
      <c r="G193" s="731"/>
      <c r="H193" s="730"/>
      <c r="I193" s="730"/>
      <c r="J193" s="730"/>
      <c r="K193" s="730"/>
      <c r="L193" s="773"/>
      <c r="M193" s="769"/>
      <c r="N193" s="730"/>
      <c r="O193" s="733"/>
      <c r="Q193" s="728"/>
      <c r="R193" s="661"/>
      <c r="S193" s="228" t="str">
        <f t="array" ref="S193">IFERROR(INDEX('💻シート作成'!$D$6:$D1001, MATCH(T193, '💻シート作成'!$E$6:$E1001, 0)), "")</f>
        <v/>
      </c>
      <c r="T193" s="184"/>
      <c r="U193" s="664"/>
      <c r="V193" s="774"/>
      <c r="W193" s="661"/>
      <c r="X193" s="757"/>
      <c r="Y193" s="661"/>
      <c r="Z193" s="661"/>
    </row>
    <row r="194" hidden="1" outlineLevel="1">
      <c r="A194" s="661"/>
      <c r="B194" s="729"/>
      <c r="C194" s="730"/>
      <c r="D194" s="730"/>
      <c r="E194" s="730"/>
      <c r="F194" s="730"/>
      <c r="G194" s="731"/>
      <c r="H194" s="730"/>
      <c r="I194" s="730"/>
      <c r="J194" s="730"/>
      <c r="K194" s="730"/>
      <c r="L194" s="773"/>
      <c r="M194" s="769"/>
      <c r="N194" s="730"/>
      <c r="O194" s="733"/>
      <c r="Q194" s="728"/>
      <c r="R194" s="661"/>
      <c r="S194" s="228" t="str">
        <f t="array" ref="S194">IFERROR(INDEX('💻シート作成'!$D$6:$D1001, MATCH(T194, '💻シート作成'!$E$6:$E1001, 0)), "")</f>
        <v/>
      </c>
      <c r="T194" s="184"/>
      <c r="U194" s="664"/>
      <c r="V194" s="774"/>
      <c r="W194" s="661"/>
      <c r="X194" s="757"/>
      <c r="Y194" s="661"/>
      <c r="Z194" s="661"/>
    </row>
    <row r="195" hidden="1" outlineLevel="1">
      <c r="A195" s="661"/>
      <c r="B195" s="729"/>
      <c r="C195" s="730"/>
      <c r="D195" s="730"/>
      <c r="E195" s="730"/>
      <c r="F195" s="730"/>
      <c r="G195" s="731"/>
      <c r="H195" s="730"/>
      <c r="I195" s="730"/>
      <c r="J195" s="730"/>
      <c r="K195" s="730"/>
      <c r="L195" s="773"/>
      <c r="M195" s="769"/>
      <c r="N195" s="730"/>
      <c r="O195" s="733"/>
      <c r="Q195" s="728"/>
      <c r="R195" s="661"/>
      <c r="S195" s="228" t="str">
        <f t="array" ref="S195">IFERROR(INDEX('💻シート作成'!$D$6:$D1001, MATCH(T195, '💻シート作成'!$E$6:$E1001, 0)), "")</f>
        <v/>
      </c>
      <c r="T195" s="184"/>
      <c r="U195" s="664"/>
      <c r="V195" s="774"/>
      <c r="W195" s="661"/>
      <c r="X195" s="757"/>
      <c r="Y195" s="661"/>
      <c r="Z195" s="661"/>
    </row>
    <row r="196" hidden="1" outlineLevel="1">
      <c r="A196" s="661"/>
      <c r="B196" s="729"/>
      <c r="C196" s="730"/>
      <c r="D196" s="730"/>
      <c r="E196" s="730"/>
      <c r="F196" s="730"/>
      <c r="G196" s="731"/>
      <c r="H196" s="730"/>
      <c r="I196" s="730"/>
      <c r="J196" s="730"/>
      <c r="K196" s="730"/>
      <c r="L196" s="773"/>
      <c r="M196" s="769"/>
      <c r="N196" s="730"/>
      <c r="O196" s="733"/>
      <c r="Q196" s="728"/>
      <c r="R196" s="661"/>
      <c r="S196" s="228" t="str">
        <f t="array" ref="S196">IFERROR(INDEX('💻シート作成'!$D$6:$D1001, MATCH(T196, '💻シート作成'!$E$6:$E1001, 0)), "")</f>
        <v/>
      </c>
      <c r="T196" s="184"/>
      <c r="U196" s="664"/>
      <c r="V196" s="774"/>
      <c r="W196" s="661"/>
      <c r="X196" s="757"/>
      <c r="Y196" s="661"/>
      <c r="Z196" s="661"/>
    </row>
    <row r="197" hidden="1" outlineLevel="1">
      <c r="A197" s="661"/>
      <c r="B197" s="729"/>
      <c r="C197" s="730"/>
      <c r="D197" s="730"/>
      <c r="E197" s="730"/>
      <c r="F197" s="697"/>
      <c r="G197" s="698"/>
      <c r="H197" s="697"/>
      <c r="I197" s="697"/>
      <c r="J197" s="697"/>
      <c r="K197" s="697"/>
      <c r="L197" s="773"/>
      <c r="M197" s="769"/>
      <c r="N197" s="697"/>
      <c r="O197" s="700"/>
      <c r="P197" s="701"/>
      <c r="Q197" s="737"/>
      <c r="R197" s="661"/>
      <c r="S197" s="228" t="str">
        <f t="array" ref="S197">IFERROR(INDEX('💻シート作成'!$D$6:$D1001, MATCH(T197, '💻シート作成'!$E$6:$E1001, 0)), "")</f>
        <v/>
      </c>
      <c r="T197" s="184"/>
      <c r="U197" s="664"/>
      <c r="V197" s="774"/>
      <c r="W197" s="661"/>
      <c r="X197" s="757"/>
      <c r="Y197" s="661"/>
      <c r="Z197" s="661"/>
    </row>
    <row r="198" hidden="1" outlineLevel="1">
      <c r="A198" s="661"/>
      <c r="B198" s="738"/>
      <c r="C198" s="697"/>
      <c r="D198" s="697"/>
      <c r="E198" s="697"/>
      <c r="F198" s="739" t="s">
        <v>517</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4"/>
      <c r="W198" s="661"/>
      <c r="X198" s="757"/>
      <c r="Y198" s="661"/>
      <c r="Z198" s="661"/>
    </row>
    <row r="199" hidden="1" outlineLevel="1">
      <c r="A199" s="661"/>
      <c r="B199" s="743"/>
      <c r="C199" s="744">
        <f>IF(C188="","",IF(DAY(C188+1)=1,"",C188+1))</f>
        <v>46130</v>
      </c>
      <c r="D199" s="745" t="str">
        <f>TEXT(C199,"ddd")</f>
        <v>土</v>
      </c>
      <c r="E199" s="746"/>
      <c r="F199" s="775" t="s">
        <v>518</v>
      </c>
      <c r="G199" s="776" t="s">
        <v>519</v>
      </c>
      <c r="H199" s="777"/>
      <c r="I199" s="778">
        <v>0.0</v>
      </c>
      <c r="J199" s="745"/>
      <c r="K199" s="745"/>
      <c r="L199" s="755"/>
      <c r="M199" s="755"/>
      <c r="N199" s="775"/>
      <c r="O199" s="779"/>
      <c r="P199" s="771"/>
      <c r="Q199" s="772"/>
      <c r="R199" s="661"/>
      <c r="S199" s="228" t="str">
        <f t="array" ref="S199">IFERROR(INDEX('💻シート作成'!$D$6:$D1001, MATCH(T199, '💻シート作成'!$E$6:$E1001, 0)), "")</f>
        <v/>
      </c>
      <c r="T199" s="184"/>
      <c r="U199" s="664"/>
      <c r="V199" s="774"/>
      <c r="W199" s="661"/>
      <c r="X199" s="757"/>
      <c r="Y199" s="661"/>
      <c r="Z199" s="661"/>
    </row>
    <row r="200" hidden="1" outlineLevel="1">
      <c r="A200" s="661"/>
      <c r="B200" s="729"/>
      <c r="C200" s="730"/>
      <c r="D200" s="730"/>
      <c r="E200" s="730"/>
      <c r="F200" s="730"/>
      <c r="G200" s="731"/>
      <c r="H200" s="730"/>
      <c r="I200" s="730"/>
      <c r="J200" s="730"/>
      <c r="K200" s="730"/>
      <c r="L200" s="755"/>
      <c r="M200" s="755"/>
      <c r="N200" s="730"/>
      <c r="O200" s="733"/>
      <c r="Q200" s="728"/>
      <c r="R200" s="661"/>
      <c r="S200" s="228" t="str">
        <f t="array" ref="S200">IFERROR(INDEX('💻シート作成'!$D$6:$D1001, MATCH(T200, '💻シート作成'!$E$6:$E1001, 0)), "")</f>
        <v/>
      </c>
      <c r="T200" s="184"/>
      <c r="U200" s="664"/>
      <c r="V200" s="774"/>
      <c r="W200" s="661"/>
      <c r="X200" s="757"/>
      <c r="Y200" s="661"/>
      <c r="Z200" s="661"/>
    </row>
    <row r="201" hidden="1" outlineLevel="1">
      <c r="A201" s="661"/>
      <c r="B201" s="729"/>
      <c r="C201" s="730"/>
      <c r="D201" s="730"/>
      <c r="E201" s="730"/>
      <c r="F201" s="730"/>
      <c r="G201" s="731"/>
      <c r="H201" s="730"/>
      <c r="I201" s="730"/>
      <c r="J201" s="730"/>
      <c r="K201" s="730"/>
      <c r="L201" s="755"/>
      <c r="M201" s="755"/>
      <c r="N201" s="730"/>
      <c r="O201" s="733"/>
      <c r="Q201" s="728"/>
      <c r="R201" s="661"/>
      <c r="S201" s="228" t="str">
        <f t="array" ref="S201">IFERROR(INDEX('💻シート作成'!$D$6:$D1001, MATCH(T201, '💻シート作成'!$E$6:$E1001, 0)), "")</f>
        <v/>
      </c>
      <c r="T201" s="184"/>
      <c r="U201" s="664"/>
      <c r="V201" s="774"/>
      <c r="W201" s="661"/>
      <c r="X201" s="757"/>
      <c r="Y201" s="661"/>
      <c r="Z201" s="661"/>
    </row>
    <row r="202" hidden="1" outlineLevel="1">
      <c r="A202" s="661"/>
      <c r="B202" s="729"/>
      <c r="C202" s="730"/>
      <c r="D202" s="730"/>
      <c r="E202" s="730"/>
      <c r="F202" s="730"/>
      <c r="G202" s="731"/>
      <c r="H202" s="730"/>
      <c r="I202" s="730"/>
      <c r="J202" s="730"/>
      <c r="K202" s="730"/>
      <c r="L202" s="756"/>
      <c r="M202" s="755"/>
      <c r="N202" s="730"/>
      <c r="O202" s="733"/>
      <c r="Q202" s="728"/>
      <c r="R202" s="661"/>
      <c r="S202" s="228" t="str">
        <f t="array" ref="S202">IFERROR(INDEX('💻シート作成'!$D$6:$D1001, MATCH(T202, '💻シート作成'!$E$6:$E1001, 0)), "")</f>
        <v/>
      </c>
      <c r="T202" s="184"/>
      <c r="U202" s="664"/>
      <c r="V202" s="774"/>
      <c r="W202" s="661"/>
      <c r="X202" s="757"/>
      <c r="Y202" s="661"/>
      <c r="Z202" s="661"/>
    </row>
    <row r="203" hidden="1" outlineLevel="1">
      <c r="A203" s="661"/>
      <c r="B203" s="729"/>
      <c r="C203" s="730"/>
      <c r="D203" s="730"/>
      <c r="E203" s="730"/>
      <c r="F203" s="730"/>
      <c r="G203" s="731"/>
      <c r="H203" s="730"/>
      <c r="I203" s="730"/>
      <c r="J203" s="730"/>
      <c r="K203" s="730"/>
      <c r="L203" s="756"/>
      <c r="M203" s="755"/>
      <c r="N203" s="730"/>
      <c r="O203" s="733"/>
      <c r="Q203" s="728"/>
      <c r="R203" s="661"/>
      <c r="S203" s="228" t="str">
        <f t="array" ref="S203">IFERROR(INDEX('💻シート作成'!$D$6:$D1001, MATCH(T203, '💻シート作成'!$E$6:$E1001, 0)), "")</f>
        <v/>
      </c>
      <c r="T203" s="184"/>
      <c r="U203" s="664"/>
      <c r="V203" s="774"/>
      <c r="W203" s="661"/>
      <c r="X203" s="757"/>
      <c r="Y203" s="661"/>
      <c r="Z203" s="661"/>
    </row>
    <row r="204" hidden="1" outlineLevel="1">
      <c r="A204" s="661"/>
      <c r="B204" s="729"/>
      <c r="C204" s="730"/>
      <c r="D204" s="730"/>
      <c r="E204" s="730"/>
      <c r="F204" s="730"/>
      <c r="G204" s="731"/>
      <c r="H204" s="730"/>
      <c r="I204" s="730"/>
      <c r="J204" s="730"/>
      <c r="K204" s="730"/>
      <c r="L204" s="756"/>
      <c r="M204" s="755"/>
      <c r="N204" s="730"/>
      <c r="O204" s="733"/>
      <c r="Q204" s="728"/>
      <c r="R204" s="661"/>
      <c r="S204" s="228" t="str">
        <f t="array" ref="S204">IFERROR(INDEX('💻シート作成'!$D$6:$D1001, MATCH(T204, '💻シート作成'!$E$6:$E1001, 0)), "")</f>
        <v/>
      </c>
      <c r="T204" s="184"/>
      <c r="U204" s="664"/>
      <c r="V204" s="774"/>
      <c r="W204" s="661"/>
      <c r="X204" s="757"/>
      <c r="Y204" s="661"/>
      <c r="Z204" s="661"/>
    </row>
    <row r="205" hidden="1" outlineLevel="1">
      <c r="A205" s="661"/>
      <c r="B205" s="729"/>
      <c r="C205" s="730"/>
      <c r="D205" s="730"/>
      <c r="E205" s="730"/>
      <c r="F205" s="730"/>
      <c r="G205" s="731"/>
      <c r="H205" s="730"/>
      <c r="I205" s="730"/>
      <c r="J205" s="730"/>
      <c r="K205" s="730"/>
      <c r="L205" s="756"/>
      <c r="M205" s="755"/>
      <c r="N205" s="730"/>
      <c r="O205" s="733"/>
      <c r="Q205" s="728"/>
      <c r="R205" s="661"/>
      <c r="S205" s="228" t="str">
        <f t="array" ref="S205">IFERROR(INDEX('💻シート作成'!$D$6:$D1001, MATCH(T205, '💻シート作成'!$E$6:$E1001, 0)), "")</f>
        <v/>
      </c>
      <c r="T205" s="184"/>
      <c r="U205" s="664"/>
      <c r="V205" s="774"/>
      <c r="W205" s="661"/>
      <c r="X205" s="757"/>
      <c r="Y205" s="661"/>
      <c r="Z205" s="661"/>
    </row>
    <row r="206" hidden="1" outlineLevel="1">
      <c r="A206" s="661"/>
      <c r="B206" s="729"/>
      <c r="C206" s="730"/>
      <c r="D206" s="730"/>
      <c r="E206" s="730"/>
      <c r="F206" s="730"/>
      <c r="G206" s="731"/>
      <c r="H206" s="730"/>
      <c r="I206" s="730"/>
      <c r="J206" s="730"/>
      <c r="K206" s="730"/>
      <c r="L206" s="756"/>
      <c r="M206" s="755"/>
      <c r="N206" s="730"/>
      <c r="O206" s="733"/>
      <c r="Q206" s="728"/>
      <c r="R206" s="661"/>
      <c r="S206" s="228" t="str">
        <f t="array" ref="S206">IFERROR(INDEX('💻シート作成'!$D$6:$D1001, MATCH(T206, '💻シート作成'!$E$6:$E1001, 0)), "")</f>
        <v/>
      </c>
      <c r="T206" s="184"/>
      <c r="U206" s="664"/>
      <c r="V206" s="774"/>
      <c r="W206" s="661"/>
      <c r="X206" s="757"/>
      <c r="Y206" s="661"/>
      <c r="Z206" s="661"/>
    </row>
    <row r="207" hidden="1" outlineLevel="1">
      <c r="A207" s="661"/>
      <c r="B207" s="729"/>
      <c r="C207" s="730"/>
      <c r="D207" s="730"/>
      <c r="E207" s="730"/>
      <c r="F207" s="730"/>
      <c r="G207" s="731"/>
      <c r="H207" s="730"/>
      <c r="I207" s="730"/>
      <c r="J207" s="730"/>
      <c r="K207" s="730"/>
      <c r="L207" s="756"/>
      <c r="M207" s="755"/>
      <c r="N207" s="730"/>
      <c r="O207" s="733"/>
      <c r="Q207" s="728"/>
      <c r="R207" s="661"/>
      <c r="S207" s="228" t="str">
        <f t="array" ref="S207">IFERROR(INDEX('💻シート作成'!$D$6:$D1001, MATCH(T207, '💻シート作成'!$E$6:$E1001, 0)), "")</f>
        <v/>
      </c>
      <c r="T207" s="184"/>
      <c r="U207" s="664"/>
      <c r="V207" s="774"/>
      <c r="W207" s="661"/>
      <c r="X207" s="757"/>
      <c r="Y207" s="661"/>
      <c r="Z207" s="661"/>
    </row>
    <row r="208" hidden="1" outlineLevel="1">
      <c r="A208" s="661"/>
      <c r="B208" s="729"/>
      <c r="C208" s="730"/>
      <c r="D208" s="730"/>
      <c r="E208" s="730"/>
      <c r="F208" s="697"/>
      <c r="G208" s="698"/>
      <c r="H208" s="697"/>
      <c r="I208" s="697"/>
      <c r="J208" s="697"/>
      <c r="K208" s="697"/>
      <c r="L208" s="756"/>
      <c r="M208" s="755"/>
      <c r="N208" s="697"/>
      <c r="O208" s="700"/>
      <c r="P208" s="701"/>
      <c r="Q208" s="737"/>
      <c r="R208" s="661"/>
      <c r="S208" s="228" t="str">
        <f t="array" ref="S208">IFERROR(INDEX('💻シート作成'!$D$6:$D1001, MATCH(T208, '💻シート作成'!$E$6:$E1001, 0)), "")</f>
        <v/>
      </c>
      <c r="T208" s="184"/>
      <c r="U208" s="664"/>
      <c r="V208" s="774"/>
      <c r="W208" s="661"/>
      <c r="X208" s="757"/>
      <c r="Y208" s="661"/>
      <c r="Z208" s="661"/>
    </row>
    <row r="209" hidden="1" outlineLevel="1">
      <c r="A209" s="661"/>
      <c r="B209" s="738"/>
      <c r="C209" s="697"/>
      <c r="D209" s="697"/>
      <c r="E209" s="697"/>
      <c r="F209" s="758" t="s">
        <v>517</v>
      </c>
      <c r="G209" s="759"/>
      <c r="H209" s="741"/>
      <c r="I209" s="741"/>
      <c r="J209" s="741"/>
      <c r="K209" s="741"/>
      <c r="L209" s="759"/>
      <c r="M209" s="759"/>
      <c r="N209" s="759"/>
      <c r="O209" s="759"/>
      <c r="P209" s="759"/>
      <c r="Q209" s="760"/>
      <c r="R209" s="661"/>
      <c r="S209" s="228" t="str">
        <f t="array" ref="S209">IFERROR(INDEX('💻シート作成'!$D$6:$D1001, MATCH(T209, '💻シート作成'!$E$6:$E1001, 0)), "")</f>
        <v/>
      </c>
      <c r="T209" s="184"/>
      <c r="U209" s="664"/>
      <c r="V209" s="774"/>
      <c r="W209" s="661"/>
      <c r="X209" s="757"/>
      <c r="Y209" s="661"/>
      <c r="Z209" s="661"/>
    </row>
    <row r="210" hidden="1" outlineLevel="1">
      <c r="A210" s="661"/>
      <c r="B210" s="761"/>
      <c r="C210" s="762">
        <f>IF(C199="","",IF(DAY(C199+1)=1,"",C199+1))</f>
        <v>46131</v>
      </c>
      <c r="D210" s="763" t="str">
        <f>TEXT(C210,"ddd")</f>
        <v>日</v>
      </c>
      <c r="E210" s="764"/>
      <c r="F210" s="765" t="s">
        <v>518</v>
      </c>
      <c r="G210" s="766" t="s">
        <v>519</v>
      </c>
      <c r="H210" s="767"/>
      <c r="I210" s="768">
        <v>0.0</v>
      </c>
      <c r="J210" s="763"/>
      <c r="K210" s="763"/>
      <c r="L210" s="769"/>
      <c r="M210" s="769"/>
      <c r="N210" s="765"/>
      <c r="O210" s="770"/>
      <c r="P210" s="771"/>
      <c r="Q210" s="772"/>
      <c r="R210" s="661"/>
      <c r="S210" s="228" t="str">
        <f t="array" ref="S210">IFERROR(INDEX('💻シート作成'!$D$6:$D1001, MATCH(T210, '💻シート作成'!$E$6:$E1001, 0)), "")</f>
        <v/>
      </c>
      <c r="T210" s="184"/>
      <c r="U210" s="664"/>
      <c r="V210" s="774"/>
      <c r="W210" s="661"/>
      <c r="X210" s="757"/>
      <c r="Y210" s="661"/>
      <c r="Z210" s="661"/>
    </row>
    <row r="211" hidden="1" outlineLevel="1">
      <c r="A211" s="661"/>
      <c r="B211" s="729"/>
      <c r="C211" s="730"/>
      <c r="D211" s="730"/>
      <c r="E211" s="730"/>
      <c r="F211" s="730"/>
      <c r="G211" s="731"/>
      <c r="H211" s="730"/>
      <c r="I211" s="730"/>
      <c r="J211" s="730"/>
      <c r="K211" s="730"/>
      <c r="L211" s="769"/>
      <c r="M211" s="769"/>
      <c r="N211" s="730"/>
      <c r="O211" s="733"/>
      <c r="Q211" s="728"/>
      <c r="R211" s="661"/>
      <c r="S211" s="228" t="str">
        <f t="array" ref="S211">IFERROR(INDEX('💻シート作成'!$D$6:$D1001, MATCH(T211, '💻シート作成'!$E$6:$E1001, 0)), "")</f>
        <v/>
      </c>
      <c r="T211" s="184"/>
      <c r="U211" s="664"/>
      <c r="V211" s="774"/>
      <c r="W211" s="661"/>
      <c r="X211" s="757"/>
      <c r="Y211" s="661"/>
      <c r="Z211" s="661"/>
    </row>
    <row r="212" hidden="1" outlineLevel="1">
      <c r="A212" s="661"/>
      <c r="B212" s="729"/>
      <c r="C212" s="730"/>
      <c r="D212" s="730"/>
      <c r="E212" s="730"/>
      <c r="F212" s="730"/>
      <c r="G212" s="731"/>
      <c r="H212" s="730"/>
      <c r="I212" s="730"/>
      <c r="J212" s="730"/>
      <c r="K212" s="730"/>
      <c r="L212" s="769"/>
      <c r="M212" s="769"/>
      <c r="N212" s="730"/>
      <c r="O212" s="733"/>
      <c r="Q212" s="728"/>
      <c r="R212" s="661"/>
      <c r="S212" s="228" t="str">
        <f t="array" ref="S212">IFERROR(INDEX('💻シート作成'!$D$6:$D1001, MATCH(T212, '💻シート作成'!$E$6:$E1001, 0)), "")</f>
        <v/>
      </c>
      <c r="T212" s="184"/>
      <c r="U212" s="664"/>
      <c r="V212" s="774"/>
      <c r="W212" s="661"/>
      <c r="X212" s="757"/>
      <c r="Y212" s="661"/>
      <c r="Z212" s="661"/>
    </row>
    <row r="213" hidden="1" outlineLevel="1">
      <c r="A213" s="661"/>
      <c r="B213" s="729"/>
      <c r="C213" s="730"/>
      <c r="D213" s="730"/>
      <c r="E213" s="730"/>
      <c r="F213" s="730"/>
      <c r="G213" s="731"/>
      <c r="H213" s="730"/>
      <c r="I213" s="730"/>
      <c r="J213" s="730"/>
      <c r="K213" s="730"/>
      <c r="L213" s="773"/>
      <c r="M213" s="769"/>
      <c r="N213" s="730"/>
      <c r="O213" s="733"/>
      <c r="Q213" s="728"/>
      <c r="R213" s="661"/>
      <c r="S213" s="228" t="str">
        <f t="array" ref="S213">IFERROR(INDEX('💻シート作成'!$D$6:$D1001, MATCH(T213, '💻シート作成'!$E$6:$E1001, 0)), "")</f>
        <v/>
      </c>
      <c r="T213" s="184"/>
      <c r="U213" s="664"/>
      <c r="V213" s="774"/>
      <c r="W213" s="661"/>
      <c r="X213" s="757"/>
      <c r="Y213" s="661"/>
      <c r="Z213" s="661"/>
    </row>
    <row r="214" hidden="1" outlineLevel="1">
      <c r="A214" s="661"/>
      <c r="B214" s="729"/>
      <c r="C214" s="730"/>
      <c r="D214" s="730"/>
      <c r="E214" s="730"/>
      <c r="F214" s="730"/>
      <c r="G214" s="731"/>
      <c r="H214" s="730"/>
      <c r="I214" s="730"/>
      <c r="J214" s="730"/>
      <c r="K214" s="730"/>
      <c r="L214" s="773"/>
      <c r="M214" s="769"/>
      <c r="N214" s="730"/>
      <c r="O214" s="733"/>
      <c r="Q214" s="728"/>
      <c r="R214" s="661"/>
      <c r="S214" s="228" t="str">
        <f t="array" ref="S214">IFERROR(INDEX('💻シート作成'!$D$6:$D1001, MATCH(T214, '💻シート作成'!$E$6:$E1001, 0)), "")</f>
        <v/>
      </c>
      <c r="T214" s="184"/>
      <c r="U214" s="664"/>
      <c r="V214" s="774"/>
      <c r="W214" s="661"/>
      <c r="X214" s="757"/>
      <c r="Y214" s="661"/>
      <c r="Z214" s="661"/>
    </row>
    <row r="215" hidden="1" outlineLevel="1">
      <c r="A215" s="661"/>
      <c r="B215" s="729"/>
      <c r="C215" s="730"/>
      <c r="D215" s="730"/>
      <c r="E215" s="730"/>
      <c r="F215" s="730"/>
      <c r="G215" s="731"/>
      <c r="H215" s="730"/>
      <c r="I215" s="730"/>
      <c r="J215" s="730"/>
      <c r="K215" s="730"/>
      <c r="L215" s="773"/>
      <c r="M215" s="769"/>
      <c r="N215" s="730"/>
      <c r="O215" s="733"/>
      <c r="Q215" s="728"/>
      <c r="R215" s="661"/>
      <c r="S215" s="228" t="str">
        <f t="array" ref="S215">IFERROR(INDEX('💻シート作成'!$D$6:$D1001, MATCH(T215, '💻シート作成'!$E$6:$E1001, 0)), "")</f>
        <v/>
      </c>
      <c r="T215" s="184"/>
      <c r="U215" s="664"/>
      <c r="V215" s="774"/>
      <c r="W215" s="661"/>
      <c r="X215" s="757"/>
      <c r="Y215" s="661"/>
      <c r="Z215" s="661"/>
    </row>
    <row r="216" hidden="1" outlineLevel="1">
      <c r="A216" s="661"/>
      <c r="B216" s="729"/>
      <c r="C216" s="730"/>
      <c r="D216" s="730"/>
      <c r="E216" s="730"/>
      <c r="F216" s="730"/>
      <c r="G216" s="731"/>
      <c r="H216" s="730"/>
      <c r="I216" s="730"/>
      <c r="J216" s="730"/>
      <c r="K216" s="730"/>
      <c r="L216" s="773"/>
      <c r="M216" s="769"/>
      <c r="N216" s="730"/>
      <c r="O216" s="733"/>
      <c r="Q216" s="728"/>
      <c r="R216" s="661"/>
      <c r="S216" s="228" t="str">
        <f t="array" ref="S216">IFERROR(INDEX('💻シート作成'!$D$6:$D1001, MATCH(T216, '💻シート作成'!$E$6:$E1001, 0)), "")</f>
        <v/>
      </c>
      <c r="T216" s="184"/>
      <c r="U216" s="664"/>
      <c r="V216" s="774"/>
      <c r="W216" s="661"/>
      <c r="X216" s="757"/>
      <c r="Y216" s="661"/>
      <c r="Z216" s="661"/>
    </row>
    <row r="217" hidden="1" outlineLevel="1">
      <c r="A217" s="661"/>
      <c r="B217" s="729"/>
      <c r="C217" s="730"/>
      <c r="D217" s="730"/>
      <c r="E217" s="730"/>
      <c r="F217" s="730"/>
      <c r="G217" s="731"/>
      <c r="H217" s="730"/>
      <c r="I217" s="730"/>
      <c r="J217" s="730"/>
      <c r="K217" s="730"/>
      <c r="L217" s="773"/>
      <c r="M217" s="769"/>
      <c r="N217" s="730"/>
      <c r="O217" s="733"/>
      <c r="Q217" s="728"/>
      <c r="R217" s="661"/>
      <c r="S217" s="228" t="str">
        <f t="array" ref="S217">IFERROR(INDEX('💻シート作成'!$D$6:$D1001, MATCH(T217, '💻シート作成'!$E$6:$E1001, 0)), "")</f>
        <v/>
      </c>
      <c r="T217" s="184"/>
      <c r="U217" s="664"/>
      <c r="V217" s="774"/>
      <c r="W217" s="661"/>
      <c r="X217" s="757"/>
      <c r="Y217" s="661"/>
      <c r="Z217" s="661"/>
    </row>
    <row r="218" hidden="1" outlineLevel="1">
      <c r="A218" s="661"/>
      <c r="B218" s="729"/>
      <c r="C218" s="730"/>
      <c r="D218" s="730"/>
      <c r="E218" s="730"/>
      <c r="F218" s="730"/>
      <c r="G218" s="731"/>
      <c r="H218" s="730"/>
      <c r="I218" s="730"/>
      <c r="J218" s="730"/>
      <c r="K218" s="730"/>
      <c r="L218" s="773"/>
      <c r="M218" s="769"/>
      <c r="N218" s="730"/>
      <c r="O218" s="733"/>
      <c r="Q218" s="728"/>
      <c r="R218" s="661"/>
      <c r="S218" s="228" t="str">
        <f t="array" ref="S218">IFERROR(INDEX('💻シート作成'!$D$6:$D1001, MATCH(T218, '💻シート作成'!$E$6:$E1001, 0)), "")</f>
        <v/>
      </c>
      <c r="T218" s="184"/>
      <c r="U218" s="664"/>
      <c r="V218" s="774"/>
      <c r="W218" s="661"/>
      <c r="X218" s="757"/>
      <c r="Y218" s="661"/>
      <c r="Z218" s="661"/>
    </row>
    <row r="219" hidden="1" outlineLevel="1">
      <c r="A219" s="661"/>
      <c r="B219" s="729"/>
      <c r="C219" s="730"/>
      <c r="D219" s="730"/>
      <c r="E219" s="730"/>
      <c r="F219" s="697"/>
      <c r="G219" s="698"/>
      <c r="H219" s="697"/>
      <c r="I219" s="697"/>
      <c r="J219" s="697"/>
      <c r="K219" s="697"/>
      <c r="L219" s="773"/>
      <c r="M219" s="769"/>
      <c r="N219" s="697"/>
      <c r="O219" s="700"/>
      <c r="P219" s="701"/>
      <c r="Q219" s="737"/>
      <c r="R219" s="661"/>
      <c r="S219" s="228" t="str">
        <f t="array" ref="S219">IFERROR(INDEX('💻シート作成'!$D$6:$D1001, MATCH(T219, '💻シート作成'!$E$6:$E1001, 0)), "")</f>
        <v/>
      </c>
      <c r="T219" s="184"/>
      <c r="U219" s="664"/>
      <c r="V219" s="774"/>
      <c r="W219" s="661"/>
      <c r="X219" s="757"/>
      <c r="Y219" s="661"/>
      <c r="Z219" s="661"/>
    </row>
    <row r="220" hidden="1" outlineLevel="1">
      <c r="A220" s="661"/>
      <c r="B220" s="738"/>
      <c r="C220" s="697"/>
      <c r="D220" s="697"/>
      <c r="E220" s="697"/>
      <c r="F220" s="739" t="s">
        <v>517</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4"/>
      <c r="W220" s="661"/>
      <c r="X220" s="757"/>
      <c r="Y220" s="661"/>
      <c r="Z220" s="661"/>
    </row>
    <row r="221" hidden="1" outlineLevel="1">
      <c r="A221" s="661"/>
      <c r="B221" s="743"/>
      <c r="C221" s="744">
        <f>IF(C210="","",IF(DAY(C210+1)=1,"",C210+1))</f>
        <v>46132</v>
      </c>
      <c r="D221" s="745" t="str">
        <f>TEXT(C221,"ddd")</f>
        <v>月</v>
      </c>
      <c r="E221" s="746"/>
      <c r="F221" s="775" t="s">
        <v>518</v>
      </c>
      <c r="G221" s="776" t="s">
        <v>519</v>
      </c>
      <c r="H221" s="777"/>
      <c r="I221" s="778">
        <v>0.0</v>
      </c>
      <c r="J221" s="745"/>
      <c r="K221" s="745"/>
      <c r="L221" s="755"/>
      <c r="M221" s="755"/>
      <c r="N221" s="775"/>
      <c r="O221" s="779"/>
      <c r="P221" s="771"/>
      <c r="Q221" s="772"/>
      <c r="R221" s="661"/>
      <c r="S221" s="228" t="str">
        <f t="array" ref="S221">IFERROR(INDEX('💻シート作成'!$D$6:$D1001, MATCH(T221, '💻シート作成'!$E$6:$E1001, 0)), "")</f>
        <v/>
      </c>
      <c r="T221" s="184"/>
      <c r="U221" s="664"/>
      <c r="V221" s="774"/>
      <c r="W221" s="661"/>
      <c r="X221" s="757"/>
      <c r="Y221" s="661"/>
      <c r="Z221" s="661"/>
    </row>
    <row r="222" hidden="1" outlineLevel="1">
      <c r="A222" s="661"/>
      <c r="B222" s="729"/>
      <c r="C222" s="730"/>
      <c r="D222" s="730"/>
      <c r="E222" s="730"/>
      <c r="F222" s="730"/>
      <c r="G222" s="731"/>
      <c r="H222" s="730"/>
      <c r="I222" s="730"/>
      <c r="J222" s="730"/>
      <c r="K222" s="730"/>
      <c r="L222" s="755"/>
      <c r="M222" s="755"/>
      <c r="N222" s="730"/>
      <c r="O222" s="733"/>
      <c r="Q222" s="728"/>
      <c r="R222" s="661"/>
      <c r="S222" s="228" t="str">
        <f t="array" ref="S222">IFERROR(INDEX('💻シート作成'!$D$6:$D1001, MATCH(T222, '💻シート作成'!$E$6:$E1001, 0)), "")</f>
        <v/>
      </c>
      <c r="T222" s="184"/>
      <c r="U222" s="664"/>
      <c r="V222" s="774"/>
      <c r="W222" s="661"/>
      <c r="X222" s="757"/>
      <c r="Y222" s="661"/>
      <c r="Z222" s="661"/>
    </row>
    <row r="223" hidden="1" outlineLevel="1">
      <c r="A223" s="661"/>
      <c r="B223" s="729"/>
      <c r="C223" s="730"/>
      <c r="D223" s="730"/>
      <c r="E223" s="730"/>
      <c r="F223" s="730"/>
      <c r="G223" s="731"/>
      <c r="H223" s="730"/>
      <c r="I223" s="730"/>
      <c r="J223" s="730"/>
      <c r="K223" s="730"/>
      <c r="L223" s="755"/>
      <c r="M223" s="755"/>
      <c r="N223" s="730"/>
      <c r="O223" s="733"/>
      <c r="Q223" s="728"/>
      <c r="R223" s="661"/>
      <c r="S223" s="228" t="str">
        <f t="array" ref="S223">IFERROR(INDEX('💻シート作成'!$D$6:$D1001, MATCH(T223, '💻シート作成'!$E$6:$E1001, 0)), "")</f>
        <v/>
      </c>
      <c r="T223" s="184"/>
      <c r="U223" s="664"/>
      <c r="V223" s="774"/>
      <c r="W223" s="661"/>
      <c r="X223" s="757"/>
      <c r="Y223" s="661"/>
      <c r="Z223" s="661"/>
    </row>
    <row r="224" hidden="1" outlineLevel="1">
      <c r="A224" s="661"/>
      <c r="B224" s="729"/>
      <c r="C224" s="730"/>
      <c r="D224" s="730"/>
      <c r="E224" s="730"/>
      <c r="F224" s="730"/>
      <c r="G224" s="731"/>
      <c r="H224" s="730"/>
      <c r="I224" s="730"/>
      <c r="J224" s="730"/>
      <c r="K224" s="730"/>
      <c r="L224" s="756"/>
      <c r="M224" s="755"/>
      <c r="N224" s="730"/>
      <c r="O224" s="733"/>
      <c r="Q224" s="728"/>
      <c r="R224" s="661"/>
      <c r="S224" s="228" t="str">
        <f t="array" ref="S224">IFERROR(INDEX('💻シート作成'!$D$6:$D1001, MATCH(T224, '💻シート作成'!$E$6:$E1001, 0)), "")</f>
        <v/>
      </c>
      <c r="T224" s="184"/>
      <c r="U224" s="664"/>
      <c r="V224" s="774"/>
      <c r="W224" s="661"/>
      <c r="X224" s="757"/>
      <c r="Y224" s="661"/>
      <c r="Z224" s="661"/>
    </row>
    <row r="225" hidden="1" outlineLevel="1">
      <c r="A225" s="661"/>
      <c r="B225" s="729"/>
      <c r="C225" s="730"/>
      <c r="D225" s="730"/>
      <c r="E225" s="730"/>
      <c r="F225" s="730"/>
      <c r="G225" s="731"/>
      <c r="H225" s="730"/>
      <c r="I225" s="730"/>
      <c r="J225" s="730"/>
      <c r="K225" s="730"/>
      <c r="L225" s="756"/>
      <c r="M225" s="755"/>
      <c r="N225" s="730"/>
      <c r="O225" s="733"/>
      <c r="Q225" s="728"/>
      <c r="R225" s="661"/>
      <c r="S225" s="228" t="str">
        <f t="array" ref="S225">IFERROR(INDEX('💻シート作成'!$D$6:$D1001, MATCH(T225, '💻シート作成'!$E$6:$E1001, 0)), "")</f>
        <v/>
      </c>
      <c r="T225" s="184"/>
      <c r="U225" s="664"/>
      <c r="V225" s="774"/>
      <c r="W225" s="661"/>
      <c r="X225" s="757"/>
      <c r="Y225" s="661"/>
      <c r="Z225" s="661"/>
    </row>
    <row r="226" hidden="1" outlineLevel="1">
      <c r="A226" s="661"/>
      <c r="B226" s="729"/>
      <c r="C226" s="730"/>
      <c r="D226" s="730"/>
      <c r="E226" s="730"/>
      <c r="F226" s="730"/>
      <c r="G226" s="731"/>
      <c r="H226" s="730"/>
      <c r="I226" s="730"/>
      <c r="J226" s="730"/>
      <c r="K226" s="730"/>
      <c r="L226" s="756"/>
      <c r="M226" s="755"/>
      <c r="N226" s="730"/>
      <c r="O226" s="733"/>
      <c r="Q226" s="728"/>
      <c r="R226" s="661"/>
      <c r="S226" s="228" t="str">
        <f t="array" ref="S226">IFERROR(INDEX('💻シート作成'!$D$6:$D1001, MATCH(T226, '💻シート作成'!$E$6:$E1001, 0)), "")</f>
        <v/>
      </c>
      <c r="T226" s="184"/>
      <c r="U226" s="664"/>
      <c r="V226" s="774"/>
      <c r="W226" s="661"/>
      <c r="X226" s="757"/>
      <c r="Y226" s="661"/>
      <c r="Z226" s="661"/>
    </row>
    <row r="227" hidden="1" outlineLevel="1">
      <c r="A227" s="661"/>
      <c r="B227" s="729"/>
      <c r="C227" s="730"/>
      <c r="D227" s="730"/>
      <c r="E227" s="730"/>
      <c r="F227" s="730"/>
      <c r="G227" s="731"/>
      <c r="H227" s="730"/>
      <c r="I227" s="730"/>
      <c r="J227" s="730"/>
      <c r="K227" s="730"/>
      <c r="L227" s="756"/>
      <c r="M227" s="755"/>
      <c r="N227" s="730"/>
      <c r="O227" s="733"/>
      <c r="Q227" s="728"/>
      <c r="R227" s="661"/>
      <c r="S227" s="228" t="str">
        <f t="array" ref="S227">IFERROR(INDEX('💻シート作成'!$D$6:$D1001, MATCH(T227, '💻シート作成'!$E$6:$E1001, 0)), "")</f>
        <v/>
      </c>
      <c r="T227" s="184"/>
      <c r="U227" s="664"/>
      <c r="V227" s="774"/>
      <c r="W227" s="661"/>
      <c r="X227" s="757"/>
      <c r="Y227" s="661"/>
      <c r="Z227" s="661"/>
    </row>
    <row r="228" hidden="1" outlineLevel="1">
      <c r="A228" s="661"/>
      <c r="B228" s="729"/>
      <c r="C228" s="730"/>
      <c r="D228" s="730"/>
      <c r="E228" s="730"/>
      <c r="F228" s="730"/>
      <c r="G228" s="731"/>
      <c r="H228" s="730"/>
      <c r="I228" s="730"/>
      <c r="J228" s="730"/>
      <c r="K228" s="730"/>
      <c r="L228" s="756"/>
      <c r="M228" s="755"/>
      <c r="N228" s="730"/>
      <c r="O228" s="733"/>
      <c r="Q228" s="728"/>
      <c r="R228" s="661"/>
      <c r="S228" s="228" t="str">
        <f t="array" ref="S228">IFERROR(INDEX('💻シート作成'!$D$6:$D1001, MATCH(T228, '💻シート作成'!$E$6:$E1001, 0)), "")</f>
        <v/>
      </c>
      <c r="T228" s="184"/>
      <c r="U228" s="664"/>
      <c r="V228" s="774"/>
      <c r="W228" s="661"/>
      <c r="X228" s="757"/>
      <c r="Y228" s="661"/>
      <c r="Z228" s="661"/>
    </row>
    <row r="229" hidden="1" outlineLevel="1">
      <c r="A229" s="661"/>
      <c r="B229" s="729"/>
      <c r="C229" s="730"/>
      <c r="D229" s="730"/>
      <c r="E229" s="730"/>
      <c r="F229" s="730"/>
      <c r="G229" s="731"/>
      <c r="H229" s="730"/>
      <c r="I229" s="730"/>
      <c r="J229" s="730"/>
      <c r="K229" s="730"/>
      <c r="L229" s="756"/>
      <c r="M229" s="755"/>
      <c r="N229" s="730"/>
      <c r="O229" s="733"/>
      <c r="Q229" s="728"/>
      <c r="R229" s="661"/>
      <c r="S229" s="228" t="str">
        <f t="array" ref="S229">IFERROR(INDEX('💻シート作成'!$D$6:$D1001, MATCH(T229, '💻シート作成'!$E$6:$E1001, 0)), "")</f>
        <v/>
      </c>
      <c r="T229" s="184"/>
      <c r="U229" s="664"/>
      <c r="V229" s="774"/>
      <c r="W229" s="661"/>
      <c r="X229" s="757"/>
      <c r="Y229" s="661"/>
      <c r="Z229" s="661"/>
    </row>
    <row r="230" hidden="1" outlineLevel="1">
      <c r="A230" s="661"/>
      <c r="B230" s="729"/>
      <c r="C230" s="730"/>
      <c r="D230" s="730"/>
      <c r="E230" s="730"/>
      <c r="F230" s="697"/>
      <c r="G230" s="698"/>
      <c r="H230" s="697"/>
      <c r="I230" s="697"/>
      <c r="J230" s="697"/>
      <c r="K230" s="697"/>
      <c r="L230" s="756"/>
      <c r="M230" s="755"/>
      <c r="N230" s="697"/>
      <c r="O230" s="700"/>
      <c r="P230" s="701"/>
      <c r="Q230" s="737"/>
      <c r="R230" s="661"/>
      <c r="S230" s="228" t="str">
        <f t="array" ref="S230">IFERROR(INDEX('💻シート作成'!$D$6:$D1001, MATCH(T230, '💻シート作成'!$E$6:$E1001, 0)), "")</f>
        <v/>
      </c>
      <c r="T230" s="184"/>
      <c r="U230" s="664"/>
      <c r="V230" s="774"/>
      <c r="W230" s="661"/>
      <c r="X230" s="757"/>
      <c r="Y230" s="661"/>
      <c r="Z230" s="661"/>
    </row>
    <row r="231" hidden="1" outlineLevel="1">
      <c r="A231" s="661"/>
      <c r="B231" s="738"/>
      <c r="C231" s="697"/>
      <c r="D231" s="697"/>
      <c r="E231" s="697"/>
      <c r="F231" s="758" t="s">
        <v>517</v>
      </c>
      <c r="G231" s="759"/>
      <c r="H231" s="741"/>
      <c r="I231" s="741"/>
      <c r="J231" s="741"/>
      <c r="K231" s="741"/>
      <c r="L231" s="759"/>
      <c r="M231" s="759"/>
      <c r="N231" s="759"/>
      <c r="O231" s="759"/>
      <c r="P231" s="759"/>
      <c r="Q231" s="760"/>
      <c r="R231" s="661"/>
      <c r="S231" s="228" t="str">
        <f t="array" ref="S231">IFERROR(INDEX('💻シート作成'!$D$6:$D1001, MATCH(T231, '💻シート作成'!$E$6:$E1001, 0)), "")</f>
        <v/>
      </c>
      <c r="T231" s="184"/>
      <c r="U231" s="664"/>
      <c r="V231" s="774"/>
      <c r="W231" s="661"/>
      <c r="X231" s="757"/>
      <c r="Y231" s="661"/>
      <c r="Z231" s="661"/>
    </row>
    <row r="232" collapsed="1">
      <c r="A232" s="661"/>
      <c r="B232" s="780" t="s">
        <v>525</v>
      </c>
      <c r="C232" s="781"/>
      <c r="D232" s="781"/>
      <c r="E232" s="781"/>
      <c r="F232" s="782"/>
      <c r="G232" s="783"/>
      <c r="H232" s="784"/>
      <c r="I232" s="784"/>
      <c r="J232" s="785"/>
      <c r="K232" s="785"/>
      <c r="L232" s="783"/>
      <c r="M232" s="783"/>
      <c r="N232" s="786"/>
      <c r="O232" s="787"/>
      <c r="P232" s="787"/>
      <c r="Q232" s="788"/>
      <c r="R232" s="661"/>
      <c r="S232" s="228" t="str">
        <f t="array" ref="S232">IFERROR(INDEX('💻シート作成'!$D$6:$D1001, MATCH(T232, '💻シート作成'!$E$6:$E1001, 0)), "")</f>
        <v/>
      </c>
      <c r="T232" s="184"/>
      <c r="U232" s="664"/>
      <c r="V232" s="774"/>
      <c r="W232" s="661"/>
      <c r="X232" s="757"/>
      <c r="Y232" s="661"/>
      <c r="Z232" s="661"/>
    </row>
    <row r="233" hidden="1" outlineLevel="1">
      <c r="A233" s="661"/>
      <c r="B233" s="761"/>
      <c r="C233" s="762">
        <f>IF(C221="","",IF(DAY(C221+1)=1,"",C221+1))</f>
        <v>46133</v>
      </c>
      <c r="D233" s="763" t="str">
        <f>TEXT(C233,"ddd")</f>
        <v>火</v>
      </c>
      <c r="E233" s="764"/>
      <c r="F233" s="765" t="s">
        <v>518</v>
      </c>
      <c r="G233" s="766" t="s">
        <v>519</v>
      </c>
      <c r="H233" s="767"/>
      <c r="I233" s="768">
        <v>0.0</v>
      </c>
      <c r="J233" s="763"/>
      <c r="K233" s="763"/>
      <c r="L233" s="769"/>
      <c r="M233" s="769"/>
      <c r="N233" s="765"/>
      <c r="O233" s="770"/>
      <c r="P233" s="771"/>
      <c r="Q233" s="772"/>
      <c r="R233" s="661"/>
      <c r="S233" s="228" t="str">
        <f t="array" ref="S233">IFERROR(INDEX('💻シート作成'!$D$6:$D1001, MATCH(T233, '💻シート作成'!$E$6:$E1001, 0)), "")</f>
        <v/>
      </c>
      <c r="T233" s="184"/>
      <c r="U233" s="664"/>
      <c r="V233" s="774"/>
      <c r="W233" s="661"/>
      <c r="X233" s="757"/>
      <c r="Y233" s="661"/>
      <c r="Z233" s="661"/>
    </row>
    <row r="234" hidden="1" outlineLevel="1">
      <c r="A234" s="661"/>
      <c r="B234" s="729"/>
      <c r="C234" s="730"/>
      <c r="D234" s="730"/>
      <c r="E234" s="730"/>
      <c r="F234" s="730"/>
      <c r="G234" s="731"/>
      <c r="H234" s="730"/>
      <c r="I234" s="730"/>
      <c r="J234" s="730"/>
      <c r="K234" s="730"/>
      <c r="L234" s="769"/>
      <c r="M234" s="769"/>
      <c r="N234" s="730"/>
      <c r="O234" s="733"/>
      <c r="Q234" s="728"/>
      <c r="R234" s="661"/>
      <c r="S234" s="228" t="str">
        <f t="array" ref="S234">IFERROR(INDEX('💻シート作成'!$D$6:$D1001, MATCH(T234, '💻シート作成'!$E$6:$E1001, 0)), "")</f>
        <v/>
      </c>
      <c r="T234" s="184"/>
      <c r="U234" s="664"/>
      <c r="V234" s="774"/>
      <c r="W234" s="661"/>
      <c r="X234" s="757"/>
      <c r="Y234" s="661"/>
      <c r="Z234" s="661"/>
    </row>
    <row r="235" hidden="1" outlineLevel="1">
      <c r="A235" s="661"/>
      <c r="B235" s="729"/>
      <c r="C235" s="730"/>
      <c r="D235" s="730"/>
      <c r="E235" s="730"/>
      <c r="F235" s="730"/>
      <c r="G235" s="731"/>
      <c r="H235" s="730"/>
      <c r="I235" s="730"/>
      <c r="J235" s="730"/>
      <c r="K235" s="730"/>
      <c r="L235" s="769"/>
      <c r="M235" s="769"/>
      <c r="N235" s="730"/>
      <c r="O235" s="733"/>
      <c r="Q235" s="728"/>
      <c r="R235" s="661"/>
      <c r="S235" s="228" t="str">
        <f t="array" ref="S235">IFERROR(INDEX('💻シート作成'!$D$6:$D1001, MATCH(T235, '💻シート作成'!$E$6:$E1001, 0)), "")</f>
        <v/>
      </c>
      <c r="T235" s="184"/>
      <c r="U235" s="664"/>
      <c r="V235" s="774"/>
      <c r="W235" s="661"/>
      <c r="X235" s="757"/>
      <c r="Y235" s="661"/>
      <c r="Z235" s="661"/>
    </row>
    <row r="236" hidden="1" outlineLevel="1">
      <c r="A236" s="661"/>
      <c r="B236" s="729"/>
      <c r="C236" s="730"/>
      <c r="D236" s="730"/>
      <c r="E236" s="730"/>
      <c r="F236" s="730"/>
      <c r="G236" s="731"/>
      <c r="H236" s="730"/>
      <c r="I236" s="730"/>
      <c r="J236" s="730"/>
      <c r="K236" s="730"/>
      <c r="L236" s="773"/>
      <c r="M236" s="769"/>
      <c r="N236" s="730"/>
      <c r="O236" s="733"/>
      <c r="Q236" s="728"/>
      <c r="R236" s="661"/>
      <c r="S236" s="228" t="str">
        <f t="array" ref="S236">IFERROR(INDEX('💻シート作成'!$D$6:$D1001, MATCH(T236, '💻シート作成'!$E$6:$E1001, 0)), "")</f>
        <v/>
      </c>
      <c r="T236" s="184"/>
      <c r="U236" s="664"/>
      <c r="V236" s="774"/>
      <c r="W236" s="661"/>
      <c r="X236" s="757"/>
      <c r="Y236" s="661"/>
      <c r="Z236" s="661"/>
    </row>
    <row r="237" hidden="1" outlineLevel="1">
      <c r="A237" s="661"/>
      <c r="B237" s="729"/>
      <c r="C237" s="730"/>
      <c r="D237" s="730"/>
      <c r="E237" s="730"/>
      <c r="F237" s="730"/>
      <c r="G237" s="731"/>
      <c r="H237" s="730"/>
      <c r="I237" s="730"/>
      <c r="J237" s="730"/>
      <c r="K237" s="730"/>
      <c r="L237" s="773"/>
      <c r="M237" s="769"/>
      <c r="N237" s="730"/>
      <c r="O237" s="733"/>
      <c r="Q237" s="728"/>
      <c r="R237" s="661"/>
      <c r="S237" s="228" t="str">
        <f t="array" ref="S237">IFERROR(INDEX('💻シート作成'!$D$6:$D1001, MATCH(T237, '💻シート作成'!$E$6:$E1001, 0)), "")</f>
        <v/>
      </c>
      <c r="T237" s="184"/>
      <c r="U237" s="664"/>
      <c r="V237" s="774"/>
      <c r="W237" s="661"/>
      <c r="X237" s="757"/>
      <c r="Y237" s="661"/>
      <c r="Z237" s="661"/>
    </row>
    <row r="238" hidden="1" outlineLevel="1">
      <c r="A238" s="661"/>
      <c r="B238" s="729"/>
      <c r="C238" s="730"/>
      <c r="D238" s="730"/>
      <c r="E238" s="730"/>
      <c r="F238" s="730"/>
      <c r="G238" s="731"/>
      <c r="H238" s="730"/>
      <c r="I238" s="730"/>
      <c r="J238" s="730"/>
      <c r="K238" s="730"/>
      <c r="L238" s="773"/>
      <c r="M238" s="769"/>
      <c r="N238" s="730"/>
      <c r="O238" s="733"/>
      <c r="Q238" s="728"/>
      <c r="R238" s="661"/>
      <c r="S238" s="228" t="str">
        <f t="array" ref="S238">IFERROR(INDEX('💻シート作成'!$D$6:$D1001, MATCH(T238, '💻シート作成'!$E$6:$E1001, 0)), "")</f>
        <v/>
      </c>
      <c r="T238" s="184"/>
      <c r="U238" s="664"/>
      <c r="V238" s="774"/>
      <c r="W238" s="661"/>
      <c r="X238" s="757"/>
      <c r="Y238" s="661"/>
      <c r="Z238" s="661"/>
    </row>
    <row r="239" hidden="1" outlineLevel="1">
      <c r="A239" s="661"/>
      <c r="B239" s="729"/>
      <c r="C239" s="730"/>
      <c r="D239" s="730"/>
      <c r="E239" s="730"/>
      <c r="F239" s="730"/>
      <c r="G239" s="731"/>
      <c r="H239" s="730"/>
      <c r="I239" s="730"/>
      <c r="J239" s="730"/>
      <c r="K239" s="730"/>
      <c r="L239" s="773"/>
      <c r="M239" s="769"/>
      <c r="N239" s="730"/>
      <c r="O239" s="733"/>
      <c r="Q239" s="728"/>
      <c r="R239" s="661"/>
      <c r="S239" s="228" t="str">
        <f t="array" ref="S239">IFERROR(INDEX('💻シート作成'!$D$6:$D1001, MATCH(T239, '💻シート作成'!$E$6:$E1001, 0)), "")</f>
        <v/>
      </c>
      <c r="T239" s="184"/>
      <c r="U239" s="664"/>
      <c r="V239" s="774"/>
      <c r="W239" s="661"/>
      <c r="X239" s="757"/>
      <c r="Y239" s="661"/>
      <c r="Z239" s="661"/>
    </row>
    <row r="240" hidden="1" outlineLevel="1">
      <c r="A240" s="661"/>
      <c r="B240" s="729"/>
      <c r="C240" s="730"/>
      <c r="D240" s="730"/>
      <c r="E240" s="730"/>
      <c r="F240" s="730"/>
      <c r="G240" s="731"/>
      <c r="H240" s="730"/>
      <c r="I240" s="730"/>
      <c r="J240" s="730"/>
      <c r="K240" s="730"/>
      <c r="L240" s="773"/>
      <c r="M240" s="769"/>
      <c r="N240" s="730"/>
      <c r="O240" s="733"/>
      <c r="Q240" s="728"/>
      <c r="R240" s="661"/>
      <c r="S240" s="228" t="str">
        <f t="array" ref="S240">IFERROR(INDEX('💻シート作成'!$D$6:$D1001, MATCH(T240, '💻シート作成'!$E$6:$E1001, 0)), "")</f>
        <v/>
      </c>
      <c r="T240" s="184"/>
      <c r="U240" s="664"/>
      <c r="V240" s="774"/>
      <c r="W240" s="661"/>
      <c r="X240" s="757"/>
      <c r="Y240" s="661"/>
      <c r="Z240" s="661"/>
    </row>
    <row r="241" hidden="1" outlineLevel="1">
      <c r="A241" s="661"/>
      <c r="B241" s="729"/>
      <c r="C241" s="730"/>
      <c r="D241" s="730"/>
      <c r="E241" s="730"/>
      <c r="F241" s="730"/>
      <c r="G241" s="731"/>
      <c r="H241" s="730"/>
      <c r="I241" s="730"/>
      <c r="J241" s="730"/>
      <c r="K241" s="730"/>
      <c r="L241" s="773"/>
      <c r="M241" s="769"/>
      <c r="N241" s="730"/>
      <c r="O241" s="733"/>
      <c r="Q241" s="728"/>
      <c r="R241" s="661"/>
      <c r="S241" s="228" t="str">
        <f t="array" ref="S241">IFERROR(INDEX('💻シート作成'!$D$6:$D1001, MATCH(T241, '💻シート作成'!$E$6:$E1001, 0)), "")</f>
        <v/>
      </c>
      <c r="T241" s="184"/>
      <c r="U241" s="664"/>
      <c r="V241" s="774"/>
      <c r="W241" s="661"/>
      <c r="X241" s="757"/>
      <c r="Y241" s="661"/>
      <c r="Z241" s="661"/>
    </row>
    <row r="242" hidden="1" outlineLevel="1">
      <c r="A242" s="661"/>
      <c r="B242" s="729"/>
      <c r="C242" s="730"/>
      <c r="D242" s="730"/>
      <c r="E242" s="730"/>
      <c r="F242" s="697"/>
      <c r="G242" s="698"/>
      <c r="H242" s="697"/>
      <c r="I242" s="697"/>
      <c r="J242" s="697"/>
      <c r="K242" s="697"/>
      <c r="L242" s="773"/>
      <c r="M242" s="769"/>
      <c r="N242" s="697"/>
      <c r="O242" s="700"/>
      <c r="P242" s="701"/>
      <c r="Q242" s="737"/>
      <c r="R242" s="661"/>
      <c r="S242" s="228" t="str">
        <f t="array" ref="S242">IFERROR(INDEX('💻シート作成'!$D$6:$D1001, MATCH(T242, '💻シート作成'!$E$6:$E1001, 0)), "")</f>
        <v/>
      </c>
      <c r="T242" s="184"/>
      <c r="U242" s="664"/>
      <c r="V242" s="774"/>
      <c r="W242" s="661"/>
      <c r="X242" s="757"/>
      <c r="Y242" s="661"/>
      <c r="Z242" s="661"/>
    </row>
    <row r="243" hidden="1" outlineLevel="1">
      <c r="A243" s="661"/>
      <c r="B243" s="738"/>
      <c r="C243" s="697"/>
      <c r="D243" s="697"/>
      <c r="E243" s="697"/>
      <c r="F243" s="739" t="s">
        <v>517</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4"/>
      <c r="W243" s="661"/>
      <c r="X243" s="757"/>
      <c r="Y243" s="661"/>
      <c r="Z243" s="661"/>
    </row>
    <row r="244" hidden="1" outlineLevel="1">
      <c r="A244" s="661"/>
      <c r="B244" s="743"/>
      <c r="C244" s="744">
        <f>IF(C233="","",IF(DAY(C233+1)=1,"",C233+1))</f>
        <v>46134</v>
      </c>
      <c r="D244" s="745" t="str">
        <f>TEXT(C244,"ddd")</f>
        <v>水</v>
      </c>
      <c r="E244" s="746"/>
      <c r="F244" s="775" t="s">
        <v>518</v>
      </c>
      <c r="G244" s="776" t="s">
        <v>519</v>
      </c>
      <c r="H244" s="777"/>
      <c r="I244" s="778">
        <v>0.0</v>
      </c>
      <c r="J244" s="745"/>
      <c r="K244" s="745"/>
      <c r="L244" s="755"/>
      <c r="M244" s="755"/>
      <c r="N244" s="775"/>
      <c r="O244" s="779"/>
      <c r="P244" s="771"/>
      <c r="Q244" s="772"/>
      <c r="R244" s="661"/>
      <c r="S244" s="228" t="str">
        <f t="array" ref="S244">IFERROR(INDEX('💻シート作成'!$D$6:$D1001, MATCH(T244, '💻シート作成'!$E$6:$E1001, 0)), "")</f>
        <v/>
      </c>
      <c r="T244" s="184"/>
      <c r="U244" s="664"/>
      <c r="V244" s="774"/>
      <c r="W244" s="661"/>
      <c r="X244" s="757"/>
      <c r="Y244" s="661"/>
      <c r="Z244" s="661"/>
    </row>
    <row r="245" hidden="1" outlineLevel="1">
      <c r="A245" s="661"/>
      <c r="B245" s="729"/>
      <c r="C245" s="730"/>
      <c r="D245" s="730"/>
      <c r="E245" s="730"/>
      <c r="F245" s="730"/>
      <c r="G245" s="731"/>
      <c r="H245" s="730"/>
      <c r="I245" s="730"/>
      <c r="J245" s="730"/>
      <c r="K245" s="730"/>
      <c r="L245" s="755"/>
      <c r="M245" s="755"/>
      <c r="N245" s="730"/>
      <c r="O245" s="733"/>
      <c r="Q245" s="728"/>
      <c r="R245" s="661"/>
      <c r="S245" s="228" t="str">
        <f t="array" ref="S245">IFERROR(INDEX('💻シート作成'!$D$6:$D1001, MATCH(T245, '💻シート作成'!$E$6:$E1001, 0)), "")</f>
        <v/>
      </c>
      <c r="T245" s="184"/>
      <c r="U245" s="664"/>
      <c r="V245" s="774"/>
      <c r="W245" s="661"/>
      <c r="X245" s="757"/>
      <c r="Y245" s="661"/>
      <c r="Z245" s="661"/>
    </row>
    <row r="246" hidden="1" outlineLevel="1">
      <c r="A246" s="661"/>
      <c r="B246" s="729"/>
      <c r="C246" s="730"/>
      <c r="D246" s="730"/>
      <c r="E246" s="730"/>
      <c r="F246" s="730"/>
      <c r="G246" s="731"/>
      <c r="H246" s="730"/>
      <c r="I246" s="730"/>
      <c r="J246" s="730"/>
      <c r="K246" s="730"/>
      <c r="L246" s="755"/>
      <c r="M246" s="755"/>
      <c r="N246" s="730"/>
      <c r="O246" s="733"/>
      <c r="Q246" s="728"/>
      <c r="R246" s="661"/>
      <c r="S246" s="228" t="str">
        <f t="array" ref="S246">IFERROR(INDEX('💻シート作成'!$D$6:$D1001, MATCH(T246, '💻シート作成'!$E$6:$E1001, 0)), "")</f>
        <v/>
      </c>
      <c r="T246" s="184"/>
      <c r="U246" s="664"/>
      <c r="V246" s="774"/>
      <c r="W246" s="661"/>
      <c r="X246" s="757"/>
      <c r="Y246" s="661"/>
      <c r="Z246" s="661"/>
    </row>
    <row r="247" hidden="1" outlineLevel="1">
      <c r="A247" s="661"/>
      <c r="B247" s="729"/>
      <c r="C247" s="730"/>
      <c r="D247" s="730"/>
      <c r="E247" s="730"/>
      <c r="F247" s="730"/>
      <c r="G247" s="731"/>
      <c r="H247" s="730"/>
      <c r="I247" s="730"/>
      <c r="J247" s="730"/>
      <c r="K247" s="730"/>
      <c r="L247" s="756"/>
      <c r="M247" s="755"/>
      <c r="N247" s="730"/>
      <c r="O247" s="733"/>
      <c r="Q247" s="728"/>
      <c r="R247" s="661"/>
      <c r="S247" s="228" t="str">
        <f t="array" ref="S247">IFERROR(INDEX('💻シート作成'!$D$6:$D1001, MATCH(T247, '💻シート作成'!$E$6:$E1001, 0)), "")</f>
        <v/>
      </c>
      <c r="T247" s="184"/>
      <c r="U247" s="664"/>
      <c r="V247" s="774"/>
      <c r="W247" s="661"/>
      <c r="X247" s="757"/>
      <c r="Y247" s="661"/>
      <c r="Z247" s="661"/>
    </row>
    <row r="248" hidden="1" outlineLevel="1">
      <c r="A248" s="661"/>
      <c r="B248" s="729"/>
      <c r="C248" s="730"/>
      <c r="D248" s="730"/>
      <c r="E248" s="730"/>
      <c r="F248" s="730"/>
      <c r="G248" s="731"/>
      <c r="H248" s="730"/>
      <c r="I248" s="730"/>
      <c r="J248" s="730"/>
      <c r="K248" s="730"/>
      <c r="L248" s="756"/>
      <c r="M248" s="755"/>
      <c r="N248" s="730"/>
      <c r="O248" s="733"/>
      <c r="Q248" s="728"/>
      <c r="R248" s="661"/>
      <c r="S248" s="228" t="str">
        <f t="array" ref="S248">IFERROR(INDEX('💻シート作成'!$D$6:$D1001, MATCH(T248, '💻シート作成'!$E$6:$E1001, 0)), "")</f>
        <v/>
      </c>
      <c r="T248" s="184"/>
      <c r="U248" s="664"/>
      <c r="V248" s="774"/>
      <c r="W248" s="661"/>
      <c r="X248" s="757"/>
      <c r="Y248" s="661"/>
      <c r="Z248" s="661"/>
    </row>
    <row r="249" hidden="1" outlineLevel="1">
      <c r="A249" s="661"/>
      <c r="B249" s="729"/>
      <c r="C249" s="730"/>
      <c r="D249" s="730"/>
      <c r="E249" s="730"/>
      <c r="F249" s="730"/>
      <c r="G249" s="731"/>
      <c r="H249" s="730"/>
      <c r="I249" s="730"/>
      <c r="J249" s="730"/>
      <c r="K249" s="730"/>
      <c r="L249" s="756"/>
      <c r="M249" s="755"/>
      <c r="N249" s="730"/>
      <c r="O249" s="733"/>
      <c r="Q249" s="728"/>
      <c r="R249" s="661"/>
      <c r="S249" s="228" t="str">
        <f t="array" ref="S249">IFERROR(INDEX('💻シート作成'!$D$6:$D1001, MATCH(T249, '💻シート作成'!$E$6:$E1001, 0)), "")</f>
        <v/>
      </c>
      <c r="T249" s="184"/>
      <c r="U249" s="664"/>
      <c r="V249" s="774"/>
      <c r="W249" s="661"/>
      <c r="X249" s="757"/>
      <c r="Y249" s="661"/>
      <c r="Z249" s="661"/>
    </row>
    <row r="250" hidden="1" outlineLevel="1">
      <c r="A250" s="661"/>
      <c r="B250" s="729"/>
      <c r="C250" s="730"/>
      <c r="D250" s="730"/>
      <c r="E250" s="730"/>
      <c r="F250" s="730"/>
      <c r="G250" s="731"/>
      <c r="H250" s="730"/>
      <c r="I250" s="730"/>
      <c r="J250" s="730"/>
      <c r="K250" s="730"/>
      <c r="L250" s="756"/>
      <c r="M250" s="755"/>
      <c r="N250" s="730"/>
      <c r="O250" s="733"/>
      <c r="Q250" s="728"/>
      <c r="R250" s="661"/>
      <c r="S250" s="228" t="str">
        <f t="array" ref="S250">IFERROR(INDEX('💻シート作成'!$D$6:$D1001, MATCH(T250, '💻シート作成'!$E$6:$E1001, 0)), "")</f>
        <v/>
      </c>
      <c r="T250" s="184"/>
      <c r="U250" s="664"/>
      <c r="V250" s="774"/>
      <c r="W250" s="661"/>
      <c r="X250" s="757"/>
      <c r="Y250" s="661"/>
      <c r="Z250" s="661"/>
    </row>
    <row r="251" hidden="1" outlineLevel="1">
      <c r="A251" s="661"/>
      <c r="B251" s="729"/>
      <c r="C251" s="730"/>
      <c r="D251" s="730"/>
      <c r="E251" s="730"/>
      <c r="F251" s="730"/>
      <c r="G251" s="731"/>
      <c r="H251" s="730"/>
      <c r="I251" s="730"/>
      <c r="J251" s="730"/>
      <c r="K251" s="730"/>
      <c r="L251" s="756"/>
      <c r="M251" s="755"/>
      <c r="N251" s="730"/>
      <c r="O251" s="733"/>
      <c r="Q251" s="728"/>
      <c r="R251" s="661"/>
      <c r="S251" s="228" t="str">
        <f t="array" ref="S251">IFERROR(INDEX('💻シート作成'!$D$6:$D1001, MATCH(T251, '💻シート作成'!$E$6:$E1001, 0)), "")</f>
        <v/>
      </c>
      <c r="T251" s="184"/>
      <c r="U251" s="664"/>
      <c r="V251" s="774"/>
      <c r="W251" s="661"/>
      <c r="X251" s="757"/>
      <c r="Y251" s="661"/>
      <c r="Z251" s="661"/>
    </row>
    <row r="252" hidden="1" outlineLevel="1">
      <c r="A252" s="661"/>
      <c r="B252" s="729"/>
      <c r="C252" s="730"/>
      <c r="D252" s="730"/>
      <c r="E252" s="730"/>
      <c r="F252" s="730"/>
      <c r="G252" s="731"/>
      <c r="H252" s="730"/>
      <c r="I252" s="730"/>
      <c r="J252" s="730"/>
      <c r="K252" s="730"/>
      <c r="L252" s="756"/>
      <c r="M252" s="755"/>
      <c r="N252" s="730"/>
      <c r="O252" s="733"/>
      <c r="Q252" s="728"/>
      <c r="R252" s="661"/>
      <c r="S252" s="228" t="str">
        <f t="array" ref="S252">IFERROR(INDEX('💻シート作成'!$D$6:$D1001, MATCH(T252, '💻シート作成'!$E$6:$E1001, 0)), "")</f>
        <v/>
      </c>
      <c r="T252" s="184"/>
      <c r="U252" s="664"/>
      <c r="V252" s="774"/>
      <c r="W252" s="661"/>
      <c r="X252" s="757"/>
      <c r="Y252" s="661"/>
      <c r="Z252" s="661"/>
    </row>
    <row r="253" hidden="1" outlineLevel="1">
      <c r="A253" s="661"/>
      <c r="B253" s="729"/>
      <c r="C253" s="730"/>
      <c r="D253" s="730"/>
      <c r="E253" s="730"/>
      <c r="F253" s="697"/>
      <c r="G253" s="698"/>
      <c r="H253" s="697"/>
      <c r="I253" s="697"/>
      <c r="J253" s="697"/>
      <c r="K253" s="697"/>
      <c r="L253" s="756"/>
      <c r="M253" s="755"/>
      <c r="N253" s="697"/>
      <c r="O253" s="700"/>
      <c r="P253" s="701"/>
      <c r="Q253" s="737"/>
      <c r="R253" s="661"/>
      <c r="S253" s="228" t="str">
        <f t="array" ref="S253">IFERROR(INDEX('💻シート作成'!$D$6:$D1001, MATCH(T253, '💻シート作成'!$E$6:$E1001, 0)), "")</f>
        <v/>
      </c>
      <c r="T253" s="184"/>
      <c r="U253" s="664"/>
      <c r="V253" s="774"/>
      <c r="W253" s="661"/>
      <c r="X253" s="757"/>
      <c r="Y253" s="661"/>
      <c r="Z253" s="661"/>
    </row>
    <row r="254" hidden="1" outlineLevel="1">
      <c r="A254" s="661"/>
      <c r="B254" s="738"/>
      <c r="C254" s="697"/>
      <c r="D254" s="697"/>
      <c r="E254" s="697"/>
      <c r="F254" s="758" t="s">
        <v>517</v>
      </c>
      <c r="G254" s="759"/>
      <c r="H254" s="741"/>
      <c r="I254" s="741"/>
      <c r="J254" s="741"/>
      <c r="K254" s="741"/>
      <c r="L254" s="759"/>
      <c r="M254" s="759"/>
      <c r="N254" s="759"/>
      <c r="O254" s="759"/>
      <c r="P254" s="759"/>
      <c r="Q254" s="760"/>
      <c r="R254" s="661"/>
      <c r="S254" s="228" t="str">
        <f t="array" ref="S254">IFERROR(INDEX('💻シート作成'!$D$6:$D1001, MATCH(T254, '💻シート作成'!$E$6:$E1001, 0)), "")</f>
        <v/>
      </c>
      <c r="T254" s="184"/>
      <c r="U254" s="664"/>
      <c r="V254" s="774"/>
      <c r="W254" s="661"/>
      <c r="X254" s="757"/>
      <c r="Y254" s="661"/>
      <c r="Z254" s="661"/>
    </row>
    <row r="255" hidden="1" outlineLevel="1">
      <c r="A255" s="661"/>
      <c r="B255" s="761"/>
      <c r="C255" s="762">
        <f>IF(C244="","",IF(DAY(C244+1)=1,"",C244+1))</f>
        <v>46135</v>
      </c>
      <c r="D255" s="763" t="str">
        <f>TEXT(C255,"ddd")</f>
        <v>木</v>
      </c>
      <c r="E255" s="764"/>
      <c r="F255" s="765" t="s">
        <v>518</v>
      </c>
      <c r="G255" s="766" t="s">
        <v>519</v>
      </c>
      <c r="H255" s="767"/>
      <c r="I255" s="768">
        <v>0.0</v>
      </c>
      <c r="J255" s="763"/>
      <c r="K255" s="763"/>
      <c r="L255" s="769"/>
      <c r="M255" s="769"/>
      <c r="N255" s="765"/>
      <c r="O255" s="770"/>
      <c r="P255" s="771"/>
      <c r="Q255" s="772"/>
      <c r="R255" s="661"/>
      <c r="S255" s="228" t="str">
        <f t="array" ref="S255">IFERROR(INDEX('💻シート作成'!$D$6:$D1001, MATCH(T255, '💻シート作成'!$E$6:$E1001, 0)), "")</f>
        <v/>
      </c>
      <c r="T255" s="184"/>
      <c r="U255" s="664"/>
      <c r="V255" s="774"/>
      <c r="W255" s="661"/>
      <c r="X255" s="757"/>
      <c r="Y255" s="661"/>
      <c r="Z255" s="661"/>
    </row>
    <row r="256" hidden="1" outlineLevel="1">
      <c r="A256" s="661"/>
      <c r="B256" s="729"/>
      <c r="C256" s="730"/>
      <c r="D256" s="730"/>
      <c r="E256" s="730"/>
      <c r="F256" s="730"/>
      <c r="G256" s="731"/>
      <c r="H256" s="730"/>
      <c r="I256" s="730"/>
      <c r="J256" s="730"/>
      <c r="K256" s="730"/>
      <c r="L256" s="769"/>
      <c r="M256" s="769"/>
      <c r="N256" s="730"/>
      <c r="O256" s="733"/>
      <c r="Q256" s="728"/>
      <c r="R256" s="661"/>
      <c r="S256" s="228" t="str">
        <f t="array" ref="S256">IFERROR(INDEX('💻シート作成'!$D$6:$D1001, MATCH(T256, '💻シート作成'!$E$6:$E1001, 0)), "")</f>
        <v/>
      </c>
      <c r="T256" s="184"/>
      <c r="U256" s="664"/>
      <c r="V256" s="774"/>
      <c r="W256" s="661"/>
      <c r="X256" s="757"/>
      <c r="Y256" s="661"/>
      <c r="Z256" s="661"/>
    </row>
    <row r="257" hidden="1" outlineLevel="1">
      <c r="A257" s="661"/>
      <c r="B257" s="729"/>
      <c r="C257" s="730"/>
      <c r="D257" s="730"/>
      <c r="E257" s="730"/>
      <c r="F257" s="730"/>
      <c r="G257" s="731"/>
      <c r="H257" s="730"/>
      <c r="I257" s="730"/>
      <c r="J257" s="730"/>
      <c r="K257" s="730"/>
      <c r="L257" s="769"/>
      <c r="M257" s="769"/>
      <c r="N257" s="730"/>
      <c r="O257" s="733"/>
      <c r="Q257" s="728"/>
      <c r="R257" s="661"/>
      <c r="S257" s="228" t="str">
        <f t="array" ref="S257">IFERROR(INDEX('💻シート作成'!$D$6:$D1001, MATCH(T257, '💻シート作成'!$E$6:$E1001, 0)), "")</f>
        <v/>
      </c>
      <c r="T257" s="184"/>
      <c r="U257" s="664"/>
      <c r="V257" s="774"/>
      <c r="W257" s="661"/>
      <c r="X257" s="757"/>
      <c r="Y257" s="661"/>
      <c r="Z257" s="661"/>
    </row>
    <row r="258" hidden="1" outlineLevel="1">
      <c r="A258" s="661"/>
      <c r="B258" s="729"/>
      <c r="C258" s="730"/>
      <c r="D258" s="730"/>
      <c r="E258" s="730"/>
      <c r="F258" s="730"/>
      <c r="G258" s="731"/>
      <c r="H258" s="730"/>
      <c r="I258" s="730"/>
      <c r="J258" s="730"/>
      <c r="K258" s="730"/>
      <c r="L258" s="773"/>
      <c r="M258" s="769"/>
      <c r="N258" s="730"/>
      <c r="O258" s="733"/>
      <c r="Q258" s="728"/>
      <c r="R258" s="661"/>
      <c r="S258" s="228" t="str">
        <f t="array" ref="S258">IFERROR(INDEX('💻シート作成'!$D$6:$D1001, MATCH(T258, '💻シート作成'!$E$6:$E1001, 0)), "")</f>
        <v/>
      </c>
      <c r="T258" s="184"/>
      <c r="U258" s="664"/>
      <c r="V258" s="774"/>
      <c r="W258" s="661"/>
      <c r="X258" s="757"/>
      <c r="Y258" s="661"/>
      <c r="Z258" s="661"/>
    </row>
    <row r="259" hidden="1" outlineLevel="1">
      <c r="A259" s="661"/>
      <c r="B259" s="729"/>
      <c r="C259" s="730"/>
      <c r="D259" s="730"/>
      <c r="E259" s="730"/>
      <c r="F259" s="730"/>
      <c r="G259" s="731"/>
      <c r="H259" s="730"/>
      <c r="I259" s="730"/>
      <c r="J259" s="730"/>
      <c r="K259" s="730"/>
      <c r="L259" s="773"/>
      <c r="M259" s="769"/>
      <c r="N259" s="730"/>
      <c r="O259" s="733"/>
      <c r="Q259" s="728"/>
      <c r="R259" s="661"/>
      <c r="S259" s="228" t="str">
        <f t="array" ref="S259">IFERROR(INDEX('💻シート作成'!$D$6:$D1001, MATCH(T259, '💻シート作成'!$E$6:$E1001, 0)), "")</f>
        <v/>
      </c>
      <c r="T259" s="184"/>
      <c r="U259" s="664"/>
      <c r="V259" s="774"/>
      <c r="W259" s="661"/>
      <c r="X259" s="757"/>
      <c r="Y259" s="661"/>
      <c r="Z259" s="661"/>
    </row>
    <row r="260" hidden="1" outlineLevel="1">
      <c r="A260" s="661"/>
      <c r="B260" s="729"/>
      <c r="C260" s="730"/>
      <c r="D260" s="730"/>
      <c r="E260" s="730"/>
      <c r="F260" s="730"/>
      <c r="G260" s="731"/>
      <c r="H260" s="730"/>
      <c r="I260" s="730"/>
      <c r="J260" s="730"/>
      <c r="K260" s="730"/>
      <c r="L260" s="773"/>
      <c r="M260" s="769"/>
      <c r="N260" s="730"/>
      <c r="O260" s="733"/>
      <c r="Q260" s="728"/>
      <c r="R260" s="661"/>
      <c r="S260" s="228" t="str">
        <f t="array" ref="S260">IFERROR(INDEX('💻シート作成'!$D$6:$D1001, MATCH(T260, '💻シート作成'!$E$6:$E1001, 0)), "")</f>
        <v/>
      </c>
      <c r="T260" s="184"/>
      <c r="U260" s="664"/>
      <c r="V260" s="774"/>
      <c r="W260" s="661"/>
      <c r="X260" s="757"/>
      <c r="Y260" s="661"/>
      <c r="Z260" s="661"/>
    </row>
    <row r="261" hidden="1" outlineLevel="1">
      <c r="A261" s="661"/>
      <c r="B261" s="729"/>
      <c r="C261" s="730"/>
      <c r="D261" s="730"/>
      <c r="E261" s="730"/>
      <c r="F261" s="730"/>
      <c r="G261" s="731"/>
      <c r="H261" s="730"/>
      <c r="I261" s="730"/>
      <c r="J261" s="730"/>
      <c r="K261" s="730"/>
      <c r="L261" s="773"/>
      <c r="M261" s="769"/>
      <c r="N261" s="730"/>
      <c r="O261" s="733"/>
      <c r="Q261" s="728"/>
      <c r="R261" s="661"/>
      <c r="S261" s="228" t="str">
        <f t="array" ref="S261">IFERROR(INDEX('💻シート作成'!$D$6:$D1001, MATCH(T261, '💻シート作成'!$E$6:$E1001, 0)), "")</f>
        <v/>
      </c>
      <c r="T261" s="184"/>
      <c r="U261" s="664"/>
      <c r="V261" s="774"/>
      <c r="W261" s="661"/>
      <c r="X261" s="757"/>
      <c r="Y261" s="661"/>
      <c r="Z261" s="661"/>
    </row>
    <row r="262" hidden="1" outlineLevel="1">
      <c r="A262" s="661"/>
      <c r="B262" s="729"/>
      <c r="C262" s="730"/>
      <c r="D262" s="730"/>
      <c r="E262" s="730"/>
      <c r="F262" s="730"/>
      <c r="G262" s="731"/>
      <c r="H262" s="730"/>
      <c r="I262" s="730"/>
      <c r="J262" s="730"/>
      <c r="K262" s="730"/>
      <c r="L262" s="773"/>
      <c r="M262" s="769"/>
      <c r="N262" s="730"/>
      <c r="O262" s="733"/>
      <c r="Q262" s="728"/>
      <c r="R262" s="661"/>
      <c r="S262" s="228" t="str">
        <f t="array" ref="S262">IFERROR(INDEX('💻シート作成'!$D$6:$D1001, MATCH(T262, '💻シート作成'!$E$6:$E1001, 0)), "")</f>
        <v/>
      </c>
      <c r="T262" s="184"/>
      <c r="U262" s="664"/>
      <c r="V262" s="774"/>
      <c r="W262" s="661"/>
      <c r="X262" s="757"/>
      <c r="Y262" s="661"/>
      <c r="Z262" s="661"/>
    </row>
    <row r="263" hidden="1" outlineLevel="1">
      <c r="A263" s="661"/>
      <c r="B263" s="729"/>
      <c r="C263" s="730"/>
      <c r="D263" s="730"/>
      <c r="E263" s="730"/>
      <c r="F263" s="730"/>
      <c r="G263" s="731"/>
      <c r="H263" s="730"/>
      <c r="I263" s="730"/>
      <c r="J263" s="730"/>
      <c r="K263" s="730"/>
      <c r="L263" s="773"/>
      <c r="M263" s="769"/>
      <c r="N263" s="730"/>
      <c r="O263" s="733"/>
      <c r="Q263" s="728"/>
      <c r="R263" s="661"/>
      <c r="S263" s="228" t="str">
        <f t="array" ref="S263">IFERROR(INDEX('💻シート作成'!$D$6:$D1001, MATCH(T263, '💻シート作成'!$E$6:$E1001, 0)), "")</f>
        <v/>
      </c>
      <c r="T263" s="184"/>
      <c r="U263" s="664"/>
      <c r="V263" s="774"/>
      <c r="W263" s="661"/>
      <c r="X263" s="757"/>
      <c r="Y263" s="661"/>
      <c r="Z263" s="661"/>
    </row>
    <row r="264" hidden="1" outlineLevel="1">
      <c r="A264" s="661"/>
      <c r="B264" s="729"/>
      <c r="C264" s="730"/>
      <c r="D264" s="730"/>
      <c r="E264" s="730"/>
      <c r="F264" s="697"/>
      <c r="G264" s="698"/>
      <c r="H264" s="697"/>
      <c r="I264" s="697"/>
      <c r="J264" s="697"/>
      <c r="K264" s="697"/>
      <c r="L264" s="773"/>
      <c r="M264" s="769"/>
      <c r="N264" s="697"/>
      <c r="O264" s="700"/>
      <c r="P264" s="701"/>
      <c r="Q264" s="737"/>
      <c r="R264" s="661"/>
      <c r="S264" s="228" t="str">
        <f t="array" ref="S264">IFERROR(INDEX('💻シート作成'!$D$6:$D1001, MATCH(T264, '💻シート作成'!$E$6:$E1001, 0)), "")</f>
        <v/>
      </c>
      <c r="T264" s="184"/>
      <c r="U264" s="664"/>
      <c r="V264" s="774"/>
      <c r="W264" s="661"/>
      <c r="X264" s="757"/>
      <c r="Y264" s="661"/>
      <c r="Z264" s="661"/>
    </row>
    <row r="265" hidden="1" outlineLevel="1">
      <c r="A265" s="661"/>
      <c r="B265" s="738"/>
      <c r="C265" s="697"/>
      <c r="D265" s="697"/>
      <c r="E265" s="697"/>
      <c r="F265" s="739" t="s">
        <v>517</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4"/>
      <c r="W265" s="661"/>
      <c r="X265" s="757"/>
      <c r="Y265" s="661"/>
      <c r="Z265" s="661"/>
    </row>
    <row r="266" hidden="1" outlineLevel="1">
      <c r="A266" s="661"/>
      <c r="B266" s="743"/>
      <c r="C266" s="744">
        <f>IF(C255="","",IF(DAY(C255+1)=1,"",C255+1))</f>
        <v>46136</v>
      </c>
      <c r="D266" s="745" t="str">
        <f>TEXT(C266,"ddd")</f>
        <v>金</v>
      </c>
      <c r="E266" s="746"/>
      <c r="F266" s="775" t="s">
        <v>518</v>
      </c>
      <c r="G266" s="776" t="s">
        <v>519</v>
      </c>
      <c r="H266" s="777"/>
      <c r="I266" s="778">
        <v>0.0</v>
      </c>
      <c r="J266" s="745"/>
      <c r="K266" s="745"/>
      <c r="L266" s="755"/>
      <c r="M266" s="755"/>
      <c r="N266" s="775"/>
      <c r="O266" s="779"/>
      <c r="P266" s="771"/>
      <c r="Q266" s="772"/>
      <c r="R266" s="661"/>
      <c r="S266" s="228" t="str">
        <f t="array" ref="S266">IFERROR(INDEX('💻シート作成'!$D$6:$D1001, MATCH(T266, '💻シート作成'!$E$6:$E1001, 0)), "")</f>
        <v/>
      </c>
      <c r="T266" s="184"/>
      <c r="U266" s="664"/>
      <c r="V266" s="774"/>
      <c r="W266" s="661"/>
      <c r="X266" s="757"/>
      <c r="Y266" s="661"/>
      <c r="Z266" s="661"/>
    </row>
    <row r="267" hidden="1" outlineLevel="1">
      <c r="A267" s="661"/>
      <c r="B267" s="729"/>
      <c r="C267" s="730"/>
      <c r="D267" s="730"/>
      <c r="E267" s="730"/>
      <c r="F267" s="730"/>
      <c r="G267" s="731"/>
      <c r="H267" s="730"/>
      <c r="I267" s="730"/>
      <c r="J267" s="730"/>
      <c r="K267" s="730"/>
      <c r="L267" s="755"/>
      <c r="M267" s="755"/>
      <c r="N267" s="730"/>
      <c r="O267" s="733"/>
      <c r="Q267" s="728"/>
      <c r="R267" s="661"/>
      <c r="S267" s="228" t="str">
        <f t="array" ref="S267">IFERROR(INDEX('💻シート作成'!$D$6:$D1001, MATCH(T267, '💻シート作成'!$E$6:$E1001, 0)), "")</f>
        <v/>
      </c>
      <c r="T267" s="184"/>
      <c r="U267" s="664"/>
      <c r="V267" s="774"/>
      <c r="W267" s="661"/>
      <c r="X267" s="757"/>
      <c r="Y267" s="661"/>
      <c r="Z267" s="661"/>
    </row>
    <row r="268" hidden="1" outlineLevel="1">
      <c r="A268" s="661"/>
      <c r="B268" s="729"/>
      <c r="C268" s="730"/>
      <c r="D268" s="730"/>
      <c r="E268" s="730"/>
      <c r="F268" s="730"/>
      <c r="G268" s="731"/>
      <c r="H268" s="730"/>
      <c r="I268" s="730"/>
      <c r="J268" s="730"/>
      <c r="K268" s="730"/>
      <c r="L268" s="755"/>
      <c r="M268" s="755"/>
      <c r="N268" s="730"/>
      <c r="O268" s="733"/>
      <c r="Q268" s="728"/>
      <c r="R268" s="661"/>
      <c r="S268" s="228" t="str">
        <f t="array" ref="S268">IFERROR(INDEX('💻シート作成'!$D$6:$D1001, MATCH(T268, '💻シート作成'!$E$6:$E1001, 0)), "")</f>
        <v/>
      </c>
      <c r="T268" s="184"/>
      <c r="U268" s="664"/>
      <c r="V268" s="774"/>
      <c r="W268" s="661"/>
      <c r="X268" s="757"/>
      <c r="Y268" s="661"/>
      <c r="Z268" s="661"/>
    </row>
    <row r="269" hidden="1" outlineLevel="1">
      <c r="A269" s="661"/>
      <c r="B269" s="729"/>
      <c r="C269" s="730"/>
      <c r="D269" s="730"/>
      <c r="E269" s="730"/>
      <c r="F269" s="730"/>
      <c r="G269" s="731"/>
      <c r="H269" s="730"/>
      <c r="I269" s="730"/>
      <c r="J269" s="730"/>
      <c r="K269" s="730"/>
      <c r="L269" s="756"/>
      <c r="M269" s="755"/>
      <c r="N269" s="730"/>
      <c r="O269" s="733"/>
      <c r="Q269" s="728"/>
      <c r="R269" s="661"/>
      <c r="S269" s="228" t="str">
        <f t="array" ref="S269">IFERROR(INDEX('💻シート作成'!$D$6:$D1001, MATCH(T269, '💻シート作成'!$E$6:$E1001, 0)), "")</f>
        <v/>
      </c>
      <c r="T269" s="184"/>
      <c r="U269" s="664"/>
      <c r="V269" s="774"/>
      <c r="W269" s="661"/>
      <c r="X269" s="757"/>
      <c r="Y269" s="661"/>
      <c r="Z269" s="661"/>
    </row>
    <row r="270" hidden="1" outlineLevel="1">
      <c r="A270" s="661"/>
      <c r="B270" s="729"/>
      <c r="C270" s="730"/>
      <c r="D270" s="730"/>
      <c r="E270" s="730"/>
      <c r="F270" s="730"/>
      <c r="G270" s="731"/>
      <c r="H270" s="730"/>
      <c r="I270" s="730"/>
      <c r="J270" s="730"/>
      <c r="K270" s="730"/>
      <c r="L270" s="756"/>
      <c r="M270" s="755"/>
      <c r="N270" s="730"/>
      <c r="O270" s="733"/>
      <c r="Q270" s="728"/>
      <c r="R270" s="661"/>
      <c r="S270" s="228" t="str">
        <f t="array" ref="S270">IFERROR(INDEX('💻シート作成'!$D$6:$D1001, MATCH(T270, '💻シート作成'!$E$6:$E1001, 0)), "")</f>
        <v/>
      </c>
      <c r="T270" s="184"/>
      <c r="U270" s="664"/>
      <c r="V270" s="774"/>
      <c r="W270" s="661"/>
      <c r="X270" s="757"/>
      <c r="Y270" s="661"/>
      <c r="Z270" s="661"/>
    </row>
    <row r="271" hidden="1" outlineLevel="1">
      <c r="A271" s="661"/>
      <c r="B271" s="729"/>
      <c r="C271" s="730"/>
      <c r="D271" s="730"/>
      <c r="E271" s="730"/>
      <c r="F271" s="730"/>
      <c r="G271" s="731"/>
      <c r="H271" s="730"/>
      <c r="I271" s="730"/>
      <c r="J271" s="730"/>
      <c r="K271" s="730"/>
      <c r="L271" s="756"/>
      <c r="M271" s="755"/>
      <c r="N271" s="730"/>
      <c r="O271" s="733"/>
      <c r="Q271" s="728"/>
      <c r="R271" s="661"/>
      <c r="S271" s="228" t="str">
        <f t="array" ref="S271">IFERROR(INDEX('💻シート作成'!$D$6:$D1001, MATCH(T271, '💻シート作成'!$E$6:$E1001, 0)), "")</f>
        <v/>
      </c>
      <c r="T271" s="184"/>
      <c r="U271" s="664"/>
      <c r="V271" s="774"/>
      <c r="W271" s="661"/>
      <c r="X271" s="757"/>
      <c r="Y271" s="661"/>
      <c r="Z271" s="661"/>
    </row>
    <row r="272" hidden="1" outlineLevel="1">
      <c r="A272" s="661"/>
      <c r="B272" s="729"/>
      <c r="C272" s="730"/>
      <c r="D272" s="730"/>
      <c r="E272" s="730"/>
      <c r="F272" s="730"/>
      <c r="G272" s="731"/>
      <c r="H272" s="730"/>
      <c r="I272" s="730"/>
      <c r="J272" s="730"/>
      <c r="K272" s="730"/>
      <c r="L272" s="756"/>
      <c r="M272" s="755"/>
      <c r="N272" s="730"/>
      <c r="O272" s="733"/>
      <c r="Q272" s="728"/>
      <c r="R272" s="661"/>
      <c r="S272" s="228" t="str">
        <f t="array" ref="S272">IFERROR(INDEX('💻シート作成'!$D$6:$D1001, MATCH(T272, '💻シート作成'!$E$6:$E1001, 0)), "")</f>
        <v/>
      </c>
      <c r="T272" s="184"/>
      <c r="U272" s="664"/>
      <c r="V272" s="774"/>
      <c r="W272" s="661"/>
      <c r="X272" s="757"/>
      <c r="Y272" s="661"/>
      <c r="Z272" s="661"/>
    </row>
    <row r="273" hidden="1" outlineLevel="1">
      <c r="A273" s="661"/>
      <c r="B273" s="729"/>
      <c r="C273" s="730"/>
      <c r="D273" s="730"/>
      <c r="E273" s="730"/>
      <c r="F273" s="730"/>
      <c r="G273" s="731"/>
      <c r="H273" s="730"/>
      <c r="I273" s="730"/>
      <c r="J273" s="730"/>
      <c r="K273" s="730"/>
      <c r="L273" s="756"/>
      <c r="M273" s="755"/>
      <c r="N273" s="730"/>
      <c r="O273" s="733"/>
      <c r="Q273" s="728"/>
      <c r="R273" s="661"/>
      <c r="S273" s="228" t="str">
        <f t="array" ref="S273">IFERROR(INDEX('💻シート作成'!$D$6:$D1001, MATCH(T273, '💻シート作成'!$E$6:$E1001, 0)), "")</f>
        <v/>
      </c>
      <c r="T273" s="184"/>
      <c r="U273" s="664"/>
      <c r="V273" s="774"/>
      <c r="W273" s="661"/>
      <c r="X273" s="757"/>
      <c r="Y273" s="661"/>
      <c r="Z273" s="661"/>
    </row>
    <row r="274" hidden="1" outlineLevel="1">
      <c r="A274" s="661"/>
      <c r="B274" s="729"/>
      <c r="C274" s="730"/>
      <c r="D274" s="730"/>
      <c r="E274" s="730"/>
      <c r="F274" s="730"/>
      <c r="G274" s="731"/>
      <c r="H274" s="730"/>
      <c r="I274" s="730"/>
      <c r="J274" s="730"/>
      <c r="K274" s="730"/>
      <c r="L274" s="756"/>
      <c r="M274" s="755"/>
      <c r="N274" s="730"/>
      <c r="O274" s="733"/>
      <c r="Q274" s="728"/>
      <c r="R274" s="661"/>
      <c r="S274" s="228" t="str">
        <f t="array" ref="S274">IFERROR(INDEX('💻シート作成'!$D$6:$D1001, MATCH(T274, '💻シート作成'!$E$6:$E1001, 0)), "")</f>
        <v/>
      </c>
      <c r="T274" s="184"/>
      <c r="U274" s="664"/>
      <c r="V274" s="774"/>
      <c r="W274" s="661"/>
      <c r="X274" s="757"/>
      <c r="Y274" s="661"/>
      <c r="Z274" s="661"/>
    </row>
    <row r="275" hidden="1" outlineLevel="1">
      <c r="A275" s="661"/>
      <c r="B275" s="729"/>
      <c r="C275" s="730"/>
      <c r="D275" s="730"/>
      <c r="E275" s="730"/>
      <c r="F275" s="697"/>
      <c r="G275" s="698"/>
      <c r="H275" s="697"/>
      <c r="I275" s="697"/>
      <c r="J275" s="697"/>
      <c r="K275" s="697"/>
      <c r="L275" s="756"/>
      <c r="M275" s="755"/>
      <c r="N275" s="697"/>
      <c r="O275" s="700"/>
      <c r="P275" s="701"/>
      <c r="Q275" s="737"/>
      <c r="R275" s="661"/>
      <c r="S275" s="228" t="str">
        <f t="array" ref="S275">IFERROR(INDEX('💻シート作成'!$D$6:$D1001, MATCH(T275, '💻シート作成'!$E$6:$E1001, 0)), "")</f>
        <v/>
      </c>
      <c r="T275" s="184"/>
      <c r="U275" s="664"/>
      <c r="V275" s="774"/>
      <c r="W275" s="661"/>
      <c r="X275" s="757"/>
      <c r="Y275" s="661"/>
      <c r="Z275" s="661"/>
    </row>
    <row r="276" hidden="1" outlineLevel="1">
      <c r="A276" s="661"/>
      <c r="B276" s="738"/>
      <c r="C276" s="697"/>
      <c r="D276" s="697"/>
      <c r="E276" s="697"/>
      <c r="F276" s="758" t="s">
        <v>517</v>
      </c>
      <c r="G276" s="759"/>
      <c r="H276" s="741"/>
      <c r="I276" s="741"/>
      <c r="J276" s="741"/>
      <c r="K276" s="741"/>
      <c r="L276" s="759"/>
      <c r="M276" s="759"/>
      <c r="N276" s="759"/>
      <c r="O276" s="759"/>
      <c r="P276" s="759"/>
      <c r="Q276" s="760"/>
      <c r="R276" s="661"/>
      <c r="S276" s="228" t="str">
        <f t="array" ref="S276">IFERROR(INDEX('💻シート作成'!$D$6:$D1001, MATCH(T276, '💻シート作成'!$E$6:$E1001, 0)), "")</f>
        <v/>
      </c>
      <c r="T276" s="184"/>
      <c r="U276" s="664"/>
      <c r="V276" s="774"/>
      <c r="W276" s="661"/>
      <c r="X276" s="757"/>
      <c r="Y276" s="661"/>
      <c r="Z276" s="661"/>
    </row>
    <row r="277" hidden="1" outlineLevel="1">
      <c r="A277" s="661"/>
      <c r="B277" s="761"/>
      <c r="C277" s="762">
        <f>IF(C266="","",IF(DAY(C266+1)=1,"",C266+1))</f>
        <v>46137</v>
      </c>
      <c r="D277" s="763" t="str">
        <f>TEXT(C277,"ddd")</f>
        <v>土</v>
      </c>
      <c r="E277" s="764"/>
      <c r="F277" s="765" t="s">
        <v>518</v>
      </c>
      <c r="G277" s="766" t="s">
        <v>519</v>
      </c>
      <c r="H277" s="767"/>
      <c r="I277" s="768">
        <v>0.0</v>
      </c>
      <c r="J277" s="763"/>
      <c r="K277" s="763"/>
      <c r="L277" s="769"/>
      <c r="M277" s="769"/>
      <c r="N277" s="765"/>
      <c r="O277" s="770"/>
      <c r="P277" s="771"/>
      <c r="Q277" s="772"/>
      <c r="R277" s="661"/>
      <c r="S277" s="228" t="str">
        <f t="array" ref="S277">IFERROR(INDEX('💻シート作成'!$D$6:$D1001, MATCH(T277, '💻シート作成'!$E$6:$E1001, 0)), "")</f>
        <v/>
      </c>
      <c r="T277" s="184"/>
      <c r="U277" s="664"/>
      <c r="V277" s="774"/>
      <c r="W277" s="661"/>
      <c r="X277" s="757"/>
      <c r="Y277" s="661"/>
      <c r="Z277" s="661"/>
    </row>
    <row r="278" hidden="1" outlineLevel="1">
      <c r="A278" s="661"/>
      <c r="B278" s="729"/>
      <c r="C278" s="730"/>
      <c r="D278" s="730"/>
      <c r="E278" s="730"/>
      <c r="F278" s="730"/>
      <c r="G278" s="731"/>
      <c r="H278" s="730"/>
      <c r="I278" s="730"/>
      <c r="J278" s="730"/>
      <c r="K278" s="730"/>
      <c r="L278" s="769"/>
      <c r="M278" s="769"/>
      <c r="N278" s="730"/>
      <c r="O278" s="733"/>
      <c r="Q278" s="728"/>
      <c r="R278" s="661"/>
      <c r="S278" s="228" t="str">
        <f t="array" ref="S278">IFERROR(INDEX('💻シート作成'!$D$6:$D1001, MATCH(T278, '💻シート作成'!$E$6:$E1001, 0)), "")</f>
        <v/>
      </c>
      <c r="T278" s="184"/>
      <c r="U278" s="664"/>
      <c r="V278" s="774"/>
      <c r="W278" s="661"/>
      <c r="X278" s="757"/>
      <c r="Y278" s="661"/>
      <c r="Z278" s="661"/>
    </row>
    <row r="279" hidden="1" outlineLevel="1">
      <c r="A279" s="661"/>
      <c r="B279" s="729"/>
      <c r="C279" s="730"/>
      <c r="D279" s="730"/>
      <c r="E279" s="730"/>
      <c r="F279" s="730"/>
      <c r="G279" s="731"/>
      <c r="H279" s="730"/>
      <c r="I279" s="730"/>
      <c r="J279" s="730"/>
      <c r="K279" s="730"/>
      <c r="L279" s="769"/>
      <c r="M279" s="769"/>
      <c r="N279" s="730"/>
      <c r="O279" s="733"/>
      <c r="Q279" s="728"/>
      <c r="R279" s="661"/>
      <c r="S279" s="228" t="str">
        <f t="array" ref="S279">IFERROR(INDEX('💻シート作成'!$D$6:$D1001, MATCH(T279, '💻シート作成'!$E$6:$E1001, 0)), "")</f>
        <v/>
      </c>
      <c r="T279" s="184"/>
      <c r="U279" s="664"/>
      <c r="V279" s="774"/>
      <c r="W279" s="661"/>
      <c r="X279" s="757"/>
      <c r="Y279" s="661"/>
      <c r="Z279" s="661"/>
    </row>
    <row r="280" hidden="1" outlineLevel="1">
      <c r="A280" s="661"/>
      <c r="B280" s="729"/>
      <c r="C280" s="730"/>
      <c r="D280" s="730"/>
      <c r="E280" s="730"/>
      <c r="F280" s="730"/>
      <c r="G280" s="731"/>
      <c r="H280" s="730"/>
      <c r="I280" s="730"/>
      <c r="J280" s="730"/>
      <c r="K280" s="730"/>
      <c r="L280" s="773"/>
      <c r="M280" s="769"/>
      <c r="N280" s="730"/>
      <c r="O280" s="733"/>
      <c r="Q280" s="728"/>
      <c r="R280" s="661"/>
      <c r="S280" s="228" t="str">
        <f t="array" ref="S280">IFERROR(INDEX('💻シート作成'!$D$6:$D1001, MATCH(T280, '💻シート作成'!$E$6:$E1001, 0)), "")</f>
        <v/>
      </c>
      <c r="T280" s="184"/>
      <c r="U280" s="664"/>
      <c r="V280" s="774"/>
      <c r="W280" s="661"/>
      <c r="X280" s="757"/>
      <c r="Y280" s="661"/>
      <c r="Z280" s="661"/>
    </row>
    <row r="281" hidden="1" outlineLevel="1">
      <c r="A281" s="661"/>
      <c r="B281" s="729"/>
      <c r="C281" s="730"/>
      <c r="D281" s="730"/>
      <c r="E281" s="730"/>
      <c r="F281" s="730"/>
      <c r="G281" s="731"/>
      <c r="H281" s="730"/>
      <c r="I281" s="730"/>
      <c r="J281" s="730"/>
      <c r="K281" s="730"/>
      <c r="L281" s="773"/>
      <c r="M281" s="769"/>
      <c r="N281" s="730"/>
      <c r="O281" s="733"/>
      <c r="Q281" s="728"/>
      <c r="R281" s="661"/>
      <c r="S281" s="228" t="str">
        <f t="array" ref="S281">IFERROR(INDEX('💻シート作成'!$D$6:$D1001, MATCH(T281, '💻シート作成'!$E$6:$E1001, 0)), "")</f>
        <v/>
      </c>
      <c r="T281" s="184"/>
      <c r="U281" s="664"/>
      <c r="V281" s="774"/>
      <c r="W281" s="661"/>
      <c r="X281" s="757"/>
      <c r="Y281" s="661"/>
      <c r="Z281" s="661"/>
    </row>
    <row r="282" hidden="1" outlineLevel="1">
      <c r="A282" s="661"/>
      <c r="B282" s="729"/>
      <c r="C282" s="730"/>
      <c r="D282" s="730"/>
      <c r="E282" s="730"/>
      <c r="F282" s="730"/>
      <c r="G282" s="731"/>
      <c r="H282" s="730"/>
      <c r="I282" s="730"/>
      <c r="J282" s="730"/>
      <c r="K282" s="730"/>
      <c r="L282" s="773"/>
      <c r="M282" s="769"/>
      <c r="N282" s="730"/>
      <c r="O282" s="733"/>
      <c r="Q282" s="728"/>
      <c r="R282" s="661"/>
      <c r="S282" s="228" t="str">
        <f t="array" ref="S282">IFERROR(INDEX('💻シート作成'!$D$6:$D1001, MATCH(T282, '💻シート作成'!$E$6:$E1001, 0)), "")</f>
        <v/>
      </c>
      <c r="T282" s="184"/>
      <c r="U282" s="664"/>
      <c r="V282" s="774"/>
      <c r="W282" s="661"/>
      <c r="X282" s="757"/>
      <c r="Y282" s="661"/>
      <c r="Z282" s="661"/>
    </row>
    <row r="283" hidden="1" outlineLevel="1">
      <c r="A283" s="661"/>
      <c r="B283" s="729"/>
      <c r="C283" s="730"/>
      <c r="D283" s="730"/>
      <c r="E283" s="730"/>
      <c r="F283" s="730"/>
      <c r="G283" s="731"/>
      <c r="H283" s="730"/>
      <c r="I283" s="730"/>
      <c r="J283" s="730"/>
      <c r="K283" s="730"/>
      <c r="L283" s="773"/>
      <c r="M283" s="769"/>
      <c r="N283" s="730"/>
      <c r="O283" s="733"/>
      <c r="Q283" s="728"/>
      <c r="R283" s="661"/>
      <c r="S283" s="228" t="str">
        <f t="array" ref="S283">IFERROR(INDEX('💻シート作成'!$D$6:$D1001, MATCH(T283, '💻シート作成'!$E$6:$E1001, 0)), "")</f>
        <v/>
      </c>
      <c r="T283" s="184"/>
      <c r="U283" s="664"/>
      <c r="V283" s="774"/>
      <c r="W283" s="661"/>
      <c r="X283" s="757"/>
      <c r="Y283" s="661"/>
      <c r="Z283" s="661"/>
    </row>
    <row r="284" hidden="1" outlineLevel="1">
      <c r="A284" s="661"/>
      <c r="B284" s="729"/>
      <c r="C284" s="730"/>
      <c r="D284" s="730"/>
      <c r="E284" s="730"/>
      <c r="F284" s="730"/>
      <c r="G284" s="731"/>
      <c r="H284" s="730"/>
      <c r="I284" s="730"/>
      <c r="J284" s="730"/>
      <c r="K284" s="730"/>
      <c r="L284" s="773"/>
      <c r="M284" s="769"/>
      <c r="N284" s="730"/>
      <c r="O284" s="733"/>
      <c r="Q284" s="728"/>
      <c r="R284" s="661"/>
      <c r="S284" s="228" t="str">
        <f t="array" ref="S284">IFERROR(INDEX('💻シート作成'!$D$6:$D1001, MATCH(T284, '💻シート作成'!$E$6:$E1001, 0)), "")</f>
        <v/>
      </c>
      <c r="T284" s="184"/>
      <c r="U284" s="664"/>
      <c r="V284" s="774"/>
      <c r="W284" s="661"/>
      <c r="X284" s="757"/>
      <c r="Y284" s="661"/>
      <c r="Z284" s="661"/>
    </row>
    <row r="285" hidden="1" outlineLevel="1">
      <c r="A285" s="661"/>
      <c r="B285" s="729"/>
      <c r="C285" s="730"/>
      <c r="D285" s="730"/>
      <c r="E285" s="730"/>
      <c r="F285" s="730"/>
      <c r="G285" s="731"/>
      <c r="H285" s="730"/>
      <c r="I285" s="730"/>
      <c r="J285" s="730"/>
      <c r="K285" s="730"/>
      <c r="L285" s="773"/>
      <c r="M285" s="769"/>
      <c r="N285" s="730"/>
      <c r="O285" s="733"/>
      <c r="Q285" s="728"/>
      <c r="R285" s="661"/>
      <c r="S285" s="228" t="str">
        <f t="array" ref="S285">IFERROR(INDEX('💻シート作成'!$D$6:$D1001, MATCH(T285, '💻シート作成'!$E$6:$E1001, 0)), "")</f>
        <v/>
      </c>
      <c r="T285" s="184"/>
      <c r="U285" s="664"/>
      <c r="V285" s="774"/>
      <c r="W285" s="661"/>
      <c r="X285" s="757"/>
      <c r="Y285" s="661"/>
      <c r="Z285" s="661"/>
    </row>
    <row r="286" hidden="1" outlineLevel="1">
      <c r="A286" s="661"/>
      <c r="B286" s="729"/>
      <c r="C286" s="730"/>
      <c r="D286" s="730"/>
      <c r="E286" s="730"/>
      <c r="F286" s="697"/>
      <c r="G286" s="698"/>
      <c r="H286" s="697"/>
      <c r="I286" s="697"/>
      <c r="J286" s="697"/>
      <c r="K286" s="697"/>
      <c r="L286" s="773"/>
      <c r="M286" s="769"/>
      <c r="N286" s="697"/>
      <c r="O286" s="700"/>
      <c r="P286" s="701"/>
      <c r="Q286" s="737"/>
      <c r="R286" s="661"/>
      <c r="S286" s="228" t="str">
        <f t="array" ref="S286">IFERROR(INDEX('💻シート作成'!$D$6:$D1001, MATCH(T286, '💻シート作成'!$E$6:$E1001, 0)), "")</f>
        <v/>
      </c>
      <c r="T286" s="184"/>
      <c r="U286" s="664"/>
      <c r="V286" s="774"/>
      <c r="W286" s="661"/>
      <c r="X286" s="757"/>
      <c r="Y286" s="661"/>
      <c r="Z286" s="661"/>
    </row>
    <row r="287" hidden="1" outlineLevel="1">
      <c r="A287" s="661"/>
      <c r="B287" s="738"/>
      <c r="C287" s="697"/>
      <c r="D287" s="697"/>
      <c r="E287" s="697"/>
      <c r="F287" s="739" t="s">
        <v>517</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4"/>
      <c r="W287" s="661"/>
      <c r="X287" s="757"/>
      <c r="Y287" s="661"/>
      <c r="Z287" s="661"/>
    </row>
    <row r="288" collapsed="1">
      <c r="A288" s="661"/>
      <c r="B288" s="780" t="s">
        <v>526</v>
      </c>
      <c r="C288" s="781"/>
      <c r="D288" s="781"/>
      <c r="E288" s="781"/>
      <c r="F288" s="782"/>
      <c r="G288" s="783"/>
      <c r="H288" s="784"/>
      <c r="I288" s="784"/>
      <c r="J288" s="785"/>
      <c r="K288" s="785"/>
      <c r="L288" s="783"/>
      <c r="M288" s="783"/>
      <c r="N288" s="786"/>
      <c r="O288" s="787"/>
      <c r="P288" s="787"/>
      <c r="Q288" s="788"/>
      <c r="R288" s="661"/>
      <c r="S288" s="228" t="str">
        <f t="array" ref="S288">IFERROR(INDEX('💻シート作成'!$D$6:$D1001, MATCH(T288, '💻シート作成'!$E$6:$E1001, 0)), "")</f>
        <v/>
      </c>
      <c r="T288" s="184"/>
      <c r="U288" s="664"/>
      <c r="V288" s="774"/>
      <c r="W288" s="661"/>
      <c r="X288" s="757"/>
      <c r="Y288" s="661"/>
      <c r="Z288" s="661"/>
    </row>
    <row r="289" hidden="1" outlineLevel="1">
      <c r="A289" s="661"/>
      <c r="B289" s="743"/>
      <c r="C289" s="744">
        <f>IF(C277="","",IF(DAY(C277+1)=1,"",C277+1))</f>
        <v>46138</v>
      </c>
      <c r="D289" s="745" t="str">
        <f>TEXT(C289,"ddd")</f>
        <v>日</v>
      </c>
      <c r="E289" s="746"/>
      <c r="F289" s="775" t="s">
        <v>518</v>
      </c>
      <c r="G289" s="776" t="s">
        <v>519</v>
      </c>
      <c r="H289" s="777"/>
      <c r="I289" s="778">
        <v>0.0</v>
      </c>
      <c r="J289" s="745"/>
      <c r="K289" s="745"/>
      <c r="L289" s="755"/>
      <c r="M289" s="755"/>
      <c r="N289" s="775"/>
      <c r="O289" s="779"/>
      <c r="P289" s="771"/>
      <c r="Q289" s="772"/>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8" t="s">
        <v>517</v>
      </c>
      <c r="G299" s="759"/>
      <c r="H299" s="741"/>
      <c r="I299" s="741"/>
      <c r="J299" s="741"/>
      <c r="K299" s="741"/>
      <c r="L299" s="759"/>
      <c r="M299" s="759"/>
      <c r="N299" s="759"/>
      <c r="O299" s="759"/>
      <c r="P299" s="759"/>
      <c r="Q299" s="760"/>
      <c r="R299" s="661"/>
      <c r="S299" s="661"/>
      <c r="T299" s="661"/>
      <c r="U299" s="664"/>
      <c r="V299" s="665"/>
      <c r="W299" s="661"/>
      <c r="X299" s="661"/>
      <c r="Y299" s="661"/>
      <c r="Z299" s="661"/>
    </row>
    <row r="300" hidden="1" outlineLevel="1">
      <c r="A300" s="661"/>
      <c r="B300" s="761"/>
      <c r="C300" s="762">
        <f>IF(C289="","",IF(DAY(C289+1)=1,"",C289+1))</f>
        <v>46139</v>
      </c>
      <c r="D300" s="763" t="str">
        <f>TEXT(C300,"ddd")</f>
        <v>月</v>
      </c>
      <c r="E300" s="764"/>
      <c r="F300" s="765" t="s">
        <v>518</v>
      </c>
      <c r="G300" s="766" t="s">
        <v>519</v>
      </c>
      <c r="H300" s="767"/>
      <c r="I300" s="768">
        <v>0.0</v>
      </c>
      <c r="J300" s="763"/>
      <c r="K300" s="763"/>
      <c r="L300" s="769"/>
      <c r="M300" s="769"/>
      <c r="N300" s="765"/>
      <c r="O300" s="770"/>
      <c r="P300" s="771"/>
      <c r="Q300" s="772"/>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9"/>
      <c r="M301" s="769"/>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9"/>
      <c r="M302" s="769"/>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3"/>
      <c r="M303" s="769"/>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3"/>
      <c r="M304" s="769"/>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3"/>
      <c r="M305" s="769"/>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3"/>
      <c r="M306" s="769"/>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3"/>
      <c r="M307" s="769"/>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3"/>
      <c r="M308" s="769"/>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3"/>
      <c r="M309" s="769"/>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517</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46140</v>
      </c>
      <c r="D311" s="745" t="str">
        <f>TEXT(C311,"ddd")</f>
        <v>火</v>
      </c>
      <c r="E311" s="746"/>
      <c r="F311" s="775" t="s">
        <v>518</v>
      </c>
      <c r="G311" s="776" t="s">
        <v>519</v>
      </c>
      <c r="H311" s="777"/>
      <c r="I311" s="778">
        <v>0.0</v>
      </c>
      <c r="J311" s="745"/>
      <c r="K311" s="745"/>
      <c r="L311" s="755"/>
      <c r="M311" s="755"/>
      <c r="N311" s="775"/>
      <c r="O311" s="779"/>
      <c r="P311" s="771"/>
      <c r="Q311" s="772"/>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8" t="s">
        <v>517</v>
      </c>
      <c r="G321" s="759"/>
      <c r="H321" s="741"/>
      <c r="I321" s="741"/>
      <c r="J321" s="741"/>
      <c r="K321" s="741"/>
      <c r="L321" s="759"/>
      <c r="M321" s="759"/>
      <c r="N321" s="759"/>
      <c r="O321" s="759"/>
      <c r="P321" s="759"/>
      <c r="Q321" s="760"/>
      <c r="R321" s="661"/>
      <c r="S321" s="661"/>
      <c r="T321" s="661"/>
      <c r="U321" s="664"/>
      <c r="V321" s="665"/>
      <c r="W321" s="661"/>
      <c r="X321" s="661"/>
      <c r="Y321" s="661"/>
      <c r="Z321" s="661"/>
    </row>
    <row r="322" hidden="1" outlineLevel="1">
      <c r="A322" s="661"/>
      <c r="B322" s="761"/>
      <c r="C322" s="762">
        <f>IF(C311="","",IF(DAY(C311+1)=1,"",C311+1))</f>
        <v>46141</v>
      </c>
      <c r="D322" s="763" t="str">
        <f>TEXT(C322,"ddd")</f>
        <v>水</v>
      </c>
      <c r="E322" s="764"/>
      <c r="F322" s="765" t="s">
        <v>518</v>
      </c>
      <c r="G322" s="766" t="s">
        <v>519</v>
      </c>
      <c r="H322" s="767"/>
      <c r="I322" s="768">
        <v>0.0</v>
      </c>
      <c r="J322" s="763"/>
      <c r="K322" s="763"/>
      <c r="L322" s="769"/>
      <c r="M322" s="769"/>
      <c r="N322" s="765"/>
      <c r="O322" s="770"/>
      <c r="P322" s="771"/>
      <c r="Q322" s="772"/>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9"/>
      <c r="M323" s="769"/>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9"/>
      <c r="M324" s="769"/>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3"/>
      <c r="M325" s="769"/>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3"/>
      <c r="M326" s="769"/>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3"/>
      <c r="M327" s="769"/>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3"/>
      <c r="M328" s="769"/>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3"/>
      <c r="M329" s="769"/>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3"/>
      <c r="M330" s="769"/>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3"/>
      <c r="M331" s="769"/>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517</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f>IF(C322="","",IF(DAY(C322+1)=1,"",C322+1))</f>
        <v>46142</v>
      </c>
      <c r="D333" s="745" t="str">
        <f>TEXT(C333,"ddd")</f>
        <v>木</v>
      </c>
      <c r="E333" s="746"/>
      <c r="F333" s="775" t="s">
        <v>518</v>
      </c>
      <c r="G333" s="776" t="s">
        <v>519</v>
      </c>
      <c r="H333" s="777"/>
      <c r="I333" s="778">
        <v>0.0</v>
      </c>
      <c r="J333" s="745"/>
      <c r="K333" s="745"/>
      <c r="L333" s="755"/>
      <c r="M333" s="755"/>
      <c r="N333" s="775"/>
      <c r="O333" s="779"/>
      <c r="P333" s="771"/>
      <c r="Q333" s="772"/>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5"/>
      <c r="M334" s="755"/>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8" t="s">
        <v>517</v>
      </c>
      <c r="G343" s="759"/>
      <c r="H343" s="741"/>
      <c r="I343" s="741"/>
      <c r="J343" s="741"/>
      <c r="K343" s="741"/>
      <c r="L343" s="759"/>
      <c r="M343" s="759"/>
      <c r="N343" s="759"/>
      <c r="O343" s="759"/>
      <c r="P343" s="759"/>
      <c r="Q343" s="760"/>
      <c r="R343" s="661"/>
      <c r="S343" s="661"/>
      <c r="T343" s="661"/>
      <c r="U343" s="664"/>
      <c r="V343" s="665"/>
      <c r="W343" s="661"/>
      <c r="X343" s="661"/>
      <c r="Y343" s="661"/>
      <c r="Z343" s="661"/>
    </row>
    <row r="344" hidden="1" outlineLevel="1">
      <c r="A344" s="661"/>
      <c r="B344" s="761"/>
      <c r="C344" s="762" t="str">
        <f>IF(C333="","",IF(DAY(C333+1)=1,"",C333+1))</f>
        <v/>
      </c>
      <c r="D344" s="763" t="str">
        <f>TEXT(C344,"ddd")</f>
        <v/>
      </c>
      <c r="E344" s="764"/>
      <c r="F344" s="765" t="s">
        <v>518</v>
      </c>
      <c r="G344" s="766" t="s">
        <v>519</v>
      </c>
      <c r="H344" s="767"/>
      <c r="I344" s="768">
        <v>0.0</v>
      </c>
      <c r="J344" s="763"/>
      <c r="K344" s="763"/>
      <c r="L344" s="769"/>
      <c r="M344" s="769"/>
      <c r="N344" s="765"/>
      <c r="O344" s="770"/>
      <c r="P344" s="771"/>
      <c r="Q344" s="772"/>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9"/>
      <c r="M345" s="769"/>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9"/>
      <c r="M346" s="769"/>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3"/>
      <c r="M347" s="769"/>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3"/>
      <c r="M348" s="769"/>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3"/>
      <c r="M349" s="769"/>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3"/>
      <c r="M350" s="769"/>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3"/>
      <c r="M351" s="769"/>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3"/>
      <c r="M352" s="769"/>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3"/>
      <c r="M353" s="769"/>
      <c r="N353" s="697"/>
      <c r="O353" s="700"/>
      <c r="P353" s="701"/>
      <c r="Q353" s="737"/>
      <c r="R353" s="661"/>
      <c r="S353" s="661"/>
      <c r="T353" s="661"/>
      <c r="U353" s="664"/>
      <c r="V353" s="665"/>
      <c r="W353" s="661"/>
      <c r="X353" s="661"/>
      <c r="Y353" s="661"/>
      <c r="Z353" s="661"/>
    </row>
    <row r="354" hidden="1" outlineLevel="1">
      <c r="A354" s="661"/>
      <c r="B354" s="789"/>
      <c r="C354" s="790"/>
      <c r="D354" s="790"/>
      <c r="E354" s="790"/>
      <c r="F354" s="791" t="s">
        <v>517</v>
      </c>
      <c r="G354" s="792"/>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527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528</v>
      </c>
      <c r="C4" s="806"/>
      <c r="D4" s="807" t="s">
        <v>529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55</v>
      </c>
      <c r="C5" s="809" t="s">
        <v>84</v>
      </c>
      <c r="D5" s="810"/>
      <c r="E5" s="811" t="b">
        <v>0</v>
      </c>
      <c r="F5" s="809" t="s">
        <v>530</v>
      </c>
      <c r="G5" s="812"/>
      <c r="H5" s="813" t="b">
        <v>0</v>
      </c>
      <c r="J5" s="814"/>
      <c r="K5" s="798"/>
      <c r="L5" s="815" t="s">
        <v>531</v>
      </c>
      <c r="T5" s="814"/>
      <c r="U5" s="816" t="s">
        <v>532</v>
      </c>
      <c r="AC5" s="799"/>
      <c r="AD5" s="817" t="s">
        <v>96</v>
      </c>
      <c r="AE5" s="817" t="s">
        <v>533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534</v>
      </c>
      <c r="M7" s="236"/>
      <c r="N7" s="236"/>
      <c r="O7" s="236"/>
      <c r="P7" s="236"/>
      <c r="Q7" s="236"/>
      <c r="R7" s="236"/>
      <c r="S7" s="113"/>
      <c r="T7" s="821" t="s">
        <v>535</v>
      </c>
      <c r="U7" s="822" t="s">
        <v>536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537</v>
      </c>
      <c r="C8" s="824"/>
      <c r="D8" s="825" t="s">
        <v>51</v>
      </c>
      <c r="E8" s="826" t="str">
        <f>IFERROR(__xludf.DUMMYFUNCTION("IFERROR(INDEX(FILTER($AE$6:$AE$200, $AD$6:$AD$200=$B$5, REGEXMATCH($AE$6:$AE$200, ""集計"")), 1), """")
"),"①R8_4集計")</f>
        <v>①R8_4集計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0.2737873144</v>
      </c>
      <c r="D10" s="833">
        <f t="array" ref="D10">INDIRECT($E$8 &amp; "!E8")</f>
        <v>0.5317896838</v>
      </c>
      <c r="E10" s="833">
        <f t="array" ref="E10">INDIRECT($E$8 &amp; "!G8")</f>
        <v>0.8685714286</v>
      </c>
      <c r="F10" s="834">
        <f t="array" ref="F10">INDIRECT($E$8 &amp; "!H8")</f>
        <v>136905</v>
      </c>
      <c r="G10" s="834">
        <f t="array" ref="G10">INDIRECT($E$8 &amp; "!K8")</f>
        <v>0</v>
      </c>
      <c r="H10" s="834">
        <f t="array" ref="H10">INDIRECT($E$8 &amp; "!M8")</f>
        <v>37482.85227</v>
      </c>
      <c r="I10" s="833">
        <f t="array" ref="I10">INDIRECT($E$8 &amp; "!AT7")</f>
        <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0.2884245015</v>
      </c>
      <c r="D11" s="837"/>
      <c r="E11" s="838"/>
      <c r="F11" s="839">
        <f t="array" ref="F11">INDIRECT($E$8 &amp; "!H7")</f>
        <v>4850400</v>
      </c>
      <c r="G11" s="837"/>
      <c r="H11" s="840">
        <f t="array" ref="H11">INDIRECT($E$8 &amp; "!M7")</f>
        <v>1398974.202</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538</v>
      </c>
      <c r="C13" s="844"/>
      <c r="D13" s="845" t="s">
        <v>51</v>
      </c>
      <c r="E13" s="846" t="s">
        <v>539</v>
      </c>
      <c r="F13" s="200"/>
      <c r="G13" s="200"/>
      <c r="H13" s="847" t="s">
        <v>35</v>
      </c>
      <c r="I13" s="848">
        <f t="array" ref="I13">xlookup($B$5,'🔵クレーム'!$C$10:$C$21,'🔵クレーム'!X$10:X$21)</f>
        <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541</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542</v>
      </c>
      <c r="C20" s="830" t="s">
        <v>543</v>
      </c>
      <c r="D20" s="830" t="s">
        <v>89</v>
      </c>
      <c r="E20" s="830" t="s">
        <v>90</v>
      </c>
      <c r="F20" s="830" t="s">
        <v>544</v>
      </c>
      <c r="G20" s="830" t="s">
        <v>135</v>
      </c>
      <c r="H20" s="830" t="s">
        <v>135</v>
      </c>
      <c r="I20" s="830" t="s">
        <v>545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546</v>
      </c>
      <c r="M21" s="232"/>
      <c r="N21" s="232"/>
      <c r="O21" s="232"/>
      <c r="P21" s="232"/>
      <c r="Q21" s="232"/>
      <c r="R21" s="232"/>
      <c r="S21" s="3"/>
      <c r="T21" s="821" t="s">
        <v>535</v>
      </c>
      <c r="U21" s="822" t="s">
        <v>547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548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549</v>
      </c>
      <c r="C25" s="870" t="s">
        <v>550</v>
      </c>
      <c r="D25" s="3"/>
      <c r="E25" s="870" t="s">
        <v>551</v>
      </c>
      <c r="F25" s="232"/>
      <c r="G25" s="232"/>
      <c r="H25" s="870" t="s">
        <v>552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553</v>
      </c>
      <c r="M35" s="232"/>
      <c r="N35" s="232"/>
      <c r="O35" s="232"/>
      <c r="P35" s="232"/>
      <c r="Q35" s="232"/>
      <c r="R35" s="232"/>
      <c r="S35" s="3"/>
      <c r="T35" s="821" t="s">
        <v>535</v>
      </c>
      <c r="U35" s="822" t="s">
        <v>553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554</v>
      </c>
      <c r="C37" s="877"/>
      <c r="D37" s="878">
        <f>counta(C39:D48)</f>
        <v>0</v>
      </c>
      <c r="E37" s="879" t="s">
        <v>555</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551</v>
      </c>
      <c r="F38" s="883"/>
      <c r="G38" s="882" t="s">
        <v>556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557</v>
      </c>
      <c r="M49" s="232"/>
      <c r="N49" s="232"/>
      <c r="O49" s="232"/>
      <c r="P49" s="232"/>
      <c r="Q49" s="232"/>
      <c r="R49" s="232"/>
      <c r="S49" s="3"/>
      <c r="T49" s="821" t="s">
        <v>535</v>
      </c>
      <c r="U49" s="822" t="s">
        <v>558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559</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560</v>
      </c>
      <c r="C51" s="882" t="s">
        <v>433</v>
      </c>
      <c r="D51" s="883"/>
      <c r="E51" s="881" t="s">
        <v>561</v>
      </c>
      <c r="F51" s="881" t="s">
        <v>562</v>
      </c>
      <c r="G51" s="881" t="s">
        <v>563</v>
      </c>
      <c r="H51" s="882" t="s">
        <v>564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565</v>
      </c>
      <c r="M63" s="232"/>
      <c r="N63" s="232"/>
      <c r="O63" s="232"/>
      <c r="P63" s="232"/>
      <c r="Q63" s="232"/>
      <c r="R63" s="232"/>
      <c r="S63" s="3"/>
      <c r="T63" s="821" t="s">
        <v>535</v>
      </c>
      <c r="U63" s="822" t="s">
        <v>566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567</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560</v>
      </c>
      <c r="C65" s="882" t="s">
        <v>433</v>
      </c>
      <c r="D65" s="883"/>
      <c r="E65" s="881" t="s">
        <v>568</v>
      </c>
      <c r="F65" s="882" t="s">
        <v>569</v>
      </c>
      <c r="G65" s="883"/>
      <c r="H65" s="882" t="s">
        <v>564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570</v>
      </c>
      <c r="M77" s="232"/>
      <c r="N77" s="232"/>
      <c r="O77" s="232"/>
      <c r="P77" s="232"/>
      <c r="Q77" s="232"/>
      <c r="R77" s="232"/>
      <c r="S77" s="3"/>
      <c r="T77" s="814"/>
      <c r="U77" s="906" t="s">
        <v>571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3180993.667</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0.2466111505</v>
      </c>
      <c r="D8" s="77"/>
      <c r="E8" s="358">
        <f>(BB23+BG23-BE24)/H8</f>
        <v>0.6012856815</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1409312.697</v>
      </c>
      <c r="M8" s="364">
        <f>L8-I8</f>
        <v>1304651.902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573</v>
      </c>
      <c r="B13" s="399" t="b">
        <v>0</v>
      </c>
      <c r="C13" s="400">
        <f>D5</f>
        <v>46082</v>
      </c>
      <c r="D13" s="401" t="str">
        <f t="shared" ref="D13:D43" si="2">TEXT(C13,"ddd")</f>
        <v>日</v>
      </c>
      <c r="E13" s="910">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IFERROR(__xludf.DUMMYFUNCTION("FLATTEN('⚙️抽出用'!B4:AF4)"),105065.5)</f>
        <v>105065.5</v>
      </c>
      <c r="AU13" s="409">
        <f t="shared" ref="AU13:AU43" si="7">if(E13="","",iferror((AT13+AR13+$BF$23/if(month($D$5)=month(today()),day(today()),$G$5))/(AS13+(sum($BA$31:$BA$32)/$G$5)),""))</f>
        <v>0.6672191347</v>
      </c>
      <c r="AV13" s="401">
        <f>countifs('🔵クレーム'!$C:$C,MONTH($D$5)&amp;"月",'🔵クレーム'!$D:$D,day(C13)&amp;"日",'🔵クレーム'!$I:$I,"&lt;&gt;")</f>
        <v>0</v>
      </c>
      <c r="AW13" s="410"/>
      <c r="AX13" s="411"/>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573</v>
      </c>
      <c r="B14" s="417" t="b">
        <v>0</v>
      </c>
      <c r="C14" s="400">
        <f t="shared" ref="C14:C43" si="8">IF(C13="","",IF(DAY(C13+1)=1,"",C13+1))</f>
        <v>46083</v>
      </c>
      <c r="D14" s="401" t="str">
        <f t="shared" si="2"/>
        <v>月</v>
      </c>
      <c r="E14" s="910">
        <v>175.0</v>
      </c>
      <c r="F14" s="401">
        <f t="shared" si="3"/>
        <v>165</v>
      </c>
      <c r="G14" s="401">
        <f t="shared" si="4"/>
        <v>157</v>
      </c>
      <c r="H14" s="418">
        <v>74.0</v>
      </c>
      <c r="I14" s="418">
        <v>7.0</v>
      </c>
      <c r="J14" s="418">
        <v>24.0</v>
      </c>
      <c r="K14" s="418">
        <v>52.0</v>
      </c>
      <c r="L14" s="418">
        <v>8.0</v>
      </c>
      <c r="M14" s="418">
        <v>2.0</v>
      </c>
      <c r="N14" s="418">
        <v>39.0</v>
      </c>
      <c r="O14" s="418">
        <v>12.0</v>
      </c>
      <c r="P14" s="418">
        <v>0.0</v>
      </c>
      <c r="Q14" s="418">
        <v>0.0</v>
      </c>
      <c r="R14" s="418">
        <v>2.0</v>
      </c>
      <c r="S14" s="418">
        <v>0.0</v>
      </c>
      <c r="T14" s="418">
        <v>1.0</v>
      </c>
      <c r="U14" s="418">
        <v>1.0</v>
      </c>
      <c r="V14" s="418">
        <v>13.0</v>
      </c>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7">
        <f t="shared" si="5"/>
        <v>0</v>
      </c>
      <c r="AS14" s="408">
        <f t="shared" si="6"/>
        <v>161140</v>
      </c>
      <c r="AT14" s="408">
        <f>IFERROR(__xludf.DUMMYFUNCTION("""COMPUTED_VALUE"""),104763.0)</f>
        <v>104763</v>
      </c>
      <c r="AU14" s="409">
        <f t="shared" si="7"/>
        <v>0.6509613964</v>
      </c>
      <c r="AV14" s="401">
        <f>countifs('🔵クレーム'!$C:$C,MONTH($D$5)&amp;"月",'🔵クレーム'!$D:$D,day(C14)&amp;"日",'🔵クレーム'!$I:$I,"&lt;&gt;")</f>
        <v>0</v>
      </c>
      <c r="AW14" s="410"/>
      <c r="AX14" s="411"/>
      <c r="AY14" s="421" t="s">
        <v>132</v>
      </c>
      <c r="AZ14" s="422"/>
      <c r="BA14" s="422"/>
      <c r="BB14" s="423"/>
      <c r="BC14" s="315"/>
      <c r="BD14" s="424"/>
      <c r="BE14" s="422"/>
      <c r="BF14" s="422"/>
      <c r="BG14" s="423"/>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573</v>
      </c>
      <c r="B15" s="399" t="b">
        <v>0</v>
      </c>
      <c r="C15" s="400">
        <f t="shared" si="8"/>
        <v>46084</v>
      </c>
      <c r="D15" s="401" t="str">
        <f t="shared" si="2"/>
        <v>火</v>
      </c>
      <c r="E15" s="910">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0.5959177268</v>
      </c>
      <c r="AV15" s="401">
        <f>countifs('🔵クレーム'!$C:$C,MONTH($D$5)&amp;"月",'🔵クレーム'!$D:$D,day(C15)&amp;"日",'🔵クレーム'!$I:$I,"&lt;&gt;")</f>
        <v>0</v>
      </c>
      <c r="AW15" s="410"/>
      <c r="AX15" s="411"/>
      <c r="AY15" s="421" t="s">
        <v>142</v>
      </c>
      <c r="AZ15" s="425">
        <v>6150.0</v>
      </c>
      <c r="BA15" s="422"/>
      <c r="BB15" s="426" t="s">
        <v>574</v>
      </c>
      <c r="BC15" s="315"/>
      <c r="BD15" s="424"/>
      <c r="BE15" s="422"/>
      <c r="BF15" s="422"/>
      <c r="BG15" s="423"/>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573</v>
      </c>
      <c r="B16" s="417" t="b">
        <v>0</v>
      </c>
      <c r="C16" s="400">
        <f t="shared" si="8"/>
        <v>46085</v>
      </c>
      <c r="D16" s="401" t="str">
        <f t="shared" si="2"/>
        <v>水</v>
      </c>
      <c r="E16" s="401">
        <f t="shared" ref="E16:E17" si="9">if(H16="","",175)</f>
        <v>175</v>
      </c>
      <c r="F16" s="401">
        <f t="shared" si="3"/>
        <v>149</v>
      </c>
      <c r="G16" s="401">
        <f t="shared" si="4"/>
        <v>141</v>
      </c>
      <c r="H16" s="418">
        <v>62.0</v>
      </c>
      <c r="I16" s="418">
        <v>6.0</v>
      </c>
      <c r="J16" s="418">
        <v>17.0</v>
      </c>
      <c r="K16" s="418">
        <v>56.0</v>
      </c>
      <c r="L16" s="418">
        <v>8.0</v>
      </c>
      <c r="M16" s="418">
        <v>10.0</v>
      </c>
      <c r="N16" s="418">
        <v>39.0</v>
      </c>
      <c r="O16" s="418">
        <v>7.0</v>
      </c>
      <c r="P16" s="418">
        <v>1.0</v>
      </c>
      <c r="Q16" s="418">
        <v>0.0</v>
      </c>
      <c r="R16" s="418">
        <v>0.0</v>
      </c>
      <c r="S16" s="418">
        <v>0.0</v>
      </c>
      <c r="T16" s="418">
        <v>1.0</v>
      </c>
      <c r="U16" s="418">
        <v>1.0</v>
      </c>
      <c r="V16" s="418">
        <v>0.0</v>
      </c>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7">
        <f t="shared" si="5"/>
        <v>0</v>
      </c>
      <c r="AS16" s="408">
        <f t="shared" si="6"/>
        <v>131600</v>
      </c>
      <c r="AT16" s="408">
        <f>IFERROR(__xludf.DUMMYFUNCTION("""COMPUTED_VALUE"""),81988.16666666667)</f>
        <v>81988.16667</v>
      </c>
      <c r="AU16" s="409">
        <f t="shared" si="7"/>
        <v>0.6257645958</v>
      </c>
      <c r="AV16" s="401">
        <f>countifs('🔵クレーム'!$C:$C,MONTH($D$5)&amp;"月",'🔵クレーム'!$D:$D,day(C16)&amp;"日",'🔵クレーム'!$I:$I,"&lt;&gt;")</f>
        <v>0</v>
      </c>
      <c r="AW16" s="410"/>
      <c r="AX16" s="411"/>
      <c r="AY16" s="421" t="s">
        <v>119</v>
      </c>
      <c r="AZ16" s="422"/>
      <c r="BA16" s="422"/>
      <c r="BB16" s="423"/>
      <c r="BC16" s="315"/>
      <c r="BD16" s="424"/>
      <c r="BE16" s="422"/>
      <c r="BF16" s="422"/>
      <c r="BG16" s="423"/>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573</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0.6457748346</v>
      </c>
      <c r="AV17" s="401">
        <f>countifs('🔵クレーム'!$C:$C,MONTH($D$5)&amp;"月",'🔵クレーム'!$D:$D,day(C17)&amp;"日",'🔵クレーム'!$I:$I,"&lt;&gt;")</f>
        <v>0</v>
      </c>
      <c r="AW17" s="410"/>
      <c r="AX17" s="411"/>
      <c r="AY17" s="421"/>
      <c r="AZ17" s="422"/>
      <c r="BA17" s="422"/>
      <c r="BB17" s="423"/>
      <c r="BC17" s="315"/>
      <c r="BD17" s="424"/>
      <c r="BE17" s="422"/>
      <c r="BF17" s="422"/>
      <c r="BG17" s="423"/>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573</v>
      </c>
      <c r="B18" s="417" t="b">
        <v>0</v>
      </c>
      <c r="C18" s="400">
        <f t="shared" si="8"/>
        <v>46087</v>
      </c>
      <c r="D18" s="401" t="str">
        <f t="shared" si="2"/>
        <v>金</v>
      </c>
      <c r="E18" s="910">
        <v>175.0</v>
      </c>
      <c r="F18" s="401">
        <f t="shared" si="3"/>
        <v>164</v>
      </c>
      <c r="G18" s="401">
        <f t="shared" si="4"/>
        <v>158</v>
      </c>
      <c r="H18" s="418">
        <v>82.0</v>
      </c>
      <c r="I18" s="418">
        <v>7.0</v>
      </c>
      <c r="J18" s="418">
        <v>27.0</v>
      </c>
      <c r="K18" s="418">
        <v>42.0</v>
      </c>
      <c r="L18" s="418">
        <v>6.0</v>
      </c>
      <c r="M18" s="418">
        <v>3.0</v>
      </c>
      <c r="N18" s="418">
        <v>53.0</v>
      </c>
      <c r="O18" s="418">
        <v>9.0</v>
      </c>
      <c r="P18" s="418">
        <v>0.0</v>
      </c>
      <c r="Q18" s="418">
        <v>0.0</v>
      </c>
      <c r="R18" s="418">
        <v>0.0</v>
      </c>
      <c r="S18" s="418">
        <v>0.0</v>
      </c>
      <c r="T18" s="418">
        <v>1.0</v>
      </c>
      <c r="U18" s="418">
        <v>1.0</v>
      </c>
      <c r="V18" s="418">
        <v>0.0</v>
      </c>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7">
        <f t="shared" si="5"/>
        <v>0</v>
      </c>
      <c r="AS18" s="408">
        <f t="shared" si="6"/>
        <v>164040</v>
      </c>
      <c r="AT18" s="408">
        <f>IFERROR(__xludf.DUMMYFUNCTION("""COMPUTED_VALUE"""),106132.83333333333)</f>
        <v>106132.8333</v>
      </c>
      <c r="AU18" s="409">
        <f t="shared" si="7"/>
        <v>0.6479700266</v>
      </c>
      <c r="AV18" s="401">
        <f>countifs('🔵クレーム'!$C:$C,MONTH($D$5)&amp;"月",'🔵クレーム'!$D:$D,day(C18)&amp;"日",'🔵クレーム'!$I:$I,"&lt;&gt;")</f>
        <v>0</v>
      </c>
      <c r="AW18" s="410"/>
      <c r="AX18" s="411"/>
      <c r="AY18" s="424"/>
      <c r="AZ18" s="422"/>
      <c r="BA18" s="422"/>
      <c r="BB18" s="423"/>
      <c r="BC18" s="315"/>
      <c r="BD18" s="424"/>
      <c r="BE18" s="422"/>
      <c r="BF18" s="422"/>
      <c r="BG18" s="423"/>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573</v>
      </c>
      <c r="B19" s="427" t="b">
        <v>0</v>
      </c>
      <c r="C19" s="400">
        <f t="shared" si="8"/>
        <v>46088</v>
      </c>
      <c r="D19" s="401" t="str">
        <f t="shared" si="2"/>
        <v>土</v>
      </c>
      <c r="E19" s="910">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0.6314779886</v>
      </c>
      <c r="AV19" s="401">
        <f>countifs('🔵クレーム'!$C:$C,MONTH($D$5)&amp;"月",'🔵クレーム'!$D:$D,day(C19)&amp;"日",'🔵クレーム'!$I:$I,"&lt;&gt;")</f>
        <v>0</v>
      </c>
      <c r="AW19" s="410"/>
      <c r="AX19" s="411"/>
      <c r="AY19" s="428"/>
      <c r="AZ19" s="429"/>
      <c r="BA19" s="429"/>
      <c r="BB19" s="430"/>
      <c r="BC19" s="315"/>
      <c r="BD19" s="428"/>
      <c r="BE19" s="429"/>
      <c r="BF19" s="429"/>
      <c r="BG19" s="430"/>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573</v>
      </c>
      <c r="B20" s="431" t="b">
        <v>0</v>
      </c>
      <c r="C20" s="400">
        <f t="shared" si="8"/>
        <v>46089</v>
      </c>
      <c r="D20" s="401" t="str">
        <f t="shared" si="2"/>
        <v>日</v>
      </c>
      <c r="E20" s="401">
        <f t="shared" ref="E20:E28" si="10">if(H20="","",175)</f>
        <v>175</v>
      </c>
      <c r="F20" s="401">
        <f t="shared" si="3"/>
        <v>147</v>
      </c>
      <c r="G20" s="401">
        <f t="shared" si="4"/>
        <v>144</v>
      </c>
      <c r="H20" s="418">
        <v>61.0</v>
      </c>
      <c r="I20" s="418">
        <v>5.0</v>
      </c>
      <c r="J20" s="418">
        <v>25.0</v>
      </c>
      <c r="K20" s="418">
        <v>53.0</v>
      </c>
      <c r="L20" s="418">
        <v>3.0</v>
      </c>
      <c r="M20" s="418">
        <v>10.0</v>
      </c>
      <c r="N20" s="418">
        <v>41.0</v>
      </c>
      <c r="O20" s="418">
        <v>6.0</v>
      </c>
      <c r="P20" s="418">
        <v>1.0</v>
      </c>
      <c r="Q20" s="418">
        <v>0.0</v>
      </c>
      <c r="R20" s="418">
        <v>3.0</v>
      </c>
      <c r="S20" s="418">
        <v>0.0</v>
      </c>
      <c r="T20" s="418">
        <v>1.0</v>
      </c>
      <c r="U20" s="418">
        <v>1.0</v>
      </c>
      <c r="V20" s="418">
        <v>0.0</v>
      </c>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7">
        <f t="shared" si="5"/>
        <v>0</v>
      </c>
      <c r="AS20" s="408">
        <f t="shared" si="6"/>
        <v>139065</v>
      </c>
      <c r="AT20" s="408">
        <f>IFERROR(__xludf.DUMMYFUNCTION("""COMPUTED_VALUE"""),80412.0)</f>
        <v>80412</v>
      </c>
      <c r="AU20" s="409">
        <f t="shared" si="7"/>
        <v>0.5836015252</v>
      </c>
      <c r="AV20" s="401">
        <f>countifs('🔵クレーム'!$C:$C,MONTH($D$5)&amp;"月",'🔵クレーム'!$D:$D,day(C20)&amp;"日",'🔵クレーム'!$I:$I,"&lt;&gt;")</f>
        <v>0</v>
      </c>
      <c r="AW20" s="410"/>
      <c r="AX20" s="411"/>
      <c r="AY20" s="432" t="s">
        <v>344</v>
      </c>
      <c r="AZ20" s="433">
        <f>IFERROR(__xludf.DUMMYFUNCTION("IMPORTRANGE(""https://docs.google.com/spreadsheets/d/1QbHfX9wvC_RRupa4CCe_ZxA6O4e2Ap9vqX5hrZPeQRg/edit?gid=284905409#gid=284905409"",""date2_1!C17"")/G5*COUNTIFS($E$13:$E$43,""&gt;0"")+sum(AZ14:BA19)"),700013.6363636364)</f>
        <v>700013.6364</v>
      </c>
      <c r="BA20" s="434"/>
      <c r="BB20" s="435"/>
      <c r="BC20" s="315"/>
      <c r="BD20" s="432" t="s">
        <v>344</v>
      </c>
      <c r="BE20" s="433">
        <f>sum(BE14:BF19)</f>
        <v>0</v>
      </c>
      <c r="BF20" s="434"/>
      <c r="BG20" s="435"/>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573</v>
      </c>
      <c r="B21" s="427"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0.5895722394</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573</v>
      </c>
      <c r="B22" s="431" t="b">
        <v>0</v>
      </c>
      <c r="C22" s="400">
        <f t="shared" si="8"/>
        <v>46091</v>
      </c>
      <c r="D22" s="401" t="str">
        <f t="shared" si="2"/>
        <v>火</v>
      </c>
      <c r="E22" s="401">
        <f t="shared" si="10"/>
        <v>175</v>
      </c>
      <c r="F22" s="401">
        <f t="shared" si="3"/>
        <v>162</v>
      </c>
      <c r="G22" s="401">
        <f t="shared" si="4"/>
        <v>153</v>
      </c>
      <c r="H22" s="418">
        <v>72.0</v>
      </c>
      <c r="I22" s="418">
        <v>10.0</v>
      </c>
      <c r="J22" s="418">
        <v>28.0</v>
      </c>
      <c r="K22" s="418">
        <v>43.0</v>
      </c>
      <c r="L22" s="418">
        <v>9.0</v>
      </c>
      <c r="M22" s="418">
        <v>3.0</v>
      </c>
      <c r="N22" s="418">
        <v>43.0</v>
      </c>
      <c r="O22" s="418">
        <v>4.0</v>
      </c>
      <c r="P22" s="418">
        <v>0.0</v>
      </c>
      <c r="Q22" s="418">
        <v>0.0</v>
      </c>
      <c r="R22" s="418">
        <v>2.0</v>
      </c>
      <c r="S22" s="418">
        <v>0.0</v>
      </c>
      <c r="T22" s="418">
        <v>1.0</v>
      </c>
      <c r="U22" s="418">
        <v>1.0</v>
      </c>
      <c r="V22" s="418">
        <v>1.0</v>
      </c>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7">
        <f t="shared" si="5"/>
        <v>0</v>
      </c>
      <c r="AS22" s="408">
        <f t="shared" si="6"/>
        <v>157480</v>
      </c>
      <c r="AT22" s="408">
        <f>IFERROR(__xludf.DUMMYFUNCTION("""COMPUTED_VALUE"""),93761.83333333334)</f>
        <v>93761.83333</v>
      </c>
      <c r="AU22" s="409">
        <f t="shared" si="7"/>
        <v>0.59922561</v>
      </c>
      <c r="AV22" s="401">
        <f>countifs('🔵クレーム'!$C:$C,MONTH($D$5)&amp;"月",'🔵クレーム'!$D:$D,day(C22)&amp;"日",'🔵クレーム'!$I:$I,"&lt;&gt;")</f>
        <v>1</v>
      </c>
      <c r="AW22" s="410"/>
      <c r="AX22" s="411"/>
      <c r="AY22" s="436" t="s">
        <v>345</v>
      </c>
      <c r="AZ22" s="437"/>
      <c r="BA22" s="437"/>
      <c r="BB22" s="438" t="s">
        <v>346</v>
      </c>
      <c r="BC22" s="329"/>
      <c r="BD22" s="439"/>
      <c r="BE22" s="438" t="s">
        <v>347</v>
      </c>
      <c r="BF22" s="438" t="s">
        <v>348</v>
      </c>
      <c r="BG22" s="438"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573</v>
      </c>
      <c r="B23" s="427"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0.6084811632</v>
      </c>
      <c r="AV23" s="401">
        <f>countifs('🔵クレーム'!$C:$C,MONTH($D$5)&amp;"月",'🔵クレーム'!$D:$D,day(C23)&amp;"日",'🔵クレーム'!$I:$I,"&lt;&gt;")</f>
        <v>1</v>
      </c>
      <c r="AW23" s="410"/>
      <c r="AX23" s="411"/>
      <c r="AY23" s="440" t="s">
        <v>349</v>
      </c>
      <c r="AZ23" s="441">
        <f>AR44</f>
        <v>0</v>
      </c>
      <c r="BA23" s="77"/>
      <c r="BB23" s="442">
        <f>AZ23-AZ24</f>
        <v>0</v>
      </c>
      <c r="BC23" s="315"/>
      <c r="BD23" s="443" t="s">
        <v>350</v>
      </c>
      <c r="BE23" s="444">
        <f>IFERROR(__xludf.DUMMYFUNCTION("IMPORTRANGE(AT9,""total!ai2"")"),2993041.6666666665)</f>
        <v>2993041.667</v>
      </c>
      <c r="BF23" s="444">
        <f>IFERROR(__xludf.DUMMYFUNCTION("IMPORTRANGE(AT9,""total!an2"")"),187952.0)</f>
        <v>187952</v>
      </c>
      <c r="BG23" s="442">
        <f>sum(BE23:BF27)+BE20</f>
        <v>3180993.667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573</v>
      </c>
      <c r="B24" s="431" t="b">
        <v>0</v>
      </c>
      <c r="C24" s="400">
        <f t="shared" si="8"/>
        <v>46093</v>
      </c>
      <c r="D24" s="401" t="str">
        <f t="shared" si="2"/>
        <v>木</v>
      </c>
      <c r="E24" s="401">
        <f t="shared" si="10"/>
        <v>175</v>
      </c>
      <c r="F24" s="401">
        <f t="shared" si="3"/>
        <v>152</v>
      </c>
      <c r="G24" s="401">
        <f t="shared" si="4"/>
        <v>147</v>
      </c>
      <c r="H24" s="418">
        <v>69.0</v>
      </c>
      <c r="I24" s="418">
        <v>7.0</v>
      </c>
      <c r="J24" s="418">
        <v>19.0</v>
      </c>
      <c r="K24" s="418">
        <v>52.0</v>
      </c>
      <c r="L24" s="418">
        <v>5.0</v>
      </c>
      <c r="M24" s="418">
        <v>7.0</v>
      </c>
      <c r="N24" s="418">
        <v>43.0</v>
      </c>
      <c r="O24" s="418">
        <v>7.0</v>
      </c>
      <c r="P24" s="418">
        <v>0.0</v>
      </c>
      <c r="Q24" s="418">
        <v>0.0</v>
      </c>
      <c r="R24" s="418">
        <v>0.0</v>
      </c>
      <c r="S24" s="418">
        <v>0.0</v>
      </c>
      <c r="T24" s="418">
        <v>1.0</v>
      </c>
      <c r="U24" s="418">
        <v>1.0</v>
      </c>
      <c r="V24" s="418">
        <v>0.0</v>
      </c>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7">
        <f t="shared" si="5"/>
        <v>0</v>
      </c>
      <c r="AS24" s="408">
        <f t="shared" si="6"/>
        <v>141275</v>
      </c>
      <c r="AT24" s="408">
        <f>IFERROR(__xludf.DUMMYFUNCTION("""COMPUTED_VALUE"""),98289.5)</f>
        <v>98289.5</v>
      </c>
      <c r="AU24" s="409">
        <f t="shared" si="7"/>
        <v>0.6939035913</v>
      </c>
      <c r="AV24" s="401">
        <f>countifs('🔵クレーム'!$C:$C,MONTH($D$5)&amp;"月",'🔵クレーム'!$D:$D,day(C24)&amp;"日",'🔵クレーム'!$I:$I,"&lt;&gt;")</f>
        <v>0</v>
      </c>
      <c r="AW24" s="410"/>
      <c r="AX24" s="411"/>
      <c r="AY24" s="440" t="s">
        <v>351</v>
      </c>
      <c r="AZ24" s="441">
        <f>BE36</f>
        <v>0</v>
      </c>
      <c r="BA24" s="77"/>
      <c r="BB24" s="445"/>
      <c r="BC24" s="315"/>
      <c r="BD24" s="440" t="s">
        <v>352</v>
      </c>
      <c r="BE24" s="441">
        <f>IFERROR(__xludf.DUMMYFUNCTION("IMPORTRANGE(AT9,""total!as2"")"),0.0)</f>
        <v>0</v>
      </c>
      <c r="BF24" s="77"/>
      <c r="BG24" s="445"/>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573</v>
      </c>
      <c r="B25" s="427"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0.5889509974</v>
      </c>
      <c r="AV25" s="401">
        <f>countifs('🔵クレーム'!$C:$C,MONTH($D$5)&amp;"月",'🔵クレーム'!$D:$D,day(C25)&amp;"日",'🔵クレーム'!$I:$I,"&lt;&gt;")</f>
        <v>0</v>
      </c>
      <c r="AW25" s="410"/>
      <c r="AX25" s="411"/>
      <c r="AY25" s="443"/>
      <c r="AZ25" s="446"/>
      <c r="BA25" s="77"/>
      <c r="BB25" s="445"/>
      <c r="BC25" s="315"/>
      <c r="BD25" s="440" t="s">
        <v>353</v>
      </c>
      <c r="BE25" s="441"/>
      <c r="BF25" s="77"/>
      <c r="BG25" s="445"/>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573</v>
      </c>
      <c r="B26" s="431" t="b">
        <v>0</v>
      </c>
      <c r="C26" s="400">
        <f t="shared" si="8"/>
        <v>46095</v>
      </c>
      <c r="D26" s="401" t="str">
        <f t="shared" si="2"/>
        <v>土</v>
      </c>
      <c r="E26" s="401">
        <f t="shared" si="10"/>
        <v>175</v>
      </c>
      <c r="F26" s="401">
        <f t="shared" si="3"/>
        <v>166</v>
      </c>
      <c r="G26" s="401">
        <f t="shared" si="4"/>
        <v>157</v>
      </c>
      <c r="H26" s="418">
        <v>67.0</v>
      </c>
      <c r="I26" s="418">
        <v>11.0</v>
      </c>
      <c r="J26" s="418">
        <v>24.0</v>
      </c>
      <c r="K26" s="418">
        <v>55.0</v>
      </c>
      <c r="L26" s="418">
        <v>9.0</v>
      </c>
      <c r="M26" s="418">
        <v>2.0</v>
      </c>
      <c r="N26" s="418">
        <v>50.0</v>
      </c>
      <c r="O26" s="418">
        <v>12.0</v>
      </c>
      <c r="P26" s="418">
        <v>0.0</v>
      </c>
      <c r="Q26" s="418">
        <v>0.0</v>
      </c>
      <c r="R26" s="418">
        <v>2.0</v>
      </c>
      <c r="S26" s="418">
        <v>0.0</v>
      </c>
      <c r="T26" s="418">
        <v>1.0</v>
      </c>
      <c r="U26" s="418">
        <v>2.0</v>
      </c>
      <c r="V26" s="418">
        <v>1.0</v>
      </c>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7">
        <f t="shared" si="5"/>
        <v>0</v>
      </c>
      <c r="AS26" s="408">
        <f t="shared" si="6"/>
        <v>165185</v>
      </c>
      <c r="AT26" s="408">
        <f>IFERROR(__xludf.DUMMYFUNCTION("""COMPUTED_VALUE"""),92591.33333333334)</f>
        <v>92591.33333</v>
      </c>
      <c r="AU26" s="409">
        <f t="shared" si="7"/>
        <v>0.5660201593</v>
      </c>
      <c r="AV26" s="401">
        <f>countifs('🔵クレーム'!$C:$C,MONTH($D$5)&amp;"月",'🔵クレーム'!$D:$D,day(C26)&amp;"日",'🔵クレーム'!$I:$I,"&lt;&gt;")</f>
        <v>1</v>
      </c>
      <c r="AW26" s="410"/>
      <c r="AX26" s="411"/>
      <c r="AY26" s="443"/>
      <c r="AZ26" s="446"/>
      <c r="BA26" s="77"/>
      <c r="BB26" s="445"/>
      <c r="BC26" s="315"/>
      <c r="BD26" s="440"/>
      <c r="BE26" s="447"/>
      <c r="BF26" s="77"/>
      <c r="BG26" s="445"/>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573</v>
      </c>
      <c r="B27" s="427"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0.6737087794</v>
      </c>
      <c r="AV27" s="401">
        <f>countifs('🔵クレーム'!$C:$C,MONTH($D$5)&amp;"月",'🔵クレーム'!$D:$D,day(C27)&amp;"日",'🔵クレーム'!$I:$I,"&lt;&gt;")</f>
        <v>0</v>
      </c>
      <c r="AW27" s="410"/>
      <c r="AX27" s="411"/>
      <c r="AY27" s="443"/>
      <c r="AZ27" s="446"/>
      <c r="BA27" s="77"/>
      <c r="BB27" s="222"/>
      <c r="BC27" s="315"/>
      <c r="BD27" s="424"/>
      <c r="BE27" s="447"/>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573</v>
      </c>
      <c r="B28" s="431" t="b">
        <v>0</v>
      </c>
      <c r="C28" s="400">
        <f t="shared" si="8"/>
        <v>46097</v>
      </c>
      <c r="D28" s="401" t="str">
        <f t="shared" si="2"/>
        <v>月</v>
      </c>
      <c r="E28" s="401">
        <f t="shared" si="10"/>
        <v>175</v>
      </c>
      <c r="F28" s="401">
        <f t="shared" si="3"/>
        <v>160</v>
      </c>
      <c r="G28" s="401">
        <f t="shared" si="4"/>
        <v>158</v>
      </c>
      <c r="H28" s="418">
        <v>72.0</v>
      </c>
      <c r="I28" s="418">
        <v>3.0</v>
      </c>
      <c r="J28" s="418">
        <v>23.0</v>
      </c>
      <c r="K28" s="418">
        <v>60.0</v>
      </c>
      <c r="L28" s="418">
        <v>2.0</v>
      </c>
      <c r="M28" s="418">
        <v>7.0</v>
      </c>
      <c r="N28" s="418">
        <v>46.0</v>
      </c>
      <c r="O28" s="418">
        <v>8.0</v>
      </c>
      <c r="P28" s="418">
        <v>0.0</v>
      </c>
      <c r="Q28" s="418">
        <v>1.0</v>
      </c>
      <c r="R28" s="418">
        <v>3.0</v>
      </c>
      <c r="S28" s="418">
        <v>0.0</v>
      </c>
      <c r="T28" s="418">
        <v>1.0</v>
      </c>
      <c r="U28" s="418">
        <v>1.0</v>
      </c>
      <c r="V28" s="418">
        <v>0.0</v>
      </c>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7">
        <f t="shared" si="5"/>
        <v>0</v>
      </c>
      <c r="AS28" s="408">
        <f t="shared" si="6"/>
        <v>148270</v>
      </c>
      <c r="AT28" s="408">
        <f>IFERROR(__xludf.DUMMYFUNCTION("""COMPUTED_VALUE"""),97957.83333333334)</f>
        <v>97957.83333</v>
      </c>
      <c r="AU28" s="409">
        <f t="shared" si="7"/>
        <v>0.6609544687</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8"/>
      <c r="BL28" s="449"/>
      <c r="BM28" s="172"/>
      <c r="BN28" s="448"/>
      <c r="BO28" s="448"/>
      <c r="BP28" s="448"/>
      <c r="BQ28" s="448"/>
      <c r="BR28" s="448"/>
      <c r="BS28" s="448"/>
      <c r="BT28" s="448"/>
      <c r="BU28" s="448"/>
      <c r="BV28" s="448"/>
      <c r="BW28" s="448"/>
      <c r="BX28" s="448"/>
      <c r="BY28" s="448"/>
      <c r="BZ28" s="448"/>
      <c r="CA28" s="448"/>
    </row>
    <row r="29" ht="15.75" customHeight="1">
      <c r="A29" s="314" t="s">
        <v>573</v>
      </c>
      <c r="B29" s="427" t="b">
        <v>0</v>
      </c>
      <c r="C29" s="400">
        <f t="shared" si="8"/>
        <v>46098</v>
      </c>
      <c r="D29" s="401" t="str">
        <f t="shared" si="2"/>
        <v>火</v>
      </c>
      <c r="E29" s="910">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0.6347276159</v>
      </c>
      <c r="AV29" s="401">
        <f>countifs('🔵クレーム'!$C:$C,MONTH($D$5)&amp;"月",'🔵クレーム'!$D:$D,day(C29)&amp;"日",'🔵クレーム'!$I:$I,"&lt;&gt;")</f>
        <v>0</v>
      </c>
      <c r="AW29" s="410"/>
      <c r="AX29" s="411"/>
      <c r="AY29" s="450" t="s">
        <v>354</v>
      </c>
      <c r="AZ29" s="451" t="s">
        <v>278</v>
      </c>
      <c r="BA29" s="451" t="s">
        <v>355</v>
      </c>
      <c r="BB29" s="451" t="s">
        <v>356</v>
      </c>
      <c r="BC29" s="315"/>
      <c r="BD29" s="452"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8"/>
      <c r="BL29" s="453"/>
      <c r="BM29" s="172"/>
      <c r="BN29" s="448"/>
      <c r="BO29" s="448"/>
      <c r="BP29" s="448"/>
      <c r="BQ29" s="448"/>
      <c r="BR29" s="448"/>
      <c r="BS29" s="448"/>
      <c r="BT29" s="448"/>
      <c r="BU29" s="448"/>
      <c r="BV29" s="448"/>
      <c r="BW29" s="448"/>
      <c r="BX29" s="448"/>
      <c r="BY29" s="448"/>
      <c r="BZ29" s="448"/>
      <c r="CA29" s="448"/>
    </row>
    <row r="30" ht="15.75" customHeight="1">
      <c r="A30" s="314" t="s">
        <v>573</v>
      </c>
      <c r="B30" s="431" t="b">
        <v>0</v>
      </c>
      <c r="C30" s="400">
        <f t="shared" si="8"/>
        <v>46099</v>
      </c>
      <c r="D30" s="401" t="str">
        <f t="shared" si="2"/>
        <v>水</v>
      </c>
      <c r="E30" s="910">
        <v>175.0</v>
      </c>
      <c r="F30" s="401">
        <f t="shared" si="3"/>
        <v>159</v>
      </c>
      <c r="G30" s="401">
        <f t="shared" si="4"/>
        <v>153</v>
      </c>
      <c r="H30" s="418">
        <v>63.0</v>
      </c>
      <c r="I30" s="418">
        <v>6.0</v>
      </c>
      <c r="J30" s="418">
        <v>19.0</v>
      </c>
      <c r="K30" s="418">
        <v>65.0</v>
      </c>
      <c r="L30" s="418">
        <v>6.0</v>
      </c>
      <c r="M30" s="418">
        <v>5.0</v>
      </c>
      <c r="N30" s="418">
        <v>41.0</v>
      </c>
      <c r="O30" s="418">
        <v>9.0</v>
      </c>
      <c r="P30" s="418">
        <v>1.0</v>
      </c>
      <c r="Q30" s="418">
        <v>4.0</v>
      </c>
      <c r="R30" s="418">
        <v>2.0</v>
      </c>
      <c r="S30" s="418">
        <v>0.0</v>
      </c>
      <c r="T30" s="418">
        <v>1.0</v>
      </c>
      <c r="U30" s="418">
        <v>1.0</v>
      </c>
      <c r="V30" s="418">
        <v>1.0</v>
      </c>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7">
        <f t="shared" si="5"/>
        <v>0</v>
      </c>
      <c r="AS30" s="408">
        <f t="shared" si="6"/>
        <v>139275</v>
      </c>
      <c r="AT30" s="408">
        <f>IFERROR(__xludf.DUMMYFUNCTION("""COMPUTED_VALUE"""),88275.16666666666)</f>
        <v>88275.16667</v>
      </c>
      <c r="AU30" s="409">
        <f t="shared" si="7"/>
        <v>0.6357673585</v>
      </c>
      <c r="AV30" s="401">
        <f>countifs('🔵クレーム'!$C:$C,MONTH($D$5)&amp;"月",'🔵クレーム'!$D:$D,day(C30)&amp;"日",'🔵クレーム'!$I:$I,"&lt;&gt;")</f>
        <v>1</v>
      </c>
      <c r="AW30" s="410"/>
      <c r="AX30" s="411"/>
      <c r="AY30" s="454" t="s">
        <v>358</v>
      </c>
      <c r="AZ30" s="444">
        <f>AS46</f>
        <v>4803520</v>
      </c>
      <c r="BA30" s="455" t="s">
        <v>286</v>
      </c>
      <c r="BB30" s="442">
        <f>SUM(AZ30:AZ36)</f>
        <v>5290320</v>
      </c>
      <c r="BC30" s="315"/>
      <c r="BD30" s="456" t="s">
        <v>359</v>
      </c>
      <c r="BE30" s="457" t="s">
        <v>360</v>
      </c>
      <c r="BF30" s="457" t="s">
        <v>361</v>
      </c>
      <c r="BG30" s="458" t="s">
        <v>344</v>
      </c>
      <c r="BH30" s="315"/>
      <c r="BI30" s="228" t="str">
        <f t="array" ref="BI30">IFERROR(INDEX('💻シート作成'!$D$6:$D162, MATCH(BJ30, '💻シート作成'!$E$6:$E162, 0)), "")</f>
        <v>10月</v>
      </c>
      <c r="BJ30" s="172" t="str">
        <f>IFERROR(__xludf.DUMMYFUNCTION("""COMPUTED_VALUE"""),"②R8_10シフト")</f>
        <v>②R8_10シフト</v>
      </c>
      <c r="BK30" s="448"/>
      <c r="BL30" s="453"/>
      <c r="BM30" s="172"/>
      <c r="BN30" s="448"/>
      <c r="BO30" s="448"/>
      <c r="BP30" s="448"/>
      <c r="BQ30" s="448"/>
      <c r="BR30" s="448"/>
      <c r="BS30" s="448"/>
      <c r="BT30" s="448"/>
      <c r="BU30" s="448"/>
      <c r="BV30" s="448"/>
      <c r="BW30" s="448"/>
      <c r="BX30" s="448"/>
      <c r="BY30" s="448"/>
      <c r="BZ30" s="448"/>
      <c r="CA30" s="448"/>
    </row>
    <row r="31" ht="15.75" customHeight="1">
      <c r="A31" s="314" t="s">
        <v>573</v>
      </c>
      <c r="B31" s="427" t="b">
        <v>0</v>
      </c>
      <c r="C31" s="400">
        <f t="shared" si="8"/>
        <v>46100</v>
      </c>
      <c r="D31" s="401" t="str">
        <f t="shared" si="2"/>
        <v>木</v>
      </c>
      <c r="E31" s="401">
        <f t="shared" ref="E31:E35" si="11">if(H31="","",175)</f>
        <v>175</v>
      </c>
      <c r="F31" s="401">
        <f t="shared" si="3"/>
        <v>166</v>
      </c>
      <c r="G31" s="401">
        <f t="shared" si="4"/>
        <v>163</v>
      </c>
      <c r="H31" s="418">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0.6672974022</v>
      </c>
      <c r="AV31" s="401">
        <f>countifs('🔵クレーム'!$C:$C,MONTH($D$5)&amp;"月",'🔵クレーム'!$D:$D,day(C31)&amp;"日",'🔵クレーム'!$I:$I,"&lt;&gt;")</f>
        <v>0</v>
      </c>
      <c r="AW31" s="410"/>
      <c r="AX31" s="411"/>
      <c r="AY31" s="459" t="s">
        <v>362</v>
      </c>
      <c r="AZ31" s="444">
        <f t="shared" ref="AZ31:AZ32" si="12">BA31/$G$5*COUNTIFS($E$13:$E$43,"&gt;0")</f>
        <v>182400</v>
      </c>
      <c r="BA31" s="460">
        <v>182400.0</v>
      </c>
      <c r="BB31" s="445"/>
      <c r="BC31" s="315"/>
      <c r="BD31" s="461" t="s">
        <v>363</v>
      </c>
      <c r="BE31" s="462">
        <v>2000.0</v>
      </c>
      <c r="BF31" s="463"/>
      <c r="BG31" s="444">
        <f t="shared" ref="BG31:BG35" si="13">BF31*BE31</f>
        <v>0</v>
      </c>
      <c r="BH31" s="315"/>
      <c r="BI31" s="228" t="str">
        <f t="array" ref="BI31">IFERROR(INDEX('💻シート作成'!$D$6:$D162, MATCH(BJ31, '💻シート作成'!$E$6:$E162, 0)), "")</f>
        <v>10月</v>
      </c>
      <c r="BJ31" s="172" t="str">
        <f>IFERROR(__xludf.DUMMYFUNCTION("""COMPUTED_VALUE"""),"③R8_10日報")</f>
        <v>③R8_10日報</v>
      </c>
      <c r="BK31" s="448"/>
      <c r="BL31" s="453"/>
      <c r="BM31" s="172"/>
      <c r="BN31" s="448"/>
      <c r="BO31" s="448"/>
      <c r="BP31" s="448"/>
      <c r="BQ31" s="448"/>
      <c r="BR31" s="448"/>
      <c r="BS31" s="448"/>
      <c r="BT31" s="448"/>
      <c r="BU31" s="448"/>
      <c r="BV31" s="448"/>
      <c r="BW31" s="448"/>
      <c r="BX31" s="448"/>
      <c r="BY31" s="448"/>
      <c r="BZ31" s="448"/>
      <c r="CA31" s="448"/>
    </row>
    <row r="32" ht="15.75" customHeight="1">
      <c r="A32" s="314" t="s">
        <v>573</v>
      </c>
      <c r="B32" s="431" t="b">
        <v>0</v>
      </c>
      <c r="C32" s="400">
        <f t="shared" si="8"/>
        <v>46101</v>
      </c>
      <c r="D32" s="401" t="str">
        <f t="shared" si="2"/>
        <v>金</v>
      </c>
      <c r="E32" s="401">
        <f t="shared" si="11"/>
        <v>175</v>
      </c>
      <c r="F32" s="401">
        <f t="shared" si="3"/>
        <v>162</v>
      </c>
      <c r="G32" s="401">
        <f t="shared" si="4"/>
        <v>158</v>
      </c>
      <c r="H32" s="418">
        <v>81.0</v>
      </c>
      <c r="I32" s="418">
        <v>7.0</v>
      </c>
      <c r="J32" s="418">
        <v>28.0</v>
      </c>
      <c r="K32" s="418">
        <v>42.0</v>
      </c>
      <c r="L32" s="418">
        <v>4.0</v>
      </c>
      <c r="M32" s="418">
        <v>2.0</v>
      </c>
      <c r="N32" s="418">
        <v>68.0</v>
      </c>
      <c r="O32" s="418">
        <v>17.0</v>
      </c>
      <c r="P32" s="418">
        <v>0.0</v>
      </c>
      <c r="Q32" s="418">
        <v>1.0</v>
      </c>
      <c r="R32" s="418">
        <v>0.0</v>
      </c>
      <c r="S32" s="418">
        <v>0.0</v>
      </c>
      <c r="T32" s="418">
        <v>1.0</v>
      </c>
      <c r="U32" s="418">
        <v>2.0</v>
      </c>
      <c r="V32" s="418">
        <v>0.0</v>
      </c>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7">
        <f t="shared" si="5"/>
        <v>0</v>
      </c>
      <c r="AS32" s="408">
        <f t="shared" si="6"/>
        <v>178615</v>
      </c>
      <c r="AT32" s="408">
        <f>IFERROR(__xludf.DUMMYFUNCTION("""COMPUTED_VALUE"""),94203.5)</f>
        <v>94203.5</v>
      </c>
      <c r="AU32" s="409">
        <f t="shared" si="7"/>
        <v>0.5341144762</v>
      </c>
      <c r="AV32" s="401">
        <f>countifs('🔵クレーム'!$C:$C,MONTH($D$5)&amp;"月",'🔵クレーム'!$D:$D,day(C32)&amp;"日",'🔵クレーム'!$I:$I,"&lt;&gt;")</f>
        <v>0</v>
      </c>
      <c r="AW32" s="410"/>
      <c r="AX32" s="411"/>
      <c r="AY32" s="459" t="s">
        <v>364</v>
      </c>
      <c r="AZ32" s="444">
        <f t="shared" si="12"/>
        <v>100000</v>
      </c>
      <c r="BA32" s="460">
        <v>100000.0</v>
      </c>
      <c r="BB32" s="445"/>
      <c r="BC32" s="315"/>
      <c r="BD32" s="461" t="s">
        <v>365</v>
      </c>
      <c r="BE32" s="462">
        <v>2500.0</v>
      </c>
      <c r="BF32" s="463"/>
      <c r="BG32" s="444">
        <f t="shared" si="13"/>
        <v>0</v>
      </c>
      <c r="BH32" s="315"/>
      <c r="BI32" s="228" t="str">
        <f t="array" ref="BI32">IFERROR(INDEX('💻シート作成'!$D$6:$D162, MATCH(BJ32, '💻シート作成'!$E$6:$E162, 0)), "")</f>
        <v>10月</v>
      </c>
      <c r="BJ32" s="172" t="str">
        <f>IFERROR(__xludf.DUMMYFUNCTION("""COMPUTED_VALUE"""),"④R8_10月報")</f>
        <v>④R8_10月報</v>
      </c>
      <c r="BK32" s="448"/>
      <c r="BL32" s="453"/>
      <c r="BM32" s="172"/>
      <c r="BN32" s="448"/>
      <c r="BO32" s="448"/>
      <c r="BP32" s="448"/>
      <c r="BQ32" s="448"/>
      <c r="BR32" s="448"/>
      <c r="BS32" s="448"/>
      <c r="BT32" s="448"/>
      <c r="BU32" s="448"/>
      <c r="BV32" s="448"/>
      <c r="BW32" s="448"/>
      <c r="BX32" s="448"/>
      <c r="BY32" s="448"/>
      <c r="BZ32" s="448"/>
      <c r="CA32" s="448"/>
    </row>
    <row r="33" ht="15.75" customHeight="1">
      <c r="A33" s="314" t="s">
        <v>573</v>
      </c>
      <c r="B33" s="427" t="b">
        <v>0</v>
      </c>
      <c r="C33" s="400">
        <f t="shared" si="8"/>
        <v>46102</v>
      </c>
      <c r="D33" s="401" t="str">
        <f t="shared" si="2"/>
        <v>土</v>
      </c>
      <c r="E33" s="401">
        <f t="shared" si="11"/>
        <v>175</v>
      </c>
      <c r="F33" s="401">
        <f t="shared" si="3"/>
        <v>164</v>
      </c>
      <c r="G33" s="401">
        <f t="shared" si="4"/>
        <v>161</v>
      </c>
      <c r="H33" s="418">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0.5464957339</v>
      </c>
      <c r="AV33" s="401">
        <f>countifs('🔵クレーム'!$C:$C,MONTH($D$5)&amp;"月",'🔵クレーム'!$D:$D,day(C33)&amp;"日",'🔵クレーム'!$I:$I,"&lt;&gt;")</f>
        <v>1</v>
      </c>
      <c r="AW33" s="410"/>
      <c r="AX33" s="411"/>
      <c r="AY33" s="459" t="s">
        <v>366</v>
      </c>
      <c r="AZ33" s="460">
        <v>0.0</v>
      </c>
      <c r="BA33" s="460">
        <v>105000.0</v>
      </c>
      <c r="BB33" s="445"/>
      <c r="BC33" s="315"/>
      <c r="BD33" s="464" t="s">
        <v>367</v>
      </c>
      <c r="BE33" s="463"/>
      <c r="BF33" s="463"/>
      <c r="BG33" s="444">
        <f t="shared" si="13"/>
        <v>0</v>
      </c>
      <c r="BH33" s="315"/>
      <c r="BI33" s="228" t="str">
        <f t="array" ref="BI33">IFERROR(INDEX('💻シート作成'!$D$6:$D162, MATCH(BJ33, '💻シート作成'!$E$6:$E162, 0)), "")</f>
        <v>9月</v>
      </c>
      <c r="BJ33" s="172" t="str">
        <f>IFERROR(__xludf.DUMMYFUNCTION("""COMPUTED_VALUE"""),"①R8_9集計")</f>
        <v>①R8_9集計</v>
      </c>
      <c r="BK33" s="448"/>
      <c r="BL33" s="453"/>
      <c r="BM33" s="172"/>
      <c r="BN33" s="448"/>
      <c r="BO33" s="448"/>
      <c r="BP33" s="448"/>
      <c r="BQ33" s="448"/>
      <c r="BR33" s="448"/>
      <c r="BS33" s="448"/>
      <c r="BT33" s="448"/>
      <c r="BU33" s="448"/>
      <c r="BV33" s="448"/>
      <c r="BW33" s="448"/>
      <c r="BX33" s="448"/>
      <c r="BY33" s="448"/>
      <c r="BZ33" s="448"/>
      <c r="CA33" s="448"/>
    </row>
    <row r="34" ht="15.75" customHeight="1">
      <c r="A34" s="314" t="s">
        <v>573</v>
      </c>
      <c r="B34" s="431" t="b">
        <v>0</v>
      </c>
      <c r="C34" s="400">
        <f t="shared" si="8"/>
        <v>46103</v>
      </c>
      <c r="D34" s="401" t="str">
        <f t="shared" si="2"/>
        <v>日</v>
      </c>
      <c r="E34" s="401">
        <f t="shared" si="11"/>
        <v>175</v>
      </c>
      <c r="F34" s="401">
        <f t="shared" si="3"/>
        <v>164</v>
      </c>
      <c r="G34" s="401">
        <f t="shared" si="4"/>
        <v>162</v>
      </c>
      <c r="H34" s="418">
        <v>77.0</v>
      </c>
      <c r="I34" s="418">
        <v>8.0</v>
      </c>
      <c r="J34" s="418">
        <v>25.0</v>
      </c>
      <c r="K34" s="418">
        <v>52.0</v>
      </c>
      <c r="L34" s="418">
        <v>2.0</v>
      </c>
      <c r="M34" s="418">
        <v>2.0</v>
      </c>
      <c r="N34" s="418">
        <v>60.0</v>
      </c>
      <c r="O34" s="418">
        <v>15.0</v>
      </c>
      <c r="P34" s="418">
        <v>3.0</v>
      </c>
      <c r="Q34" s="418">
        <v>0.0</v>
      </c>
      <c r="R34" s="418">
        <v>0.0</v>
      </c>
      <c r="S34" s="418">
        <v>0.0</v>
      </c>
      <c r="T34" s="418">
        <v>1.0</v>
      </c>
      <c r="U34" s="418">
        <v>1.0</v>
      </c>
      <c r="V34" s="418">
        <v>0.0</v>
      </c>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7">
        <f t="shared" si="5"/>
        <v>0</v>
      </c>
      <c r="AS34" s="408">
        <f t="shared" si="6"/>
        <v>162675</v>
      </c>
      <c r="AT34" s="408">
        <f>IFERROR(__xludf.DUMMYFUNCTION("""COMPUTED_VALUE"""),91385.83333333334)</f>
        <v>91385.83333</v>
      </c>
      <c r="AU34" s="409">
        <f t="shared" si="7"/>
        <v>0.567272952</v>
      </c>
      <c r="AV34" s="401">
        <f>countifs('🔵クレーム'!$C:$C,MONTH($D$5)&amp;"月",'🔵クレーム'!$D:$D,day(C34)&amp;"日",'🔵クレーム'!$I:$I,"&lt;&gt;")</f>
        <v>0</v>
      </c>
      <c r="AW34" s="410"/>
      <c r="AX34" s="411"/>
      <c r="AY34" s="459" t="s">
        <v>368</v>
      </c>
      <c r="AZ34" s="425">
        <f>BA34/$G$5*COUNTIFS($E$13:$E$43,"&gt;0")</f>
        <v>15200</v>
      </c>
      <c r="BA34" s="425">
        <v>15200.0</v>
      </c>
      <c r="BB34" s="445"/>
      <c r="BC34" s="315"/>
      <c r="BD34" s="461"/>
      <c r="BE34" s="463"/>
      <c r="BF34" s="463"/>
      <c r="BG34" s="444">
        <f t="shared" si="13"/>
        <v>0</v>
      </c>
      <c r="BH34" s="315"/>
      <c r="BI34" s="228" t="str">
        <f t="array" ref="BI34">IFERROR(INDEX('💻シート作成'!$D$6:$D162, MATCH(BJ34, '💻シート作成'!$E$6:$E162, 0)), "")</f>
        <v>9月</v>
      </c>
      <c r="BJ34" s="172" t="str">
        <f>IFERROR(__xludf.DUMMYFUNCTION("""COMPUTED_VALUE"""),"②R8_9シフト")</f>
        <v>②R8_9シフト</v>
      </c>
      <c r="BK34" s="315"/>
      <c r="BL34" s="453"/>
      <c r="BM34" s="172"/>
      <c r="BN34" s="315"/>
      <c r="BO34" s="315"/>
      <c r="BP34" s="315"/>
      <c r="BQ34" s="315"/>
      <c r="BR34" s="315"/>
      <c r="BS34" s="315"/>
      <c r="BT34" s="315"/>
      <c r="BU34" s="315"/>
      <c r="BV34" s="315"/>
      <c r="BW34" s="315"/>
      <c r="BX34" s="315"/>
      <c r="BY34" s="315"/>
      <c r="BZ34" s="315"/>
      <c r="CA34" s="315"/>
    </row>
    <row r="35" ht="15.75" customHeight="1">
      <c r="A35" s="314" t="s">
        <v>573</v>
      </c>
      <c r="B35" s="427" t="b">
        <v>0</v>
      </c>
      <c r="C35" s="400">
        <f t="shared" si="8"/>
        <v>46104</v>
      </c>
      <c r="D35" s="401" t="str">
        <f t="shared" si="2"/>
        <v>月</v>
      </c>
      <c r="E35" s="401">
        <f t="shared" si="11"/>
        <v>175</v>
      </c>
      <c r="F35" s="401">
        <f t="shared" si="3"/>
        <v>150</v>
      </c>
      <c r="G35" s="401">
        <f t="shared" si="4"/>
        <v>143</v>
      </c>
      <c r="H35" s="399">
        <v>61.0</v>
      </c>
      <c r="I35" s="418">
        <v>7.0</v>
      </c>
      <c r="J35" s="418">
        <v>23.0</v>
      </c>
      <c r="K35" s="418">
        <v>52.0</v>
      </c>
      <c r="L35" s="418">
        <v>7.0</v>
      </c>
      <c r="M35" s="418">
        <v>17.0</v>
      </c>
      <c r="N35" s="418">
        <v>47.0</v>
      </c>
      <c r="O35" s="418">
        <v>13.0</v>
      </c>
      <c r="P35" s="418">
        <v>1.0</v>
      </c>
      <c r="Q35" s="418">
        <v>0.0</v>
      </c>
      <c r="R35" s="418">
        <v>0.0</v>
      </c>
      <c r="S35" s="418">
        <v>0.0</v>
      </c>
      <c r="T35" s="418">
        <v>1.0</v>
      </c>
      <c r="U35" s="418">
        <v>1.0</v>
      </c>
      <c r="V35" s="418">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0.6315413457</v>
      </c>
      <c r="AV35" s="401">
        <f>countifs('🔵クレーム'!$C:$C,MONTH($D$5)&amp;"月",'🔵クレーム'!$D:$D,day(C35)&amp;"日",'🔵クレーム'!$I:$I,"&lt;&gt;")</f>
        <v>0</v>
      </c>
      <c r="AW35" s="410"/>
      <c r="AX35" s="411"/>
      <c r="AY35" s="443"/>
      <c r="AZ35" s="422"/>
      <c r="BA35" s="422"/>
      <c r="BB35" s="445"/>
      <c r="BC35" s="315"/>
      <c r="BD35" s="465"/>
      <c r="BE35" s="428"/>
      <c r="BF35" s="428"/>
      <c r="BG35" s="466">
        <f t="shared" si="13"/>
        <v>0</v>
      </c>
      <c r="BH35" s="315"/>
      <c r="BI35" s="228" t="str">
        <f t="array" ref="BI35">IFERROR(INDEX('💻シート作成'!$D$6:$D162, MATCH(BJ35, '💻シート作成'!$E$6:$E162, 0)), "")</f>
        <v>9月</v>
      </c>
      <c r="BJ35" s="172" t="str">
        <f>IFERROR(__xludf.DUMMYFUNCTION("""COMPUTED_VALUE"""),"③R8_9日報")</f>
        <v>③R8_9日報</v>
      </c>
      <c r="BK35" s="315"/>
      <c r="BL35" s="453"/>
      <c r="BM35" s="172"/>
      <c r="BN35" s="315"/>
      <c r="BO35" s="315"/>
      <c r="BP35" s="315"/>
      <c r="BQ35" s="315"/>
      <c r="BR35" s="315"/>
      <c r="BS35" s="315"/>
      <c r="BT35" s="315"/>
      <c r="BU35" s="315"/>
      <c r="BV35" s="315"/>
      <c r="BW35" s="315"/>
      <c r="BX35" s="315"/>
      <c r="BY35" s="315"/>
      <c r="BZ35" s="315"/>
      <c r="CA35" s="315"/>
    </row>
    <row r="36" ht="15.75" customHeight="1">
      <c r="A36" s="314" t="s">
        <v>573</v>
      </c>
      <c r="B36" s="431" t="b">
        <v>0</v>
      </c>
      <c r="C36" s="400">
        <f t="shared" si="8"/>
        <v>46105</v>
      </c>
      <c r="D36" s="401" t="str">
        <f t="shared" si="2"/>
        <v>火</v>
      </c>
      <c r="E36" s="910">
        <v>175.0</v>
      </c>
      <c r="F36" s="401">
        <f t="shared" si="3"/>
        <v>165</v>
      </c>
      <c r="G36" s="401">
        <f t="shared" si="4"/>
        <v>158</v>
      </c>
      <c r="H36" s="467">
        <v>71.0</v>
      </c>
      <c r="I36" s="418">
        <v>7.0</v>
      </c>
      <c r="J36" s="418">
        <v>22.0</v>
      </c>
      <c r="K36" s="418">
        <v>58.0</v>
      </c>
      <c r="L36" s="418">
        <v>7.0</v>
      </c>
      <c r="M36" s="418">
        <v>5.0</v>
      </c>
      <c r="N36" s="418">
        <v>58.0</v>
      </c>
      <c r="O36" s="418">
        <v>15.0</v>
      </c>
      <c r="P36" s="418">
        <v>0.0</v>
      </c>
      <c r="Q36" s="418">
        <v>0.0</v>
      </c>
      <c r="R36" s="418">
        <v>2.0</v>
      </c>
      <c r="S36" s="418">
        <v>0.0</v>
      </c>
      <c r="T36" s="418">
        <v>1.0</v>
      </c>
      <c r="U36" s="418">
        <v>1.0</v>
      </c>
      <c r="V36" s="418">
        <v>0.0</v>
      </c>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7">
        <f t="shared" si="5"/>
        <v>0</v>
      </c>
      <c r="AS36" s="408">
        <f t="shared" si="6"/>
        <v>153025</v>
      </c>
      <c r="AT36" s="408">
        <f>IFERROR(__xludf.DUMMYFUNCTION("""COMPUTED_VALUE"""),101580.0)</f>
        <v>101580</v>
      </c>
      <c r="AU36" s="409">
        <f t="shared" si="7"/>
        <v>0.6639108268</v>
      </c>
      <c r="AV36" s="401">
        <f>countifs('🔵クレーム'!$C:$C,MONTH($D$5)&amp;"月",'🔵クレーム'!$D:$D,day(C36)&amp;"日",'🔵クレーム'!$I:$I,"&lt;&gt;")</f>
        <v>0</v>
      </c>
      <c r="AW36" s="410"/>
      <c r="AX36" s="411"/>
      <c r="AY36" s="459" t="s">
        <v>369</v>
      </c>
      <c r="AZ36" s="422">
        <f>BB40</f>
        <v>189200</v>
      </c>
      <c r="BA36" s="422"/>
      <c r="BB36" s="222"/>
      <c r="BC36" s="315"/>
      <c r="BD36" s="432" t="s">
        <v>344</v>
      </c>
      <c r="BE36" s="433">
        <f>sum(BG31:BG35)</f>
        <v>0</v>
      </c>
      <c r="BF36" s="434"/>
      <c r="BG36" s="435"/>
      <c r="BH36" s="315"/>
      <c r="BI36" s="228" t="str">
        <f t="array" ref="BI36">IFERROR(INDEX('💻シート作成'!$D$6:$D162, MATCH(BJ36, '💻シート作成'!$E$6:$E162, 0)), "")</f>
        <v>9月</v>
      </c>
      <c r="BJ36" s="172" t="str">
        <f>IFERROR(__xludf.DUMMYFUNCTION("""COMPUTED_VALUE"""),"④R8_9月報")</f>
        <v>④R8_9月報</v>
      </c>
      <c r="BK36" s="315"/>
      <c r="BL36" s="453"/>
      <c r="BM36" s="172"/>
      <c r="BN36" s="315"/>
      <c r="BO36" s="315"/>
      <c r="BP36" s="315"/>
      <c r="BQ36" s="315"/>
      <c r="BR36" s="315"/>
      <c r="BS36" s="315"/>
      <c r="BT36" s="315"/>
      <c r="BU36" s="315"/>
      <c r="BV36" s="315"/>
      <c r="BW36" s="315"/>
      <c r="BX36" s="315"/>
      <c r="BY36" s="315"/>
      <c r="BZ36" s="315"/>
      <c r="CA36" s="315"/>
    </row>
    <row r="37" ht="15.75" customHeight="1">
      <c r="A37" s="314" t="s">
        <v>573</v>
      </c>
      <c r="B37" s="427" t="b">
        <v>0</v>
      </c>
      <c r="C37" s="400">
        <f t="shared" si="8"/>
        <v>46106</v>
      </c>
      <c r="D37" s="401" t="str">
        <f t="shared" si="2"/>
        <v>水</v>
      </c>
      <c r="E37" s="401">
        <f t="shared" ref="E37:E40" si="14">if(H37="","",175)</f>
        <v>175</v>
      </c>
      <c r="F37" s="401">
        <f t="shared" si="3"/>
        <v>161</v>
      </c>
      <c r="G37" s="401">
        <f t="shared" si="4"/>
        <v>156</v>
      </c>
      <c r="H37" s="399">
        <v>76.0</v>
      </c>
      <c r="I37" s="418">
        <v>8.0</v>
      </c>
      <c r="J37" s="418">
        <v>24.0</v>
      </c>
      <c r="K37" s="418">
        <v>48.0</v>
      </c>
      <c r="L37" s="418">
        <v>5.0</v>
      </c>
      <c r="M37" s="418">
        <v>4.0</v>
      </c>
      <c r="N37" s="418">
        <v>54.0</v>
      </c>
      <c r="O37" s="418">
        <v>10.0</v>
      </c>
      <c r="P37" s="418">
        <v>1.0</v>
      </c>
      <c r="Q37" s="418">
        <v>0.0</v>
      </c>
      <c r="R37" s="418">
        <v>1.0</v>
      </c>
      <c r="S37" s="418">
        <v>0.0</v>
      </c>
      <c r="T37" s="418">
        <v>1.0</v>
      </c>
      <c r="U37" s="418">
        <v>1.0</v>
      </c>
      <c r="V37" s="418">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0.669791269</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3"/>
      <c r="BM37" s="172"/>
      <c r="BN37" s="315"/>
      <c r="BO37" s="315"/>
      <c r="BP37" s="315"/>
      <c r="BQ37" s="315"/>
      <c r="BR37" s="315"/>
      <c r="BS37" s="315"/>
      <c r="BT37" s="315"/>
      <c r="BU37" s="315"/>
      <c r="BV37" s="315"/>
      <c r="BW37" s="315"/>
      <c r="BX37" s="315"/>
      <c r="BY37" s="315"/>
      <c r="BZ37" s="315"/>
      <c r="CA37" s="315"/>
    </row>
    <row r="38" ht="15.75" customHeight="1">
      <c r="A38" s="314" t="s">
        <v>573</v>
      </c>
      <c r="B38" s="431" t="b">
        <v>0</v>
      </c>
      <c r="C38" s="400">
        <f t="shared" si="8"/>
        <v>46107</v>
      </c>
      <c r="D38" s="401" t="str">
        <f t="shared" si="2"/>
        <v>木</v>
      </c>
      <c r="E38" s="401">
        <f t="shared" si="14"/>
        <v>175</v>
      </c>
      <c r="F38" s="401">
        <f t="shared" si="3"/>
        <v>163</v>
      </c>
      <c r="G38" s="401">
        <f t="shared" si="4"/>
        <v>156</v>
      </c>
      <c r="H38" s="467">
        <v>76.0</v>
      </c>
      <c r="I38" s="418">
        <v>7.0</v>
      </c>
      <c r="J38" s="418">
        <v>22.0</v>
      </c>
      <c r="K38" s="418">
        <v>51.0</v>
      </c>
      <c r="L38" s="418">
        <v>7.0</v>
      </c>
      <c r="M38" s="418">
        <v>2.0</v>
      </c>
      <c r="N38" s="418">
        <v>58.0</v>
      </c>
      <c r="O38" s="418">
        <v>9.0</v>
      </c>
      <c r="P38" s="418">
        <v>1.0</v>
      </c>
      <c r="Q38" s="418">
        <v>0.0</v>
      </c>
      <c r="R38" s="418">
        <v>3.0</v>
      </c>
      <c r="S38" s="418">
        <v>0.0</v>
      </c>
      <c r="T38" s="418">
        <v>1.0</v>
      </c>
      <c r="U38" s="418">
        <v>1.0</v>
      </c>
      <c r="V38" s="418">
        <v>0.0</v>
      </c>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7">
        <f t="shared" si="5"/>
        <v>0</v>
      </c>
      <c r="AS38" s="408">
        <f t="shared" si="6"/>
        <v>154850</v>
      </c>
      <c r="AT38" s="408">
        <f>IFERROR(__xludf.DUMMYFUNCTION("""COMPUTED_VALUE"""),94622.16666666666)</f>
        <v>94622.16667</v>
      </c>
      <c r="AU38" s="409">
        <f t="shared" si="7"/>
        <v>0.614084731</v>
      </c>
      <c r="AV38" s="401">
        <f>countifs('🔵クレーム'!$C:$C,MONTH($D$5)&amp;"月",'🔵クレーム'!$D:$D,day(C38)&amp;"日",'🔵クレーム'!$I:$I,"&lt;&gt;")</f>
        <v>0</v>
      </c>
      <c r="AW38" s="410"/>
      <c r="AX38" s="411"/>
      <c r="AY38" s="315" t="s">
        <v>370</v>
      </c>
      <c r="AZ38" s="468"/>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3"/>
      <c r="BM38" s="172"/>
      <c r="BN38" s="315"/>
      <c r="BO38" s="315"/>
      <c r="BP38" s="315"/>
      <c r="BQ38" s="315"/>
      <c r="BR38" s="315"/>
      <c r="BS38" s="315"/>
      <c r="BT38" s="315"/>
      <c r="BU38" s="315"/>
      <c r="BV38" s="315"/>
      <c r="BW38" s="315"/>
      <c r="BX38" s="315"/>
      <c r="BY38" s="315"/>
      <c r="BZ38" s="315"/>
      <c r="CA38" s="315"/>
    </row>
    <row r="39" ht="15.75" customHeight="1">
      <c r="A39" s="314" t="s">
        <v>573</v>
      </c>
      <c r="B39" s="427" t="b">
        <v>0</v>
      </c>
      <c r="C39" s="400">
        <f t="shared" si="8"/>
        <v>46108</v>
      </c>
      <c r="D39" s="401" t="str">
        <f t="shared" si="2"/>
        <v>金</v>
      </c>
      <c r="E39" s="401">
        <f t="shared" si="14"/>
        <v>175</v>
      </c>
      <c r="F39" s="401">
        <f t="shared" si="3"/>
        <v>166</v>
      </c>
      <c r="G39" s="401">
        <f t="shared" si="4"/>
        <v>163</v>
      </c>
      <c r="H39" s="399">
        <v>70.0</v>
      </c>
      <c r="I39" s="418">
        <v>5.0</v>
      </c>
      <c r="J39" s="418">
        <v>19.0</v>
      </c>
      <c r="K39" s="418">
        <v>69.0</v>
      </c>
      <c r="L39" s="418">
        <v>3.0</v>
      </c>
      <c r="M39" s="418">
        <v>2.0</v>
      </c>
      <c r="N39" s="418">
        <v>55.0</v>
      </c>
      <c r="O39" s="418">
        <v>7.0</v>
      </c>
      <c r="P39" s="418">
        <v>1.0</v>
      </c>
      <c r="Q39" s="418">
        <v>0.0</v>
      </c>
      <c r="R39" s="418">
        <v>1.0</v>
      </c>
      <c r="S39" s="418">
        <v>0.0</v>
      </c>
      <c r="T39" s="418">
        <v>1.0</v>
      </c>
      <c r="U39" s="418">
        <v>1.0</v>
      </c>
      <c r="V39" s="418">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0.6456450378</v>
      </c>
      <c r="AV39" s="401">
        <f>countifs('🔵クレーム'!$C:$C,MONTH($D$5)&amp;"月",'🔵クレーム'!$D:$D,day(C39)&amp;"日",'🔵クレーム'!$I:$I,"&lt;&gt;")</f>
        <v>0</v>
      </c>
      <c r="AW39" s="410"/>
      <c r="AX39" s="411"/>
      <c r="AY39" s="450" t="s">
        <v>354</v>
      </c>
      <c r="AZ39" s="451" t="s">
        <v>278</v>
      </c>
      <c r="BA39" s="451" t="s">
        <v>372</v>
      </c>
      <c r="BB39" s="451" t="s">
        <v>356</v>
      </c>
      <c r="BC39" s="329"/>
      <c r="BD39" s="450" t="s">
        <v>373</v>
      </c>
      <c r="BE39" s="451" t="s">
        <v>374</v>
      </c>
      <c r="BF39" s="451" t="s">
        <v>372</v>
      </c>
      <c r="BG39" s="451" t="s">
        <v>344</v>
      </c>
      <c r="BH39" s="315"/>
      <c r="BI39" s="228" t="str">
        <f t="array" ref="BI39">IFERROR(INDEX('💻シート作成'!$D$6:$D162, MATCH(BJ39, '💻シート作成'!$E$6:$E162, 0)), "")</f>
        <v>8月</v>
      </c>
      <c r="BJ39" s="172" t="str">
        <f>IFERROR(__xludf.DUMMYFUNCTION("""COMPUTED_VALUE"""),"③R8_8日報")</f>
        <v>③R8_8日報</v>
      </c>
      <c r="BK39" s="315"/>
      <c r="BL39" s="453"/>
      <c r="BM39" s="172"/>
      <c r="BN39" s="315"/>
      <c r="BO39" s="315"/>
      <c r="BP39" s="315"/>
      <c r="BQ39" s="315"/>
      <c r="BR39" s="315"/>
      <c r="BS39" s="315"/>
      <c r="BT39" s="315"/>
      <c r="BU39" s="315"/>
      <c r="BV39" s="315"/>
      <c r="BW39" s="315"/>
      <c r="BX39" s="315"/>
      <c r="BY39" s="315"/>
      <c r="BZ39" s="315"/>
      <c r="CA39" s="315"/>
    </row>
    <row r="40" ht="15.75" customHeight="1">
      <c r="A40" s="314" t="s">
        <v>573</v>
      </c>
      <c r="B40" s="431" t="b">
        <v>0</v>
      </c>
      <c r="C40" s="400">
        <f t="shared" si="8"/>
        <v>46109</v>
      </c>
      <c r="D40" s="401" t="str">
        <f t="shared" si="2"/>
        <v>土</v>
      </c>
      <c r="E40" s="401">
        <f t="shared" si="14"/>
        <v>175</v>
      </c>
      <c r="F40" s="401">
        <f t="shared" si="3"/>
        <v>169</v>
      </c>
      <c r="G40" s="401">
        <f t="shared" si="4"/>
        <v>166</v>
      </c>
      <c r="H40" s="467">
        <v>69.0</v>
      </c>
      <c r="I40" s="418">
        <v>8.0</v>
      </c>
      <c r="J40" s="418">
        <v>20.0</v>
      </c>
      <c r="K40" s="418">
        <v>69.0</v>
      </c>
      <c r="L40" s="418">
        <v>3.0</v>
      </c>
      <c r="M40" s="418">
        <v>1.0</v>
      </c>
      <c r="N40" s="418">
        <v>62.0</v>
      </c>
      <c r="O40" s="418">
        <v>8.0</v>
      </c>
      <c r="P40" s="418">
        <v>1.0</v>
      </c>
      <c r="Q40" s="418">
        <v>0.0</v>
      </c>
      <c r="R40" s="418">
        <v>0.0</v>
      </c>
      <c r="S40" s="418">
        <v>0.0</v>
      </c>
      <c r="T40" s="418">
        <v>1.0</v>
      </c>
      <c r="U40" s="418">
        <v>2.0</v>
      </c>
      <c r="V40" s="418">
        <v>0.0</v>
      </c>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7">
        <f t="shared" si="5"/>
        <v>0</v>
      </c>
      <c r="AS40" s="408">
        <f t="shared" si="6"/>
        <v>161505</v>
      </c>
      <c r="AT40" s="408">
        <f>IFERROR(__xludf.DUMMYFUNCTION("""COMPUTED_VALUE"""),100443.5)</f>
        <v>100443.5</v>
      </c>
      <c r="AU40" s="409">
        <f t="shared" si="7"/>
        <v>0.6242514967</v>
      </c>
      <c r="AV40" s="401">
        <f>countifs('🔵クレーム'!$C:$C,MONTH($D$5)&amp;"月",'🔵クレーム'!$D:$D,day(C40)&amp;"日",'🔵クレーム'!$I:$I,"&lt;&gt;")</f>
        <v>0</v>
      </c>
      <c r="AW40" s="410"/>
      <c r="AX40" s="469" t="s">
        <v>573</v>
      </c>
      <c r="AY40" s="470" t="s">
        <v>575</v>
      </c>
      <c r="AZ40" s="460">
        <v>113950.0</v>
      </c>
      <c r="BA40" s="471">
        <v>46092.0</v>
      </c>
      <c r="BB40" s="442">
        <f>SUM(AZ40:AZ45)</f>
        <v>189200</v>
      </c>
      <c r="BC40" s="315"/>
      <c r="BD40" s="472" t="s">
        <v>364</v>
      </c>
      <c r="BE40" s="473">
        <v>60000.0</v>
      </c>
      <c r="BF40" s="474" t="s">
        <v>376</v>
      </c>
      <c r="BG40" s="442">
        <f>SUM(BE40:BE45)</f>
        <v>60000</v>
      </c>
      <c r="BH40" s="315"/>
      <c r="BI40" s="228" t="str">
        <f t="array" ref="BI40">IFERROR(INDEX('💻シート作成'!$D$6:$D162, MATCH(BJ40, '💻シート作成'!$E$6:$E162, 0)), "")</f>
        <v>8月</v>
      </c>
      <c r="BJ40" s="172" t="str">
        <f>IFERROR(__xludf.DUMMYFUNCTION("""COMPUTED_VALUE"""),"④R8_8月報")</f>
        <v>④R8_8月報</v>
      </c>
      <c r="BK40" s="315"/>
      <c r="BL40" s="453"/>
      <c r="BM40" s="172"/>
      <c r="BN40" s="315"/>
      <c r="BO40" s="315"/>
      <c r="BP40" s="315"/>
      <c r="BQ40" s="315"/>
      <c r="BR40" s="315"/>
      <c r="BS40" s="315"/>
      <c r="BT40" s="315"/>
      <c r="BU40" s="315"/>
      <c r="BV40" s="315"/>
      <c r="BW40" s="315"/>
      <c r="BX40" s="315"/>
      <c r="BY40" s="315"/>
      <c r="BZ40" s="315"/>
      <c r="CA40" s="315"/>
    </row>
    <row r="41" ht="15.75" customHeight="1">
      <c r="A41" s="314" t="s">
        <v>573</v>
      </c>
      <c r="B41" s="475" t="b">
        <v>0</v>
      </c>
      <c r="C41" s="400">
        <f t="shared" si="8"/>
        <v>46110</v>
      </c>
      <c r="D41" s="401" t="str">
        <f t="shared" si="2"/>
        <v>日</v>
      </c>
      <c r="E41" s="910">
        <v>175.0</v>
      </c>
      <c r="F41" s="401">
        <f t="shared" si="3"/>
        <v>163</v>
      </c>
      <c r="G41" s="401">
        <f t="shared" si="4"/>
        <v>160</v>
      </c>
      <c r="H41" s="399">
        <v>76.0</v>
      </c>
      <c r="I41" s="418">
        <v>8.0</v>
      </c>
      <c r="J41" s="418">
        <v>31.0</v>
      </c>
      <c r="K41" s="418">
        <v>45.0</v>
      </c>
      <c r="L41" s="418">
        <v>3.0</v>
      </c>
      <c r="M41" s="418">
        <v>3.0</v>
      </c>
      <c r="N41" s="418">
        <v>55.0</v>
      </c>
      <c r="O41" s="418">
        <v>12.0</v>
      </c>
      <c r="P41" s="418">
        <v>1.0</v>
      </c>
      <c r="Q41" s="418">
        <v>1.0</v>
      </c>
      <c r="R41" s="418">
        <v>0.0</v>
      </c>
      <c r="S41" s="418">
        <v>0.0</v>
      </c>
      <c r="T41" s="418">
        <v>1.0</v>
      </c>
      <c r="U41" s="418">
        <v>1.0</v>
      </c>
      <c r="V41" s="418">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0.664419927</v>
      </c>
      <c r="AV41" s="401">
        <f>countifs('🔵クレーム'!$C:$C,MONTH($D$5)&amp;"月",'🔵クレーム'!$D:$D,day(C41)&amp;"日",'🔵クレーム'!$I:$I,"&lt;&gt;")</f>
        <v>0</v>
      </c>
      <c r="AW41" s="410"/>
      <c r="AX41" s="469" t="s">
        <v>573</v>
      </c>
      <c r="AY41" s="470" t="s">
        <v>576</v>
      </c>
      <c r="AZ41" s="460">
        <v>75250.0</v>
      </c>
      <c r="BA41" s="471">
        <v>46092.0</v>
      </c>
      <c r="BB41" s="445"/>
      <c r="BC41" s="315"/>
      <c r="BD41" s="424"/>
      <c r="BE41" s="422"/>
      <c r="BF41" s="476"/>
      <c r="BG41" s="445"/>
      <c r="BH41" s="315"/>
      <c r="BI41" s="228" t="str">
        <f t="array" ref="BI41">IFERROR(INDEX('💻シート作成'!$D$6:$D162, MATCH(BJ41, '💻シート作成'!$E$6:$E162, 0)), "")</f>
        <v>7月</v>
      </c>
      <c r="BJ41" s="172" t="str">
        <f>IFERROR(__xludf.DUMMYFUNCTION("""COMPUTED_VALUE"""),"①R8_7集計")</f>
        <v>①R8_7集計</v>
      </c>
      <c r="BK41" s="315"/>
      <c r="BL41" s="453"/>
      <c r="BM41" s="172"/>
      <c r="BN41" s="315"/>
      <c r="BO41" s="315"/>
      <c r="BP41" s="315"/>
      <c r="BQ41" s="315"/>
      <c r="BR41" s="315"/>
      <c r="BS41" s="315"/>
      <c r="BT41" s="315"/>
      <c r="BU41" s="315"/>
      <c r="BV41" s="315"/>
      <c r="BW41" s="315"/>
      <c r="BX41" s="315"/>
      <c r="BY41" s="315"/>
      <c r="BZ41" s="315"/>
      <c r="CA41" s="315"/>
    </row>
    <row r="42" ht="15.75" customHeight="1">
      <c r="A42" s="314" t="s">
        <v>573</v>
      </c>
      <c r="B42" s="477" t="b">
        <v>0</v>
      </c>
      <c r="C42" s="400">
        <f t="shared" si="8"/>
        <v>46111</v>
      </c>
      <c r="D42" s="401" t="str">
        <f t="shared" si="2"/>
        <v>月</v>
      </c>
      <c r="E42" s="910">
        <v>175.0</v>
      </c>
      <c r="F42" s="401">
        <f t="shared" si="3"/>
        <v>160</v>
      </c>
      <c r="G42" s="401">
        <f t="shared" si="4"/>
        <v>156</v>
      </c>
      <c r="H42" s="467">
        <v>74.0</v>
      </c>
      <c r="I42" s="418">
        <v>6.0</v>
      </c>
      <c r="J42" s="418">
        <v>26.0</v>
      </c>
      <c r="K42" s="418">
        <v>50.0</v>
      </c>
      <c r="L42" s="418">
        <v>4.0</v>
      </c>
      <c r="M42" s="418">
        <v>3.0</v>
      </c>
      <c r="N42" s="418">
        <v>44.0</v>
      </c>
      <c r="O42" s="418">
        <v>11.0</v>
      </c>
      <c r="P42" s="418">
        <v>0.0</v>
      </c>
      <c r="Q42" s="418">
        <v>0.0</v>
      </c>
      <c r="R42" s="418">
        <v>2.0</v>
      </c>
      <c r="S42" s="418">
        <v>0.0</v>
      </c>
      <c r="T42" s="418">
        <v>1.0</v>
      </c>
      <c r="U42" s="418">
        <v>1.0</v>
      </c>
      <c r="V42" s="418">
        <v>0.0</v>
      </c>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7">
        <f t="shared" si="5"/>
        <v>0</v>
      </c>
      <c r="AS42" s="408">
        <f t="shared" si="6"/>
        <v>155090</v>
      </c>
      <c r="AT42" s="408">
        <f>IFERROR(__xludf.DUMMYFUNCTION("""COMPUTED_VALUE"""),96633.33333333334)</f>
        <v>96633.33333</v>
      </c>
      <c r="AU42" s="409">
        <f t="shared" si="7"/>
        <v>0.6254354618</v>
      </c>
      <c r="AV42" s="401">
        <f>countifs('🔵クレーム'!$C:$C,MONTH($D$5)&amp;"月",'🔵クレーム'!$D:$D,day(C42)&amp;"日",'🔵クレーム'!$I:$I,"&lt;&gt;")</f>
        <v>0</v>
      </c>
      <c r="AW42" s="410"/>
      <c r="AX42" s="411"/>
      <c r="AY42" s="424"/>
      <c r="AZ42" s="422"/>
      <c r="BA42" s="476"/>
      <c r="BB42" s="445"/>
      <c r="BC42" s="315"/>
      <c r="BD42" s="424"/>
      <c r="BE42" s="422"/>
      <c r="BF42" s="476"/>
      <c r="BG42" s="445"/>
      <c r="BH42" s="315"/>
      <c r="BI42" s="228" t="str">
        <f t="array" ref="BI42">IFERROR(INDEX('💻シート作成'!$D$6:$D162, MATCH(BJ42, '💻シート作成'!$E$6:$E162, 0)), "")</f>
        <v>7月</v>
      </c>
      <c r="BJ42" s="172" t="str">
        <f>IFERROR(__xludf.DUMMYFUNCTION("""COMPUTED_VALUE"""),"②R8_7シフト")</f>
        <v>②R8_7シフト</v>
      </c>
      <c r="BK42" s="315"/>
      <c r="BL42" s="453"/>
      <c r="BM42" s="172"/>
      <c r="BN42" s="315"/>
      <c r="BO42" s="315"/>
      <c r="BP42" s="315"/>
      <c r="BQ42" s="315"/>
      <c r="BR42" s="315"/>
      <c r="BS42" s="315"/>
      <c r="BT42" s="315"/>
      <c r="BU42" s="315"/>
      <c r="BV42" s="315"/>
      <c r="BW42" s="315"/>
      <c r="BX42" s="315"/>
      <c r="BY42" s="315"/>
      <c r="BZ42" s="315"/>
      <c r="CA42" s="315"/>
    </row>
    <row r="43" ht="15.75" customHeight="1">
      <c r="A43" s="314" t="s">
        <v>573</v>
      </c>
      <c r="B43" s="475" t="b">
        <v>0</v>
      </c>
      <c r="C43" s="400">
        <f t="shared" si="8"/>
        <v>46112</v>
      </c>
      <c r="D43" s="401" t="str">
        <f t="shared" si="2"/>
        <v>火</v>
      </c>
      <c r="E43" s="401">
        <f>if(H43="","",175)</f>
        <v>175</v>
      </c>
      <c r="F43" s="401">
        <f t="shared" si="3"/>
        <v>164</v>
      </c>
      <c r="G43" s="401">
        <f t="shared" si="4"/>
        <v>161</v>
      </c>
      <c r="H43" s="399">
        <v>89.0</v>
      </c>
      <c r="I43" s="418">
        <v>5.0</v>
      </c>
      <c r="J43" s="418">
        <v>24.0</v>
      </c>
      <c r="K43" s="418">
        <v>43.0</v>
      </c>
      <c r="L43" s="418">
        <v>3.0</v>
      </c>
      <c r="M43" s="418">
        <v>4.0</v>
      </c>
      <c r="N43" s="418">
        <v>31.0</v>
      </c>
      <c r="O43" s="418">
        <v>15.0</v>
      </c>
      <c r="P43" s="418">
        <v>2.0</v>
      </c>
      <c r="Q43" s="418">
        <v>0.0</v>
      </c>
      <c r="R43" s="418">
        <v>2.0</v>
      </c>
      <c r="S43" s="418">
        <v>0.0</v>
      </c>
      <c r="T43" s="418">
        <v>1.0</v>
      </c>
      <c r="U43" s="418">
        <v>1.0</v>
      </c>
      <c r="V43" s="418">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0.6652906493</v>
      </c>
      <c r="AV43" s="401">
        <f>countifs('🔵クレーム'!$C:$C,MONTH($D$5)&amp;"月",'🔵クレーム'!$D:$D,day(C43)&amp;"日",'🔵クレーム'!$I:$I,"&lt;&gt;")</f>
        <v>0</v>
      </c>
      <c r="AW43" s="410"/>
      <c r="AX43" s="411"/>
      <c r="AY43" s="424"/>
      <c r="AZ43" s="422"/>
      <c r="BA43" s="476"/>
      <c r="BB43" s="445"/>
      <c r="BC43" s="315"/>
      <c r="BD43" s="424"/>
      <c r="BE43" s="476"/>
      <c r="BF43" s="476"/>
      <c r="BG43" s="445"/>
      <c r="BH43" s="315"/>
      <c r="BI43" s="228" t="str">
        <f t="array" ref="BI43">IFERROR(INDEX('💻シート作成'!$D$6:$D162, MATCH(BJ43, '💻シート作成'!$E$6:$E162, 0)), "")</f>
        <v>7月</v>
      </c>
      <c r="BJ43" s="172" t="str">
        <f>IFERROR(__xludf.DUMMYFUNCTION("""COMPUTED_VALUE"""),"③R8_7日報")</f>
        <v>③R8_7日報</v>
      </c>
      <c r="BK43" s="315"/>
      <c r="BL43" s="453"/>
      <c r="BM43" s="172"/>
      <c r="BN43" s="315"/>
      <c r="BO43" s="315"/>
      <c r="BP43" s="315"/>
      <c r="BQ43" s="315"/>
      <c r="BR43" s="315"/>
      <c r="BS43" s="315"/>
      <c r="BT43" s="315"/>
      <c r="BU43" s="315"/>
      <c r="BV43" s="315"/>
      <c r="BW43" s="315"/>
      <c r="BX43" s="315"/>
      <c r="BY43" s="315"/>
      <c r="BZ43" s="315"/>
      <c r="CA43" s="315"/>
    </row>
    <row r="44" ht="15.75" customHeight="1">
      <c r="A44" s="315"/>
      <c r="B44" s="478"/>
      <c r="C44" s="479" t="s">
        <v>344</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2993041.667</v>
      </c>
      <c r="AU44" s="485">
        <f>AVERAGE(AU13:AU43)</f>
        <v>0.6264371136</v>
      </c>
      <c r="AV44" s="481">
        <f t="shared" ref="AV44:AW44" si="17">sum(AV13:AV43)</f>
        <v>5</v>
      </c>
      <c r="AW44" s="486">
        <f t="shared" si="17"/>
        <v>0</v>
      </c>
      <c r="AX44" s="487"/>
      <c r="AY44" s="424"/>
      <c r="AZ44" s="422"/>
      <c r="BA44" s="476"/>
      <c r="BB44" s="445"/>
      <c r="BC44" s="315"/>
      <c r="BD44" s="424"/>
      <c r="BE44" s="476"/>
      <c r="BF44" s="476"/>
      <c r="BG44" s="445"/>
      <c r="BH44" s="315"/>
      <c r="BI44" s="228" t="str">
        <f t="array" ref="BI44">IFERROR(INDEX('💻シート作成'!$D$6:$D162, MATCH(BJ44, '💻シート作成'!$E$6:$E162, 0)), "")</f>
        <v>7月</v>
      </c>
      <c r="BJ44" s="172" t="str">
        <f>IFERROR(__xludf.DUMMYFUNCTION("""COMPUTED_VALUE"""),"④R8_7月報")</f>
        <v>④R8_7月報</v>
      </c>
      <c r="BK44" s="315"/>
      <c r="BL44" s="453"/>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360</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4"/>
      <c r="AZ45" s="422"/>
      <c r="BA45" s="476"/>
      <c r="BB45" s="222"/>
      <c r="BC45" s="315"/>
      <c r="BD45" s="424"/>
      <c r="BE45" s="422"/>
      <c r="BF45" s="476"/>
      <c r="BG45" s="222"/>
      <c r="BH45" s="315"/>
      <c r="BI45" s="228" t="str">
        <f t="array" ref="BI45">IFERROR(INDEX('💻シート作成'!$D$6:$D162, MATCH(BJ45, '💻シート作成'!$E$6:$E162, 0)), "")</f>
        <v>6月</v>
      </c>
      <c r="BJ45" s="172" t="str">
        <f>IFERROR(__xludf.DUMMYFUNCTION("""COMPUTED_VALUE"""),"①R8_6集計")</f>
        <v>①R8_6集計</v>
      </c>
      <c r="BK45" s="315"/>
      <c r="BL45" s="453"/>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377</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3"/>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378</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3"/>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3"/>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3"/>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3"/>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3"/>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3"/>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3"/>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3"/>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3"/>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3"/>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3"/>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3"/>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3"/>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3"/>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3"/>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3"/>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3"/>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3"/>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3"/>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3"/>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3"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3"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3"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3"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3"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3"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3"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3"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3"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3"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3"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3"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3"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3"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3"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3"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3"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3"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3"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3"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3"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3"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3"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3"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3"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3"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3"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3"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3"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3"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3"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3"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3"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3"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3"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3"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3"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3"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3"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3"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3"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3"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3"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3"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3"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3"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3"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3"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3"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3"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3"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3"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3"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3"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3"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3"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3"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3"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3"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3"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3"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3"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3"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3"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3"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3"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3"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3"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3"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3"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3"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3"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3"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3"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3"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3"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3"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3"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3"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3"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3"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3"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3"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3"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3"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3"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3"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3"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3"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3"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3"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3"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3"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3"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3"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3"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380</v>
      </c>
      <c r="M2" s="532"/>
      <c r="N2" s="533" t="s">
        <v>577</v>
      </c>
      <c r="O2" s="534"/>
      <c r="P2" s="535"/>
      <c r="Q2" s="536"/>
      <c r="R2" s="536"/>
      <c r="S2" s="537"/>
      <c r="T2" s="536"/>
      <c r="U2" s="536"/>
      <c r="V2" s="536"/>
      <c r="W2" s="536"/>
      <c r="X2" s="536"/>
      <c r="Y2" s="538"/>
      <c r="Z2" s="281"/>
      <c r="AA2" s="281"/>
      <c r="AB2" s="281"/>
      <c r="AC2" s="281"/>
      <c r="AD2" s="281"/>
      <c r="AE2" s="281"/>
      <c r="AF2" s="539"/>
      <c r="AG2" s="540"/>
      <c r="AH2" s="541"/>
      <c r="AI2" s="542" t="s">
        <v>578</v>
      </c>
      <c r="AJ2" s="281"/>
      <c r="AS2" s="281"/>
      <c r="AT2" s="543" t="s">
        <v>383</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385</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344</v>
      </c>
      <c r="BI3" s="200"/>
      <c r="BJ3" s="563" t="s">
        <v>386</v>
      </c>
      <c r="BK3" s="3"/>
      <c r="BL3" s="564">
        <v>46113.0</v>
      </c>
      <c r="BT3" s="200"/>
      <c r="BU3" s="200"/>
      <c r="BV3" s="200"/>
      <c r="BW3" s="200"/>
      <c r="BX3" s="200"/>
    </row>
    <row r="4" ht="24.75" customHeight="1">
      <c r="A4" s="529"/>
      <c r="B4" s="565" t="s">
        <v>387</v>
      </c>
      <c r="C4" s="566"/>
      <c r="D4" s="567"/>
      <c r="E4" s="568" t="s">
        <v>388</v>
      </c>
      <c r="F4" s="528"/>
      <c r="G4" s="529"/>
      <c r="H4" s="529"/>
      <c r="I4" s="569" t="s">
        <v>389</v>
      </c>
      <c r="J4" s="3"/>
      <c r="K4" s="570" t="s">
        <v>390</v>
      </c>
      <c r="L4" s="571"/>
      <c r="M4" s="572" t="s">
        <v>391</v>
      </c>
      <c r="N4" s="573"/>
      <c r="O4" s="574"/>
      <c r="P4" s="575" t="s">
        <v>392</v>
      </c>
      <c r="Q4" s="576" t="s">
        <v>393</v>
      </c>
      <c r="R4" s="574"/>
      <c r="S4" s="574"/>
      <c r="T4" s="575" t="s">
        <v>394</v>
      </c>
      <c r="U4" s="576" t="s">
        <v>395</v>
      </c>
      <c r="V4" s="574"/>
      <c r="W4" s="574"/>
      <c r="X4" s="577" t="s">
        <v>192</v>
      </c>
      <c r="Y4" s="576" t="s">
        <v>396</v>
      </c>
      <c r="Z4" s="574"/>
      <c r="AA4" s="574"/>
      <c r="AB4" s="578" t="s">
        <v>397</v>
      </c>
      <c r="AC4" s="576" t="s">
        <v>398</v>
      </c>
      <c r="AD4" s="574"/>
      <c r="AE4" s="574"/>
      <c r="AF4" s="579" t="s">
        <v>399</v>
      </c>
      <c r="AG4" s="576" t="s">
        <v>400</v>
      </c>
      <c r="AH4" s="574"/>
      <c r="AI4" s="574"/>
      <c r="AJ4" s="579" t="s">
        <v>401</v>
      </c>
      <c r="AK4" s="576" t="s">
        <v>402</v>
      </c>
      <c r="AL4" s="574"/>
      <c r="AM4" s="580"/>
      <c r="AN4" s="581"/>
      <c r="AO4" s="581"/>
      <c r="AP4" s="555"/>
      <c r="AQ4" s="582"/>
      <c r="AR4" s="557"/>
      <c r="AS4" s="200"/>
      <c r="AT4" s="583" t="s">
        <v>119</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404</v>
      </c>
      <c r="BK4" s="250"/>
      <c r="BL4" s="564">
        <v>46143.0</v>
      </c>
      <c r="BT4" s="526"/>
      <c r="BU4" s="526"/>
      <c r="BV4" s="526"/>
      <c r="BW4" s="526"/>
      <c r="BX4" s="526"/>
    </row>
    <row r="5" ht="24.75" customHeight="1">
      <c r="A5" s="529"/>
      <c r="B5" s="589" t="s">
        <v>405</v>
      </c>
      <c r="C5" s="590"/>
      <c r="D5" s="529"/>
      <c r="E5" s="591" t="s">
        <v>406</v>
      </c>
      <c r="F5" s="590"/>
      <c r="G5" s="529"/>
      <c r="H5" s="529"/>
      <c r="I5" s="592" t="b">
        <v>1</v>
      </c>
      <c r="J5" s="3"/>
      <c r="K5" s="593" t="s">
        <v>132</v>
      </c>
      <c r="L5" s="594"/>
      <c r="M5" s="595" t="s">
        <v>407</v>
      </c>
      <c r="N5" s="596"/>
      <c r="O5" s="574"/>
      <c r="P5" s="597" t="s">
        <v>408</v>
      </c>
      <c r="Q5" s="576" t="s">
        <v>409</v>
      </c>
      <c r="R5" s="574"/>
      <c r="S5" s="574"/>
      <c r="T5" s="597" t="s">
        <v>410</v>
      </c>
      <c r="U5" s="576" t="s">
        <v>411</v>
      </c>
      <c r="V5" s="574"/>
      <c r="W5" s="574"/>
      <c r="X5" s="597" t="s">
        <v>412</v>
      </c>
      <c r="Y5" s="576" t="s">
        <v>413</v>
      </c>
      <c r="Z5" s="574"/>
      <c r="AA5" s="574"/>
      <c r="AB5" s="597" t="s">
        <v>414</v>
      </c>
      <c r="AC5" s="576" t="s">
        <v>415</v>
      </c>
      <c r="AD5" s="574"/>
      <c r="AE5" s="574"/>
      <c r="AF5" s="597" t="s">
        <v>416</v>
      </c>
      <c r="AG5" s="576" t="s">
        <v>417</v>
      </c>
      <c r="AH5" s="574"/>
      <c r="AI5" s="574"/>
      <c r="AJ5" s="597" t="s">
        <v>418</v>
      </c>
      <c r="AK5" s="576" t="s">
        <v>419</v>
      </c>
      <c r="AL5" s="574"/>
      <c r="AM5" s="580"/>
      <c r="AN5" s="581"/>
      <c r="AO5" s="581"/>
      <c r="AP5" s="555"/>
      <c r="AQ5" s="582"/>
      <c r="AR5" s="557"/>
      <c r="AS5" s="200"/>
      <c r="AT5" s="598" t="s">
        <v>420</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46114</v>
      </c>
      <c r="C7" s="614"/>
      <c r="D7" s="529"/>
      <c r="E7" s="615">
        <f>today()+1</f>
        <v>46115</v>
      </c>
      <c r="F7" s="616"/>
      <c r="G7" s="529"/>
      <c r="H7" s="529"/>
      <c r="I7" s="617" t="s">
        <v>421</v>
      </c>
      <c r="J7" s="618" t="s">
        <v>422</v>
      </c>
      <c r="K7" s="619">
        <v>46082.0</v>
      </c>
      <c r="L7" s="620" t="s">
        <v>423</v>
      </c>
      <c r="M7" s="621" t="s">
        <v>424</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1">
        <f t="shared" si="2"/>
        <v>46112</v>
      </c>
      <c r="AS7" s="624" t="s">
        <v>425</v>
      </c>
      <c r="AT7" s="625" t="s">
        <v>426</v>
      </c>
      <c r="AU7" s="626" t="s">
        <v>81</v>
      </c>
      <c r="AV7" s="626" t="s">
        <v>427</v>
      </c>
      <c r="AW7" s="626" t="s">
        <v>428</v>
      </c>
      <c r="AX7" s="626" t="s">
        <v>429</v>
      </c>
      <c r="AY7" s="626" t="s">
        <v>430</v>
      </c>
      <c r="AZ7" s="626" t="s">
        <v>431</v>
      </c>
      <c r="BA7" s="626" t="s">
        <v>82</v>
      </c>
      <c r="BB7" s="627" t="s">
        <v>342</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292</v>
      </c>
      <c r="C8" s="912" t="str">
        <f>TEXT(B7,"ddd")</f>
        <v>木</v>
      </c>
      <c r="D8" s="200"/>
      <c r="E8" s="913" t="s">
        <v>292</v>
      </c>
      <c r="F8" s="914" t="str">
        <f>TEXT(E7,"ddd")</f>
        <v>金</v>
      </c>
      <c r="G8" s="200"/>
      <c r="H8" s="200"/>
      <c r="I8" s="617"/>
      <c r="J8" s="632" t="s">
        <v>432</v>
      </c>
      <c r="K8" s="620" t="s">
        <v>433</v>
      </c>
      <c r="L8" s="633" t="s">
        <v>434</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23" si="4">K9</f>
        <v>出勤者数合計</v>
      </c>
      <c r="C9" s="637" t="str">
        <f t="shared" ref="C9:C23" si="5">if(B9="","", xlookup($B$7,$N$7:$AR$7,$N9:$AR9))</f>
        <v>#N/A</v>
      </c>
      <c r="D9" s="200"/>
      <c r="E9" s="636" t="str">
        <f t="shared" ref="E9:E60" si="6">K9</f>
        <v>出勤者数合計</v>
      </c>
      <c r="F9" s="637" t="str">
        <f t="shared" ref="F9:F23" si="7">if(E9="","", xlookup($E$7,$N$7:$AR$7,$N9:$AR9))</f>
        <v>#N/A</v>
      </c>
      <c r="G9" s="200"/>
      <c r="H9" s="200"/>
      <c r="I9" s="172" t="b">
        <v>0</v>
      </c>
      <c r="J9" s="632"/>
      <c r="K9" s="638" t="s">
        <v>435</v>
      </c>
      <c r="L9" s="639" t="s">
        <v>135</v>
      </c>
      <c r="M9" s="640" t="s">
        <v>436</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437</v>
      </c>
      <c r="L10" s="639" t="s">
        <v>135</v>
      </c>
      <c r="M10" s="640" t="s">
        <v>438</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440</v>
      </c>
      <c r="M11" s="645"/>
      <c r="N11" s="646" t="s">
        <v>416</v>
      </c>
      <c r="O11" s="646" t="s">
        <v>416</v>
      </c>
      <c r="P11" s="646" t="s">
        <v>392</v>
      </c>
      <c r="Q11" s="646" t="s">
        <v>392</v>
      </c>
      <c r="R11" s="646" t="s">
        <v>392</v>
      </c>
      <c r="S11" s="646" t="s">
        <v>392</v>
      </c>
      <c r="T11" s="646" t="s">
        <v>408</v>
      </c>
      <c r="U11" s="646" t="s">
        <v>392</v>
      </c>
      <c r="V11" s="646" t="s">
        <v>408</v>
      </c>
      <c r="W11" s="646" t="s">
        <v>408</v>
      </c>
      <c r="X11" s="646" t="s">
        <v>392</v>
      </c>
      <c r="Y11" s="646" t="s">
        <v>392</v>
      </c>
      <c r="Z11" s="646" t="s">
        <v>392</v>
      </c>
      <c r="AA11" s="646" t="s">
        <v>392</v>
      </c>
      <c r="AB11" s="646" t="s">
        <v>392</v>
      </c>
      <c r="AC11" s="646" t="s">
        <v>392</v>
      </c>
      <c r="AD11" s="646" t="s">
        <v>408</v>
      </c>
      <c r="AE11" s="646" t="s">
        <v>392</v>
      </c>
      <c r="AF11" s="646" t="s">
        <v>392</v>
      </c>
      <c r="AG11" s="646" t="s">
        <v>392</v>
      </c>
      <c r="AH11" s="646" t="s">
        <v>392</v>
      </c>
      <c r="AI11" s="646" t="s">
        <v>392</v>
      </c>
      <c r="AJ11" s="646" t="s">
        <v>392</v>
      </c>
      <c r="AK11" s="646" t="s">
        <v>408</v>
      </c>
      <c r="AL11" s="646" t="s">
        <v>392</v>
      </c>
      <c r="AM11" s="646" t="s">
        <v>392</v>
      </c>
      <c r="AN11" s="646" t="s">
        <v>392</v>
      </c>
      <c r="AO11" s="646" t="s">
        <v>392</v>
      </c>
      <c r="AP11" s="646" t="s">
        <v>416</v>
      </c>
      <c r="AQ11" s="646" t="s">
        <v>416</v>
      </c>
      <c r="AR11" s="646" t="s">
        <v>392</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440</v>
      </c>
      <c r="M12" s="645"/>
      <c r="N12" s="915" t="s">
        <v>394</v>
      </c>
      <c r="O12" s="916" t="s">
        <v>394</v>
      </c>
      <c r="P12" s="916" t="s">
        <v>394</v>
      </c>
      <c r="Q12" s="916" t="s">
        <v>408</v>
      </c>
      <c r="R12" s="916" t="s">
        <v>408</v>
      </c>
      <c r="S12" s="916" t="s">
        <v>394</v>
      </c>
      <c r="T12" s="917" t="s">
        <v>394</v>
      </c>
      <c r="U12" s="915" t="s">
        <v>394</v>
      </c>
      <c r="V12" s="916" t="s">
        <v>394</v>
      </c>
      <c r="W12" s="916" t="s">
        <v>394</v>
      </c>
      <c r="X12" s="916" t="s">
        <v>416</v>
      </c>
      <c r="Y12" s="916" t="s">
        <v>416</v>
      </c>
      <c r="Z12" s="916" t="s">
        <v>394</v>
      </c>
      <c r="AA12" s="917" t="s">
        <v>394</v>
      </c>
      <c r="AB12" s="915" t="s">
        <v>394</v>
      </c>
      <c r="AC12" s="916" t="s">
        <v>408</v>
      </c>
      <c r="AD12" s="916" t="s">
        <v>394</v>
      </c>
      <c r="AE12" s="916" t="s">
        <v>394</v>
      </c>
      <c r="AF12" s="916" t="s">
        <v>408</v>
      </c>
      <c r="AG12" s="916" t="s">
        <v>394</v>
      </c>
      <c r="AH12" s="917" t="s">
        <v>394</v>
      </c>
      <c r="AI12" s="915" t="s">
        <v>394</v>
      </c>
      <c r="AJ12" s="916" t="s">
        <v>408</v>
      </c>
      <c r="AK12" s="916" t="s">
        <v>394</v>
      </c>
      <c r="AL12" s="916" t="s">
        <v>394</v>
      </c>
      <c r="AM12" s="916" t="s">
        <v>408</v>
      </c>
      <c r="AN12" s="916" t="s">
        <v>394</v>
      </c>
      <c r="AO12" s="917" t="s">
        <v>394</v>
      </c>
      <c r="AP12" s="646" t="s">
        <v>394</v>
      </c>
      <c r="AQ12" s="646" t="s">
        <v>394</v>
      </c>
      <c r="AR12" s="646" t="s">
        <v>408</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440</v>
      </c>
      <c r="M13" s="645"/>
      <c r="N13" s="918"/>
      <c r="O13" s="919"/>
      <c r="P13" s="916" t="s">
        <v>394</v>
      </c>
      <c r="Q13" s="919"/>
      <c r="R13" s="919"/>
      <c r="S13" s="916"/>
      <c r="T13" s="920"/>
      <c r="U13" s="918"/>
      <c r="V13" s="916" t="s">
        <v>394</v>
      </c>
      <c r="W13" s="916" t="s">
        <v>394</v>
      </c>
      <c r="X13" s="919"/>
      <c r="Y13" s="919"/>
      <c r="Z13" s="916" t="s">
        <v>394</v>
      </c>
      <c r="AA13" s="920"/>
      <c r="AB13" s="918"/>
      <c r="AC13" s="919"/>
      <c r="AD13" s="916" t="s">
        <v>394</v>
      </c>
      <c r="AE13" s="919"/>
      <c r="AF13" s="919"/>
      <c r="AG13" s="916" t="s">
        <v>394</v>
      </c>
      <c r="AH13" s="920"/>
      <c r="AI13" s="918"/>
      <c r="AJ13" s="921"/>
      <c r="AK13" s="916" t="s">
        <v>394</v>
      </c>
      <c r="AL13" s="919"/>
      <c r="AM13" s="919"/>
      <c r="AN13" s="916"/>
      <c r="AO13" s="920"/>
      <c r="AP13" s="646"/>
      <c r="AQ13" s="646"/>
      <c r="AR13" s="646" t="s">
        <v>394</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1"/>
      <c r="AB14" s="916"/>
      <c r="AC14" s="646"/>
      <c r="AD14" s="922"/>
      <c r="AE14" s="916" t="s">
        <v>579</v>
      </c>
      <c r="AF14" s="646"/>
      <c r="AG14" s="646"/>
      <c r="AH14" s="921"/>
      <c r="AI14" s="916"/>
      <c r="AJ14" s="646"/>
      <c r="AK14" s="646"/>
      <c r="AL14" s="646"/>
      <c r="AM14" s="916"/>
      <c r="AN14" s="921"/>
      <c r="AO14" s="921"/>
      <c r="AP14" s="646" t="s">
        <v>579</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444</v>
      </c>
      <c r="L15" s="639" t="s">
        <v>440</v>
      </c>
      <c r="M15" s="645"/>
      <c r="N15" s="646"/>
      <c r="O15" s="646"/>
      <c r="P15" s="646"/>
      <c r="Q15" s="646"/>
      <c r="R15" s="646"/>
      <c r="S15" s="646"/>
      <c r="T15" s="646"/>
      <c r="U15" s="646"/>
      <c r="V15" s="646"/>
      <c r="W15" s="646"/>
      <c r="X15" s="646" t="s">
        <v>401</v>
      </c>
      <c r="Y15" s="646" t="s">
        <v>401</v>
      </c>
      <c r="Z15" s="646" t="s">
        <v>401</v>
      </c>
      <c r="AA15" s="646"/>
      <c r="AB15" s="646"/>
      <c r="AC15" s="646"/>
      <c r="AD15" s="646"/>
      <c r="AE15" s="646" t="s">
        <v>401</v>
      </c>
      <c r="AF15" s="646" t="s">
        <v>401</v>
      </c>
      <c r="AG15" s="646" t="s">
        <v>401</v>
      </c>
      <c r="AH15" s="646"/>
      <c r="AI15" s="24"/>
      <c r="AJ15" s="646"/>
      <c r="AK15" s="646"/>
      <c r="AL15" s="646" t="s">
        <v>401</v>
      </c>
      <c r="AM15" s="646" t="s">
        <v>401</v>
      </c>
      <c r="AN15" s="646"/>
      <c r="AO15" s="646"/>
      <c r="AP15" s="646"/>
      <c r="AQ15" s="922" t="s">
        <v>401</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446</v>
      </c>
      <c r="L17" s="639" t="s">
        <v>447</v>
      </c>
      <c r="M17" s="645"/>
      <c r="N17" s="646" t="s">
        <v>408</v>
      </c>
      <c r="O17" s="646" t="s">
        <v>416</v>
      </c>
      <c r="P17" s="646" t="s">
        <v>416</v>
      </c>
      <c r="Q17" s="646" t="s">
        <v>394</v>
      </c>
      <c r="R17" s="646" t="s">
        <v>408</v>
      </c>
      <c r="S17" s="646" t="s">
        <v>394</v>
      </c>
      <c r="T17" s="646" t="s">
        <v>408</v>
      </c>
      <c r="U17" s="646" t="s">
        <v>408</v>
      </c>
      <c r="V17" s="646" t="s">
        <v>394</v>
      </c>
      <c r="W17" s="646" t="s">
        <v>394</v>
      </c>
      <c r="X17" s="646" t="s">
        <v>394</v>
      </c>
      <c r="Y17" s="646" t="s">
        <v>408</v>
      </c>
      <c r="Z17" s="646" t="s">
        <v>394</v>
      </c>
      <c r="AA17" s="646" t="s">
        <v>408</v>
      </c>
      <c r="AB17" s="646" t="s">
        <v>408</v>
      </c>
      <c r="AC17" s="646" t="s">
        <v>408</v>
      </c>
      <c r="AD17" s="646" t="s">
        <v>394</v>
      </c>
      <c r="AE17" s="646" t="s">
        <v>394</v>
      </c>
      <c r="AF17" s="646" t="s">
        <v>408</v>
      </c>
      <c r="AG17" s="646" t="s">
        <v>408</v>
      </c>
      <c r="AH17" s="646" t="s">
        <v>408</v>
      </c>
      <c r="AI17" s="646" t="s">
        <v>408</v>
      </c>
      <c r="AJ17" s="646" t="s">
        <v>408</v>
      </c>
      <c r="AK17" s="646" t="s">
        <v>394</v>
      </c>
      <c r="AL17" s="646" t="s">
        <v>394</v>
      </c>
      <c r="AM17" s="646" t="s">
        <v>408</v>
      </c>
      <c r="AN17" s="646" t="s">
        <v>394</v>
      </c>
      <c r="AO17" s="646" t="s">
        <v>408</v>
      </c>
      <c r="AP17" s="646" t="s">
        <v>408</v>
      </c>
      <c r="AQ17" s="646" t="s">
        <v>408</v>
      </c>
      <c r="AR17" s="646" t="s">
        <v>394</v>
      </c>
      <c r="AS17" s="647">
        <f t="array" ref="AS17">SUM(COUNTIF(N17:AR17, {"◎","〇","☆","共","特","浴"}))</f>
        <v>12</v>
      </c>
      <c r="AT17" s="651"/>
      <c r="AU17" s="649"/>
      <c r="AV17" s="649"/>
      <c r="AW17" s="649"/>
      <c r="AX17" s="649"/>
      <c r="AY17" s="649"/>
      <c r="AZ17" s="649"/>
      <c r="BA17" s="649"/>
      <c r="BB17" s="652" t="s">
        <v>580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449</v>
      </c>
      <c r="L18" s="639" t="s">
        <v>447</v>
      </c>
      <c r="M18" s="645"/>
      <c r="N18" s="646" t="s">
        <v>408</v>
      </c>
      <c r="O18" s="646" t="s">
        <v>394</v>
      </c>
      <c r="P18" s="646" t="s">
        <v>394</v>
      </c>
      <c r="Q18" s="646" t="s">
        <v>408</v>
      </c>
      <c r="R18" s="646" t="s">
        <v>394</v>
      </c>
      <c r="S18" s="646" t="s">
        <v>408</v>
      </c>
      <c r="T18" s="646" t="s">
        <v>408</v>
      </c>
      <c r="U18" s="646" t="s">
        <v>408</v>
      </c>
      <c r="V18" s="646" t="s">
        <v>416</v>
      </c>
      <c r="W18" s="646" t="s">
        <v>416</v>
      </c>
      <c r="X18" s="646" t="s">
        <v>408</v>
      </c>
      <c r="Y18" s="646" t="s">
        <v>394</v>
      </c>
      <c r="Z18" s="646" t="s">
        <v>408</v>
      </c>
      <c r="AA18" s="646" t="s">
        <v>408</v>
      </c>
      <c r="AB18" s="646" t="s">
        <v>408</v>
      </c>
      <c r="AC18" s="646" t="s">
        <v>394</v>
      </c>
      <c r="AD18" s="646" t="s">
        <v>394</v>
      </c>
      <c r="AE18" s="646" t="s">
        <v>408</v>
      </c>
      <c r="AF18" s="646" t="s">
        <v>394</v>
      </c>
      <c r="AG18" s="646" t="s">
        <v>408</v>
      </c>
      <c r="AH18" s="646" t="s">
        <v>408</v>
      </c>
      <c r="AI18" s="646" t="s">
        <v>408</v>
      </c>
      <c r="AJ18" s="646" t="s">
        <v>394</v>
      </c>
      <c r="AK18" s="646" t="s">
        <v>394</v>
      </c>
      <c r="AL18" s="646" t="s">
        <v>408</v>
      </c>
      <c r="AM18" s="646" t="s">
        <v>394</v>
      </c>
      <c r="AN18" s="646" t="s">
        <v>408</v>
      </c>
      <c r="AO18" s="646" t="s">
        <v>408</v>
      </c>
      <c r="AP18" s="646" t="s">
        <v>408</v>
      </c>
      <c r="AQ18" s="646" t="s">
        <v>416</v>
      </c>
      <c r="AR18" s="646" t="s">
        <v>394</v>
      </c>
      <c r="AS18" s="647">
        <f t="array" ref="AS18">SUM(COUNTIF(N18:AR18, {"◎","〇","☆","共","特","浴"}))</f>
        <v>11</v>
      </c>
      <c r="AT18" s="648"/>
      <c r="AU18" s="649"/>
      <c r="AV18" s="649"/>
      <c r="AW18" s="649"/>
      <c r="AX18" s="649"/>
      <c r="AY18" s="649"/>
      <c r="AZ18" s="649"/>
      <c r="BA18" s="649"/>
      <c r="BB18" s="652" t="s">
        <v>581</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447</v>
      </c>
      <c r="M19" s="645"/>
      <c r="N19" s="646" t="s">
        <v>408</v>
      </c>
      <c r="O19" s="646" t="s">
        <v>408</v>
      </c>
      <c r="P19" s="646" t="s">
        <v>408</v>
      </c>
      <c r="Q19" s="646" t="s">
        <v>394</v>
      </c>
      <c r="R19" s="646" t="s">
        <v>394</v>
      </c>
      <c r="S19" s="646" t="s">
        <v>394</v>
      </c>
      <c r="T19" s="646" t="s">
        <v>408</v>
      </c>
      <c r="U19" s="646" t="s">
        <v>408</v>
      </c>
      <c r="V19" s="646" t="s">
        <v>408</v>
      </c>
      <c r="W19" s="646" t="s">
        <v>394</v>
      </c>
      <c r="X19" s="646" t="s">
        <v>394</v>
      </c>
      <c r="Y19" s="646" t="s">
        <v>394</v>
      </c>
      <c r="Z19" s="646" t="s">
        <v>408</v>
      </c>
      <c r="AA19" s="646" t="s">
        <v>408</v>
      </c>
      <c r="AB19" s="646" t="s">
        <v>408</v>
      </c>
      <c r="AC19" s="646" t="s">
        <v>408</v>
      </c>
      <c r="AD19" s="646" t="s">
        <v>394</v>
      </c>
      <c r="AE19" s="646" t="s">
        <v>394</v>
      </c>
      <c r="AF19" s="646" t="s">
        <v>394</v>
      </c>
      <c r="AG19" s="646" t="s">
        <v>408</v>
      </c>
      <c r="AH19" s="646" t="s">
        <v>408</v>
      </c>
      <c r="AI19" s="646" t="s">
        <v>408</v>
      </c>
      <c r="AJ19" s="646" t="s">
        <v>408</v>
      </c>
      <c r="AK19" s="646" t="s">
        <v>394</v>
      </c>
      <c r="AL19" s="646" t="s">
        <v>394</v>
      </c>
      <c r="AM19" s="646" t="s">
        <v>394</v>
      </c>
      <c r="AN19" s="646" t="s">
        <v>408</v>
      </c>
      <c r="AO19" s="646" t="s">
        <v>408</v>
      </c>
      <c r="AP19" s="646" t="s">
        <v>408</v>
      </c>
      <c r="AQ19" s="646" t="s">
        <v>408</v>
      </c>
      <c r="AR19" s="646" t="s">
        <v>416</v>
      </c>
      <c r="AS19" s="647">
        <f t="array" ref="AS19">SUM(COUNTIF(N19:AR19, {"◎","〇","☆","共","特","浴"}))</f>
        <v>12</v>
      </c>
      <c r="AT19" s="651"/>
      <c r="AU19" s="649"/>
      <c r="AV19" s="649"/>
      <c r="AW19" s="649"/>
      <c r="AX19" s="649"/>
      <c r="AY19" s="649"/>
      <c r="AZ19" s="649"/>
      <c r="BA19" s="649"/>
      <c r="BB19" s="652" t="s">
        <v>582</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450</v>
      </c>
      <c r="L20" s="639" t="s">
        <v>447</v>
      </c>
      <c r="M20" s="645"/>
      <c r="N20" s="646" t="s">
        <v>394</v>
      </c>
      <c r="O20" s="646" t="s">
        <v>394</v>
      </c>
      <c r="P20" s="646" t="s">
        <v>408</v>
      </c>
      <c r="Q20" s="646" t="s">
        <v>408</v>
      </c>
      <c r="R20" s="646" t="s">
        <v>394</v>
      </c>
      <c r="S20" s="646" t="s">
        <v>408</v>
      </c>
      <c r="T20" s="646" t="s">
        <v>394</v>
      </c>
      <c r="U20" s="646" t="s">
        <v>394</v>
      </c>
      <c r="V20" s="646" t="s">
        <v>394</v>
      </c>
      <c r="W20" s="646" t="s">
        <v>408</v>
      </c>
      <c r="X20" s="646" t="s">
        <v>408</v>
      </c>
      <c r="Y20" s="646" t="s">
        <v>394</v>
      </c>
      <c r="Z20" s="646" t="s">
        <v>408</v>
      </c>
      <c r="AA20" s="646" t="s">
        <v>394</v>
      </c>
      <c r="AB20" s="646" t="s">
        <v>394</v>
      </c>
      <c r="AC20" s="646" t="s">
        <v>394</v>
      </c>
      <c r="AD20" s="646" t="s">
        <v>408</v>
      </c>
      <c r="AE20" s="646" t="s">
        <v>408</v>
      </c>
      <c r="AF20" s="646" t="s">
        <v>394</v>
      </c>
      <c r="AG20" s="646" t="s">
        <v>408</v>
      </c>
      <c r="AH20" s="646" t="s">
        <v>394</v>
      </c>
      <c r="AI20" s="646" t="s">
        <v>394</v>
      </c>
      <c r="AJ20" s="646" t="s">
        <v>394</v>
      </c>
      <c r="AK20" s="646" t="s">
        <v>408</v>
      </c>
      <c r="AL20" s="646" t="s">
        <v>408</v>
      </c>
      <c r="AM20" s="646" t="s">
        <v>394</v>
      </c>
      <c r="AN20" s="646" t="s">
        <v>408</v>
      </c>
      <c r="AO20" s="646" t="s">
        <v>394</v>
      </c>
      <c r="AP20" s="646" t="s">
        <v>394</v>
      </c>
      <c r="AQ20" s="646" t="s">
        <v>394</v>
      </c>
      <c r="AR20" s="646" t="s">
        <v>408</v>
      </c>
      <c r="AS20" s="647">
        <f t="array" ref="AS20">SUM(COUNTIF(N20:AR20, {"◎","〇","☆","共","特","浴"}))</f>
        <v>18</v>
      </c>
      <c r="AT20" s="651"/>
      <c r="AU20" s="649"/>
      <c r="AV20" s="649"/>
      <c r="AW20" s="649"/>
      <c r="AX20" s="649"/>
      <c r="AY20" s="649"/>
      <c r="AZ20" s="649"/>
      <c r="BA20" s="649"/>
      <c r="BB20" s="923" t="s">
        <v>583</v>
      </c>
      <c r="BC20" s="924"/>
      <c r="BD20" s="924"/>
      <c r="BE20" s="924"/>
      <c r="BF20" s="924"/>
      <c r="BG20" s="924"/>
      <c r="BH20" s="925"/>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452</v>
      </c>
      <c r="L21" s="639" t="s">
        <v>447</v>
      </c>
      <c r="M21" s="645"/>
      <c r="N21" s="646" t="s">
        <v>394</v>
      </c>
      <c r="O21" s="646" t="s">
        <v>394</v>
      </c>
      <c r="P21" s="646" t="s">
        <v>408</v>
      </c>
      <c r="Q21" s="646" t="s">
        <v>416</v>
      </c>
      <c r="R21" s="646" t="s">
        <v>408</v>
      </c>
      <c r="S21" s="646" t="s">
        <v>408</v>
      </c>
      <c r="T21" s="646" t="s">
        <v>394</v>
      </c>
      <c r="U21" s="646" t="s">
        <v>408</v>
      </c>
      <c r="V21" s="646" t="s">
        <v>394</v>
      </c>
      <c r="W21" s="646" t="s">
        <v>408</v>
      </c>
      <c r="X21" s="926" t="s">
        <v>394</v>
      </c>
      <c r="Y21" s="646" t="s">
        <v>408</v>
      </c>
      <c r="Z21" s="646" t="s">
        <v>408</v>
      </c>
      <c r="AA21" s="646" t="s">
        <v>394</v>
      </c>
      <c r="AB21" s="646" t="s">
        <v>394</v>
      </c>
      <c r="AC21" s="646" t="s">
        <v>394</v>
      </c>
      <c r="AD21" s="646" t="s">
        <v>408</v>
      </c>
      <c r="AE21" s="646" t="s">
        <v>416</v>
      </c>
      <c r="AF21" s="646" t="s">
        <v>408</v>
      </c>
      <c r="AG21" s="646" t="s">
        <v>408</v>
      </c>
      <c r="AH21" s="646" t="s">
        <v>394</v>
      </c>
      <c r="AI21" s="646" t="s">
        <v>408</v>
      </c>
      <c r="AJ21" s="646" t="s">
        <v>394</v>
      </c>
      <c r="AK21" s="646" t="s">
        <v>408</v>
      </c>
      <c r="AL21" s="646" t="s">
        <v>394</v>
      </c>
      <c r="AM21" s="646" t="s">
        <v>408</v>
      </c>
      <c r="AN21" s="646" t="s">
        <v>408</v>
      </c>
      <c r="AO21" s="646" t="s">
        <v>394</v>
      </c>
      <c r="AP21" s="646" t="s">
        <v>408</v>
      </c>
      <c r="AQ21" s="646" t="s">
        <v>394</v>
      </c>
      <c r="AR21" s="646" t="s">
        <v>408</v>
      </c>
      <c r="AS21" s="647">
        <f t="array" ref="AS21">SUM(COUNTIF(N21:AR21, {"◎","〇","☆","共","特","浴"}))</f>
        <v>13</v>
      </c>
      <c r="AT21" s="651"/>
      <c r="AU21" s="649"/>
      <c r="AV21" s="649"/>
      <c r="AW21" s="649"/>
      <c r="AX21" s="649"/>
      <c r="AY21" s="649"/>
      <c r="AZ21" s="649"/>
      <c r="BA21" s="649"/>
      <c r="BB21" s="652" t="s">
        <v>584</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454</v>
      </c>
      <c r="L22" s="639" t="s">
        <v>447</v>
      </c>
      <c r="M22" s="645"/>
      <c r="N22" s="646" t="s">
        <v>416</v>
      </c>
      <c r="O22" s="646" t="s">
        <v>408</v>
      </c>
      <c r="P22" s="646" t="s">
        <v>394</v>
      </c>
      <c r="Q22" s="646" t="s">
        <v>394</v>
      </c>
      <c r="R22" s="646" t="s">
        <v>416</v>
      </c>
      <c r="S22" s="646" t="s">
        <v>394</v>
      </c>
      <c r="T22" s="646" t="s">
        <v>394</v>
      </c>
      <c r="U22" s="646" t="s">
        <v>394</v>
      </c>
      <c r="V22" s="646" t="s">
        <v>408</v>
      </c>
      <c r="W22" s="927" t="s">
        <v>394</v>
      </c>
      <c r="X22" s="928" t="s">
        <v>408</v>
      </c>
      <c r="Y22" s="929" t="s">
        <v>416</v>
      </c>
      <c r="Z22" s="646" t="s">
        <v>416</v>
      </c>
      <c r="AA22" s="646" t="s">
        <v>408</v>
      </c>
      <c r="AB22" s="646" t="s">
        <v>394</v>
      </c>
      <c r="AC22" s="646" t="s">
        <v>408</v>
      </c>
      <c r="AD22" s="646" t="s">
        <v>408</v>
      </c>
      <c r="AE22" s="646" t="s">
        <v>408</v>
      </c>
      <c r="AF22" s="646" t="s">
        <v>408</v>
      </c>
      <c r="AG22" s="646" t="s">
        <v>394</v>
      </c>
      <c r="AH22" s="646" t="s">
        <v>408</v>
      </c>
      <c r="AI22" s="646" t="s">
        <v>408</v>
      </c>
      <c r="AJ22" s="646" t="s">
        <v>408</v>
      </c>
      <c r="AK22" s="646" t="s">
        <v>408</v>
      </c>
      <c r="AL22" s="646" t="s">
        <v>394</v>
      </c>
      <c r="AM22" s="646" t="s">
        <v>408</v>
      </c>
      <c r="AN22" s="646" t="s">
        <v>394</v>
      </c>
      <c r="AO22" s="646" t="s">
        <v>394</v>
      </c>
      <c r="AP22" s="646" t="s">
        <v>394</v>
      </c>
      <c r="AQ22" s="646" t="s">
        <v>408</v>
      </c>
      <c r="AR22" s="646" t="s">
        <v>394</v>
      </c>
      <c r="AS22" s="647">
        <f t="array" ref="AS22">SUM(COUNTIF(N22:AR22, {"◎","〇","☆","共","特","浴"}))</f>
        <v>13</v>
      </c>
      <c r="AT22" s="648"/>
      <c r="AU22" s="649"/>
      <c r="AV22" s="649"/>
      <c r="AW22" s="649"/>
      <c r="AX22" s="649"/>
      <c r="AY22" s="649"/>
      <c r="AZ22" s="649"/>
      <c r="BA22" s="649"/>
      <c r="BB22" s="652" t="s">
        <v>585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30"/>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
        <v>454</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ref="B25:B104" si="8">K25</f>
        <v/>
      </c>
      <c r="C25" s="637" t="str">
        <f t="shared" ref="C25:C60" si="9">if(B25="","", xlookup($B$7,$N$7:$AR$7,$N25:$AR25))</f>
        <v/>
      </c>
      <c r="D25" s="200"/>
      <c r="E25" s="636" t="str">
        <f t="shared" si="6"/>
        <v/>
      </c>
      <c r="F25" s="637" t="str">
        <f t="shared" ref="F25:F60" si="10">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8"/>
        <v>ガルセス</v>
      </c>
      <c r="C26" s="637" t="str">
        <f t="shared" si="9"/>
        <v>#N/A</v>
      </c>
      <c r="D26" s="200"/>
      <c r="E26" s="636" t="str">
        <f t="shared" si="6"/>
        <v>ガルセス</v>
      </c>
      <c r="F26" s="637" t="str">
        <f t="shared" si="10"/>
        <v>#N/A</v>
      </c>
      <c r="G26" s="200"/>
      <c r="H26" s="200"/>
      <c r="I26" s="172" t="b">
        <v>0</v>
      </c>
      <c r="J26" s="618"/>
      <c r="K26" s="638" t="s">
        <v>456</v>
      </c>
      <c r="L26" s="639" t="s">
        <v>574</v>
      </c>
      <c r="M26" s="645"/>
      <c r="N26" s="646" t="s">
        <v>457</v>
      </c>
      <c r="O26" s="646" t="s">
        <v>408</v>
      </c>
      <c r="P26" s="646" t="s">
        <v>408</v>
      </c>
      <c r="Q26" s="646" t="s">
        <v>457</v>
      </c>
      <c r="R26" s="646" t="s">
        <v>457</v>
      </c>
      <c r="S26" s="646" t="s">
        <v>457</v>
      </c>
      <c r="T26" s="646" t="s">
        <v>457</v>
      </c>
      <c r="U26" s="646" t="s">
        <v>457</v>
      </c>
      <c r="V26" s="646" t="s">
        <v>408</v>
      </c>
      <c r="W26" s="646" t="s">
        <v>408</v>
      </c>
      <c r="X26" s="646" t="s">
        <v>457</v>
      </c>
      <c r="Y26" s="646" t="s">
        <v>457</v>
      </c>
      <c r="Z26" s="646" t="s">
        <v>457</v>
      </c>
      <c r="AA26" s="646" t="s">
        <v>457</v>
      </c>
      <c r="AB26" s="646" t="s">
        <v>457</v>
      </c>
      <c r="AC26" s="646" t="s">
        <v>408</v>
      </c>
      <c r="AD26" s="646" t="s">
        <v>408</v>
      </c>
      <c r="AE26" s="646" t="s">
        <v>457</v>
      </c>
      <c r="AF26" s="646" t="s">
        <v>457</v>
      </c>
      <c r="AG26" s="646" t="s">
        <v>457</v>
      </c>
      <c r="AH26" s="646" t="s">
        <v>457</v>
      </c>
      <c r="AI26" s="646" t="s">
        <v>457</v>
      </c>
      <c r="AJ26" s="646" t="s">
        <v>408</v>
      </c>
      <c r="AK26" s="646" t="s">
        <v>408</v>
      </c>
      <c r="AL26" s="646" t="s">
        <v>457</v>
      </c>
      <c r="AM26" s="646" t="s">
        <v>457</v>
      </c>
      <c r="AN26" s="646" t="s">
        <v>457</v>
      </c>
      <c r="AO26" s="646" t="s">
        <v>457</v>
      </c>
      <c r="AP26" s="646" t="s">
        <v>457</v>
      </c>
      <c r="AQ26" s="646" t="s">
        <v>408</v>
      </c>
      <c r="AR26" s="646" t="s">
        <v>408</v>
      </c>
      <c r="AS26" s="647">
        <f t="array" ref="AS26">SUM(COUNTIF(N26:AR26, {"◎","〇","☆","共","特","浴"}))</f>
        <v>0</v>
      </c>
      <c r="AT26" s="648"/>
      <c r="AU26" s="649"/>
      <c r="AV26" s="649"/>
      <c r="AW26" s="649"/>
      <c r="AX26" s="649"/>
      <c r="AY26" s="649"/>
      <c r="AZ26" s="649"/>
      <c r="BA26" s="649"/>
      <c r="BB26" s="652" t="s">
        <v>586</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8"/>
        <v>グレース</v>
      </c>
      <c r="C27" s="637" t="str">
        <f t="shared" si="9"/>
        <v>#N/A</v>
      </c>
      <c r="D27" s="200"/>
      <c r="E27" s="636" t="str">
        <f t="shared" si="6"/>
        <v>グレース</v>
      </c>
      <c r="F27" s="637" t="str">
        <f t="shared" si="10"/>
        <v>#N/A</v>
      </c>
      <c r="G27" s="200"/>
      <c r="H27" s="200"/>
      <c r="I27" s="172" t="b">
        <v>0</v>
      </c>
      <c r="J27" s="618"/>
      <c r="K27" s="638" t="s">
        <v>459</v>
      </c>
      <c r="L27" s="639" t="s">
        <v>574</v>
      </c>
      <c r="M27" s="645"/>
      <c r="N27" s="646" t="s">
        <v>408</v>
      </c>
      <c r="O27" s="646" t="s">
        <v>457</v>
      </c>
      <c r="P27" s="646" t="s">
        <v>457</v>
      </c>
      <c r="Q27" s="646" t="s">
        <v>408</v>
      </c>
      <c r="R27" s="646" t="s">
        <v>408</v>
      </c>
      <c r="S27" s="646" t="s">
        <v>408</v>
      </c>
      <c r="T27" s="646" t="s">
        <v>408</v>
      </c>
      <c r="U27" s="646" t="s">
        <v>408</v>
      </c>
      <c r="V27" s="646" t="s">
        <v>457</v>
      </c>
      <c r="W27" s="646" t="s">
        <v>457</v>
      </c>
      <c r="X27" s="646" t="s">
        <v>408</v>
      </c>
      <c r="Y27" s="646" t="s">
        <v>408</v>
      </c>
      <c r="Z27" s="646" t="s">
        <v>408</v>
      </c>
      <c r="AA27" s="646" t="s">
        <v>408</v>
      </c>
      <c r="AB27" s="646" t="s">
        <v>408</v>
      </c>
      <c r="AC27" s="646" t="s">
        <v>457</v>
      </c>
      <c r="AD27" s="646" t="s">
        <v>457</v>
      </c>
      <c r="AE27" s="646" t="s">
        <v>408</v>
      </c>
      <c r="AF27" s="646" t="s">
        <v>408</v>
      </c>
      <c r="AG27" s="646" t="s">
        <v>408</v>
      </c>
      <c r="AH27" s="646" t="s">
        <v>408</v>
      </c>
      <c r="AI27" s="646" t="s">
        <v>408</v>
      </c>
      <c r="AJ27" s="646" t="s">
        <v>457</v>
      </c>
      <c r="AK27" s="646" t="s">
        <v>457</v>
      </c>
      <c r="AL27" s="646" t="s">
        <v>408</v>
      </c>
      <c r="AM27" s="646" t="s">
        <v>408</v>
      </c>
      <c r="AN27" s="646" t="s">
        <v>408</v>
      </c>
      <c r="AO27" s="646" t="s">
        <v>408</v>
      </c>
      <c r="AP27" s="646" t="s">
        <v>408</v>
      </c>
      <c r="AQ27" s="646" t="s">
        <v>457</v>
      </c>
      <c r="AR27" s="646" t="s">
        <v>457</v>
      </c>
      <c r="AS27" s="647">
        <f t="array" ref="AS27">SUM(COUNTIF(N27:AR27, {"◎","〇","☆","共","特","浴"}))</f>
        <v>0</v>
      </c>
      <c r="AT27" s="648"/>
      <c r="AU27" s="649"/>
      <c r="AV27" s="649"/>
      <c r="AW27" s="649"/>
      <c r="AX27" s="649"/>
      <c r="AY27" s="649"/>
      <c r="AZ27" s="649"/>
      <c r="BA27" s="649"/>
      <c r="BB27" s="652" t="s">
        <v>587</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8"/>
        <v/>
      </c>
      <c r="C28" s="637" t="str">
        <f t="shared" si="9"/>
        <v/>
      </c>
      <c r="D28" s="200"/>
      <c r="E28" s="636" t="str">
        <f t="shared" si="6"/>
        <v/>
      </c>
      <c r="F28" s="637" t="str">
        <f t="shared" si="10"/>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8"/>
        <v/>
      </c>
      <c r="C29" s="637" t="str">
        <f t="shared" si="9"/>
        <v/>
      </c>
      <c r="D29" s="200"/>
      <c r="E29" s="636" t="str">
        <f t="shared" si="6"/>
        <v/>
      </c>
      <c r="F29" s="637" t="str">
        <f t="shared" si="10"/>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 r="A30" s="200"/>
      <c r="B30" s="636" t="str">
        <f t="shared" si="8"/>
        <v/>
      </c>
      <c r="C30" s="637" t="str">
        <f t="shared" si="9"/>
        <v/>
      </c>
      <c r="D30" s="200"/>
      <c r="E30" s="636" t="str">
        <f t="shared" si="6"/>
        <v/>
      </c>
      <c r="F30" s="637" t="str">
        <f t="shared" si="10"/>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collapsed="1">
      <c r="A31" s="200"/>
      <c r="B31" s="636" t="str">
        <f t="shared" si="8"/>
        <v/>
      </c>
      <c r="C31" s="637" t="str">
        <f t="shared" si="9"/>
        <v/>
      </c>
      <c r="D31" s="200"/>
      <c r="E31" s="636" t="str">
        <f t="shared" si="6"/>
        <v/>
      </c>
      <c r="F31" s="637" t="str">
        <f t="shared" si="10"/>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8"/>
        <v/>
      </c>
      <c r="C32" s="637" t="str">
        <f t="shared" si="9"/>
        <v/>
      </c>
      <c r="D32" s="200"/>
      <c r="E32" s="636" t="str">
        <f t="shared" si="6"/>
        <v/>
      </c>
      <c r="F32" s="637" t="str">
        <f t="shared" si="10"/>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8"/>
        <v/>
      </c>
      <c r="C33" s="637" t="str">
        <f t="shared" si="9"/>
        <v/>
      </c>
      <c r="D33" s="200"/>
      <c r="E33" s="636" t="str">
        <f t="shared" si="6"/>
        <v/>
      </c>
      <c r="F33" s="637" t="str">
        <f t="shared" si="10"/>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8"/>
        <v/>
      </c>
      <c r="C34" s="637" t="str">
        <f t="shared" si="9"/>
        <v/>
      </c>
      <c r="D34" s="200"/>
      <c r="E34" s="636" t="str">
        <f t="shared" si="6"/>
        <v/>
      </c>
      <c r="F34" s="637" t="str">
        <f t="shared" si="10"/>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8"/>
        <v/>
      </c>
      <c r="C35" s="637" t="str">
        <f t="shared" si="9"/>
        <v/>
      </c>
      <c r="D35" s="200"/>
      <c r="E35" s="636" t="str">
        <f t="shared" si="6"/>
        <v/>
      </c>
      <c r="F35" s="637" t="str">
        <f t="shared" si="10"/>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8"/>
        <v/>
      </c>
      <c r="C36" s="637" t="str">
        <f t="shared" si="9"/>
        <v/>
      </c>
      <c r="D36" s="200"/>
      <c r="E36" s="636" t="str">
        <f t="shared" si="6"/>
        <v/>
      </c>
      <c r="F36" s="637" t="str">
        <f t="shared" si="10"/>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8"/>
        <v/>
      </c>
      <c r="C37" s="637" t="str">
        <f t="shared" si="9"/>
        <v/>
      </c>
      <c r="D37" s="200"/>
      <c r="E37" s="636" t="str">
        <f t="shared" si="6"/>
        <v/>
      </c>
      <c r="F37" s="637" t="str">
        <f t="shared" si="10"/>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8"/>
        <v/>
      </c>
      <c r="C38" s="637" t="str">
        <f t="shared" si="9"/>
        <v/>
      </c>
      <c r="D38" s="200"/>
      <c r="E38" s="636" t="str">
        <f t="shared" si="6"/>
        <v/>
      </c>
      <c r="F38" s="637" t="str">
        <f t="shared" si="10"/>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8"/>
        <v/>
      </c>
      <c r="C39" s="637" t="str">
        <f t="shared" si="9"/>
        <v/>
      </c>
      <c r="D39" s="200"/>
      <c r="E39" s="636" t="str">
        <f t="shared" si="6"/>
        <v/>
      </c>
      <c r="F39" s="637" t="str">
        <f t="shared" si="10"/>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8"/>
        <v/>
      </c>
      <c r="C40" s="637" t="str">
        <f t="shared" si="9"/>
        <v/>
      </c>
      <c r="D40" s="200"/>
      <c r="E40" s="636" t="str">
        <f t="shared" si="6"/>
        <v/>
      </c>
      <c r="F40" s="637" t="str">
        <f t="shared" si="10"/>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hidden="1" outlineLevel="1">
      <c r="A41" s="200"/>
      <c r="B41" s="636" t="str">
        <f t="shared" si="8"/>
        <v/>
      </c>
      <c r="C41" s="637" t="str">
        <f t="shared" si="9"/>
        <v/>
      </c>
      <c r="D41" s="200"/>
      <c r="E41" s="636" t="str">
        <f t="shared" si="6"/>
        <v/>
      </c>
      <c r="F41" s="637" t="str">
        <f t="shared" si="10"/>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8"/>
        <v>メイド数</v>
      </c>
      <c r="C42" s="637" t="str">
        <f t="shared" si="9"/>
        <v>#N/A</v>
      </c>
      <c r="D42" s="200"/>
      <c r="E42" s="636" t="str">
        <f t="shared" si="6"/>
        <v>メイド数</v>
      </c>
      <c r="F42" s="637" t="str">
        <f t="shared" si="10"/>
        <v>#N/A</v>
      </c>
      <c r="G42" s="200"/>
      <c r="H42" s="200"/>
      <c r="I42" s="172" t="b">
        <v>0</v>
      </c>
      <c r="J42" s="618"/>
      <c r="K42" s="638" t="s">
        <v>461</v>
      </c>
      <c r="L42" s="639" t="s">
        <v>447</v>
      </c>
      <c r="M42" s="640" t="s">
        <v>192</v>
      </c>
      <c r="N42" s="641">
        <f t="shared" ref="N42:P42" si="11">COUNTIF(N46:N104,"〇")+countif(N14:N41,"〇")</f>
        <v>9</v>
      </c>
      <c r="O42" s="641">
        <f t="shared" si="11"/>
        <v>8</v>
      </c>
      <c r="P42" s="641">
        <f t="shared" si="11"/>
        <v>9</v>
      </c>
      <c r="Q42" s="641">
        <f t="shared" ref="Q42:AR42" si="12">COUNTIF(Q46:Q104,"〇")+countif(Q$11:Q$41,"〇")</f>
        <v>7</v>
      </c>
      <c r="R42" s="641">
        <f t="shared" si="12"/>
        <v>8</v>
      </c>
      <c r="S42" s="641">
        <f t="shared" si="12"/>
        <v>9</v>
      </c>
      <c r="T42" s="641">
        <f t="shared" si="12"/>
        <v>10</v>
      </c>
      <c r="U42" s="641">
        <f t="shared" si="12"/>
        <v>8</v>
      </c>
      <c r="V42" s="641">
        <f t="shared" si="12"/>
        <v>6</v>
      </c>
      <c r="W42" s="641">
        <f t="shared" si="12"/>
        <v>9</v>
      </c>
      <c r="X42" s="641">
        <f t="shared" si="12"/>
        <v>6</v>
      </c>
      <c r="Y42" s="641">
        <f t="shared" si="12"/>
        <v>8</v>
      </c>
      <c r="Z42" s="641">
        <f t="shared" si="12"/>
        <v>10</v>
      </c>
      <c r="AA42" s="641">
        <f t="shared" si="12"/>
        <v>11</v>
      </c>
      <c r="AB42" s="641">
        <f t="shared" si="12"/>
        <v>9</v>
      </c>
      <c r="AC42" s="641">
        <f t="shared" si="12"/>
        <v>9</v>
      </c>
      <c r="AD42" s="641">
        <f t="shared" si="12"/>
        <v>9</v>
      </c>
      <c r="AE42" s="641">
        <f t="shared" si="12"/>
        <v>8</v>
      </c>
      <c r="AF42" s="641">
        <f t="shared" si="12"/>
        <v>10</v>
      </c>
      <c r="AG42" s="641">
        <f t="shared" si="12"/>
        <v>10</v>
      </c>
      <c r="AH42" s="641">
        <f t="shared" si="12"/>
        <v>11</v>
      </c>
      <c r="AI42" s="641">
        <f t="shared" si="12"/>
        <v>9</v>
      </c>
      <c r="AJ42" s="641">
        <f t="shared" si="12"/>
        <v>9</v>
      </c>
      <c r="AK42" s="641">
        <f t="shared" si="12"/>
        <v>9</v>
      </c>
      <c r="AL42" s="641">
        <f t="shared" si="12"/>
        <v>8</v>
      </c>
      <c r="AM42" s="641">
        <f t="shared" si="12"/>
        <v>8</v>
      </c>
      <c r="AN42" s="641">
        <f t="shared" si="12"/>
        <v>10</v>
      </c>
      <c r="AO42" s="641">
        <f t="shared" si="12"/>
        <v>10</v>
      </c>
      <c r="AP42" s="641">
        <f t="shared" si="12"/>
        <v>9</v>
      </c>
      <c r="AQ42" s="641">
        <f t="shared" si="12"/>
        <v>9</v>
      </c>
      <c r="AR42" s="641">
        <f t="shared" si="12"/>
        <v>9</v>
      </c>
      <c r="AS42" s="646" t="s">
        <v>135</v>
      </c>
      <c r="AT42" s="646" t="s">
        <v>135</v>
      </c>
      <c r="AU42" s="641">
        <f t="shared" ref="AU42:BA42" si="13">COUNTIF(AU46:AU104,"〇")+countif(AU$11:AU$41,"〇")</f>
        <v>0</v>
      </c>
      <c r="AV42" s="641">
        <f t="shared" si="13"/>
        <v>0</v>
      </c>
      <c r="AW42" s="641">
        <f t="shared" si="13"/>
        <v>0</v>
      </c>
      <c r="AX42" s="641">
        <f t="shared" si="13"/>
        <v>0</v>
      </c>
      <c r="AY42" s="641">
        <f t="shared" si="13"/>
        <v>0</v>
      </c>
      <c r="AZ42" s="641">
        <f t="shared" si="13"/>
        <v>0</v>
      </c>
      <c r="BA42" s="641">
        <f t="shared" si="13"/>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8"/>
        <v>パブリック数</v>
      </c>
      <c r="C43" s="637" t="str">
        <f t="shared" si="9"/>
        <v>#N/A</v>
      </c>
      <c r="D43" s="200"/>
      <c r="E43" s="636" t="str">
        <f t="shared" si="6"/>
        <v>パブリック数</v>
      </c>
      <c r="F43" s="637" t="str">
        <f t="shared" si="10"/>
        <v>#N/A</v>
      </c>
      <c r="G43" s="200"/>
      <c r="H43" s="200"/>
      <c r="I43" s="172" t="b">
        <v>0</v>
      </c>
      <c r="J43" s="618"/>
      <c r="K43" s="638" t="s">
        <v>462</v>
      </c>
      <c r="L43" s="639" t="s">
        <v>447</v>
      </c>
      <c r="M43" s="640" t="s">
        <v>397</v>
      </c>
      <c r="N43" s="646">
        <f t="shared" ref="N43:AR43" si="14">COUNTIF(N46:N104,"共")+countif(N$11:N$41,"共")</f>
        <v>0</v>
      </c>
      <c r="O43" s="646">
        <f t="shared" si="14"/>
        <v>0</v>
      </c>
      <c r="P43" s="646">
        <f t="shared" si="14"/>
        <v>0</v>
      </c>
      <c r="Q43" s="646">
        <f t="shared" si="14"/>
        <v>0</v>
      </c>
      <c r="R43" s="646">
        <f t="shared" si="14"/>
        <v>0</v>
      </c>
      <c r="S43" s="646">
        <f t="shared" si="14"/>
        <v>0</v>
      </c>
      <c r="T43" s="646">
        <f t="shared" si="14"/>
        <v>0</v>
      </c>
      <c r="U43" s="646">
        <f t="shared" si="14"/>
        <v>0</v>
      </c>
      <c r="V43" s="646">
        <f t="shared" si="14"/>
        <v>0</v>
      </c>
      <c r="W43" s="646">
        <f t="shared" si="14"/>
        <v>0</v>
      </c>
      <c r="X43" s="646">
        <f t="shared" si="14"/>
        <v>0</v>
      </c>
      <c r="Y43" s="646">
        <f t="shared" si="14"/>
        <v>0</v>
      </c>
      <c r="Z43" s="646">
        <f t="shared" si="14"/>
        <v>0</v>
      </c>
      <c r="AA43" s="646">
        <f t="shared" si="14"/>
        <v>0</v>
      </c>
      <c r="AB43" s="646">
        <f t="shared" si="14"/>
        <v>0</v>
      </c>
      <c r="AC43" s="646">
        <f t="shared" si="14"/>
        <v>0</v>
      </c>
      <c r="AD43" s="646">
        <f t="shared" si="14"/>
        <v>0</v>
      </c>
      <c r="AE43" s="646">
        <f t="shared" si="14"/>
        <v>0</v>
      </c>
      <c r="AF43" s="646">
        <f t="shared" si="14"/>
        <v>0</v>
      </c>
      <c r="AG43" s="646">
        <f t="shared" si="14"/>
        <v>0</v>
      </c>
      <c r="AH43" s="646">
        <f t="shared" si="14"/>
        <v>0</v>
      </c>
      <c r="AI43" s="646">
        <f t="shared" si="14"/>
        <v>0</v>
      </c>
      <c r="AJ43" s="646">
        <f t="shared" si="14"/>
        <v>0</v>
      </c>
      <c r="AK43" s="646">
        <f t="shared" si="14"/>
        <v>0</v>
      </c>
      <c r="AL43" s="646">
        <f t="shared" si="14"/>
        <v>0</v>
      </c>
      <c r="AM43" s="646">
        <f t="shared" si="14"/>
        <v>0</v>
      </c>
      <c r="AN43" s="646">
        <f t="shared" si="14"/>
        <v>0</v>
      </c>
      <c r="AO43" s="646">
        <f t="shared" si="14"/>
        <v>0</v>
      </c>
      <c r="AP43" s="646">
        <f t="shared" si="14"/>
        <v>0</v>
      </c>
      <c r="AQ43" s="646">
        <f t="shared" si="14"/>
        <v>0</v>
      </c>
      <c r="AR43" s="646">
        <f t="shared" si="14"/>
        <v>0</v>
      </c>
      <c r="AS43" s="646" t="s">
        <v>135</v>
      </c>
      <c r="AT43" s="646" t="s">
        <v>135</v>
      </c>
      <c r="AU43" s="646">
        <f t="shared" ref="AU43:BA43" si="15">COUNTIF(AU46:AU104,"共")+countif(AU$11:AU$41,"共")</f>
        <v>0</v>
      </c>
      <c r="AV43" s="646">
        <f t="shared" si="15"/>
        <v>0</v>
      </c>
      <c r="AW43" s="646">
        <f t="shared" si="15"/>
        <v>0</v>
      </c>
      <c r="AX43" s="646">
        <f t="shared" si="15"/>
        <v>0</v>
      </c>
      <c r="AY43" s="646">
        <f t="shared" si="15"/>
        <v>0</v>
      </c>
      <c r="AZ43" s="646">
        <f t="shared" si="15"/>
        <v>0</v>
      </c>
      <c r="BA43" s="646">
        <f t="shared" si="15"/>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8"/>
        <v>合計清掃数</v>
      </c>
      <c r="C44" s="637" t="str">
        <f t="shared" si="9"/>
        <v>#N/A</v>
      </c>
      <c r="D44" s="200"/>
      <c r="E44" s="636" t="str">
        <f t="shared" si="6"/>
        <v>合計清掃数</v>
      </c>
      <c r="F44" s="637" t="str">
        <f t="shared" si="10"/>
        <v>#N/A</v>
      </c>
      <c r="G44" s="200"/>
      <c r="H44" s="200"/>
      <c r="I44" s="655" t="b">
        <v>0</v>
      </c>
      <c r="J44" s="618"/>
      <c r="K44" s="656" t="s">
        <v>463</v>
      </c>
      <c r="L44" s="657" t="s">
        <v>445</v>
      </c>
      <c r="M44" s="658"/>
      <c r="N44" s="641">
        <f t="shared" ref="N44:AR44" si="16">sumif(N46:N104,"〇",$J46:$J104)+sumif(N11:N41,"〇",$J11:$J41)</f>
        <v>120</v>
      </c>
      <c r="O44" s="641">
        <f t="shared" si="16"/>
        <v>111</v>
      </c>
      <c r="P44" s="641">
        <f t="shared" si="16"/>
        <v>122</v>
      </c>
      <c r="Q44" s="641">
        <f t="shared" si="16"/>
        <v>94</v>
      </c>
      <c r="R44" s="641">
        <f t="shared" si="16"/>
        <v>105</v>
      </c>
      <c r="S44" s="641">
        <f t="shared" si="16"/>
        <v>120</v>
      </c>
      <c r="T44" s="641">
        <f t="shared" si="16"/>
        <v>132</v>
      </c>
      <c r="U44" s="641">
        <f t="shared" si="16"/>
        <v>113</v>
      </c>
      <c r="V44" s="641">
        <f t="shared" si="16"/>
        <v>90</v>
      </c>
      <c r="W44" s="641">
        <f t="shared" si="16"/>
        <v>122</v>
      </c>
      <c r="X44" s="641">
        <f t="shared" si="16"/>
        <v>80</v>
      </c>
      <c r="Y44" s="641">
        <f t="shared" si="16"/>
        <v>105</v>
      </c>
      <c r="Z44" s="641">
        <f t="shared" si="16"/>
        <v>125</v>
      </c>
      <c r="AA44" s="641">
        <f t="shared" si="16"/>
        <v>139</v>
      </c>
      <c r="AB44" s="641">
        <f t="shared" si="16"/>
        <v>120</v>
      </c>
      <c r="AC44" s="641">
        <f t="shared" si="16"/>
        <v>116</v>
      </c>
      <c r="AD44" s="641">
        <f t="shared" si="16"/>
        <v>108</v>
      </c>
      <c r="AE44" s="641">
        <f t="shared" si="16"/>
        <v>95</v>
      </c>
      <c r="AF44" s="641">
        <f t="shared" si="16"/>
        <v>124</v>
      </c>
      <c r="AG44" s="641">
        <f t="shared" si="16"/>
        <v>125</v>
      </c>
      <c r="AH44" s="641">
        <f t="shared" si="16"/>
        <v>139</v>
      </c>
      <c r="AI44" s="641">
        <f t="shared" si="16"/>
        <v>120</v>
      </c>
      <c r="AJ44" s="641">
        <f t="shared" si="16"/>
        <v>116</v>
      </c>
      <c r="AK44" s="641">
        <f t="shared" si="16"/>
        <v>114</v>
      </c>
      <c r="AL44" s="641">
        <f t="shared" si="16"/>
        <v>94</v>
      </c>
      <c r="AM44" s="641">
        <f t="shared" si="16"/>
        <v>105</v>
      </c>
      <c r="AN44" s="641">
        <f t="shared" si="16"/>
        <v>125</v>
      </c>
      <c r="AO44" s="641">
        <f t="shared" si="16"/>
        <v>125</v>
      </c>
      <c r="AP44" s="641">
        <f t="shared" si="16"/>
        <v>120</v>
      </c>
      <c r="AQ44" s="641">
        <f t="shared" si="16"/>
        <v>116</v>
      </c>
      <c r="AR44" s="641">
        <f t="shared" si="16"/>
        <v>104</v>
      </c>
      <c r="AS44" s="624" t="s">
        <v>135</v>
      </c>
      <c r="AT44" s="646" t="s">
        <v>135</v>
      </c>
      <c r="AU44" s="659"/>
      <c r="AV44" s="659"/>
      <c r="AW44" s="659"/>
      <c r="AX44" s="659"/>
      <c r="AY44" s="659"/>
      <c r="AZ44" s="659"/>
      <c r="BA44" s="65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8"/>
        <v>稼働予定</v>
      </c>
      <c r="C45" s="637" t="str">
        <f t="shared" si="9"/>
        <v>#N/A</v>
      </c>
      <c r="D45" s="200"/>
      <c r="E45" s="636" t="str">
        <f t="shared" si="6"/>
        <v>稼働予定</v>
      </c>
      <c r="F45" s="637" t="str">
        <f t="shared" si="10"/>
        <v>#N/A</v>
      </c>
      <c r="G45" s="200"/>
      <c r="H45" s="200"/>
      <c r="I45" s="172" t="b">
        <v>0</v>
      </c>
      <c r="J45" s="618"/>
      <c r="K45" s="638" t="s">
        <v>464</v>
      </c>
      <c r="L45" s="639" t="s">
        <v>445</v>
      </c>
      <c r="M45" s="640" t="s">
        <v>465</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8"/>
        <v>早川</v>
      </c>
      <c r="C46" s="637" t="str">
        <f t="shared" si="9"/>
        <v>#N/A</v>
      </c>
      <c r="D46" s="200"/>
      <c r="E46" s="636" t="str">
        <f t="shared" si="6"/>
        <v>早川</v>
      </c>
      <c r="F46" s="637" t="str">
        <f t="shared" si="10"/>
        <v>#N/A</v>
      </c>
      <c r="G46" s="200"/>
      <c r="H46" s="200"/>
      <c r="I46" s="172" t="b">
        <v>0</v>
      </c>
      <c r="J46" s="618">
        <v>14.0</v>
      </c>
      <c r="K46" s="638" t="s">
        <v>466</v>
      </c>
      <c r="L46" s="639" t="s">
        <v>467</v>
      </c>
      <c r="M46" s="645"/>
      <c r="N46" s="646" t="s">
        <v>408</v>
      </c>
      <c r="O46" s="646" t="s">
        <v>192</v>
      </c>
      <c r="P46" s="646" t="s">
        <v>192</v>
      </c>
      <c r="Q46" s="646" t="s">
        <v>192</v>
      </c>
      <c r="R46" s="646" t="s">
        <v>408</v>
      </c>
      <c r="S46" s="646" t="s">
        <v>192</v>
      </c>
      <c r="T46" s="646" t="s">
        <v>192</v>
      </c>
      <c r="U46" s="646" t="s">
        <v>408</v>
      </c>
      <c r="V46" s="646" t="s">
        <v>192</v>
      </c>
      <c r="W46" s="646" t="s">
        <v>192</v>
      </c>
      <c r="X46" s="646" t="s">
        <v>416</v>
      </c>
      <c r="Y46" s="646" t="s">
        <v>408</v>
      </c>
      <c r="Z46" s="646" t="s">
        <v>192</v>
      </c>
      <c r="AA46" s="646" t="s">
        <v>192</v>
      </c>
      <c r="AB46" s="646" t="s">
        <v>408</v>
      </c>
      <c r="AC46" s="646" t="s">
        <v>192</v>
      </c>
      <c r="AD46" s="646" t="s">
        <v>408</v>
      </c>
      <c r="AE46" s="646" t="s">
        <v>192</v>
      </c>
      <c r="AF46" s="646" t="s">
        <v>192</v>
      </c>
      <c r="AG46" s="646" t="s">
        <v>192</v>
      </c>
      <c r="AH46" s="646" t="s">
        <v>192</v>
      </c>
      <c r="AI46" s="646" t="s">
        <v>408</v>
      </c>
      <c r="AJ46" s="646" t="s">
        <v>192</v>
      </c>
      <c r="AK46" s="646" t="s">
        <v>192</v>
      </c>
      <c r="AL46" s="646" t="s">
        <v>192</v>
      </c>
      <c r="AM46" s="646" t="s">
        <v>408</v>
      </c>
      <c r="AN46" s="646" t="s">
        <v>192</v>
      </c>
      <c r="AO46" s="646" t="s">
        <v>192</v>
      </c>
      <c r="AP46" s="646" t="s">
        <v>408</v>
      </c>
      <c r="AQ46" s="646" t="s">
        <v>192</v>
      </c>
      <c r="AR46" s="646" t="s">
        <v>588</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8"/>
        <v>大沼</v>
      </c>
      <c r="C47" s="637" t="str">
        <f t="shared" si="9"/>
        <v>#N/A</v>
      </c>
      <c r="D47" s="200"/>
      <c r="E47" s="636" t="str">
        <f t="shared" si="6"/>
        <v>大沼</v>
      </c>
      <c r="F47" s="637" t="str">
        <f t="shared" si="10"/>
        <v>#N/A</v>
      </c>
      <c r="G47" s="200"/>
      <c r="H47" s="200"/>
      <c r="I47" s="172" t="b">
        <v>0</v>
      </c>
      <c r="J47" s="618">
        <v>14.0</v>
      </c>
      <c r="K47" s="638" t="s">
        <v>468</v>
      </c>
      <c r="L47" s="639" t="s">
        <v>467</v>
      </c>
      <c r="M47" s="645"/>
      <c r="N47" s="646" t="s">
        <v>408</v>
      </c>
      <c r="O47" s="646" t="s">
        <v>192</v>
      </c>
      <c r="P47" s="646" t="s">
        <v>192</v>
      </c>
      <c r="Q47" s="646" t="s">
        <v>192</v>
      </c>
      <c r="R47" s="646" t="s">
        <v>408</v>
      </c>
      <c r="S47" s="646" t="s">
        <v>192</v>
      </c>
      <c r="T47" s="646" t="s">
        <v>192</v>
      </c>
      <c r="U47" s="646" t="s">
        <v>408</v>
      </c>
      <c r="V47" s="646" t="s">
        <v>408</v>
      </c>
      <c r="W47" s="646" t="s">
        <v>192</v>
      </c>
      <c r="X47" s="646" t="s">
        <v>192</v>
      </c>
      <c r="Y47" s="646" t="s">
        <v>192</v>
      </c>
      <c r="Z47" s="646" t="s">
        <v>192</v>
      </c>
      <c r="AA47" s="646" t="s">
        <v>192</v>
      </c>
      <c r="AB47" s="646" t="s">
        <v>408</v>
      </c>
      <c r="AC47" s="646" t="s">
        <v>192</v>
      </c>
      <c r="AD47" s="646" t="s">
        <v>192</v>
      </c>
      <c r="AE47" s="646" t="s">
        <v>408</v>
      </c>
      <c r="AF47" s="646" t="s">
        <v>192</v>
      </c>
      <c r="AG47" s="646" t="s">
        <v>192</v>
      </c>
      <c r="AH47" s="646" t="s">
        <v>192</v>
      </c>
      <c r="AI47" s="646" t="s">
        <v>408</v>
      </c>
      <c r="AJ47" s="646" t="s">
        <v>192</v>
      </c>
      <c r="AK47" s="646" t="s">
        <v>192</v>
      </c>
      <c r="AL47" s="646" t="s">
        <v>192</v>
      </c>
      <c r="AM47" s="646" t="s">
        <v>192</v>
      </c>
      <c r="AN47" s="646" t="s">
        <v>192</v>
      </c>
      <c r="AO47" s="646" t="s">
        <v>408</v>
      </c>
      <c r="AP47" s="646" t="s">
        <v>408</v>
      </c>
      <c r="AQ47" s="646" t="s">
        <v>192</v>
      </c>
      <c r="AR47" s="646" t="s">
        <v>192</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8"/>
        <v>サンタ</v>
      </c>
      <c r="C48" s="637" t="str">
        <f t="shared" si="9"/>
        <v>#N/A</v>
      </c>
      <c r="D48" s="200"/>
      <c r="E48" s="636" t="str">
        <f t="shared" si="6"/>
        <v>サンタ</v>
      </c>
      <c r="F48" s="637" t="str">
        <f t="shared" si="10"/>
        <v>#N/A</v>
      </c>
      <c r="G48" s="200"/>
      <c r="H48" s="200"/>
      <c r="I48" s="172" t="b">
        <v>0</v>
      </c>
      <c r="J48" s="618">
        <v>18.0</v>
      </c>
      <c r="K48" s="638" t="s">
        <v>113</v>
      </c>
      <c r="L48" s="639" t="s">
        <v>467</v>
      </c>
      <c r="M48" s="645"/>
      <c r="N48" s="646" t="s">
        <v>192</v>
      </c>
      <c r="O48" s="646" t="s">
        <v>192</v>
      </c>
      <c r="P48" s="646" t="s">
        <v>192</v>
      </c>
      <c r="Q48" s="646" t="s">
        <v>408</v>
      </c>
      <c r="R48" s="646" t="s">
        <v>192</v>
      </c>
      <c r="S48" s="646" t="s">
        <v>192</v>
      </c>
      <c r="T48" s="646" t="s">
        <v>192</v>
      </c>
      <c r="U48" s="646" t="s">
        <v>192</v>
      </c>
      <c r="V48" s="646" t="s">
        <v>192</v>
      </c>
      <c r="W48" s="646" t="s">
        <v>192</v>
      </c>
      <c r="X48" s="646" t="s">
        <v>408</v>
      </c>
      <c r="Y48" s="646" t="s">
        <v>192</v>
      </c>
      <c r="Z48" s="646" t="s">
        <v>192</v>
      </c>
      <c r="AA48" s="646" t="s">
        <v>192</v>
      </c>
      <c r="AB48" s="646" t="s">
        <v>192</v>
      </c>
      <c r="AC48" s="646" t="s">
        <v>192</v>
      </c>
      <c r="AD48" s="646" t="s">
        <v>192</v>
      </c>
      <c r="AE48" s="646" t="s">
        <v>408</v>
      </c>
      <c r="AF48" s="646" t="s">
        <v>192</v>
      </c>
      <c r="AG48" s="646" t="s">
        <v>192</v>
      </c>
      <c r="AH48" s="646" t="s">
        <v>192</v>
      </c>
      <c r="AI48" s="646" t="s">
        <v>192</v>
      </c>
      <c r="AJ48" s="646" t="s">
        <v>192</v>
      </c>
      <c r="AK48" s="646" t="s">
        <v>192</v>
      </c>
      <c r="AL48" s="646" t="s">
        <v>408</v>
      </c>
      <c r="AM48" s="646" t="s">
        <v>192</v>
      </c>
      <c r="AN48" s="646" t="s">
        <v>192</v>
      </c>
      <c r="AO48" s="646" t="s">
        <v>192</v>
      </c>
      <c r="AP48" s="646" t="s">
        <v>192</v>
      </c>
      <c r="AQ48" s="646" t="s">
        <v>192</v>
      </c>
      <c r="AR48" s="646" t="s">
        <v>192</v>
      </c>
      <c r="AS48" s="647">
        <f t="array" ref="AS48">SUM(COUNTIF(N48:AR48, {"◎","〇","☆","共","特","浴"}))</f>
        <v>27</v>
      </c>
      <c r="AT48" s="648"/>
      <c r="AU48" s="649"/>
      <c r="AV48" s="649"/>
      <c r="AW48" s="649"/>
      <c r="AX48" s="649"/>
      <c r="AY48" s="649"/>
      <c r="AZ48" s="649"/>
      <c r="BA48" s="649"/>
      <c r="BB48" s="652" t="s">
        <v>589</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8"/>
        <v>タン</v>
      </c>
      <c r="C49" s="637" t="str">
        <f t="shared" si="9"/>
        <v>#N/A</v>
      </c>
      <c r="D49" s="200"/>
      <c r="E49" s="636" t="str">
        <f t="shared" si="6"/>
        <v>タン</v>
      </c>
      <c r="F49" s="637" t="str">
        <f t="shared" si="10"/>
        <v>#N/A</v>
      </c>
      <c r="G49" s="200"/>
      <c r="H49" s="200"/>
      <c r="I49" s="172" t="b">
        <v>0</v>
      </c>
      <c r="J49" s="618">
        <v>14.0</v>
      </c>
      <c r="K49" s="638" t="s">
        <v>471</v>
      </c>
      <c r="L49" s="639" t="s">
        <v>467</v>
      </c>
      <c r="M49" s="645"/>
      <c r="N49" s="646" t="s">
        <v>192</v>
      </c>
      <c r="O49" s="646" t="s">
        <v>192</v>
      </c>
      <c r="P49" s="646" t="s">
        <v>192</v>
      </c>
      <c r="Q49" s="646" t="s">
        <v>192</v>
      </c>
      <c r="R49" s="646" t="s">
        <v>192</v>
      </c>
      <c r="S49" s="646" t="s">
        <v>408</v>
      </c>
      <c r="T49" s="646" t="s">
        <v>192</v>
      </c>
      <c r="U49" s="646" t="s">
        <v>192</v>
      </c>
      <c r="V49" s="646" t="s">
        <v>192</v>
      </c>
      <c r="W49" s="646" t="s">
        <v>192</v>
      </c>
      <c r="X49" s="646" t="s">
        <v>192</v>
      </c>
      <c r="Y49" s="646" t="s">
        <v>408</v>
      </c>
      <c r="Z49" s="646" t="s">
        <v>408</v>
      </c>
      <c r="AA49" s="646" t="s">
        <v>192</v>
      </c>
      <c r="AB49" s="646" t="s">
        <v>192</v>
      </c>
      <c r="AC49" s="646" t="s">
        <v>192</v>
      </c>
      <c r="AD49" s="646" t="s">
        <v>192</v>
      </c>
      <c r="AE49" s="646" t="s">
        <v>192</v>
      </c>
      <c r="AF49" s="646" t="s">
        <v>408</v>
      </c>
      <c r="AG49" s="646" t="s">
        <v>408</v>
      </c>
      <c r="AH49" s="646" t="s">
        <v>192</v>
      </c>
      <c r="AI49" s="646" t="s">
        <v>192</v>
      </c>
      <c r="AJ49" s="646" t="s">
        <v>192</v>
      </c>
      <c r="AK49" s="646" t="s">
        <v>192</v>
      </c>
      <c r="AL49" s="646" t="s">
        <v>192</v>
      </c>
      <c r="AM49" s="646" t="s">
        <v>408</v>
      </c>
      <c r="AN49" s="646" t="s">
        <v>408</v>
      </c>
      <c r="AO49" s="646" t="s">
        <v>192</v>
      </c>
      <c r="AP49" s="646" t="s">
        <v>192</v>
      </c>
      <c r="AQ49" s="646" t="s">
        <v>192</v>
      </c>
      <c r="AR49" s="646" t="s">
        <v>192</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8"/>
        <v>タラ</v>
      </c>
      <c r="C50" s="637" t="str">
        <f t="shared" si="9"/>
        <v>#N/A</v>
      </c>
      <c r="D50" s="200"/>
      <c r="E50" s="636" t="str">
        <f t="shared" si="6"/>
        <v>タラ</v>
      </c>
      <c r="F50" s="637" t="str">
        <f t="shared" si="10"/>
        <v>#N/A</v>
      </c>
      <c r="G50" s="200"/>
      <c r="H50" s="200"/>
      <c r="I50" s="172" t="b">
        <v>0</v>
      </c>
      <c r="J50" s="618">
        <v>17.0</v>
      </c>
      <c r="K50" s="638" t="s">
        <v>470</v>
      </c>
      <c r="L50" s="639" t="s">
        <v>467</v>
      </c>
      <c r="M50" s="645"/>
      <c r="N50" s="646" t="s">
        <v>192</v>
      </c>
      <c r="O50" s="646" t="s">
        <v>408</v>
      </c>
      <c r="P50" s="646" t="s">
        <v>408</v>
      </c>
      <c r="Q50" s="646" t="s">
        <v>192</v>
      </c>
      <c r="R50" s="646" t="s">
        <v>192</v>
      </c>
      <c r="S50" s="646" t="s">
        <v>192</v>
      </c>
      <c r="T50" s="646" t="s">
        <v>192</v>
      </c>
      <c r="U50" s="646" t="s">
        <v>192</v>
      </c>
      <c r="V50" s="646" t="s">
        <v>408</v>
      </c>
      <c r="W50" s="646" t="s">
        <v>408</v>
      </c>
      <c r="X50" s="646" t="s">
        <v>192</v>
      </c>
      <c r="Y50" s="646" t="s">
        <v>192</v>
      </c>
      <c r="Z50" s="646" t="s">
        <v>192</v>
      </c>
      <c r="AA50" s="646" t="s">
        <v>192</v>
      </c>
      <c r="AB50" s="646" t="s">
        <v>192</v>
      </c>
      <c r="AC50" s="646" t="s">
        <v>408</v>
      </c>
      <c r="AD50" s="646" t="s">
        <v>408</v>
      </c>
      <c r="AE50" s="646" t="s">
        <v>192</v>
      </c>
      <c r="AF50" s="646" t="s">
        <v>192</v>
      </c>
      <c r="AG50" s="646" t="s">
        <v>192</v>
      </c>
      <c r="AH50" s="646" t="s">
        <v>192</v>
      </c>
      <c r="AI50" s="646" t="s">
        <v>192</v>
      </c>
      <c r="AJ50" s="646" t="s">
        <v>408</v>
      </c>
      <c r="AK50" s="646" t="s">
        <v>408</v>
      </c>
      <c r="AL50" s="646" t="s">
        <v>192</v>
      </c>
      <c r="AM50" s="646" t="s">
        <v>192</v>
      </c>
      <c r="AN50" s="646" t="s">
        <v>192</v>
      </c>
      <c r="AO50" s="646" t="s">
        <v>192</v>
      </c>
      <c r="AP50" s="646" t="s">
        <v>192</v>
      </c>
      <c r="AQ50" s="646" t="s">
        <v>408</v>
      </c>
      <c r="AR50" s="646" t="s">
        <v>408</v>
      </c>
      <c r="AS50" s="647">
        <f t="array" ref="AS50">SUM(COUNTIF(N50:AR50, {"◎","〇","☆","共","特","浴"}))</f>
        <v>21</v>
      </c>
      <c r="AT50" s="651"/>
      <c r="AU50" s="649"/>
      <c r="AV50" s="649"/>
      <c r="AW50" s="649"/>
      <c r="AX50" s="649"/>
      <c r="AY50" s="649"/>
      <c r="AZ50" s="649"/>
      <c r="BA50" s="649"/>
      <c r="BB50" s="652" t="s">
        <v>590</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8"/>
        <v>スレスタ</v>
      </c>
      <c r="C51" s="637" t="str">
        <f t="shared" si="9"/>
        <v>#N/A</v>
      </c>
      <c r="D51" s="200"/>
      <c r="E51" s="636" t="str">
        <f t="shared" si="6"/>
        <v>スレスタ</v>
      </c>
      <c r="F51" s="637" t="str">
        <f t="shared" si="10"/>
        <v>#N/A</v>
      </c>
      <c r="G51" s="200"/>
      <c r="H51" s="200"/>
      <c r="I51" s="172" t="b">
        <v>0</v>
      </c>
      <c r="J51" s="618">
        <v>15.0</v>
      </c>
      <c r="K51" s="638" t="s">
        <v>476</v>
      </c>
      <c r="L51" s="639" t="s">
        <v>467</v>
      </c>
      <c r="M51" s="645"/>
      <c r="N51" s="646" t="s">
        <v>408</v>
      </c>
      <c r="O51" s="646" t="s">
        <v>192</v>
      </c>
      <c r="P51" s="646" t="s">
        <v>192</v>
      </c>
      <c r="Q51" s="646" t="s">
        <v>192</v>
      </c>
      <c r="R51" s="646" t="s">
        <v>192</v>
      </c>
      <c r="S51" s="646" t="s">
        <v>408</v>
      </c>
      <c r="T51" s="646" t="s">
        <v>408</v>
      </c>
      <c r="U51" s="646" t="s">
        <v>408</v>
      </c>
      <c r="V51" s="646" t="s">
        <v>192</v>
      </c>
      <c r="W51" s="646" t="s">
        <v>192</v>
      </c>
      <c r="X51" s="646" t="s">
        <v>192</v>
      </c>
      <c r="Y51" s="646" t="s">
        <v>192</v>
      </c>
      <c r="Z51" s="646" t="s">
        <v>408</v>
      </c>
      <c r="AA51" s="646" t="s">
        <v>408</v>
      </c>
      <c r="AB51" s="646" t="s">
        <v>408</v>
      </c>
      <c r="AC51" s="646" t="s">
        <v>192</v>
      </c>
      <c r="AD51" s="646" t="s">
        <v>192</v>
      </c>
      <c r="AE51" s="646" t="s">
        <v>192</v>
      </c>
      <c r="AF51" s="646" t="s">
        <v>192</v>
      </c>
      <c r="AG51" s="646" t="s">
        <v>408</v>
      </c>
      <c r="AH51" s="646" t="s">
        <v>408</v>
      </c>
      <c r="AI51" s="646" t="s">
        <v>408</v>
      </c>
      <c r="AJ51" s="646" t="s">
        <v>192</v>
      </c>
      <c r="AK51" s="646" t="s">
        <v>192</v>
      </c>
      <c r="AL51" s="646" t="s">
        <v>192</v>
      </c>
      <c r="AM51" s="646" t="s">
        <v>192</v>
      </c>
      <c r="AN51" s="646" t="s">
        <v>408</v>
      </c>
      <c r="AO51" s="646" t="s">
        <v>408</v>
      </c>
      <c r="AP51" s="646" t="s">
        <v>408</v>
      </c>
      <c r="AQ51" s="646" t="s">
        <v>192</v>
      </c>
      <c r="AR51" s="646" t="s">
        <v>192</v>
      </c>
      <c r="AS51" s="647">
        <f t="array" ref="AS51">SUM(COUNTIF(N51:AR51, {"◎","〇","☆","共","特","浴"}))</f>
        <v>18</v>
      </c>
      <c r="AT51" s="651"/>
      <c r="AU51" s="649"/>
      <c r="AV51" s="649"/>
      <c r="AW51" s="649"/>
      <c r="AX51" s="649"/>
      <c r="AY51" s="649"/>
      <c r="AZ51" s="649"/>
      <c r="BA51" s="649"/>
      <c r="BB51" s="652" t="s">
        <v>591</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8"/>
        <v>アリ</v>
      </c>
      <c r="C52" s="637" t="str">
        <f t="shared" si="9"/>
        <v>#N/A</v>
      </c>
      <c r="D52" s="200"/>
      <c r="E52" s="636" t="str">
        <f t="shared" si="6"/>
        <v>アリ</v>
      </c>
      <c r="F52" s="637" t="str">
        <f t="shared" si="10"/>
        <v>#N/A</v>
      </c>
      <c r="G52" s="200"/>
      <c r="H52" s="200"/>
      <c r="I52" s="172" t="b">
        <v>0</v>
      </c>
      <c r="J52" s="618">
        <v>10.0</v>
      </c>
      <c r="K52" s="638" t="s">
        <v>483</v>
      </c>
      <c r="L52" s="639" t="s">
        <v>474</v>
      </c>
      <c r="M52" s="640"/>
      <c r="N52" s="646" t="s">
        <v>192</v>
      </c>
      <c r="O52" s="646" t="s">
        <v>408</v>
      </c>
      <c r="P52" s="646" t="s">
        <v>408</v>
      </c>
      <c r="Q52" s="646" t="s">
        <v>408</v>
      </c>
      <c r="R52" s="646" t="s">
        <v>408</v>
      </c>
      <c r="S52" s="646" t="s">
        <v>408</v>
      </c>
      <c r="T52" s="646" t="s">
        <v>408</v>
      </c>
      <c r="U52" s="646" t="s">
        <v>192</v>
      </c>
      <c r="V52" s="646" t="s">
        <v>408</v>
      </c>
      <c r="W52" s="646" t="s">
        <v>408</v>
      </c>
      <c r="X52" s="646" t="s">
        <v>408</v>
      </c>
      <c r="Y52" s="646" t="s">
        <v>408</v>
      </c>
      <c r="Z52" s="646" t="s">
        <v>408</v>
      </c>
      <c r="AA52" s="646" t="s">
        <v>408</v>
      </c>
      <c r="AB52" s="646" t="s">
        <v>192</v>
      </c>
      <c r="AC52" s="646" t="s">
        <v>408</v>
      </c>
      <c r="AD52" s="646" t="s">
        <v>408</v>
      </c>
      <c r="AE52" s="646" t="s">
        <v>408</v>
      </c>
      <c r="AF52" s="646" t="s">
        <v>408</v>
      </c>
      <c r="AG52" s="646" t="s">
        <v>408</v>
      </c>
      <c r="AH52" s="646" t="s">
        <v>408</v>
      </c>
      <c r="AI52" s="646" t="s">
        <v>192</v>
      </c>
      <c r="AJ52" s="646" t="s">
        <v>408</v>
      </c>
      <c r="AK52" s="646" t="s">
        <v>408</v>
      </c>
      <c r="AL52" s="646" t="s">
        <v>408</v>
      </c>
      <c r="AM52" s="646" t="s">
        <v>408</v>
      </c>
      <c r="AN52" s="646" t="s">
        <v>408</v>
      </c>
      <c r="AO52" s="646" t="s">
        <v>408</v>
      </c>
      <c r="AP52" s="646" t="s">
        <v>192</v>
      </c>
      <c r="AQ52" s="646" t="s">
        <v>408</v>
      </c>
      <c r="AR52" s="646" t="s">
        <v>192</v>
      </c>
      <c r="AS52" s="647">
        <f t="array" ref="AS52">SUM(COUNTIF(N52:AR52, {"◎","〇","☆","共","特","浴"}))</f>
        <v>6</v>
      </c>
      <c r="AT52" s="648"/>
      <c r="AU52" s="649"/>
      <c r="AV52" s="649"/>
      <c r="AW52" s="649"/>
      <c r="AX52" s="649"/>
      <c r="AY52" s="649"/>
      <c r="AZ52" s="649"/>
      <c r="BA52" s="649"/>
      <c r="BB52" s="652"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8"/>
        <v>バンダリ</v>
      </c>
      <c r="C53" s="637" t="str">
        <f t="shared" si="9"/>
        <v>#N/A</v>
      </c>
      <c r="D53" s="200"/>
      <c r="E53" s="636" t="str">
        <f t="shared" si="6"/>
        <v>バンダリ</v>
      </c>
      <c r="F53" s="637" t="str">
        <f t="shared" si="10"/>
        <v>#N/A</v>
      </c>
      <c r="G53" s="200"/>
      <c r="H53" s="200"/>
      <c r="I53" s="172" t="b">
        <v>0</v>
      </c>
      <c r="J53" s="618">
        <v>14.0</v>
      </c>
      <c r="K53" s="638" t="s">
        <v>478</v>
      </c>
      <c r="L53" s="639" t="s">
        <v>467</v>
      </c>
      <c r="M53" s="640"/>
      <c r="N53" s="646" t="s">
        <v>192</v>
      </c>
      <c r="O53" s="646" t="s">
        <v>192</v>
      </c>
      <c r="P53" s="646" t="s">
        <v>192</v>
      </c>
      <c r="Q53" s="646" t="s">
        <v>408</v>
      </c>
      <c r="R53" s="646" t="s">
        <v>408</v>
      </c>
      <c r="S53" s="646" t="s">
        <v>408</v>
      </c>
      <c r="T53" s="646" t="s">
        <v>408</v>
      </c>
      <c r="U53" s="646" t="s">
        <v>192</v>
      </c>
      <c r="V53" s="646" t="s">
        <v>192</v>
      </c>
      <c r="W53" s="646" t="s">
        <v>192</v>
      </c>
      <c r="X53" s="646" t="s">
        <v>408</v>
      </c>
      <c r="Y53" s="646" t="s">
        <v>408</v>
      </c>
      <c r="Z53" s="646" t="s">
        <v>408</v>
      </c>
      <c r="AA53" s="646" t="s">
        <v>408</v>
      </c>
      <c r="AB53" s="646" t="s">
        <v>192</v>
      </c>
      <c r="AC53" s="646" t="s">
        <v>192</v>
      </c>
      <c r="AD53" s="646" t="s">
        <v>192</v>
      </c>
      <c r="AE53" s="646" t="s">
        <v>408</v>
      </c>
      <c r="AF53" s="646" t="s">
        <v>408</v>
      </c>
      <c r="AG53" s="646" t="s">
        <v>408</v>
      </c>
      <c r="AH53" s="646" t="s">
        <v>408</v>
      </c>
      <c r="AI53" s="646" t="s">
        <v>192</v>
      </c>
      <c r="AJ53" s="646" t="s">
        <v>192</v>
      </c>
      <c r="AK53" s="646" t="s">
        <v>192</v>
      </c>
      <c r="AL53" s="646" t="s">
        <v>408</v>
      </c>
      <c r="AM53" s="646" t="s">
        <v>408</v>
      </c>
      <c r="AN53" s="646" t="s">
        <v>408</v>
      </c>
      <c r="AO53" s="646" t="s">
        <v>408</v>
      </c>
      <c r="AP53" s="646" t="s">
        <v>192</v>
      </c>
      <c r="AQ53" s="646" t="s">
        <v>192</v>
      </c>
      <c r="AS53" s="647">
        <f t="array" ref="AS53">SUM(COUNTIF(N53:AR53, {"◎","〇","☆","共","特","浴"}))</f>
        <v>14</v>
      </c>
      <c r="AT53" s="648"/>
      <c r="AU53" s="649"/>
      <c r="AV53" s="649"/>
      <c r="AW53" s="649"/>
      <c r="AX53" s="649"/>
      <c r="AY53" s="649"/>
      <c r="AZ53" s="649"/>
      <c r="BA53" s="649"/>
      <c r="BB53" s="652" t="s">
        <v>592</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8"/>
        <v>ランジュ</v>
      </c>
      <c r="C54" s="637" t="str">
        <f t="shared" si="9"/>
        <v>#N/A</v>
      </c>
      <c r="D54" s="200"/>
      <c r="E54" s="636" t="str">
        <f t="shared" si="6"/>
        <v>ランジュ</v>
      </c>
      <c r="F54" s="637" t="str">
        <f t="shared" si="10"/>
        <v>#N/A</v>
      </c>
      <c r="G54" s="200"/>
      <c r="H54" s="200"/>
      <c r="I54" s="172" t="b">
        <v>0</v>
      </c>
      <c r="J54" s="618">
        <v>10.0</v>
      </c>
      <c r="K54" s="638" t="s">
        <v>165</v>
      </c>
      <c r="L54" s="639" t="s">
        <v>474</v>
      </c>
      <c r="M54" s="645"/>
      <c r="N54" s="646" t="s">
        <v>192</v>
      </c>
      <c r="O54" s="646" t="s">
        <v>408</v>
      </c>
      <c r="P54" s="646" t="s">
        <v>192</v>
      </c>
      <c r="Q54" s="646" t="s">
        <v>408</v>
      </c>
      <c r="R54" s="646" t="s">
        <v>408</v>
      </c>
      <c r="S54" s="646" t="s">
        <v>408</v>
      </c>
      <c r="T54" s="646" t="s">
        <v>192</v>
      </c>
      <c r="U54" s="646" t="s">
        <v>192</v>
      </c>
      <c r="V54" s="646" t="s">
        <v>408</v>
      </c>
      <c r="W54" s="646" t="s">
        <v>192</v>
      </c>
      <c r="X54" s="646" t="s">
        <v>408</v>
      </c>
      <c r="Y54" s="646" t="s">
        <v>408</v>
      </c>
      <c r="Z54" s="646" t="s">
        <v>408</v>
      </c>
      <c r="AA54" s="646" t="s">
        <v>192</v>
      </c>
      <c r="AB54" s="646" t="s">
        <v>192</v>
      </c>
      <c r="AC54" s="646" t="s">
        <v>408</v>
      </c>
      <c r="AD54" s="646" t="s">
        <v>192</v>
      </c>
      <c r="AE54" s="646" t="s">
        <v>192</v>
      </c>
      <c r="AF54" s="646" t="s">
        <v>408</v>
      </c>
      <c r="AG54" s="646" t="s">
        <v>408</v>
      </c>
      <c r="AH54" s="646" t="s">
        <v>192</v>
      </c>
      <c r="AI54" s="646" t="s">
        <v>192</v>
      </c>
      <c r="AJ54" s="646" t="s">
        <v>408</v>
      </c>
      <c r="AK54" s="646" t="s">
        <v>192</v>
      </c>
      <c r="AL54" s="646" t="s">
        <v>408</v>
      </c>
      <c r="AM54" s="646" t="s">
        <v>408</v>
      </c>
      <c r="AN54" s="646" t="s">
        <v>408</v>
      </c>
      <c r="AO54" s="646" t="s">
        <v>192</v>
      </c>
      <c r="AP54" s="646" t="s">
        <v>192</v>
      </c>
      <c r="AQ54" s="646" t="s">
        <v>408</v>
      </c>
      <c r="AR54" s="646" t="s">
        <v>192</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8"/>
        <v>ウィン</v>
      </c>
      <c r="C55" s="637" t="str">
        <f t="shared" si="9"/>
        <v>#N/A</v>
      </c>
      <c r="D55" s="200"/>
      <c r="E55" s="636" t="str">
        <f t="shared" si="6"/>
        <v>ウィン</v>
      </c>
      <c r="F55" s="637" t="str">
        <f t="shared" si="10"/>
        <v>#N/A</v>
      </c>
      <c r="G55" s="200"/>
      <c r="H55" s="200"/>
      <c r="I55" s="172" t="b">
        <v>0</v>
      </c>
      <c r="J55" s="618">
        <v>12.0</v>
      </c>
      <c r="K55" s="638" t="s">
        <v>473</v>
      </c>
      <c r="L55" s="639" t="s">
        <v>474</v>
      </c>
      <c r="M55" s="645"/>
      <c r="N55" s="646" t="s">
        <v>408</v>
      </c>
      <c r="O55" s="646" t="s">
        <v>408</v>
      </c>
      <c r="P55" s="646" t="s">
        <v>408</v>
      </c>
      <c r="Q55" s="646" t="s">
        <v>192</v>
      </c>
      <c r="R55" s="646" t="s">
        <v>192</v>
      </c>
      <c r="S55" s="646" t="s">
        <v>192</v>
      </c>
      <c r="T55" s="646" t="s">
        <v>408</v>
      </c>
      <c r="U55" s="646" t="s">
        <v>408</v>
      </c>
      <c r="V55" s="646" t="s">
        <v>408</v>
      </c>
      <c r="W55" s="646" t="s">
        <v>408</v>
      </c>
      <c r="X55" s="646" t="s">
        <v>192</v>
      </c>
      <c r="Y55" s="646" t="s">
        <v>192</v>
      </c>
      <c r="Z55" s="646" t="s">
        <v>192</v>
      </c>
      <c r="AA55" s="646" t="s">
        <v>408</v>
      </c>
      <c r="AB55" s="646" t="s">
        <v>408</v>
      </c>
      <c r="AC55" s="646" t="s">
        <v>408</v>
      </c>
      <c r="AD55" s="646" t="s">
        <v>408</v>
      </c>
      <c r="AE55" s="646" t="s">
        <v>192</v>
      </c>
      <c r="AF55" s="646" t="s">
        <v>192</v>
      </c>
      <c r="AG55" s="646" t="s">
        <v>192</v>
      </c>
      <c r="AH55" s="646" t="s">
        <v>408</v>
      </c>
      <c r="AI55" s="646" t="s">
        <v>408</v>
      </c>
      <c r="AJ55" s="646" t="s">
        <v>408</v>
      </c>
      <c r="AK55" s="646" t="s">
        <v>408</v>
      </c>
      <c r="AL55" s="646" t="s">
        <v>192</v>
      </c>
      <c r="AM55" s="646" t="s">
        <v>192</v>
      </c>
      <c r="AN55" s="646" t="s">
        <v>192</v>
      </c>
      <c r="AO55" s="646" t="s">
        <v>408</v>
      </c>
      <c r="AP55" s="646" t="s">
        <v>408</v>
      </c>
      <c r="AQ55" s="646" t="s">
        <v>408</v>
      </c>
      <c r="AR55" s="646" t="s">
        <v>408</v>
      </c>
      <c r="AS55" s="647">
        <f t="array" ref="AS55">SUM(COUNTIF(N55:AR55, {"◎","〇","☆","共","特","浴"}))</f>
        <v>12</v>
      </c>
      <c r="AT55" s="651"/>
      <c r="AU55" s="649"/>
      <c r="AV55" s="649"/>
      <c r="AW55" s="649"/>
      <c r="AX55" s="649"/>
      <c r="AY55" s="649"/>
      <c r="AZ55" s="649"/>
      <c r="BA55" s="649"/>
      <c r="BB55" s="652" t="s">
        <v>593</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8"/>
        <v>ギミレ</v>
      </c>
      <c r="C56" s="637" t="str">
        <f t="shared" si="9"/>
        <v>#N/A</v>
      </c>
      <c r="D56" s="200"/>
      <c r="E56" s="636" t="str">
        <f t="shared" si="6"/>
        <v>ギミレ</v>
      </c>
      <c r="F56" s="637" t="str">
        <f t="shared" si="10"/>
        <v>#N/A</v>
      </c>
      <c r="G56" s="200"/>
      <c r="H56" s="200"/>
      <c r="I56" s="172" t="b">
        <v>0</v>
      </c>
      <c r="J56" s="618">
        <v>8.0</v>
      </c>
      <c r="K56" s="638" t="s">
        <v>159</v>
      </c>
      <c r="L56" s="639" t="s">
        <v>474</v>
      </c>
      <c r="M56" s="645"/>
      <c r="N56" s="646" t="s">
        <v>408</v>
      </c>
      <c r="O56" s="646" t="s">
        <v>408</v>
      </c>
      <c r="P56" s="646" t="s">
        <v>192</v>
      </c>
      <c r="Q56" s="646" t="s">
        <v>192</v>
      </c>
      <c r="R56" s="646" t="s">
        <v>408</v>
      </c>
      <c r="S56" s="646" t="s">
        <v>192</v>
      </c>
      <c r="T56" s="646" t="s">
        <v>192</v>
      </c>
      <c r="U56" s="646" t="s">
        <v>408</v>
      </c>
      <c r="V56" s="646" t="s">
        <v>408</v>
      </c>
      <c r="W56" s="646" t="s">
        <v>192</v>
      </c>
      <c r="X56" s="646" t="s">
        <v>192</v>
      </c>
      <c r="Y56" s="646" t="s">
        <v>408</v>
      </c>
      <c r="Z56" s="646" t="s">
        <v>192</v>
      </c>
      <c r="AA56" s="646" t="s">
        <v>192</v>
      </c>
      <c r="AB56" s="646" t="s">
        <v>408</v>
      </c>
      <c r="AC56" s="646" t="s">
        <v>408</v>
      </c>
      <c r="AD56" s="646" t="s">
        <v>192</v>
      </c>
      <c r="AE56" s="646" t="s">
        <v>192</v>
      </c>
      <c r="AF56" s="646" t="s">
        <v>408</v>
      </c>
      <c r="AG56" s="646" t="s">
        <v>192</v>
      </c>
      <c r="AH56" s="646" t="s">
        <v>192</v>
      </c>
      <c r="AI56" s="646" t="s">
        <v>408</v>
      </c>
      <c r="AJ56" s="646" t="s">
        <v>408</v>
      </c>
      <c r="AK56" s="646"/>
      <c r="AL56" s="646" t="s">
        <v>192</v>
      </c>
      <c r="AM56" s="646" t="s">
        <v>408</v>
      </c>
      <c r="AN56" s="646" t="s">
        <v>192</v>
      </c>
      <c r="AO56" s="646" t="s">
        <v>192</v>
      </c>
      <c r="AP56" s="646" t="s">
        <v>408</v>
      </c>
      <c r="AQ56" s="646" t="s">
        <v>408</v>
      </c>
      <c r="AR56" s="646" t="s">
        <v>192</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8"/>
        <v>GT</v>
      </c>
      <c r="C57" s="637" t="str">
        <f t="shared" si="9"/>
        <v>#N/A</v>
      </c>
      <c r="D57" s="200"/>
      <c r="E57" s="636" t="str">
        <f t="shared" si="6"/>
        <v>GT</v>
      </c>
      <c r="F57" s="637" t="str">
        <f t="shared" si="10"/>
        <v>#N/A</v>
      </c>
      <c r="G57" s="200"/>
      <c r="H57" s="200"/>
      <c r="I57" s="172" t="b">
        <v>0</v>
      </c>
      <c r="J57" s="618">
        <v>15.0</v>
      </c>
      <c r="K57" s="638" t="s">
        <v>480</v>
      </c>
      <c r="L57" s="639" t="s">
        <v>474</v>
      </c>
      <c r="M57" s="645"/>
      <c r="N57" s="646" t="s">
        <v>192</v>
      </c>
      <c r="O57" s="646" t="s">
        <v>408</v>
      </c>
      <c r="P57" s="646" t="s">
        <v>192</v>
      </c>
      <c r="Q57" s="646" t="s">
        <v>408</v>
      </c>
      <c r="R57" s="646" t="s">
        <v>192</v>
      </c>
      <c r="S57" s="646" t="s">
        <v>192</v>
      </c>
      <c r="T57" s="646" t="s">
        <v>192</v>
      </c>
      <c r="U57" s="646" t="s">
        <v>192</v>
      </c>
      <c r="V57" s="646" t="s">
        <v>408</v>
      </c>
      <c r="W57" s="646" t="s">
        <v>192</v>
      </c>
      <c r="X57" s="646" t="s">
        <v>408</v>
      </c>
      <c r="Y57" s="646" t="s">
        <v>192</v>
      </c>
      <c r="Z57" s="646" t="s">
        <v>192</v>
      </c>
      <c r="AA57" s="646" t="s">
        <v>192</v>
      </c>
      <c r="AB57" s="646" t="s">
        <v>192</v>
      </c>
      <c r="AC57" s="646" t="s">
        <v>408</v>
      </c>
      <c r="AD57" s="646" t="s">
        <v>192</v>
      </c>
      <c r="AE57" s="646" t="s">
        <v>408</v>
      </c>
      <c r="AF57" s="646" t="s">
        <v>192</v>
      </c>
      <c r="AG57" s="646" t="s">
        <v>192</v>
      </c>
      <c r="AH57" s="646" t="s">
        <v>192</v>
      </c>
      <c r="AI57" s="646" t="s">
        <v>192</v>
      </c>
      <c r="AJ57" s="646" t="s">
        <v>408</v>
      </c>
      <c r="AK57" s="646" t="s">
        <v>192</v>
      </c>
      <c r="AL57" s="646" t="s">
        <v>408</v>
      </c>
      <c r="AM57" s="646" t="s">
        <v>192</v>
      </c>
      <c r="AN57" s="646" t="s">
        <v>192</v>
      </c>
      <c r="AO57" s="646" t="s">
        <v>192</v>
      </c>
      <c r="AP57" s="646" t="s">
        <v>192</v>
      </c>
      <c r="AQ57" s="646" t="s">
        <v>408</v>
      </c>
      <c r="AR57" s="646" t="s">
        <v>192</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8"/>
        <v>アラム</v>
      </c>
      <c r="C58" s="637" t="str">
        <f t="shared" si="9"/>
        <v>#N/A</v>
      </c>
      <c r="D58" s="200"/>
      <c r="E58" s="636" t="str">
        <f t="shared" si="6"/>
        <v>アラム</v>
      </c>
      <c r="F58" s="637" t="str">
        <f t="shared" si="10"/>
        <v>#N/A</v>
      </c>
      <c r="G58" s="200"/>
      <c r="H58" s="200"/>
      <c r="I58" s="172" t="b">
        <v>0</v>
      </c>
      <c r="J58" s="618">
        <v>7.0</v>
      </c>
      <c r="K58" s="638" t="s">
        <v>112</v>
      </c>
      <c r="L58" s="639" t="s">
        <v>474</v>
      </c>
      <c r="M58" s="645"/>
      <c r="N58" s="646" t="s">
        <v>192</v>
      </c>
      <c r="O58" s="646" t="s">
        <v>192</v>
      </c>
      <c r="P58" s="646" t="s">
        <v>408</v>
      </c>
      <c r="Q58" s="646" t="s">
        <v>408</v>
      </c>
      <c r="R58" s="646" t="s">
        <v>192</v>
      </c>
      <c r="S58" s="646" t="s">
        <v>408</v>
      </c>
      <c r="T58" s="646" t="s">
        <v>418</v>
      </c>
      <c r="U58" s="646" t="s">
        <v>418</v>
      </c>
      <c r="V58" s="646" t="s">
        <v>418</v>
      </c>
      <c r="W58" s="646" t="s">
        <v>408</v>
      </c>
      <c r="X58" s="646" t="s">
        <v>408</v>
      </c>
      <c r="Y58" s="646" t="s">
        <v>192</v>
      </c>
      <c r="Z58" s="646" t="s">
        <v>408</v>
      </c>
      <c r="AA58" s="646" t="s">
        <v>192</v>
      </c>
      <c r="AB58" s="646" t="s">
        <v>192</v>
      </c>
      <c r="AC58" s="646" t="s">
        <v>192</v>
      </c>
      <c r="AD58" s="646" t="s">
        <v>408</v>
      </c>
      <c r="AE58" s="646" t="s">
        <v>408</v>
      </c>
      <c r="AF58" s="646" t="s">
        <v>192</v>
      </c>
      <c r="AG58" s="646" t="s">
        <v>408</v>
      </c>
      <c r="AH58" s="646" t="s">
        <v>192</v>
      </c>
      <c r="AI58" s="646" t="s">
        <v>192</v>
      </c>
      <c r="AJ58" s="646" t="s">
        <v>192</v>
      </c>
      <c r="AK58" s="646" t="s">
        <v>408</v>
      </c>
      <c r="AL58" s="646" t="s">
        <v>408</v>
      </c>
      <c r="AM58" s="646" t="s">
        <v>192</v>
      </c>
      <c r="AN58" s="646" t="s">
        <v>408</v>
      </c>
      <c r="AO58" s="646" t="s">
        <v>192</v>
      </c>
      <c r="AP58" s="646" t="s">
        <v>192</v>
      </c>
      <c r="AQ58" s="646" t="s">
        <v>192</v>
      </c>
      <c r="AR58" s="646" t="s">
        <v>408</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8"/>
        <v>カトリ</v>
      </c>
      <c r="C59" s="637" t="str">
        <f t="shared" si="9"/>
        <v>#N/A</v>
      </c>
      <c r="D59" s="200"/>
      <c r="E59" s="636" t="str">
        <f t="shared" si="6"/>
        <v>カトリ</v>
      </c>
      <c r="F59" s="637" t="str">
        <f t="shared" si="10"/>
        <v>#N/A</v>
      </c>
      <c r="G59" s="200"/>
      <c r="H59" s="200"/>
      <c r="I59" s="172" t="b">
        <v>0</v>
      </c>
      <c r="J59" s="618">
        <v>15.0</v>
      </c>
      <c r="K59" s="638" t="s">
        <v>125</v>
      </c>
      <c r="L59" s="639" t="s">
        <v>474</v>
      </c>
      <c r="M59" s="645"/>
      <c r="N59" s="646" t="s">
        <v>192</v>
      </c>
      <c r="O59" s="646" t="s">
        <v>192</v>
      </c>
      <c r="P59" s="646" t="s">
        <v>408</v>
      </c>
      <c r="Q59" s="646" t="s">
        <v>408</v>
      </c>
      <c r="R59" s="646" t="s">
        <v>408</v>
      </c>
      <c r="S59" s="646" t="s">
        <v>192</v>
      </c>
      <c r="T59" s="646" t="s">
        <v>192</v>
      </c>
      <c r="U59" s="646" t="s">
        <v>192</v>
      </c>
      <c r="V59" s="646" t="s">
        <v>192</v>
      </c>
      <c r="W59" s="646" t="s">
        <v>408</v>
      </c>
      <c r="X59" s="646" t="s">
        <v>408</v>
      </c>
      <c r="Y59" s="646" t="s">
        <v>408</v>
      </c>
      <c r="Z59" s="646" t="s">
        <v>192</v>
      </c>
      <c r="AA59" s="646" t="s">
        <v>192</v>
      </c>
      <c r="AB59" s="646" t="s">
        <v>192</v>
      </c>
      <c r="AC59" s="646" t="s">
        <v>192</v>
      </c>
      <c r="AD59" s="646" t="s">
        <v>408</v>
      </c>
      <c r="AE59" s="646" t="s">
        <v>408</v>
      </c>
      <c r="AF59" s="646" t="s">
        <v>408</v>
      </c>
      <c r="AG59" s="646" t="s">
        <v>192</v>
      </c>
      <c r="AH59" s="646" t="s">
        <v>192</v>
      </c>
      <c r="AI59" s="646" t="s">
        <v>192</v>
      </c>
      <c r="AJ59" s="646" t="s">
        <v>192</v>
      </c>
      <c r="AK59" s="646" t="s">
        <v>408</v>
      </c>
      <c r="AL59" s="646" t="s">
        <v>408</v>
      </c>
      <c r="AM59" s="646" t="s">
        <v>408</v>
      </c>
      <c r="AN59" s="646" t="s">
        <v>192</v>
      </c>
      <c r="AO59" s="646" t="s">
        <v>192</v>
      </c>
      <c r="AP59" s="646" t="s">
        <v>192</v>
      </c>
      <c r="AQ59" s="646" t="s">
        <v>192</v>
      </c>
      <c r="AR59" s="646" t="s">
        <v>408</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8"/>
        <v>ライン</v>
      </c>
      <c r="C60" s="637" t="str">
        <f t="shared" si="9"/>
        <v>#N/A</v>
      </c>
      <c r="D60" s="200"/>
      <c r="E60" s="636" t="str">
        <f t="shared" si="6"/>
        <v>ライン</v>
      </c>
      <c r="F60" s="637" t="str">
        <f t="shared" si="10"/>
        <v>#N/A</v>
      </c>
      <c r="G60" s="200"/>
      <c r="H60" s="200"/>
      <c r="I60" s="172" t="b">
        <v>0</v>
      </c>
      <c r="J60" s="618">
        <v>7.0</v>
      </c>
      <c r="K60" s="638" t="s">
        <v>521</v>
      </c>
      <c r="L60" s="639" t="s">
        <v>474</v>
      </c>
      <c r="M60" s="645"/>
      <c r="N60" s="646" t="s">
        <v>408</v>
      </c>
      <c r="O60" s="646" t="s">
        <v>408</v>
      </c>
      <c r="P60" s="646" t="s">
        <v>408</v>
      </c>
      <c r="Q60" s="646" t="s">
        <v>408</v>
      </c>
      <c r="R60" s="646" t="s">
        <v>192</v>
      </c>
      <c r="S60" s="646" t="s">
        <v>192</v>
      </c>
      <c r="T60" s="646" t="s">
        <v>192</v>
      </c>
      <c r="U60" s="646" t="s">
        <v>408</v>
      </c>
      <c r="V60" s="646" t="s">
        <v>408</v>
      </c>
      <c r="W60" s="646" t="s">
        <v>408</v>
      </c>
      <c r="X60" s="646" t="s">
        <v>408</v>
      </c>
      <c r="Y60" s="646" t="s">
        <v>192</v>
      </c>
      <c r="Z60" s="646" t="s">
        <v>192</v>
      </c>
      <c r="AA60" s="646" t="s">
        <v>192</v>
      </c>
      <c r="AB60" s="646" t="s">
        <v>408</v>
      </c>
      <c r="AC60" s="646" t="s">
        <v>408</v>
      </c>
      <c r="AD60" s="646" t="s">
        <v>408</v>
      </c>
      <c r="AE60" s="646" t="s">
        <v>408</v>
      </c>
      <c r="AF60" s="646" t="s">
        <v>192</v>
      </c>
      <c r="AG60" s="646" t="s">
        <v>192</v>
      </c>
      <c r="AH60" s="646" t="s">
        <v>192</v>
      </c>
      <c r="AI60" s="646" t="s">
        <v>408</v>
      </c>
      <c r="AJ60" s="646" t="s">
        <v>408</v>
      </c>
      <c r="AK60" s="646" t="s">
        <v>408</v>
      </c>
      <c r="AL60" s="646" t="s">
        <v>408</v>
      </c>
      <c r="AM60" s="646" t="s">
        <v>192</v>
      </c>
      <c r="AN60" s="646" t="s">
        <v>192</v>
      </c>
      <c r="AO60" s="646" t="s">
        <v>192</v>
      </c>
      <c r="AP60" s="646" t="s">
        <v>408</v>
      </c>
      <c r="AQ60" s="646" t="s">
        <v>408</v>
      </c>
      <c r="AR60" s="646" t="s">
        <v>408</v>
      </c>
      <c r="AS60" s="647">
        <f t="array" ref="AS60">SUM(COUNTIF(N60:AR60, {"◎","〇","☆","共","特","浴"}))</f>
        <v>12</v>
      </c>
      <c r="AT60" s="651"/>
      <c r="AU60" s="649"/>
      <c r="AV60" s="649"/>
      <c r="AW60" s="649"/>
      <c r="AX60" s="649"/>
      <c r="AY60" s="649"/>
      <c r="AZ60" s="649"/>
      <c r="BA60" s="649"/>
      <c r="BB60" s="652" t="s">
        <v>594</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8"/>
        <v>スザナ</v>
      </c>
      <c r="C61" s="637"/>
      <c r="D61" s="200"/>
      <c r="E61" s="636"/>
      <c r="F61" s="637"/>
      <c r="G61" s="200"/>
      <c r="H61" s="200"/>
      <c r="I61" s="172" t="b">
        <v>0</v>
      </c>
      <c r="J61" s="618">
        <v>5.0</v>
      </c>
      <c r="K61" s="638" t="s">
        <v>481</v>
      </c>
      <c r="L61" s="639" t="s">
        <v>474</v>
      </c>
      <c r="M61" s="640"/>
      <c r="N61" s="646"/>
      <c r="O61" s="646"/>
      <c r="P61" s="646"/>
      <c r="Q61" s="646"/>
      <c r="R61" s="646"/>
      <c r="S61" s="646"/>
      <c r="T61" s="646"/>
      <c r="U61" s="646"/>
      <c r="V61" s="646"/>
      <c r="W61" s="646"/>
      <c r="X61" s="646"/>
      <c r="Y61" s="646"/>
      <c r="Z61" s="646" t="s">
        <v>192</v>
      </c>
      <c r="AA61" s="646"/>
      <c r="AB61" s="646"/>
      <c r="AC61" s="646" t="s">
        <v>192</v>
      </c>
      <c r="AD61" s="646"/>
      <c r="AE61" s="646" t="s">
        <v>192</v>
      </c>
      <c r="AF61" s="646" t="s">
        <v>192</v>
      </c>
      <c r="AG61" s="646" t="s">
        <v>192</v>
      </c>
      <c r="AH61" s="646"/>
      <c r="AI61" s="646"/>
      <c r="AJ61" s="646" t="s">
        <v>192</v>
      </c>
      <c r="AK61" s="646"/>
      <c r="AL61" s="646"/>
      <c r="AM61" s="646"/>
      <c r="AN61" s="646" t="s">
        <v>192</v>
      </c>
      <c r="AO61" s="646"/>
      <c r="AP61" s="646"/>
      <c r="AQ61" s="646" t="s">
        <v>192</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8"/>
        <v>サナム</v>
      </c>
      <c r="C62" s="637" t="str">
        <f t="shared" ref="C62:C104" si="17">if(B62="","", xlookup($B$7,$N$7:$AR$7,$N62:$AR62))</f>
        <v>#N/A</v>
      </c>
      <c r="D62" s="200"/>
      <c r="E62" s="636" t="str">
        <f t="shared" ref="E62:E104" si="18">K62</f>
        <v>サナム</v>
      </c>
      <c r="F62" s="637" t="str">
        <f t="shared" ref="F62:F103" si="19">if(E62="","", xlookup($E$7,$N$7:$AR$7,$N62:$AR62))</f>
        <v>#N/A</v>
      </c>
      <c r="G62" s="200"/>
      <c r="H62" s="200"/>
      <c r="I62" s="172" t="b">
        <v>0</v>
      </c>
      <c r="J62" s="618"/>
      <c r="K62" s="638" t="s">
        <v>482</v>
      </c>
      <c r="L62" s="639" t="s">
        <v>474</v>
      </c>
      <c r="M62" s="645"/>
      <c r="N62" s="646"/>
      <c r="O62" s="646"/>
      <c r="P62" s="646"/>
      <c r="Q62" s="646"/>
      <c r="R62" s="646"/>
      <c r="S62" s="646"/>
      <c r="T62" s="646"/>
      <c r="U62" s="646"/>
      <c r="V62" s="646"/>
      <c r="W62" s="646"/>
      <c r="X62" s="646"/>
      <c r="Y62" s="646"/>
      <c r="Z62" s="646"/>
      <c r="AA62" s="646"/>
      <c r="AB62" s="646"/>
      <c r="AC62" s="646"/>
      <c r="AD62" s="646" t="s">
        <v>192</v>
      </c>
      <c r="AE62" s="646"/>
      <c r="AF62" s="646"/>
      <c r="AG62" s="646"/>
      <c r="AH62" s="646"/>
      <c r="AI62" s="646"/>
      <c r="AJ62" s="646"/>
      <c r="AK62" s="646" t="s">
        <v>192</v>
      </c>
      <c r="AL62" s="646" t="s">
        <v>192</v>
      </c>
      <c r="AM62" s="646"/>
      <c r="AN62" s="646"/>
      <c r="AO62" s="646"/>
      <c r="AP62" s="646"/>
      <c r="AQ62" s="646"/>
      <c r="AR62" s="646" t="s">
        <v>192</v>
      </c>
      <c r="AS62" s="647">
        <f t="array" ref="AS62">SUM(COUNTIF(N62:AR62, {"◎","〇","☆","共","特","浴"}))</f>
        <v>4</v>
      </c>
      <c r="AT62" s="651"/>
      <c r="AU62" s="649"/>
      <c r="AV62" s="649"/>
      <c r="AW62" s="649"/>
      <c r="AX62" s="649"/>
      <c r="AY62" s="649"/>
      <c r="AZ62" s="649"/>
      <c r="BA62" s="649"/>
      <c r="BB62" s="652" t="s">
        <v>595</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8"/>
        <v>カヴィンダ</v>
      </c>
      <c r="C63" s="637" t="str">
        <f t="shared" si="17"/>
        <v>#N/A</v>
      </c>
      <c r="D63" s="200"/>
      <c r="E63" s="636" t="str">
        <f t="shared" si="18"/>
        <v>カヴィンダ</v>
      </c>
      <c r="F63" s="637" t="str">
        <f t="shared" si="19"/>
        <v>#N/A</v>
      </c>
      <c r="G63" s="200"/>
      <c r="H63" s="200"/>
      <c r="I63" s="172" t="b">
        <v>0</v>
      </c>
      <c r="J63" s="618"/>
      <c r="K63" s="638" t="s">
        <v>516</v>
      </c>
      <c r="L63" s="639"/>
      <c r="M63" s="645"/>
      <c r="N63" s="646" t="s">
        <v>414</v>
      </c>
      <c r="O63" s="646" t="s">
        <v>408</v>
      </c>
      <c r="P63" s="646" t="s">
        <v>408</v>
      </c>
      <c r="Q63" s="646" t="s">
        <v>408</v>
      </c>
      <c r="R63" s="646" t="s">
        <v>408</v>
      </c>
      <c r="S63" s="646" t="s">
        <v>408</v>
      </c>
      <c r="T63" s="646" t="s">
        <v>596</v>
      </c>
      <c r="U63" s="646" t="s">
        <v>596</v>
      </c>
      <c r="V63" s="646" t="s">
        <v>408</v>
      </c>
      <c r="W63" s="646" t="s">
        <v>408</v>
      </c>
      <c r="X63" s="646" t="s">
        <v>408</v>
      </c>
      <c r="Y63" s="646" t="s">
        <v>408</v>
      </c>
      <c r="Z63" s="646" t="s">
        <v>408</v>
      </c>
      <c r="AA63" s="646" t="s">
        <v>596</v>
      </c>
      <c r="AB63" s="646" t="s">
        <v>596</v>
      </c>
      <c r="AC63" s="646" t="s">
        <v>408</v>
      </c>
      <c r="AD63" s="646" t="s">
        <v>408</v>
      </c>
      <c r="AE63" s="646" t="s">
        <v>408</v>
      </c>
      <c r="AF63" s="646" t="s">
        <v>408</v>
      </c>
      <c r="AG63" s="646" t="s">
        <v>408</v>
      </c>
      <c r="AH63" s="646" t="s">
        <v>596</v>
      </c>
      <c r="AI63" s="646" t="s">
        <v>596</v>
      </c>
      <c r="AJ63" s="646" t="s">
        <v>408</v>
      </c>
      <c r="AK63" s="646" t="s">
        <v>408</v>
      </c>
      <c r="AL63" s="646" t="s">
        <v>408</v>
      </c>
      <c r="AM63" s="646" t="s">
        <v>408</v>
      </c>
      <c r="AN63" s="646" t="s">
        <v>408</v>
      </c>
      <c r="AO63" s="646" t="s">
        <v>596</v>
      </c>
      <c r="AP63" s="646" t="s">
        <v>596</v>
      </c>
      <c r="AQ63" s="646" t="s">
        <v>408</v>
      </c>
      <c r="AR63" s="646" t="s">
        <v>408</v>
      </c>
      <c r="AS63" s="647">
        <f t="array" ref="AS63">SUM(COUNTIF(N63:AR63, {"◎","〇","☆","共","特","浴"}))</f>
        <v>0</v>
      </c>
      <c r="AT63" s="651"/>
      <c r="AU63" s="649"/>
      <c r="AV63" s="649"/>
      <c r="AW63" s="649"/>
      <c r="AX63" s="649"/>
      <c r="AY63" s="649"/>
      <c r="AZ63" s="649"/>
      <c r="BA63" s="649"/>
      <c r="BB63" s="652" t="s">
        <v>597</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8"/>
        <v>ソノダ</v>
      </c>
      <c r="C64" s="637" t="str">
        <f t="shared" si="17"/>
        <v>#N/A</v>
      </c>
      <c r="D64" s="200"/>
      <c r="E64" s="636" t="str">
        <f t="shared" si="18"/>
        <v>ソノダ</v>
      </c>
      <c r="F64" s="637" t="str">
        <f t="shared" si="19"/>
        <v>#N/A</v>
      </c>
      <c r="G64" s="200"/>
      <c r="H64" s="200"/>
      <c r="I64" s="172" t="b">
        <v>0</v>
      </c>
      <c r="J64" s="618"/>
      <c r="K64" s="638" t="s">
        <v>486</v>
      </c>
      <c r="L64" s="639"/>
      <c r="M64" s="645"/>
      <c r="N64" s="646" t="s">
        <v>598</v>
      </c>
      <c r="O64" s="646" t="s">
        <v>598</v>
      </c>
      <c r="P64" s="646" t="s">
        <v>408</v>
      </c>
      <c r="Q64" s="646" t="s">
        <v>408</v>
      </c>
      <c r="R64" s="646" t="s">
        <v>598</v>
      </c>
      <c r="S64" s="646" t="s">
        <v>598</v>
      </c>
      <c r="T64" s="646" t="s">
        <v>408</v>
      </c>
      <c r="U64" s="646" t="s">
        <v>598</v>
      </c>
      <c r="V64" s="646" t="s">
        <v>598</v>
      </c>
      <c r="W64" s="646" t="s">
        <v>408</v>
      </c>
      <c r="X64" s="646" t="s">
        <v>408</v>
      </c>
      <c r="Y64" s="646" t="s">
        <v>598</v>
      </c>
      <c r="Z64" s="646" t="s">
        <v>598</v>
      </c>
      <c r="AA64" s="646" t="s">
        <v>408</v>
      </c>
      <c r="AB64" s="646" t="s">
        <v>598</v>
      </c>
      <c r="AC64" s="646" t="s">
        <v>598</v>
      </c>
      <c r="AD64" s="646" t="s">
        <v>408</v>
      </c>
      <c r="AE64" s="646" t="s">
        <v>408</v>
      </c>
      <c r="AF64" s="646" t="s">
        <v>598</v>
      </c>
      <c r="AG64" s="646" t="s">
        <v>598</v>
      </c>
      <c r="AH64" s="646" t="s">
        <v>408</v>
      </c>
      <c r="AI64" s="646" t="s">
        <v>598</v>
      </c>
      <c r="AJ64" s="646" t="s">
        <v>598</v>
      </c>
      <c r="AK64" s="646" t="s">
        <v>408</v>
      </c>
      <c r="AL64" s="646" t="s">
        <v>408</v>
      </c>
      <c r="AM64" s="646" t="s">
        <v>598</v>
      </c>
      <c r="AN64" s="646" t="s">
        <v>598</v>
      </c>
      <c r="AO64" s="646" t="s">
        <v>408</v>
      </c>
      <c r="AP64" s="646" t="s">
        <v>598</v>
      </c>
      <c r="AQ64" s="646" t="s">
        <v>598</v>
      </c>
      <c r="AR64" s="646" t="s">
        <v>408</v>
      </c>
      <c r="AS64" s="647">
        <f t="array" ref="AS64">SUM(COUNTIF(N64:AR64, {"◎","〇","☆","共","特","浴"}))</f>
        <v>0</v>
      </c>
      <c r="AT64" s="651"/>
      <c r="AU64" s="649"/>
      <c r="AV64" s="649"/>
      <c r="AW64" s="649"/>
      <c r="AX64" s="649"/>
      <c r="AY64" s="649"/>
      <c r="AZ64" s="649"/>
      <c r="BA64" s="649"/>
      <c r="BB64" s="652" t="s">
        <v>599</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8"/>
        <v>サルマ</v>
      </c>
      <c r="C65" s="637" t="str">
        <f t="shared" si="17"/>
        <v>#N/A</v>
      </c>
      <c r="D65" s="200"/>
      <c r="E65" s="636" t="str">
        <f t="shared" si="18"/>
        <v>サルマ</v>
      </c>
      <c r="F65" s="637" t="str">
        <f t="shared" si="19"/>
        <v>#N/A</v>
      </c>
      <c r="G65" s="200"/>
      <c r="H65" s="200"/>
      <c r="I65" s="172" t="b">
        <v>0</v>
      </c>
      <c r="J65" s="618"/>
      <c r="K65" s="638" t="s">
        <v>488</v>
      </c>
      <c r="L65" s="639"/>
      <c r="M65" s="640" t="s">
        <v>600</v>
      </c>
      <c r="N65" s="646" t="s">
        <v>408</v>
      </c>
      <c r="O65" s="646" t="s">
        <v>408</v>
      </c>
      <c r="P65" s="646" t="s">
        <v>598</v>
      </c>
      <c r="Q65" s="646" t="s">
        <v>598</v>
      </c>
      <c r="R65" s="646" t="s">
        <v>408</v>
      </c>
      <c r="S65" s="646" t="s">
        <v>408</v>
      </c>
      <c r="T65" s="646" t="s">
        <v>408</v>
      </c>
      <c r="U65" s="646" t="s">
        <v>408</v>
      </c>
      <c r="V65" s="646" t="s">
        <v>408</v>
      </c>
      <c r="W65" s="646" t="s">
        <v>598</v>
      </c>
      <c r="X65" s="646" t="s">
        <v>598</v>
      </c>
      <c r="Y65" s="646" t="s">
        <v>408</v>
      </c>
      <c r="Z65" s="646" t="s">
        <v>408</v>
      </c>
      <c r="AA65" s="646" t="s">
        <v>408</v>
      </c>
      <c r="AB65" s="646" t="s">
        <v>408</v>
      </c>
      <c r="AC65" s="646" t="s">
        <v>408</v>
      </c>
      <c r="AD65" s="646" t="s">
        <v>598</v>
      </c>
      <c r="AE65" s="646" t="s">
        <v>598</v>
      </c>
      <c r="AF65" s="646" t="s">
        <v>408</v>
      </c>
      <c r="AG65" s="646" t="s">
        <v>408</v>
      </c>
      <c r="AH65" s="646" t="s">
        <v>408</v>
      </c>
      <c r="AI65" s="646" t="s">
        <v>408</v>
      </c>
      <c r="AJ65" s="646" t="s">
        <v>408</v>
      </c>
      <c r="AK65" s="646" t="s">
        <v>598</v>
      </c>
      <c r="AL65" s="646" t="s">
        <v>598</v>
      </c>
      <c r="AM65" s="646" t="s">
        <v>408</v>
      </c>
      <c r="AN65" s="646" t="s">
        <v>408</v>
      </c>
      <c r="AO65" s="646" t="s">
        <v>408</v>
      </c>
      <c r="AP65" s="646" t="s">
        <v>408</v>
      </c>
      <c r="AQ65" s="646" t="s">
        <v>408</v>
      </c>
      <c r="AR65" s="646" t="s">
        <v>598</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8"/>
        <v/>
      </c>
      <c r="C66" s="637" t="str">
        <f t="shared" si="17"/>
        <v/>
      </c>
      <c r="D66" s="200"/>
      <c r="E66" s="636" t="str">
        <f t="shared" si="18"/>
        <v/>
      </c>
      <c r="F66" s="637" t="str">
        <f t="shared" si="19"/>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8"/>
        <v/>
      </c>
      <c r="C67" s="637" t="str">
        <f t="shared" si="17"/>
        <v/>
      </c>
      <c r="D67" s="200"/>
      <c r="E67" s="636" t="str">
        <f t="shared" si="18"/>
        <v/>
      </c>
      <c r="F67" s="637" t="str">
        <f t="shared" si="19"/>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8"/>
        <v/>
      </c>
      <c r="C68" s="637" t="str">
        <f t="shared" si="17"/>
        <v/>
      </c>
      <c r="D68" s="200"/>
      <c r="E68" s="636" t="str">
        <f t="shared" si="18"/>
        <v/>
      </c>
      <c r="F68" s="637" t="str">
        <f t="shared" si="19"/>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8"/>
        <v/>
      </c>
      <c r="C69" s="637" t="str">
        <f t="shared" si="17"/>
        <v/>
      </c>
      <c r="D69" s="200"/>
      <c r="E69" s="636" t="str">
        <f t="shared" si="18"/>
        <v/>
      </c>
      <c r="F69" s="637" t="str">
        <f t="shared" si="19"/>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8"/>
        <v/>
      </c>
      <c r="C70" s="637" t="str">
        <f t="shared" si="17"/>
        <v/>
      </c>
      <c r="D70" s="200"/>
      <c r="E70" s="636" t="str">
        <f t="shared" si="18"/>
        <v/>
      </c>
      <c r="F70" s="637" t="str">
        <f t="shared" si="19"/>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8"/>
        <v/>
      </c>
      <c r="C71" s="637" t="str">
        <f t="shared" si="17"/>
        <v/>
      </c>
      <c r="D71" s="200"/>
      <c r="E71" s="636" t="str">
        <f t="shared" si="18"/>
        <v/>
      </c>
      <c r="F71" s="637" t="str">
        <f t="shared" si="19"/>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8"/>
        <v/>
      </c>
      <c r="C72" s="637" t="str">
        <f t="shared" si="17"/>
        <v/>
      </c>
      <c r="D72" s="200"/>
      <c r="E72" s="636" t="str">
        <f t="shared" si="18"/>
        <v/>
      </c>
      <c r="F72" s="637" t="str">
        <f t="shared" si="19"/>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8"/>
        <v/>
      </c>
      <c r="C73" s="637" t="str">
        <f t="shared" si="17"/>
        <v/>
      </c>
      <c r="D73" s="200"/>
      <c r="E73" s="636" t="str">
        <f t="shared" si="18"/>
        <v/>
      </c>
      <c r="F73" s="637" t="str">
        <f t="shared" si="19"/>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8"/>
        <v/>
      </c>
      <c r="C74" s="637" t="str">
        <f t="shared" si="17"/>
        <v/>
      </c>
      <c r="D74" s="200"/>
      <c r="E74" s="636" t="str">
        <f t="shared" si="18"/>
        <v/>
      </c>
      <c r="F74" s="637" t="str">
        <f t="shared" si="19"/>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8"/>
        <v/>
      </c>
      <c r="C75" s="637" t="str">
        <f t="shared" si="17"/>
        <v/>
      </c>
      <c r="D75" s="200"/>
      <c r="E75" s="636" t="str">
        <f t="shared" si="18"/>
        <v/>
      </c>
      <c r="F75" s="637" t="str">
        <f t="shared" si="19"/>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8"/>
        <v/>
      </c>
      <c r="C76" s="637" t="str">
        <f t="shared" si="17"/>
        <v/>
      </c>
      <c r="D76" s="200"/>
      <c r="E76" s="636" t="str">
        <f t="shared" si="18"/>
        <v/>
      </c>
      <c r="F76" s="637" t="str">
        <f t="shared" si="19"/>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8"/>
        <v/>
      </c>
      <c r="C77" s="637" t="str">
        <f t="shared" si="17"/>
        <v/>
      </c>
      <c r="D77" s="200"/>
      <c r="E77" s="636" t="str">
        <f t="shared" si="18"/>
        <v/>
      </c>
      <c r="F77" s="637" t="str">
        <f t="shared" si="19"/>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8"/>
        <v/>
      </c>
      <c r="C78" s="637" t="str">
        <f t="shared" si="17"/>
        <v/>
      </c>
      <c r="D78" s="200"/>
      <c r="E78" s="636" t="str">
        <f t="shared" si="18"/>
        <v/>
      </c>
      <c r="F78" s="637" t="str">
        <f t="shared" si="19"/>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8"/>
        <v/>
      </c>
      <c r="C79" s="637" t="str">
        <f t="shared" si="17"/>
        <v/>
      </c>
      <c r="D79" s="200"/>
      <c r="E79" s="636" t="str">
        <f t="shared" si="18"/>
        <v/>
      </c>
      <c r="F79" s="637" t="str">
        <f t="shared" si="19"/>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8"/>
        <v/>
      </c>
      <c r="C80" s="637" t="str">
        <f t="shared" si="17"/>
        <v/>
      </c>
      <c r="D80" s="200"/>
      <c r="E80" s="636" t="str">
        <f t="shared" si="18"/>
        <v/>
      </c>
      <c r="F80" s="637" t="str">
        <f t="shared" si="19"/>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8"/>
        <v/>
      </c>
      <c r="C81" s="637" t="str">
        <f t="shared" si="17"/>
        <v/>
      </c>
      <c r="D81" s="200"/>
      <c r="E81" s="636" t="str">
        <f t="shared" si="18"/>
        <v/>
      </c>
      <c r="F81" s="637" t="str">
        <f t="shared" si="19"/>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8"/>
        <v/>
      </c>
      <c r="C82" s="637" t="str">
        <f t="shared" si="17"/>
        <v/>
      </c>
      <c r="D82" s="200"/>
      <c r="E82" s="636" t="str">
        <f t="shared" si="18"/>
        <v/>
      </c>
      <c r="F82" s="637" t="str">
        <f t="shared" si="19"/>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8"/>
        <v/>
      </c>
      <c r="C83" s="637" t="str">
        <f t="shared" si="17"/>
        <v/>
      </c>
      <c r="D83" s="200"/>
      <c r="E83" s="636" t="str">
        <f t="shared" si="18"/>
        <v/>
      </c>
      <c r="F83" s="637" t="str">
        <f t="shared" si="19"/>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8"/>
        <v/>
      </c>
      <c r="C84" s="637" t="str">
        <f t="shared" si="17"/>
        <v/>
      </c>
      <c r="D84" s="200"/>
      <c r="E84" s="636" t="str">
        <f t="shared" si="18"/>
        <v/>
      </c>
      <c r="F84" s="637" t="str">
        <f t="shared" si="19"/>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8"/>
        <v/>
      </c>
      <c r="C85" s="637" t="str">
        <f t="shared" si="17"/>
        <v/>
      </c>
      <c r="D85" s="200"/>
      <c r="E85" s="636" t="str">
        <f t="shared" si="18"/>
        <v/>
      </c>
      <c r="F85" s="637" t="str">
        <f t="shared" si="19"/>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8"/>
        <v/>
      </c>
      <c r="C86" s="637" t="str">
        <f t="shared" si="17"/>
        <v/>
      </c>
      <c r="D86" s="200"/>
      <c r="E86" s="636" t="str">
        <f t="shared" si="18"/>
        <v/>
      </c>
      <c r="F86" s="637" t="str">
        <f t="shared" si="19"/>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8"/>
        <v/>
      </c>
      <c r="C87" s="637" t="str">
        <f t="shared" si="17"/>
        <v/>
      </c>
      <c r="D87" s="200"/>
      <c r="E87" s="636" t="str">
        <f t="shared" si="18"/>
        <v/>
      </c>
      <c r="F87" s="637" t="str">
        <f t="shared" si="19"/>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8"/>
        <v/>
      </c>
      <c r="C88" s="637" t="str">
        <f t="shared" si="17"/>
        <v/>
      </c>
      <c r="D88" s="200"/>
      <c r="E88" s="636" t="str">
        <f t="shared" si="18"/>
        <v/>
      </c>
      <c r="F88" s="637" t="str">
        <f t="shared" si="19"/>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8"/>
        <v/>
      </c>
      <c r="C89" s="637" t="str">
        <f t="shared" si="17"/>
        <v/>
      </c>
      <c r="D89" s="200"/>
      <c r="E89" s="636" t="str">
        <f t="shared" si="18"/>
        <v/>
      </c>
      <c r="F89" s="637" t="str">
        <f t="shared" si="19"/>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8"/>
        <v/>
      </c>
      <c r="C90" s="637" t="str">
        <f t="shared" si="17"/>
        <v/>
      </c>
      <c r="D90" s="200"/>
      <c r="E90" s="636" t="str">
        <f t="shared" si="18"/>
        <v/>
      </c>
      <c r="F90" s="637" t="str">
        <f t="shared" si="19"/>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8"/>
        <v/>
      </c>
      <c r="C91" s="637" t="str">
        <f t="shared" si="17"/>
        <v/>
      </c>
      <c r="D91" s="200"/>
      <c r="E91" s="636" t="str">
        <f t="shared" si="18"/>
        <v/>
      </c>
      <c r="F91" s="637" t="str">
        <f t="shared" si="19"/>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8"/>
        <v/>
      </c>
      <c r="C92" s="637" t="str">
        <f t="shared" si="17"/>
        <v/>
      </c>
      <c r="D92" s="200"/>
      <c r="E92" s="636" t="str">
        <f t="shared" si="18"/>
        <v/>
      </c>
      <c r="F92" s="637" t="str">
        <f t="shared" si="19"/>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8"/>
        <v/>
      </c>
      <c r="C93" s="637" t="str">
        <f t="shared" si="17"/>
        <v/>
      </c>
      <c r="D93" s="200"/>
      <c r="E93" s="636" t="str">
        <f t="shared" si="18"/>
        <v/>
      </c>
      <c r="F93" s="637" t="str">
        <f t="shared" si="19"/>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8"/>
        <v/>
      </c>
      <c r="C94" s="637" t="str">
        <f t="shared" si="17"/>
        <v/>
      </c>
      <c r="D94" s="200"/>
      <c r="E94" s="636" t="str">
        <f t="shared" si="18"/>
        <v/>
      </c>
      <c r="F94" s="637" t="str">
        <f t="shared" si="19"/>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8"/>
        <v/>
      </c>
      <c r="C95" s="637" t="str">
        <f t="shared" si="17"/>
        <v/>
      </c>
      <c r="D95" s="200"/>
      <c r="E95" s="636" t="str">
        <f t="shared" si="18"/>
        <v/>
      </c>
      <c r="F95" s="637" t="str">
        <f t="shared" si="19"/>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8"/>
        <v/>
      </c>
      <c r="C96" s="637" t="str">
        <f t="shared" si="17"/>
        <v/>
      </c>
      <c r="D96" s="200"/>
      <c r="E96" s="636" t="str">
        <f t="shared" si="18"/>
        <v/>
      </c>
      <c r="F96" s="637" t="str">
        <f t="shared" si="19"/>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8"/>
        <v/>
      </c>
      <c r="C97" s="637" t="str">
        <f t="shared" si="17"/>
        <v/>
      </c>
      <c r="D97" s="200"/>
      <c r="E97" s="636" t="str">
        <f t="shared" si="18"/>
        <v/>
      </c>
      <c r="F97" s="637" t="str">
        <f t="shared" si="19"/>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8"/>
        <v/>
      </c>
      <c r="C98" s="637" t="str">
        <f t="shared" si="17"/>
        <v/>
      </c>
      <c r="D98" s="200"/>
      <c r="E98" s="636" t="str">
        <f t="shared" si="18"/>
        <v/>
      </c>
      <c r="F98" s="637" t="str">
        <f t="shared" si="19"/>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8"/>
        <v/>
      </c>
      <c r="C99" s="637" t="str">
        <f t="shared" si="17"/>
        <v/>
      </c>
      <c r="D99" s="200"/>
      <c r="E99" s="636" t="str">
        <f t="shared" si="18"/>
        <v/>
      </c>
      <c r="F99" s="637" t="str">
        <f t="shared" si="19"/>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8"/>
        <v/>
      </c>
      <c r="C100" s="637" t="str">
        <f t="shared" si="17"/>
        <v/>
      </c>
      <c r="D100" s="200"/>
      <c r="E100" s="636" t="str">
        <f t="shared" si="18"/>
        <v/>
      </c>
      <c r="F100" s="637" t="str">
        <f t="shared" si="19"/>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8"/>
        <v/>
      </c>
      <c r="C101" s="637" t="str">
        <f t="shared" si="17"/>
        <v/>
      </c>
      <c r="D101" s="200"/>
      <c r="E101" s="636" t="str">
        <f t="shared" si="18"/>
        <v/>
      </c>
      <c r="F101" s="637" t="str">
        <f t="shared" si="19"/>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8"/>
        <v/>
      </c>
      <c r="C102" s="637" t="str">
        <f t="shared" si="17"/>
        <v/>
      </c>
      <c r="D102" s="200"/>
      <c r="E102" s="636" t="str">
        <f t="shared" si="18"/>
        <v/>
      </c>
      <c r="F102" s="637" t="str">
        <f t="shared" si="19"/>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8"/>
        <v/>
      </c>
      <c r="C103" s="637" t="str">
        <f t="shared" si="17"/>
        <v/>
      </c>
      <c r="D103" s="200"/>
      <c r="E103" s="636" t="str">
        <f t="shared" si="18"/>
        <v/>
      </c>
      <c r="F103" s="637" t="str">
        <f t="shared" si="19"/>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8"/>
        <v/>
      </c>
      <c r="C104" s="637" t="str">
        <f t="shared" si="17"/>
        <v/>
      </c>
      <c r="D104" s="200"/>
      <c r="E104" s="636" t="str">
        <f t="shared" si="18"/>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490</v>
      </c>
      <c r="C2" s="531"/>
      <c r="D2" s="531"/>
      <c r="E2" s="531"/>
      <c r="F2" s="666" t="s">
        <v>491</v>
      </c>
      <c r="G2" s="667" t="s">
        <v>492</v>
      </c>
      <c r="H2" s="232"/>
      <c r="I2" s="232"/>
      <c r="J2" s="232"/>
      <c r="K2" s="232"/>
      <c r="L2" s="232"/>
      <c r="M2" s="232"/>
      <c r="N2" s="232"/>
      <c r="O2" s="232"/>
      <c r="P2" s="232"/>
      <c r="Q2" s="3"/>
      <c r="R2" s="668" t="s">
        <v>493</v>
      </c>
      <c r="S2" s="661"/>
      <c r="T2" s="663"/>
      <c r="U2" s="669"/>
      <c r="V2" s="665"/>
      <c r="W2" s="661"/>
      <c r="X2" s="661"/>
      <c r="Y2" s="661"/>
      <c r="Z2" s="661"/>
    </row>
    <row r="3" ht="33.0" customHeight="1">
      <c r="A3" s="661"/>
      <c r="B3" s="670" t="s">
        <v>494</v>
      </c>
      <c r="C3" s="531"/>
      <c r="D3" s="531"/>
      <c r="E3" s="531"/>
      <c r="F3" s="671" t="s">
        <v>495</v>
      </c>
      <c r="G3" s="672" t="s">
        <v>601</v>
      </c>
      <c r="H3" s="232"/>
      <c r="I3" s="232"/>
      <c r="J3" s="232"/>
      <c r="K3" s="232"/>
      <c r="L3" s="232"/>
      <c r="M3" s="232"/>
      <c r="N3" s="232"/>
      <c r="O3" s="232"/>
      <c r="P3" s="232"/>
      <c r="Q3" s="3"/>
      <c r="R3" s="673" t="s">
        <v>493</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46082.0</v>
      </c>
      <c r="E5" s="675"/>
      <c r="F5" s="677" t="s">
        <v>497</v>
      </c>
      <c r="G5" s="678" t="s">
        <v>498</v>
      </c>
      <c r="H5" s="679"/>
      <c r="I5" s="679"/>
      <c r="J5" s="679"/>
      <c r="K5" s="679"/>
      <c r="L5" s="679"/>
      <c r="M5" s="679"/>
      <c r="N5" s="679"/>
      <c r="O5" s="679"/>
      <c r="P5" s="679"/>
      <c r="Q5" s="118"/>
      <c r="R5" s="680"/>
      <c r="S5" s="661"/>
      <c r="T5" s="663"/>
      <c r="U5" s="664"/>
      <c r="V5" s="681" t="s">
        <v>499</v>
      </c>
      <c r="W5" s="661"/>
      <c r="X5" s="661"/>
      <c r="Y5" s="661"/>
      <c r="Z5" s="661"/>
    </row>
    <row r="6">
      <c r="A6" s="661"/>
      <c r="B6" s="682" t="s">
        <v>500</v>
      </c>
      <c r="C6" s="683" t="s">
        <v>253</v>
      </c>
      <c r="D6" s="683" t="s">
        <v>292</v>
      </c>
      <c r="E6" s="683" t="s">
        <v>501</v>
      </c>
      <c r="F6" s="683" t="s">
        <v>84</v>
      </c>
      <c r="G6" s="684" t="s">
        <v>502</v>
      </c>
      <c r="H6" s="685" t="s">
        <v>37</v>
      </c>
      <c r="I6" s="686" t="s">
        <v>503</v>
      </c>
      <c r="J6" s="686" t="s">
        <v>504</v>
      </c>
      <c r="K6" s="686" t="s">
        <v>505</v>
      </c>
      <c r="L6" s="687" t="s">
        <v>506</v>
      </c>
      <c r="M6" s="688"/>
      <c r="N6" s="689" t="s">
        <v>507</v>
      </c>
      <c r="O6" s="690" t="s">
        <v>508</v>
      </c>
      <c r="P6" s="679"/>
      <c r="Q6" s="118"/>
      <c r="R6" s="691"/>
      <c r="S6" s="692" t="s">
        <v>96</v>
      </c>
      <c r="T6" s="692" t="s">
        <v>97</v>
      </c>
      <c r="U6" s="664"/>
      <c r="V6" s="693" t="s">
        <v>509</v>
      </c>
      <c r="W6" s="694"/>
      <c r="X6" s="695" t="s">
        <v>268</v>
      </c>
      <c r="Y6" s="661"/>
      <c r="Z6" s="661"/>
    </row>
    <row r="7">
      <c r="A7" s="661"/>
      <c r="B7" s="696"/>
      <c r="C7" s="697"/>
      <c r="D7" s="697"/>
      <c r="E7" s="697"/>
      <c r="F7" s="697"/>
      <c r="G7" s="698"/>
      <c r="H7" s="697"/>
      <c r="I7" s="697"/>
      <c r="J7" s="697"/>
      <c r="K7" s="697"/>
      <c r="L7" s="699" t="s">
        <v>510</v>
      </c>
      <c r="M7" s="699" t="s">
        <v>511</v>
      </c>
      <c r="N7" s="697"/>
      <c r="O7" s="700"/>
      <c r="P7" s="701"/>
      <c r="Q7" s="702"/>
      <c r="R7" s="691"/>
      <c r="S7" s="222"/>
      <c r="T7" s="222"/>
      <c r="V7" s="703">
        <f>month(D5)</f>
        <v>3</v>
      </c>
      <c r="W7" s="704"/>
      <c r="X7" s="695" t="s">
        <v>512</v>
      </c>
      <c r="Y7" s="661"/>
      <c r="Z7" s="661"/>
    </row>
    <row r="8" ht="17.25" customHeight="1">
      <c r="A8" s="661"/>
      <c r="B8" s="705" t="s">
        <v>513</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3">xlookup(V7, '🏆皆勤アワード'!P2:DV2,'🏆皆勤アワード'!R5:DX100)</f>
        <v>宇佐見</v>
      </c>
      <c r="W8" s="716"/>
      <c r="X8" s="717">
        <v>46054.0</v>
      </c>
      <c r="Y8" s="661"/>
      <c r="Z8" s="661"/>
    </row>
    <row r="9" outlineLevel="1">
      <c r="A9" s="661"/>
      <c r="B9" s="718"/>
      <c r="C9" s="719">
        <f>D5</f>
        <v>46082</v>
      </c>
      <c r="D9" s="720" t="str">
        <f>TEXT(C9,"ddd")</f>
        <v>日</v>
      </c>
      <c r="E9" s="721"/>
      <c r="F9" s="722" t="s">
        <v>142</v>
      </c>
      <c r="G9" s="723" t="s">
        <v>602</v>
      </c>
      <c r="H9" s="724"/>
      <c r="I9" s="725">
        <v>0.7083333333333334</v>
      </c>
      <c r="J9" s="724" t="s">
        <v>603</v>
      </c>
      <c r="K9" s="724" t="s">
        <v>604</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171</v>
      </c>
      <c r="W9" s="716"/>
      <c r="X9" s="717">
        <v>46082.0</v>
      </c>
      <c r="Y9" s="661"/>
      <c r="Z9" s="661"/>
    </row>
    <row r="10"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450</v>
      </c>
      <c r="W10" s="716"/>
      <c r="X10" s="717">
        <v>46113.0</v>
      </c>
      <c r="Y10" s="661"/>
      <c r="Z10" s="661"/>
    </row>
    <row r="1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452</v>
      </c>
      <c r="W11" s="716"/>
      <c r="X11" s="717">
        <v>46143.0</v>
      </c>
      <c r="Y11" s="661"/>
      <c r="Z11" s="661"/>
    </row>
    <row r="12"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454</v>
      </c>
      <c r="W12" s="716"/>
      <c r="X12" s="717">
        <v>46174.0</v>
      </c>
      <c r="Y12" s="661"/>
      <c r="Z12" s="661"/>
    </row>
    <row r="13"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515</v>
      </c>
      <c r="W13" s="716"/>
      <c r="X13" s="717">
        <v>46204.0</v>
      </c>
      <c r="Y13" s="661"/>
      <c r="Z13" s="661"/>
    </row>
    <row r="14"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488</v>
      </c>
      <c r="W14" s="716"/>
      <c r="X14" s="717">
        <v>46235.0</v>
      </c>
      <c r="Y14" s="661"/>
      <c r="Z14" s="661"/>
    </row>
    <row r="15"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516</v>
      </c>
      <c r="W15" s="716"/>
      <c r="X15" s="717">
        <v>46266.0</v>
      </c>
      <c r="Y15" s="661"/>
      <c r="Z15" s="661"/>
    </row>
    <row r="16"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456</v>
      </c>
      <c r="W16" s="716"/>
      <c r="X16" s="717">
        <v>46296.0</v>
      </c>
      <c r="Y16" s="661"/>
      <c r="Z16" s="661"/>
    </row>
    <row r="17"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459</v>
      </c>
      <c r="W17" s="716"/>
      <c r="X17" s="717">
        <v>46327.0</v>
      </c>
      <c r="Y17" s="661"/>
      <c r="Z17" s="661"/>
    </row>
    <row r="18"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468</v>
      </c>
      <c r="W18" s="716"/>
      <c r="X18" s="717">
        <v>46357.0</v>
      </c>
      <c r="Y18" s="661"/>
      <c r="Z18" s="661"/>
    </row>
    <row r="19" ht="18.0" customHeight="1" outlineLevel="1">
      <c r="B19" s="738"/>
      <c r="C19" s="697"/>
      <c r="D19" s="697"/>
      <c r="E19" s="697"/>
      <c r="F19" s="739" t="s">
        <v>517</v>
      </c>
      <c r="G19" s="740" t="s">
        <v>605</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466</v>
      </c>
      <c r="W19" s="716"/>
      <c r="X19" s="717">
        <v>46388.0</v>
      </c>
      <c r="Y19" s="661"/>
      <c r="Z19" s="661"/>
    </row>
    <row r="20" ht="24.0" customHeight="1" outlineLevel="1">
      <c r="A20" s="661"/>
      <c r="B20" s="743"/>
      <c r="C20" s="744">
        <f>IF(C9="","",IF(DAY(C9+1)=1,"",C9+1))</f>
        <v>46083</v>
      </c>
      <c r="D20" s="745" t="str">
        <f>TEXT(C20,"ddd")</f>
        <v>月</v>
      </c>
      <c r="E20" s="746"/>
      <c r="F20" s="747" t="s">
        <v>142</v>
      </c>
      <c r="G20" s="748" t="s">
        <v>606</v>
      </c>
      <c r="H20" s="749"/>
      <c r="I20" s="750">
        <v>0.6458333333333334</v>
      </c>
      <c r="J20" s="749">
        <v>9.0</v>
      </c>
      <c r="K20" s="749">
        <v>3.0</v>
      </c>
      <c r="L20" s="752"/>
      <c r="M20" s="752"/>
      <c r="N20" s="747"/>
      <c r="O20" s="753"/>
      <c r="Q20" s="728"/>
      <c r="R20" s="661"/>
      <c r="S20" s="228" t="str">
        <f t="array" ref="S20">IFERROR(INDEX('💻シート作成'!$D$6:$D1001, MATCH(T20, '💻シート作成'!$E$6:$E1001, 0)), "")</f>
        <v>11月</v>
      </c>
      <c r="T20" s="172" t="str">
        <f>IFERROR(__xludf.DUMMYFUNCTION("""COMPUTED_VALUE"""),"①R8_11集計")</f>
        <v>①R8_11集計</v>
      </c>
      <c r="U20" s="754"/>
      <c r="V20" s="715" t="s">
        <v>113</v>
      </c>
      <c r="W20" s="716"/>
      <c r="X20" s="717"/>
      <c r="Y20" s="661"/>
      <c r="Z20" s="661"/>
    </row>
    <row r="21" ht="24.0" customHeight="1" outlineLevel="1">
      <c r="A21" s="661"/>
      <c r="B21" s="729"/>
      <c r="C21" s="730"/>
      <c r="D21" s="730"/>
      <c r="E21" s="730"/>
      <c r="F21" s="730"/>
      <c r="G21" s="731"/>
      <c r="H21" s="730"/>
      <c r="I21" s="730"/>
      <c r="J21" s="730"/>
      <c r="K21" s="730"/>
      <c r="L21" s="755"/>
      <c r="M21" s="755"/>
      <c r="N21" s="730"/>
      <c r="O21" s="733"/>
      <c r="Q21" s="728"/>
      <c r="R21" s="661"/>
      <c r="S21" s="228" t="str">
        <f t="array" ref="S21">IFERROR(INDEX('💻シート作成'!$D$6:$D1001, MATCH(T21, '💻シート作成'!$E$6:$E1001, 0)), "")</f>
        <v>11月</v>
      </c>
      <c r="T21" s="172" t="str">
        <f>IFERROR(__xludf.DUMMYFUNCTION("""COMPUTED_VALUE"""),"②R8_11シフト")</f>
        <v>②R8_11シフト</v>
      </c>
      <c r="U21" s="754"/>
      <c r="V21" s="715" t="s">
        <v>520</v>
      </c>
      <c r="W21" s="716"/>
      <c r="X21" s="717"/>
      <c r="Y21" s="661"/>
      <c r="Z21" s="661"/>
    </row>
    <row r="22" ht="24.0" customHeight="1" outlineLevel="1">
      <c r="A22" s="661"/>
      <c r="B22" s="729"/>
      <c r="C22" s="730"/>
      <c r="D22" s="730"/>
      <c r="E22" s="730"/>
      <c r="F22" s="730"/>
      <c r="G22" s="731"/>
      <c r="H22" s="730"/>
      <c r="I22" s="730"/>
      <c r="J22" s="730"/>
      <c r="K22" s="730"/>
      <c r="L22" s="755"/>
      <c r="M22" s="755"/>
      <c r="N22" s="730"/>
      <c r="O22" s="733"/>
      <c r="Q22" s="728"/>
      <c r="R22" s="661"/>
      <c r="S22" s="228" t="str">
        <f t="array" ref="S22">IFERROR(INDEX('💻シート作成'!$D$6:$D1001, MATCH(T22, '💻シート作成'!$E$6:$E1001, 0)), "")</f>
        <v>11月</v>
      </c>
      <c r="T22" s="172" t="str">
        <f>IFERROR(__xludf.DUMMYFUNCTION("""COMPUTED_VALUE"""),"③R8_11日報")</f>
        <v>③R8_11日報</v>
      </c>
      <c r="U22" s="754"/>
      <c r="V22" s="715" t="s">
        <v>478</v>
      </c>
      <c r="W22" s="716"/>
      <c r="X22" s="717"/>
      <c r="Y22" s="661"/>
      <c r="Z22" s="661"/>
    </row>
    <row r="23" ht="24.0" customHeight="1" outlineLevel="1">
      <c r="A23" s="661"/>
      <c r="B23" s="729"/>
      <c r="C23" s="730"/>
      <c r="D23" s="730"/>
      <c r="E23" s="730"/>
      <c r="F23" s="730"/>
      <c r="G23" s="731"/>
      <c r="H23" s="730"/>
      <c r="I23" s="730"/>
      <c r="J23" s="730"/>
      <c r="K23" s="730"/>
      <c r="L23" s="756"/>
      <c r="M23" s="755"/>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473</v>
      </c>
      <c r="W23" s="661"/>
      <c r="X23" s="757"/>
      <c r="Y23" s="661"/>
      <c r="Z23" s="661"/>
    </row>
    <row r="24" ht="24.0" customHeight="1" outlineLevel="1">
      <c r="A24" s="661"/>
      <c r="B24" s="729"/>
      <c r="C24" s="730"/>
      <c r="D24" s="730"/>
      <c r="E24" s="730"/>
      <c r="F24" s="730"/>
      <c r="G24" s="731"/>
      <c r="H24" s="730"/>
      <c r="I24" s="730"/>
      <c r="J24" s="730"/>
      <c r="K24" s="730"/>
      <c r="L24" s="756"/>
      <c r="M24" s="755"/>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471</v>
      </c>
      <c r="W24" s="661"/>
      <c r="X24" s="757"/>
      <c r="Y24" s="661"/>
      <c r="Z24" s="661"/>
    </row>
    <row r="25" ht="24.0" customHeight="1" outlineLevel="1">
      <c r="A25" s="661"/>
      <c r="B25" s="729"/>
      <c r="C25" s="730"/>
      <c r="D25" s="730"/>
      <c r="E25" s="730"/>
      <c r="F25" s="730"/>
      <c r="G25" s="731"/>
      <c r="H25" s="730"/>
      <c r="I25" s="730"/>
      <c r="J25" s="730"/>
      <c r="K25" s="730"/>
      <c r="L25" s="756"/>
      <c r="M25" s="755"/>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470</v>
      </c>
      <c r="W25" s="661"/>
      <c r="X25" s="757"/>
      <c r="Y25" s="661"/>
      <c r="Z25" s="661"/>
    </row>
    <row r="26" ht="24.0" customHeight="1" outlineLevel="1">
      <c r="A26" s="661"/>
      <c r="B26" s="729"/>
      <c r="C26" s="730"/>
      <c r="D26" s="730"/>
      <c r="E26" s="730"/>
      <c r="F26" s="730"/>
      <c r="G26" s="731"/>
      <c r="H26" s="730"/>
      <c r="I26" s="730"/>
      <c r="J26" s="730"/>
      <c r="K26" s="730"/>
      <c r="L26" s="756"/>
      <c r="M26" s="755"/>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112</v>
      </c>
      <c r="W26" s="661"/>
      <c r="X26" s="757"/>
      <c r="Y26" s="661"/>
      <c r="Z26" s="661"/>
    </row>
    <row r="27" ht="24.0" customHeight="1" outlineLevel="1">
      <c r="A27" s="661"/>
      <c r="B27" s="729"/>
      <c r="C27" s="730"/>
      <c r="D27" s="730"/>
      <c r="E27" s="730"/>
      <c r="F27" s="730"/>
      <c r="G27" s="731"/>
      <c r="H27" s="730"/>
      <c r="I27" s="730"/>
      <c r="J27" s="730"/>
      <c r="K27" s="730"/>
      <c r="L27" s="756"/>
      <c r="M27" s="755"/>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476</v>
      </c>
      <c r="W27" s="661"/>
      <c r="X27" s="757"/>
      <c r="Y27" s="661"/>
      <c r="Z27" s="661"/>
    </row>
    <row r="28" ht="24.0" customHeight="1" outlineLevel="1">
      <c r="A28" s="661"/>
      <c r="B28" s="729"/>
      <c r="C28" s="730"/>
      <c r="D28" s="730"/>
      <c r="E28" s="730"/>
      <c r="F28" s="730"/>
      <c r="G28" s="731"/>
      <c r="H28" s="730"/>
      <c r="I28" s="730"/>
      <c r="J28" s="730"/>
      <c r="K28" s="730"/>
      <c r="L28" s="756"/>
      <c r="M28" s="755"/>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483</v>
      </c>
      <c r="W28" s="661"/>
      <c r="X28" s="757"/>
      <c r="Y28" s="661"/>
      <c r="Z28" s="661"/>
    </row>
    <row r="29" ht="24.0" customHeight="1" outlineLevel="1">
      <c r="A29" s="661"/>
      <c r="B29" s="729"/>
      <c r="C29" s="730"/>
      <c r="D29" s="730"/>
      <c r="E29" s="730"/>
      <c r="F29" s="697"/>
      <c r="G29" s="698"/>
      <c r="H29" s="697"/>
      <c r="I29" s="697"/>
      <c r="J29" s="697"/>
      <c r="K29" s="697"/>
      <c r="L29" s="756"/>
      <c r="M29" s="755"/>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165</v>
      </c>
      <c r="W29" s="661"/>
      <c r="X29" s="757"/>
      <c r="Y29" s="661"/>
      <c r="Z29" s="661"/>
    </row>
    <row r="30" ht="18.0" customHeight="1" outlineLevel="1">
      <c r="A30" s="661"/>
      <c r="B30" s="738"/>
      <c r="C30" s="697"/>
      <c r="D30" s="697"/>
      <c r="E30" s="697"/>
      <c r="F30" s="758" t="s">
        <v>517</v>
      </c>
      <c r="G30" s="759" t="s">
        <v>607</v>
      </c>
      <c r="H30" s="741"/>
      <c r="I30" s="741"/>
      <c r="J30" s="741"/>
      <c r="K30" s="741"/>
      <c r="L30" s="759"/>
      <c r="M30" s="759"/>
      <c r="N30" s="759"/>
      <c r="O30" s="759"/>
      <c r="P30" s="759"/>
      <c r="Q30" s="760"/>
      <c r="R30" s="661"/>
      <c r="S30" s="228" t="str">
        <f t="array" ref="S30">IFERROR(INDEX('💻シート作成'!$D$6:$D1001, MATCH(T30, '💻シート作成'!$E$6:$E1001, 0)), "")</f>
        <v>9月</v>
      </c>
      <c r="T30" s="172" t="str">
        <f>IFERROR(__xludf.DUMMYFUNCTION("""COMPUTED_VALUE"""),"③R8_9日報")</f>
        <v>③R8_9日報</v>
      </c>
      <c r="U30" s="664"/>
      <c r="V30" s="715" t="s">
        <v>159</v>
      </c>
      <c r="W30" s="661"/>
      <c r="X30" s="757"/>
      <c r="Y30" s="661"/>
      <c r="Z30" s="661"/>
    </row>
    <row r="31" ht="17.25" customHeight="1" outlineLevel="1">
      <c r="A31" s="661"/>
      <c r="B31" s="761"/>
      <c r="C31" s="762">
        <f>IF(C20="","",IF(DAY(C20+1)=1,"",C20+1))</f>
        <v>46084</v>
      </c>
      <c r="D31" s="763" t="str">
        <f>TEXT(C31,"ddd")</f>
        <v>火</v>
      </c>
      <c r="E31" s="764"/>
      <c r="F31" s="765" t="s">
        <v>142</v>
      </c>
      <c r="G31" s="766" t="s">
        <v>608</v>
      </c>
      <c r="H31" s="767"/>
      <c r="I31" s="768">
        <v>0.0</v>
      </c>
      <c r="J31" s="767" t="s">
        <v>609</v>
      </c>
      <c r="K31" s="767" t="s">
        <v>610</v>
      </c>
      <c r="L31" s="769"/>
      <c r="M31" s="769"/>
      <c r="N31" s="765"/>
      <c r="O31" s="770"/>
      <c r="P31" s="771"/>
      <c r="Q31" s="772"/>
      <c r="R31" s="661"/>
      <c r="S31" s="228" t="str">
        <f t="array" ref="S31">IFERROR(INDEX('💻シート作成'!$D$6:$D1001, MATCH(T31, '💻シート作成'!$E$6:$E1001, 0)), "")</f>
        <v>9月</v>
      </c>
      <c r="T31" s="172" t="str">
        <f>IFERROR(__xludf.DUMMYFUNCTION("""COMPUTED_VALUE"""),"④R8_9月報")</f>
        <v>④R8_9月報</v>
      </c>
      <c r="U31" s="664"/>
      <c r="V31" s="715" t="s">
        <v>480</v>
      </c>
      <c r="W31" s="661"/>
      <c r="X31" s="757"/>
      <c r="Y31" s="661"/>
      <c r="Z31" s="661"/>
    </row>
    <row r="32" ht="17.25" customHeight="1" outlineLevel="1">
      <c r="A32" s="661"/>
      <c r="B32" s="729"/>
      <c r="C32" s="730"/>
      <c r="D32" s="730"/>
      <c r="E32" s="730"/>
      <c r="F32" s="730"/>
      <c r="G32" s="731"/>
      <c r="H32" s="730"/>
      <c r="I32" s="730"/>
      <c r="J32" s="730"/>
      <c r="K32" s="730"/>
      <c r="L32" s="769"/>
      <c r="M32" s="769"/>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125</v>
      </c>
      <c r="W32" s="661"/>
      <c r="X32" s="757"/>
      <c r="Y32" s="661"/>
      <c r="Z32" s="661"/>
    </row>
    <row r="33" ht="17.25" customHeight="1" outlineLevel="1">
      <c r="A33" s="661"/>
      <c r="B33" s="729"/>
      <c r="C33" s="730"/>
      <c r="D33" s="730"/>
      <c r="E33" s="730"/>
      <c r="F33" s="730"/>
      <c r="G33" s="731"/>
      <c r="H33" s="730"/>
      <c r="I33" s="730"/>
      <c r="J33" s="730"/>
      <c r="K33" s="730"/>
      <c r="L33" s="769"/>
      <c r="M33" s="769"/>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521</v>
      </c>
      <c r="W33" s="661"/>
      <c r="X33" s="757"/>
      <c r="Y33" s="661"/>
      <c r="Z33" s="661"/>
    </row>
    <row r="34" ht="17.25" customHeight="1" outlineLevel="1">
      <c r="A34" s="661"/>
      <c r="B34" s="729"/>
      <c r="C34" s="730"/>
      <c r="D34" s="730"/>
      <c r="E34" s="730"/>
      <c r="F34" s="730"/>
      <c r="G34" s="731"/>
      <c r="H34" s="730"/>
      <c r="I34" s="730"/>
      <c r="J34" s="730"/>
      <c r="K34" s="730"/>
      <c r="L34" s="773"/>
      <c r="M34" s="769"/>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481</v>
      </c>
      <c r="W34" s="661"/>
      <c r="X34" s="757"/>
      <c r="Y34" s="661"/>
      <c r="Z34" s="661"/>
    </row>
    <row r="35" ht="17.25" customHeight="1" outlineLevel="1">
      <c r="A35" s="661"/>
      <c r="B35" s="729"/>
      <c r="C35" s="730"/>
      <c r="D35" s="730"/>
      <c r="E35" s="730"/>
      <c r="F35" s="730"/>
      <c r="G35" s="731"/>
      <c r="H35" s="730"/>
      <c r="I35" s="730"/>
      <c r="J35" s="730"/>
      <c r="K35" s="730"/>
      <c r="L35" s="773"/>
      <c r="M35" s="769"/>
      <c r="N35" s="730"/>
      <c r="O35" s="733"/>
      <c r="Q35" s="728"/>
      <c r="R35" s="661"/>
      <c r="S35" s="228" t="str">
        <f t="array" ref="S35">IFERROR(INDEX('💻シート作成'!$D$6:$D1001, MATCH(T35, '💻シート作成'!$E$6:$E1001, 0)), "")</f>
        <v>8月</v>
      </c>
      <c r="T35" s="172" t="str">
        <f>IFERROR(__xludf.DUMMYFUNCTION("""COMPUTED_VALUE"""),"④R8_8月報")</f>
        <v>④R8_8月報</v>
      </c>
      <c r="U35" s="664"/>
      <c r="V35" s="774" t="s">
        <v>482</v>
      </c>
      <c r="W35" s="661"/>
      <c r="X35" s="757"/>
      <c r="Y35" s="661"/>
      <c r="Z35" s="661"/>
    </row>
    <row r="36" ht="17.25" customHeight="1" outlineLevel="1">
      <c r="A36" s="661"/>
      <c r="B36" s="729"/>
      <c r="C36" s="730"/>
      <c r="D36" s="730"/>
      <c r="E36" s="730"/>
      <c r="F36" s="730"/>
      <c r="G36" s="731"/>
      <c r="H36" s="730"/>
      <c r="I36" s="730"/>
      <c r="J36" s="730"/>
      <c r="K36" s="730"/>
      <c r="L36" s="773"/>
      <c r="M36" s="769"/>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611</v>
      </c>
      <c r="W36" s="661"/>
      <c r="X36" s="757"/>
      <c r="Y36" s="661"/>
      <c r="Z36" s="661"/>
    </row>
    <row r="37" ht="17.25" customHeight="1" outlineLevel="1">
      <c r="A37" s="661"/>
      <c r="B37" s="729"/>
      <c r="C37" s="730"/>
      <c r="D37" s="730"/>
      <c r="E37" s="730"/>
      <c r="F37" s="730"/>
      <c r="G37" s="731"/>
      <c r="H37" s="730"/>
      <c r="I37" s="730"/>
      <c r="J37" s="730"/>
      <c r="K37" s="730"/>
      <c r="L37" s="773"/>
      <c r="M37" s="769"/>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120</v>
      </c>
      <c r="W37" s="661"/>
      <c r="X37" s="757"/>
      <c r="Y37" s="661"/>
      <c r="Z37" s="661"/>
    </row>
    <row r="38" ht="17.25" customHeight="1" outlineLevel="1">
      <c r="A38" s="661"/>
      <c r="B38" s="729"/>
      <c r="C38" s="730"/>
      <c r="D38" s="730"/>
      <c r="E38" s="730"/>
      <c r="F38" s="730"/>
      <c r="G38" s="731"/>
      <c r="H38" s="730"/>
      <c r="I38" s="730"/>
      <c r="J38" s="730"/>
      <c r="K38" s="730"/>
      <c r="L38" s="773"/>
      <c r="M38" s="769"/>
      <c r="N38" s="730"/>
      <c r="O38" s="733"/>
      <c r="Q38" s="728"/>
      <c r="R38" s="661"/>
      <c r="S38" s="228" t="str">
        <f t="array" ref="S38">IFERROR(INDEX('💻シート作成'!$D$6:$D1001, MATCH(T38, '💻シート作成'!$E$6:$E1001, 0)), "")</f>
        <v>7月</v>
      </c>
      <c r="T38" s="172" t="str">
        <f>IFERROR(__xludf.DUMMYFUNCTION("""COMPUTED_VALUE"""),"③R8_7日報")</f>
        <v>③R8_7日報</v>
      </c>
      <c r="U38" s="664"/>
      <c r="V38" s="774"/>
      <c r="W38" s="661"/>
      <c r="X38" s="757"/>
      <c r="Y38" s="661"/>
      <c r="Z38" s="661"/>
    </row>
    <row r="39" ht="17.25" customHeight="1" outlineLevel="1">
      <c r="A39" s="661"/>
      <c r="B39" s="729"/>
      <c r="C39" s="730"/>
      <c r="D39" s="730"/>
      <c r="E39" s="730"/>
      <c r="F39" s="730"/>
      <c r="G39" s="731"/>
      <c r="H39" s="730"/>
      <c r="I39" s="730"/>
      <c r="J39" s="730"/>
      <c r="K39" s="730"/>
      <c r="L39" s="773"/>
      <c r="M39" s="769"/>
      <c r="N39" s="730"/>
      <c r="O39" s="733"/>
      <c r="Q39" s="728"/>
      <c r="R39" s="661"/>
      <c r="S39" s="228" t="str">
        <f t="array" ref="S39">IFERROR(INDEX('💻シート作成'!$D$6:$D1001, MATCH(T39, '💻シート作成'!$E$6:$E1001, 0)), "")</f>
        <v>7月</v>
      </c>
      <c r="T39" s="172" t="str">
        <f>IFERROR(__xludf.DUMMYFUNCTION("""COMPUTED_VALUE"""),"④R8_7月報")</f>
        <v>④R8_7月報</v>
      </c>
      <c r="U39" s="664"/>
      <c r="V39" s="774"/>
      <c r="W39" s="661"/>
      <c r="X39" s="757"/>
      <c r="Y39" s="661"/>
      <c r="Z39" s="661"/>
    </row>
    <row r="40" ht="17.25" customHeight="1" outlineLevel="1">
      <c r="A40" s="661"/>
      <c r="B40" s="729"/>
      <c r="C40" s="730"/>
      <c r="D40" s="730"/>
      <c r="E40" s="730"/>
      <c r="F40" s="697"/>
      <c r="G40" s="698"/>
      <c r="H40" s="697"/>
      <c r="I40" s="697"/>
      <c r="J40" s="697"/>
      <c r="K40" s="697"/>
      <c r="L40" s="773"/>
      <c r="M40" s="769"/>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4"/>
      <c r="W40" s="661"/>
      <c r="X40" s="757"/>
      <c r="Y40" s="661"/>
      <c r="Z40" s="661"/>
    </row>
    <row r="41" ht="18.0" customHeight="1" outlineLevel="1">
      <c r="A41" s="661"/>
      <c r="B41" s="738"/>
      <c r="C41" s="697"/>
      <c r="D41" s="697"/>
      <c r="E41" s="697"/>
      <c r="F41" s="739" t="s">
        <v>517</v>
      </c>
      <c r="G41" s="740" t="s">
        <v>612</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4"/>
      <c r="W41" s="661"/>
      <c r="X41" s="757"/>
      <c r="Y41" s="661"/>
      <c r="Z41" s="661"/>
    </row>
    <row r="42" ht="49.5" customHeight="1" outlineLevel="1">
      <c r="A42" s="661"/>
      <c r="B42" s="743"/>
      <c r="C42" s="744">
        <f>IF(C31="","",IF(DAY(C31+1)=1,"",C31+1))</f>
        <v>46085</v>
      </c>
      <c r="D42" s="745" t="str">
        <f>TEXT(C42,"ddd")</f>
        <v>水</v>
      </c>
      <c r="E42" s="746"/>
      <c r="F42" s="775" t="s">
        <v>132</v>
      </c>
      <c r="G42" s="776" t="s">
        <v>613</v>
      </c>
      <c r="H42" s="777"/>
      <c r="I42" s="778">
        <v>0.65625</v>
      </c>
      <c r="J42" s="777">
        <v>6.0</v>
      </c>
      <c r="K42" s="777">
        <v>3.0</v>
      </c>
      <c r="L42" s="755" t="s">
        <v>468</v>
      </c>
      <c r="M42" s="755" t="s">
        <v>614</v>
      </c>
      <c r="N42" s="775" t="s">
        <v>615</v>
      </c>
      <c r="O42" s="779"/>
      <c r="P42" s="771"/>
      <c r="Q42" s="772"/>
      <c r="R42" s="661"/>
      <c r="S42" s="228" t="str">
        <f t="array" ref="S42">IFERROR(INDEX('💻シート作成'!$D$6:$D1001, MATCH(T42, '💻シート作成'!$E$6:$E1001, 0)), "")</f>
        <v>6月</v>
      </c>
      <c r="T42" s="172" t="str">
        <f>IFERROR(__xludf.DUMMYFUNCTION("""COMPUTED_VALUE"""),"③R8_6日報")</f>
        <v>③R8_6日報</v>
      </c>
      <c r="U42" s="664"/>
      <c r="V42" s="774"/>
      <c r="W42" s="661"/>
      <c r="X42" s="757"/>
      <c r="Y42" s="661"/>
      <c r="Z42" s="661"/>
    </row>
    <row r="43" ht="49.5" customHeight="1" outlineLevel="1">
      <c r="A43" s="661"/>
      <c r="B43" s="729"/>
      <c r="C43" s="730"/>
      <c r="D43" s="730"/>
      <c r="E43" s="730"/>
      <c r="F43" s="730"/>
      <c r="G43" s="731"/>
      <c r="H43" s="730"/>
      <c r="I43" s="730"/>
      <c r="J43" s="730"/>
      <c r="K43" s="730"/>
      <c r="L43" s="755"/>
      <c r="M43" s="755"/>
      <c r="N43" s="730"/>
      <c r="O43" s="733"/>
      <c r="Q43" s="728"/>
      <c r="R43" s="661"/>
      <c r="S43" s="228" t="str">
        <f t="array" ref="S43">IFERROR(INDEX('💻シート作成'!$D$6:$D1001, MATCH(T43, '💻シート作成'!$E$6:$E1001, 0)), "")</f>
        <v>6月</v>
      </c>
      <c r="T43" s="172" t="str">
        <f>IFERROR(__xludf.DUMMYFUNCTION("""COMPUTED_VALUE"""),"④R8_6月報")</f>
        <v>④R8_6月報</v>
      </c>
      <c r="U43" s="664"/>
      <c r="V43" s="774"/>
      <c r="W43" s="661"/>
      <c r="X43" s="757"/>
      <c r="Y43" s="661"/>
      <c r="Z43" s="661"/>
    </row>
    <row r="44" ht="49.5" customHeight="1" outlineLevel="1">
      <c r="A44" s="661"/>
      <c r="B44" s="729"/>
      <c r="C44" s="730"/>
      <c r="D44" s="730"/>
      <c r="E44" s="730"/>
      <c r="F44" s="730"/>
      <c r="G44" s="731"/>
      <c r="H44" s="730"/>
      <c r="I44" s="730"/>
      <c r="J44" s="730"/>
      <c r="K44" s="730"/>
      <c r="L44" s="755"/>
      <c r="M44" s="755"/>
      <c r="N44" s="730"/>
      <c r="O44" s="733"/>
      <c r="Q44" s="728"/>
      <c r="R44" s="661"/>
      <c r="S44" s="228" t="str">
        <f t="array" ref="S44">IFERROR(INDEX('💻シート作成'!$D$6:$D1001, MATCH(T44, '💻シート作成'!$E$6:$E1001, 0)), "")</f>
        <v>5月</v>
      </c>
      <c r="T44" s="172" t="str">
        <f>IFERROR(__xludf.DUMMYFUNCTION("""COMPUTED_VALUE"""),"①R8_5集計")</f>
        <v>①R8_5集計</v>
      </c>
      <c r="U44" s="664"/>
      <c r="V44" s="774"/>
      <c r="W44" s="661"/>
      <c r="X44" s="757"/>
      <c r="Y44" s="661"/>
      <c r="Z44" s="661"/>
    </row>
    <row r="45" ht="49.5" customHeight="1" outlineLevel="1">
      <c r="A45" s="661"/>
      <c r="B45" s="729"/>
      <c r="C45" s="730"/>
      <c r="D45" s="730"/>
      <c r="E45" s="730"/>
      <c r="F45" s="730"/>
      <c r="G45" s="731"/>
      <c r="H45" s="730"/>
      <c r="I45" s="730"/>
      <c r="J45" s="730"/>
      <c r="K45" s="730"/>
      <c r="L45" s="756"/>
      <c r="M45" s="755"/>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4"/>
      <c r="W45" s="661"/>
      <c r="X45" s="757"/>
      <c r="Y45" s="661"/>
      <c r="Z45" s="661"/>
    </row>
    <row r="46" ht="49.5" customHeight="1" outlineLevel="1">
      <c r="A46" s="661"/>
      <c r="B46" s="729"/>
      <c r="C46" s="730"/>
      <c r="D46" s="730"/>
      <c r="E46" s="730"/>
      <c r="F46" s="730"/>
      <c r="G46" s="731"/>
      <c r="H46" s="730"/>
      <c r="I46" s="730"/>
      <c r="J46" s="730"/>
      <c r="K46" s="730"/>
      <c r="L46" s="756"/>
      <c r="M46" s="755"/>
      <c r="N46" s="730"/>
      <c r="O46" s="733"/>
      <c r="Q46" s="728"/>
      <c r="R46" s="661"/>
      <c r="S46" s="228" t="str">
        <f t="array" ref="S46">IFERROR(INDEX('💻シート作成'!$D$6:$D1001, MATCH(T46, '💻シート作成'!$E$6:$E1001, 0)), "")</f>
        <v>5月</v>
      </c>
      <c r="T46" s="172" t="str">
        <f>IFERROR(__xludf.DUMMYFUNCTION("""COMPUTED_VALUE"""),"③R8_5日報")</f>
        <v>③R8_5日報</v>
      </c>
      <c r="U46" s="664"/>
      <c r="V46" s="774"/>
      <c r="W46" s="661"/>
      <c r="X46" s="757"/>
      <c r="Y46" s="661"/>
      <c r="Z46" s="661"/>
    </row>
    <row r="47" ht="49.5" customHeight="1" outlineLevel="1">
      <c r="A47" s="661"/>
      <c r="B47" s="729"/>
      <c r="C47" s="730"/>
      <c r="D47" s="730"/>
      <c r="E47" s="730"/>
      <c r="F47" s="730"/>
      <c r="G47" s="731"/>
      <c r="H47" s="730"/>
      <c r="I47" s="730"/>
      <c r="J47" s="730"/>
      <c r="K47" s="730"/>
      <c r="L47" s="756"/>
      <c r="M47" s="755"/>
      <c r="N47" s="730"/>
      <c r="O47" s="733"/>
      <c r="Q47" s="728"/>
      <c r="R47" s="661"/>
      <c r="S47" s="228" t="str">
        <f t="array" ref="S47">IFERROR(INDEX('💻シート作成'!$D$6:$D1001, MATCH(T47, '💻シート作成'!$E$6:$E1001, 0)), "")</f>
        <v>5月</v>
      </c>
      <c r="T47" s="172" t="str">
        <f>IFERROR(__xludf.DUMMYFUNCTION("""COMPUTED_VALUE"""),"④R8_5月報")</f>
        <v>④R8_5月報</v>
      </c>
      <c r="U47" s="664"/>
      <c r="V47" s="774"/>
      <c r="W47" s="661"/>
      <c r="X47" s="757"/>
      <c r="Y47" s="661"/>
      <c r="Z47" s="661"/>
    </row>
    <row r="48" ht="49.5" customHeight="1" outlineLevel="1">
      <c r="A48" s="661"/>
      <c r="B48" s="729"/>
      <c r="C48" s="730"/>
      <c r="D48" s="730"/>
      <c r="E48" s="730"/>
      <c r="F48" s="730"/>
      <c r="G48" s="731"/>
      <c r="H48" s="730"/>
      <c r="I48" s="730"/>
      <c r="J48" s="730"/>
      <c r="K48" s="730"/>
      <c r="L48" s="756"/>
      <c r="M48" s="755"/>
      <c r="N48" s="730"/>
      <c r="O48" s="733"/>
      <c r="Q48" s="728"/>
      <c r="R48" s="661"/>
      <c r="S48" s="228" t="str">
        <f t="array" ref="S48">IFERROR(INDEX('💻シート作成'!$D$6:$D1001, MATCH(T48, '💻シート作成'!$E$6:$E1001, 0)), "")</f>
        <v>4月</v>
      </c>
      <c r="T48" s="171" t="str">
        <f>IFERROR(__xludf.DUMMYFUNCTION("""COMPUTED_VALUE"""),"①R8_4集計")</f>
        <v>①R8_4集計</v>
      </c>
      <c r="U48" s="664"/>
      <c r="V48" s="774"/>
      <c r="W48" s="661"/>
      <c r="X48" s="757"/>
      <c r="Y48" s="661"/>
      <c r="Z48" s="661"/>
    </row>
    <row r="49" ht="49.5" customHeight="1" outlineLevel="1">
      <c r="A49" s="661"/>
      <c r="B49" s="729"/>
      <c r="C49" s="730"/>
      <c r="D49" s="730"/>
      <c r="E49" s="730"/>
      <c r="F49" s="730"/>
      <c r="G49" s="731"/>
      <c r="H49" s="730"/>
      <c r="I49" s="730"/>
      <c r="J49" s="730"/>
      <c r="K49" s="730"/>
      <c r="L49" s="756"/>
      <c r="M49" s="755"/>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4"/>
      <c r="W49" s="661"/>
      <c r="X49" s="757"/>
      <c r="Y49" s="661"/>
      <c r="Z49" s="661"/>
    </row>
    <row r="50" ht="49.5" customHeight="1" outlineLevel="1">
      <c r="A50" s="661"/>
      <c r="B50" s="729"/>
      <c r="C50" s="730"/>
      <c r="D50" s="730"/>
      <c r="E50" s="730"/>
      <c r="F50" s="730"/>
      <c r="G50" s="731"/>
      <c r="H50" s="730"/>
      <c r="I50" s="730"/>
      <c r="J50" s="730"/>
      <c r="K50" s="730"/>
      <c r="L50" s="756"/>
      <c r="M50" s="755"/>
      <c r="N50" s="730"/>
      <c r="O50" s="733"/>
      <c r="Q50" s="728"/>
      <c r="R50" s="661"/>
      <c r="S50" s="228" t="str">
        <f t="array" ref="S50">IFERROR(INDEX('💻シート作成'!$D$6:$D1001, MATCH(T50, '💻シート作成'!$E$6:$E1001, 0)), "")</f>
        <v>4月</v>
      </c>
      <c r="T50" s="171" t="str">
        <f>IFERROR(__xludf.DUMMYFUNCTION("""COMPUTED_VALUE"""),"③R8_4日報")</f>
        <v>③R8_4日報</v>
      </c>
      <c r="U50" s="664"/>
      <c r="V50" s="774"/>
      <c r="W50" s="661"/>
      <c r="X50" s="757"/>
      <c r="Y50" s="661"/>
      <c r="Z50" s="661"/>
    </row>
    <row r="51" ht="49.5" customHeight="1" outlineLevel="1">
      <c r="A51" s="661"/>
      <c r="B51" s="729"/>
      <c r="C51" s="730"/>
      <c r="D51" s="730"/>
      <c r="E51" s="730"/>
      <c r="F51" s="697"/>
      <c r="G51" s="698"/>
      <c r="H51" s="697"/>
      <c r="I51" s="697"/>
      <c r="J51" s="697"/>
      <c r="K51" s="697"/>
      <c r="L51" s="756"/>
      <c r="M51" s="755"/>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4"/>
      <c r="W51" s="661"/>
      <c r="X51" s="757"/>
      <c r="Y51" s="661"/>
      <c r="Z51" s="661"/>
    </row>
    <row r="52" ht="18.0" customHeight="1" outlineLevel="1">
      <c r="A52" s="661"/>
      <c r="B52" s="738"/>
      <c r="C52" s="697"/>
      <c r="D52" s="697"/>
      <c r="E52" s="697"/>
      <c r="F52" s="758" t="s">
        <v>517</v>
      </c>
      <c r="G52" s="759" t="s">
        <v>616</v>
      </c>
      <c r="H52" s="741"/>
      <c r="I52" s="741"/>
      <c r="J52" s="741"/>
      <c r="K52" s="741"/>
      <c r="L52" s="759"/>
      <c r="M52" s="759"/>
      <c r="N52" s="759"/>
      <c r="O52" s="759"/>
      <c r="P52" s="759"/>
      <c r="Q52" s="760"/>
      <c r="R52" s="661"/>
      <c r="S52" s="228" t="str">
        <f t="array" ref="S52">IFERROR(INDEX('💻シート作成'!$D$6:$D1001, MATCH(T52, '💻シート作成'!$E$6:$E1001, 0)), "")</f>
        <v>3月</v>
      </c>
      <c r="T52" s="171" t="str">
        <f>IFERROR(__xludf.DUMMYFUNCTION("""COMPUTED_VALUE"""),"①R8_3集計")</f>
        <v>①R8_3集計</v>
      </c>
      <c r="U52" s="664"/>
      <c r="V52" s="774"/>
      <c r="W52" s="661"/>
      <c r="X52" s="757"/>
      <c r="Y52" s="661"/>
      <c r="Z52" s="661"/>
    </row>
    <row r="53" ht="65.25" customHeight="1" outlineLevel="1">
      <c r="A53" s="661"/>
      <c r="B53" s="761"/>
      <c r="C53" s="762">
        <f>IF(C42="","",IF(DAY(C42+1)=1,"",C42+1))</f>
        <v>46086</v>
      </c>
      <c r="D53" s="763" t="str">
        <f>TEXT(C53,"ddd")</f>
        <v>木</v>
      </c>
      <c r="E53" s="764"/>
      <c r="F53" s="765" t="s">
        <v>132</v>
      </c>
      <c r="G53" s="766" t="s">
        <v>617</v>
      </c>
      <c r="H53" s="767"/>
      <c r="I53" s="768">
        <v>0.6666666666666666</v>
      </c>
      <c r="J53" s="767">
        <v>6.0</v>
      </c>
      <c r="K53" s="767">
        <v>3.0</v>
      </c>
      <c r="L53" s="769" t="s">
        <v>521</v>
      </c>
      <c r="M53" s="769" t="s">
        <v>618</v>
      </c>
      <c r="N53" s="765" t="s">
        <v>619</v>
      </c>
      <c r="O53" s="770"/>
      <c r="P53" s="771"/>
      <c r="Q53" s="772"/>
      <c r="R53" s="661"/>
      <c r="S53" s="228" t="str">
        <f t="array" ref="S53">IFERROR(INDEX('💻シート作成'!$D$6:$D1001, MATCH(T53, '💻シート作成'!$E$6:$E1001, 0)), "")</f>
        <v>3月</v>
      </c>
      <c r="T53" s="171" t="str">
        <f>IFERROR(__xludf.DUMMYFUNCTION("""COMPUTED_VALUE"""),"②R8_3シフト")</f>
        <v>②R8_3シフト</v>
      </c>
      <c r="U53" s="664"/>
      <c r="V53" s="774"/>
      <c r="W53" s="661"/>
      <c r="X53" s="757"/>
      <c r="Y53" s="661"/>
      <c r="Z53" s="661"/>
    </row>
    <row r="54" ht="65.25" customHeight="1" outlineLevel="1">
      <c r="A54" s="661"/>
      <c r="B54" s="729"/>
      <c r="C54" s="730"/>
      <c r="D54" s="730"/>
      <c r="E54" s="730"/>
      <c r="F54" s="730"/>
      <c r="G54" s="731"/>
      <c r="H54" s="730"/>
      <c r="I54" s="730"/>
      <c r="J54" s="730"/>
      <c r="K54" s="730"/>
      <c r="L54" s="769" t="s">
        <v>480</v>
      </c>
      <c r="M54" s="769" t="s">
        <v>620</v>
      </c>
      <c r="N54" s="730"/>
      <c r="O54" s="733"/>
      <c r="Q54" s="728"/>
      <c r="R54" s="661"/>
      <c r="S54" s="228" t="str">
        <f t="array" ref="S54">IFERROR(INDEX('💻シート作成'!$D$6:$D1001, MATCH(T54, '💻シート作成'!$E$6:$E1001, 0)), "")</f>
        <v>3月</v>
      </c>
      <c r="T54" s="171" t="str">
        <f>IFERROR(__xludf.DUMMYFUNCTION("""COMPUTED_VALUE"""),"③R8_3日報")</f>
        <v>③R8_3日報</v>
      </c>
      <c r="U54" s="664"/>
      <c r="V54" s="774"/>
      <c r="W54" s="661"/>
      <c r="X54" s="757"/>
      <c r="Y54" s="661"/>
      <c r="Z54" s="661"/>
    </row>
    <row r="55" ht="65.25" customHeight="1" outlineLevel="1">
      <c r="A55" s="661"/>
      <c r="B55" s="729"/>
      <c r="C55" s="730"/>
      <c r="D55" s="730"/>
      <c r="E55" s="730"/>
      <c r="F55" s="730"/>
      <c r="G55" s="731"/>
      <c r="H55" s="730"/>
      <c r="I55" s="730"/>
      <c r="J55" s="730"/>
      <c r="K55" s="730"/>
      <c r="L55" s="769"/>
      <c r="M55" s="769"/>
      <c r="N55" s="730"/>
      <c r="O55" s="733"/>
      <c r="Q55" s="728"/>
      <c r="R55" s="661"/>
      <c r="S55" s="228" t="str">
        <f t="array" ref="S55">IFERROR(INDEX('💻シート作成'!$D$6:$D1001, MATCH(T55, '💻シート作成'!$E$6:$E1001, 0)), "")</f>
        <v>3月</v>
      </c>
      <c r="T55" s="171" t="str">
        <f>IFERROR(__xludf.DUMMYFUNCTION("""COMPUTED_VALUE"""),"④R8_3月報")</f>
        <v>④R8_3月報</v>
      </c>
      <c r="U55" s="664"/>
      <c r="V55" s="774"/>
      <c r="W55" s="661"/>
      <c r="X55" s="757"/>
      <c r="Y55" s="661"/>
      <c r="Z55" s="661"/>
    </row>
    <row r="56" ht="65.25" customHeight="1" outlineLevel="1">
      <c r="A56" s="661"/>
      <c r="B56" s="729"/>
      <c r="C56" s="730"/>
      <c r="D56" s="730"/>
      <c r="E56" s="730"/>
      <c r="F56" s="730"/>
      <c r="G56" s="731"/>
      <c r="H56" s="730"/>
      <c r="I56" s="730"/>
      <c r="J56" s="730"/>
      <c r="K56" s="730"/>
      <c r="L56" s="773"/>
      <c r="M56" s="769"/>
      <c r="N56" s="730"/>
      <c r="O56" s="733"/>
      <c r="Q56" s="728"/>
      <c r="R56" s="661"/>
      <c r="S56" s="228" t="str">
        <f t="array" ref="S56">IFERROR(INDEX('💻シート作成'!$D$6:$D1001, MATCH(T56, '💻シート作成'!$E$6:$E1001, 0)), "")</f>
        <v>2月</v>
      </c>
      <c r="T56" s="171" t="str">
        <f>IFERROR(__xludf.DUMMYFUNCTION("""COMPUTED_VALUE"""),"①R8_2集計")</f>
        <v>①R8_2集計</v>
      </c>
      <c r="U56" s="664"/>
      <c r="V56" s="774"/>
      <c r="W56" s="661"/>
      <c r="X56" s="757"/>
      <c r="Y56" s="661"/>
      <c r="Z56" s="661"/>
    </row>
    <row r="57" ht="65.25" customHeight="1" outlineLevel="1">
      <c r="A57" s="661"/>
      <c r="B57" s="729"/>
      <c r="C57" s="730"/>
      <c r="D57" s="730"/>
      <c r="E57" s="730"/>
      <c r="F57" s="730"/>
      <c r="G57" s="731"/>
      <c r="H57" s="730"/>
      <c r="I57" s="730"/>
      <c r="J57" s="730"/>
      <c r="K57" s="730"/>
      <c r="L57" s="773"/>
      <c r="M57" s="769"/>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4"/>
      <c r="W57" s="661"/>
      <c r="X57" s="757"/>
      <c r="Y57" s="661"/>
      <c r="Z57" s="661"/>
    </row>
    <row r="58" ht="65.25" customHeight="1" outlineLevel="1">
      <c r="A58" s="661"/>
      <c r="B58" s="729"/>
      <c r="C58" s="730"/>
      <c r="D58" s="730"/>
      <c r="E58" s="730"/>
      <c r="F58" s="730"/>
      <c r="G58" s="731"/>
      <c r="H58" s="730"/>
      <c r="I58" s="730"/>
      <c r="J58" s="730"/>
      <c r="K58" s="730"/>
      <c r="L58" s="773"/>
      <c r="M58" s="769"/>
      <c r="N58" s="730"/>
      <c r="O58" s="733"/>
      <c r="Q58" s="728"/>
      <c r="R58" s="661"/>
      <c r="S58" s="228" t="str">
        <f t="array" ref="S58">IFERROR(INDEX('💻シート作成'!$D$6:$D1001, MATCH(T58, '💻シート作成'!$E$6:$E1001, 0)), "")</f>
        <v>2月</v>
      </c>
      <c r="T58" s="171" t="str">
        <f>IFERROR(__xludf.DUMMYFUNCTION("""COMPUTED_VALUE"""),"③R8_2日報")</f>
        <v>③R8_2日報</v>
      </c>
      <c r="U58" s="664"/>
      <c r="V58" s="774"/>
      <c r="W58" s="661"/>
      <c r="X58" s="757"/>
      <c r="Y58" s="661"/>
      <c r="Z58" s="661"/>
    </row>
    <row r="59" ht="65.25" customHeight="1" outlineLevel="1">
      <c r="A59" s="661"/>
      <c r="B59" s="729"/>
      <c r="C59" s="730"/>
      <c r="D59" s="730"/>
      <c r="E59" s="730"/>
      <c r="F59" s="730"/>
      <c r="G59" s="731"/>
      <c r="H59" s="730"/>
      <c r="I59" s="730"/>
      <c r="J59" s="730"/>
      <c r="K59" s="730"/>
      <c r="L59" s="773"/>
      <c r="M59" s="769"/>
      <c r="N59" s="730"/>
      <c r="O59" s="733"/>
      <c r="Q59" s="728"/>
      <c r="R59" s="661"/>
      <c r="S59" s="228" t="str">
        <f t="array" ref="S59">IFERROR(INDEX('💻シート作成'!$D$6:$D1001, MATCH(T59, '💻シート作成'!$E$6:$E1001, 0)), "")</f>
        <v>2月</v>
      </c>
      <c r="T59" s="171" t="str">
        <f>IFERROR(__xludf.DUMMYFUNCTION("""COMPUTED_VALUE"""),"④R8_2月報")</f>
        <v>④R8_2月報</v>
      </c>
      <c r="U59" s="664"/>
      <c r="V59" s="774"/>
      <c r="W59" s="661"/>
      <c r="X59" s="757"/>
      <c r="Y59" s="661"/>
      <c r="Z59" s="661"/>
    </row>
    <row r="60" ht="65.25" customHeight="1" outlineLevel="1">
      <c r="A60" s="661"/>
      <c r="B60" s="729"/>
      <c r="C60" s="730"/>
      <c r="D60" s="730"/>
      <c r="E60" s="730"/>
      <c r="F60" s="730"/>
      <c r="G60" s="731"/>
      <c r="H60" s="730"/>
      <c r="I60" s="730"/>
      <c r="J60" s="730"/>
      <c r="K60" s="730"/>
      <c r="L60" s="773"/>
      <c r="M60" s="769"/>
      <c r="N60" s="730"/>
      <c r="O60" s="733"/>
      <c r="Q60" s="728"/>
      <c r="R60" s="661"/>
      <c r="S60" s="228" t="str">
        <f t="array" ref="S60">IFERROR(INDEX('💻シート作成'!$D$6:$D1001, MATCH(T60, '💻シート作成'!$E$6:$E1001, 0)), "")</f>
        <v/>
      </c>
      <c r="T60" s="171" t="str">
        <f>IFERROR(__xludf.DUMMYFUNCTION("""COMPUTED_VALUE"""),"💻シート作成")</f>
        <v>💻シート作成</v>
      </c>
      <c r="U60" s="664"/>
      <c r="V60" s="774"/>
      <c r="W60" s="661"/>
      <c r="X60" s="757"/>
      <c r="Y60" s="661"/>
      <c r="Z60" s="661"/>
    </row>
    <row r="61" ht="65.25" customHeight="1" outlineLevel="1">
      <c r="A61" s="661"/>
      <c r="B61" s="729"/>
      <c r="C61" s="730"/>
      <c r="D61" s="730"/>
      <c r="E61" s="730"/>
      <c r="F61" s="730"/>
      <c r="G61" s="731"/>
      <c r="H61" s="730"/>
      <c r="I61" s="730"/>
      <c r="J61" s="730"/>
      <c r="K61" s="730"/>
      <c r="L61" s="773"/>
      <c r="M61" s="769"/>
      <c r="N61" s="730"/>
      <c r="O61" s="733"/>
      <c r="Q61" s="728"/>
      <c r="R61" s="661"/>
      <c r="S61" s="228" t="str">
        <f t="array" ref="S61">IFERROR(INDEX('💻シート作成'!$D$6:$D1001, MATCH(T61, '💻シート作成'!$E$6:$E1001, 0)), "")</f>
        <v/>
      </c>
      <c r="T61" s="171" t="str">
        <f>IFERROR(__xludf.DUMMYFUNCTION("""COMPUTED_VALUE"""),"🌟目標数値")</f>
        <v>🌟目標数値</v>
      </c>
      <c r="U61" s="664"/>
      <c r="V61" s="774"/>
      <c r="W61" s="661"/>
      <c r="X61" s="757"/>
      <c r="Y61" s="661"/>
      <c r="Z61" s="661"/>
    </row>
    <row r="62" ht="65.25" customHeight="1" outlineLevel="1">
      <c r="A62" s="661"/>
      <c r="B62" s="729"/>
      <c r="C62" s="730"/>
      <c r="D62" s="730"/>
      <c r="E62" s="730"/>
      <c r="F62" s="697"/>
      <c r="G62" s="698"/>
      <c r="H62" s="697"/>
      <c r="I62" s="697"/>
      <c r="J62" s="697"/>
      <c r="K62" s="697"/>
      <c r="L62" s="773"/>
      <c r="M62" s="769"/>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4"/>
      <c r="W62" s="661"/>
      <c r="X62" s="757"/>
      <c r="Y62" s="661"/>
      <c r="Z62" s="661"/>
    </row>
    <row r="63" ht="18.0" customHeight="1" outlineLevel="1">
      <c r="A63" s="661"/>
      <c r="B63" s="738"/>
      <c r="C63" s="697"/>
      <c r="D63" s="697"/>
      <c r="E63" s="697"/>
      <c r="F63" s="739" t="s">
        <v>517</v>
      </c>
      <c r="G63" s="740" t="s">
        <v>621</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4"/>
      <c r="W63" s="661"/>
      <c r="X63" s="757"/>
      <c r="Y63" s="661"/>
      <c r="Z63" s="661"/>
    </row>
    <row r="64">
      <c r="A64" s="661"/>
      <c r="B64" s="780" t="s">
        <v>522</v>
      </c>
      <c r="C64" s="781"/>
      <c r="D64" s="781"/>
      <c r="E64" s="781"/>
      <c r="F64" s="782"/>
      <c r="G64" s="783"/>
      <c r="H64" s="784"/>
      <c r="I64" s="784"/>
      <c r="J64" s="785"/>
      <c r="K64" s="785"/>
      <c r="L64" s="783"/>
      <c r="M64" s="783"/>
      <c r="N64" s="786"/>
      <c r="O64" s="787"/>
      <c r="P64" s="787"/>
      <c r="Q64" s="788"/>
      <c r="R64" s="661"/>
      <c r="S64" s="228" t="str">
        <f t="array" ref="S64">IFERROR(INDEX('💻シート作成'!$D$6:$D1001, MATCH(T64, '💻シート作成'!$E$6:$E1001, 0)), "")</f>
        <v/>
      </c>
      <c r="T64" s="171" t="str">
        <f>IFERROR(__xludf.DUMMYFUNCTION("""COMPUTED_VALUE"""),"①集計_原本")</f>
        <v>①集計_原本</v>
      </c>
      <c r="U64" s="664"/>
      <c r="V64" s="774"/>
      <c r="W64" s="661"/>
      <c r="X64" s="757"/>
      <c r="Y64" s="661"/>
      <c r="Z64" s="661"/>
    </row>
    <row r="65" outlineLevel="1">
      <c r="A65" s="661"/>
      <c r="B65" s="743"/>
      <c r="C65" s="744">
        <f>IF(C53="","",IF(DAY(C53+1)=1,"",C53+1))</f>
        <v>46087</v>
      </c>
      <c r="D65" s="745" t="str">
        <f>TEXT(C65,"ddd")</f>
        <v>金</v>
      </c>
      <c r="E65" s="746"/>
      <c r="F65" s="775" t="s">
        <v>142</v>
      </c>
      <c r="G65" s="776" t="s">
        <v>622</v>
      </c>
      <c r="H65" s="777"/>
      <c r="I65" s="778">
        <v>0.5833333333333334</v>
      </c>
      <c r="J65" s="777">
        <v>9.0</v>
      </c>
      <c r="K65" s="777">
        <v>4.0</v>
      </c>
      <c r="L65" s="755"/>
      <c r="M65" s="755"/>
      <c r="N65" s="775"/>
      <c r="O65" s="779"/>
      <c r="P65" s="771"/>
      <c r="Q65" s="772"/>
      <c r="R65" s="661"/>
      <c r="S65" s="228" t="str">
        <f t="array" ref="S65">IFERROR(INDEX('💻シート作成'!$D$6:$D1001, MATCH(T65, '💻シート作成'!$E$6:$E1001, 0)), "")</f>
        <v/>
      </c>
      <c r="T65" s="171" t="str">
        <f>IFERROR(__xludf.DUMMYFUNCTION("""COMPUTED_VALUE"""),"②シフト_原本")</f>
        <v>②シフト_原本</v>
      </c>
      <c r="U65" s="664"/>
      <c r="V65" s="774"/>
      <c r="W65" s="661"/>
      <c r="X65" s="757"/>
      <c r="Y65" s="661"/>
      <c r="Z65" s="661"/>
    </row>
    <row r="66" outlineLevel="1">
      <c r="A66" s="661"/>
      <c r="B66" s="729"/>
      <c r="C66" s="730"/>
      <c r="D66" s="730"/>
      <c r="E66" s="730"/>
      <c r="F66" s="730"/>
      <c r="G66" s="731"/>
      <c r="H66" s="730"/>
      <c r="I66" s="730"/>
      <c r="J66" s="730"/>
      <c r="K66" s="730"/>
      <c r="L66" s="755"/>
      <c r="M66" s="755"/>
      <c r="N66" s="730"/>
      <c r="O66" s="733"/>
      <c r="Q66" s="728"/>
      <c r="R66" s="661"/>
      <c r="S66" s="228" t="str">
        <f t="array" ref="S66">IFERROR(INDEX('💻シート作成'!$D$6:$D1001, MATCH(T66, '💻シート作成'!$E$6:$E1001, 0)), "")</f>
        <v/>
      </c>
      <c r="T66" s="171" t="str">
        <f>IFERROR(__xludf.DUMMYFUNCTION("""COMPUTED_VALUE"""),"③日報_原本")</f>
        <v>③日報_原本</v>
      </c>
      <c r="U66" s="664"/>
      <c r="V66" s="774"/>
      <c r="W66" s="661"/>
      <c r="X66" s="757"/>
      <c r="Y66" s="661"/>
      <c r="Z66" s="661"/>
    </row>
    <row r="67" outlineLevel="1">
      <c r="A67" s="661"/>
      <c r="B67" s="729"/>
      <c r="C67" s="730"/>
      <c r="D67" s="730"/>
      <c r="E67" s="730"/>
      <c r="F67" s="730"/>
      <c r="G67" s="731"/>
      <c r="H67" s="730"/>
      <c r="I67" s="730"/>
      <c r="J67" s="730"/>
      <c r="K67" s="730"/>
      <c r="L67" s="755"/>
      <c r="M67" s="755"/>
      <c r="N67" s="730"/>
      <c r="O67" s="733"/>
      <c r="Q67" s="728"/>
      <c r="R67" s="661"/>
      <c r="S67" s="228" t="str">
        <f t="array" ref="S67">IFERROR(INDEX('💻シート作成'!$D$6:$D1001, MATCH(T67, '💻シート作成'!$E$6:$E1001, 0)), "")</f>
        <v/>
      </c>
      <c r="T67" s="171" t="str">
        <f>IFERROR(__xludf.DUMMYFUNCTION("""COMPUTED_VALUE"""),"④月報_原本")</f>
        <v>④月報_原本</v>
      </c>
      <c r="U67" s="664"/>
      <c r="V67" s="774"/>
      <c r="W67" s="661"/>
      <c r="X67" s="757"/>
      <c r="Y67" s="661"/>
      <c r="Z67" s="661"/>
    </row>
    <row r="68" outlineLevel="1">
      <c r="A68" s="661"/>
      <c r="B68" s="729"/>
      <c r="C68" s="730"/>
      <c r="D68" s="730"/>
      <c r="E68" s="730"/>
      <c r="F68" s="730"/>
      <c r="G68" s="731"/>
      <c r="H68" s="730"/>
      <c r="I68" s="730"/>
      <c r="J68" s="730"/>
      <c r="K68" s="730"/>
      <c r="L68" s="756"/>
      <c r="M68" s="755"/>
      <c r="N68" s="730"/>
      <c r="O68" s="733"/>
      <c r="Q68" s="728"/>
      <c r="R68" s="661"/>
      <c r="S68" s="228" t="str">
        <f t="array" ref="S68">IFERROR(INDEX('💻シート作成'!$D$6:$D1001, MATCH(T68, '💻シート作成'!$E$6:$E1001, 0)), "")</f>
        <v/>
      </c>
      <c r="T68" s="172"/>
      <c r="U68" s="664"/>
      <c r="V68" s="774"/>
      <c r="W68" s="661"/>
      <c r="X68" s="757"/>
      <c r="Y68" s="661"/>
      <c r="Z68" s="661"/>
    </row>
    <row r="69" outlineLevel="1">
      <c r="A69" s="661"/>
      <c r="B69" s="729"/>
      <c r="C69" s="730"/>
      <c r="D69" s="730"/>
      <c r="E69" s="730"/>
      <c r="F69" s="730"/>
      <c r="G69" s="731"/>
      <c r="H69" s="730"/>
      <c r="I69" s="730"/>
      <c r="J69" s="730"/>
      <c r="K69" s="730"/>
      <c r="L69" s="756"/>
      <c r="M69" s="755"/>
      <c r="N69" s="730"/>
      <c r="O69" s="733"/>
      <c r="Q69" s="728"/>
      <c r="R69" s="661"/>
      <c r="S69" s="228" t="str">
        <f t="array" ref="S69">IFERROR(INDEX('💻シート作成'!$D$6:$D1001, MATCH(T69, '💻シート作成'!$E$6:$E1001, 0)), "")</f>
        <v/>
      </c>
      <c r="T69" s="172"/>
      <c r="U69" s="664"/>
      <c r="V69" s="774"/>
      <c r="W69" s="661"/>
      <c r="X69" s="757"/>
      <c r="Y69" s="661"/>
      <c r="Z69" s="661"/>
    </row>
    <row r="70" outlineLevel="1">
      <c r="A70" s="661"/>
      <c r="B70" s="729"/>
      <c r="C70" s="730"/>
      <c r="D70" s="730"/>
      <c r="E70" s="730"/>
      <c r="F70" s="730"/>
      <c r="G70" s="731"/>
      <c r="H70" s="730"/>
      <c r="I70" s="730"/>
      <c r="J70" s="730"/>
      <c r="K70" s="730"/>
      <c r="L70" s="756"/>
      <c r="M70" s="755"/>
      <c r="N70" s="730"/>
      <c r="O70" s="733"/>
      <c r="Q70" s="728"/>
      <c r="R70" s="661"/>
      <c r="S70" s="228" t="str">
        <f t="array" ref="S70">IFERROR(INDEX('💻シート作成'!$D$6:$D1001, MATCH(T70, '💻シート作成'!$E$6:$E1001, 0)), "")</f>
        <v/>
      </c>
      <c r="T70" s="172"/>
      <c r="U70" s="664"/>
      <c r="V70" s="774"/>
      <c r="W70" s="661"/>
      <c r="X70" s="757"/>
      <c r="Y70" s="661"/>
      <c r="Z70" s="661"/>
    </row>
    <row r="71" outlineLevel="1">
      <c r="A71" s="661"/>
      <c r="B71" s="729"/>
      <c r="C71" s="730"/>
      <c r="D71" s="730"/>
      <c r="E71" s="730"/>
      <c r="F71" s="730"/>
      <c r="G71" s="731"/>
      <c r="H71" s="730"/>
      <c r="I71" s="730"/>
      <c r="J71" s="730"/>
      <c r="K71" s="730"/>
      <c r="L71" s="756"/>
      <c r="M71" s="755"/>
      <c r="N71" s="730"/>
      <c r="O71" s="733"/>
      <c r="Q71" s="728"/>
      <c r="R71" s="661"/>
      <c r="S71" s="228" t="str">
        <f t="array" ref="S71">IFERROR(INDEX('💻シート作成'!$D$6:$D1001, MATCH(T71, '💻シート作成'!$E$6:$E1001, 0)), "")</f>
        <v/>
      </c>
      <c r="T71" s="172"/>
      <c r="U71" s="664"/>
      <c r="V71" s="774"/>
      <c r="W71" s="661"/>
      <c r="X71" s="757"/>
      <c r="Y71" s="661"/>
      <c r="Z71" s="661"/>
    </row>
    <row r="72" outlineLevel="1">
      <c r="A72" s="661"/>
      <c r="B72" s="729"/>
      <c r="C72" s="730"/>
      <c r="D72" s="730"/>
      <c r="E72" s="730"/>
      <c r="F72" s="730"/>
      <c r="G72" s="731"/>
      <c r="H72" s="730"/>
      <c r="I72" s="730"/>
      <c r="J72" s="730"/>
      <c r="K72" s="730"/>
      <c r="L72" s="756"/>
      <c r="M72" s="755"/>
      <c r="N72" s="730"/>
      <c r="O72" s="733"/>
      <c r="Q72" s="728"/>
      <c r="R72" s="661"/>
      <c r="S72" s="228" t="str">
        <f t="array" ref="S72">IFERROR(INDEX('💻シート作成'!$D$6:$D1001, MATCH(T72, '💻シート作成'!$E$6:$E1001, 0)), "")</f>
        <v/>
      </c>
      <c r="T72" s="172"/>
      <c r="U72" s="664"/>
      <c r="V72" s="774"/>
      <c r="W72" s="661"/>
      <c r="X72" s="757"/>
      <c r="Y72" s="661"/>
      <c r="Z72" s="661"/>
    </row>
    <row r="73" outlineLevel="1">
      <c r="A73" s="661"/>
      <c r="B73" s="729"/>
      <c r="C73" s="730"/>
      <c r="D73" s="730"/>
      <c r="E73" s="730"/>
      <c r="F73" s="730"/>
      <c r="G73" s="731"/>
      <c r="H73" s="730"/>
      <c r="I73" s="730"/>
      <c r="J73" s="730"/>
      <c r="K73" s="730"/>
      <c r="L73" s="756"/>
      <c r="M73" s="755"/>
      <c r="N73" s="730"/>
      <c r="O73" s="733"/>
      <c r="Q73" s="728"/>
      <c r="R73" s="661"/>
      <c r="S73" s="228" t="str">
        <f t="array" ref="S73">IFERROR(INDEX('💻シート作成'!$D$6:$D1001, MATCH(T73, '💻シート作成'!$E$6:$E1001, 0)), "")</f>
        <v/>
      </c>
      <c r="T73" s="172"/>
      <c r="U73" s="664"/>
      <c r="V73" s="774"/>
      <c r="W73" s="661"/>
      <c r="X73" s="757"/>
      <c r="Y73" s="661"/>
      <c r="Z73" s="661"/>
    </row>
    <row r="74" outlineLevel="1">
      <c r="A74" s="661"/>
      <c r="B74" s="729"/>
      <c r="C74" s="730"/>
      <c r="D74" s="730"/>
      <c r="E74" s="730"/>
      <c r="F74" s="697"/>
      <c r="G74" s="698"/>
      <c r="H74" s="697"/>
      <c r="I74" s="697"/>
      <c r="J74" s="697"/>
      <c r="K74" s="697"/>
      <c r="L74" s="756"/>
      <c r="M74" s="755"/>
      <c r="N74" s="697"/>
      <c r="O74" s="700"/>
      <c r="P74" s="701"/>
      <c r="Q74" s="737"/>
      <c r="R74" s="661"/>
      <c r="S74" s="228" t="str">
        <f t="array" ref="S74">IFERROR(INDEX('💻シート作成'!$D$6:$D1001, MATCH(T74, '💻シート作成'!$E$6:$E1001, 0)), "")</f>
        <v/>
      </c>
      <c r="T74" s="172"/>
      <c r="U74" s="664"/>
      <c r="V74" s="774"/>
      <c r="W74" s="661"/>
      <c r="X74" s="757"/>
      <c r="Y74" s="661"/>
      <c r="Z74" s="661"/>
    </row>
    <row r="75" ht="18.0" customHeight="1" outlineLevel="1">
      <c r="A75" s="661"/>
      <c r="B75" s="738"/>
      <c r="C75" s="697"/>
      <c r="D75" s="697"/>
      <c r="E75" s="697"/>
      <c r="F75" s="758" t="s">
        <v>517</v>
      </c>
      <c r="G75" s="759" t="s">
        <v>623</v>
      </c>
      <c r="H75" s="741"/>
      <c r="I75" s="741"/>
      <c r="J75" s="741"/>
      <c r="K75" s="741"/>
      <c r="L75" s="759"/>
      <c r="M75" s="759"/>
      <c r="N75" s="759"/>
      <c r="O75" s="759"/>
      <c r="P75" s="759"/>
      <c r="Q75" s="760"/>
      <c r="R75" s="661"/>
      <c r="S75" s="228" t="str">
        <f t="array" ref="S75">IFERROR(INDEX('💻シート作成'!$D$6:$D1001, MATCH(T75, '💻シート作成'!$E$6:$E1001, 0)), "")</f>
        <v/>
      </c>
      <c r="T75" s="172"/>
      <c r="U75" s="664"/>
      <c r="V75" s="774"/>
      <c r="W75" s="661"/>
      <c r="X75" s="757"/>
      <c r="Y75" s="661"/>
      <c r="Z75" s="661"/>
    </row>
    <row r="76" ht="19.5" customHeight="1" outlineLevel="1">
      <c r="A76" s="661"/>
      <c r="B76" s="761"/>
      <c r="C76" s="762">
        <f>IF(C65="","",IF(DAY(C65+1)=1,"",C65+1))</f>
        <v>46088</v>
      </c>
      <c r="D76" s="763" t="str">
        <f>TEXT(C76,"ddd")</f>
        <v>土</v>
      </c>
      <c r="E76" s="764"/>
      <c r="F76" s="765" t="s">
        <v>142</v>
      </c>
      <c r="G76" s="766" t="s">
        <v>624</v>
      </c>
      <c r="H76" s="767"/>
      <c r="I76" s="768">
        <v>0.6666666666666666</v>
      </c>
      <c r="J76" s="767">
        <v>9.0</v>
      </c>
      <c r="K76" s="767">
        <v>3.0</v>
      </c>
      <c r="L76" s="769"/>
      <c r="M76" s="769"/>
      <c r="N76" s="765"/>
      <c r="O76" s="770"/>
      <c r="P76" s="771"/>
      <c r="Q76" s="772"/>
      <c r="R76" s="661"/>
      <c r="S76" s="228" t="str">
        <f t="array" ref="S76">IFERROR(INDEX('💻シート作成'!$D$6:$D1001, MATCH(T76, '💻シート作成'!$E$6:$E1001, 0)), "")</f>
        <v/>
      </c>
      <c r="T76" s="172"/>
      <c r="U76" s="664"/>
      <c r="V76" s="774"/>
      <c r="W76" s="661"/>
      <c r="X76" s="757"/>
      <c r="Y76" s="661"/>
      <c r="Z76" s="661"/>
    </row>
    <row r="77" ht="19.5" customHeight="1" outlineLevel="1">
      <c r="A77" s="661"/>
      <c r="B77" s="729"/>
      <c r="C77" s="730"/>
      <c r="D77" s="730"/>
      <c r="E77" s="730"/>
      <c r="F77" s="730"/>
      <c r="G77" s="731"/>
      <c r="H77" s="730"/>
      <c r="I77" s="730"/>
      <c r="J77" s="730"/>
      <c r="K77" s="730"/>
      <c r="L77" s="769"/>
      <c r="M77" s="769"/>
      <c r="N77" s="730"/>
      <c r="O77" s="733"/>
      <c r="Q77" s="728"/>
      <c r="R77" s="661"/>
      <c r="S77" s="228" t="str">
        <f t="array" ref="S77">IFERROR(INDEX('💻シート作成'!$D$6:$D1001, MATCH(T77, '💻シート作成'!$E$6:$E1001, 0)), "")</f>
        <v/>
      </c>
      <c r="T77" s="172"/>
      <c r="U77" s="664"/>
      <c r="V77" s="774"/>
      <c r="W77" s="661"/>
      <c r="X77" s="757"/>
      <c r="Y77" s="661"/>
      <c r="Z77" s="661"/>
    </row>
    <row r="78" ht="19.5" customHeight="1" outlineLevel="1">
      <c r="A78" s="661"/>
      <c r="B78" s="729"/>
      <c r="C78" s="730"/>
      <c r="D78" s="730"/>
      <c r="E78" s="730"/>
      <c r="F78" s="730"/>
      <c r="G78" s="731"/>
      <c r="H78" s="730"/>
      <c r="I78" s="730"/>
      <c r="J78" s="730"/>
      <c r="K78" s="730"/>
      <c r="L78" s="769"/>
      <c r="M78" s="769"/>
      <c r="N78" s="730"/>
      <c r="O78" s="733"/>
      <c r="Q78" s="728"/>
      <c r="R78" s="661"/>
      <c r="S78" s="228" t="str">
        <f t="array" ref="S78">IFERROR(INDEX('💻シート作成'!$D$6:$D1001, MATCH(T78, '💻シート作成'!$E$6:$E1001, 0)), "")</f>
        <v/>
      </c>
      <c r="T78" s="172"/>
      <c r="U78" s="664"/>
      <c r="V78" s="774"/>
      <c r="W78" s="661"/>
      <c r="X78" s="757"/>
      <c r="Y78" s="661"/>
      <c r="Z78" s="661"/>
    </row>
    <row r="79" ht="19.5" customHeight="1" outlineLevel="1">
      <c r="A79" s="661"/>
      <c r="B79" s="729"/>
      <c r="C79" s="730"/>
      <c r="D79" s="730"/>
      <c r="E79" s="730"/>
      <c r="F79" s="730"/>
      <c r="G79" s="731"/>
      <c r="H79" s="730"/>
      <c r="I79" s="730"/>
      <c r="J79" s="730"/>
      <c r="K79" s="730"/>
      <c r="L79" s="773"/>
      <c r="M79" s="769"/>
      <c r="N79" s="730"/>
      <c r="O79" s="733"/>
      <c r="Q79" s="728"/>
      <c r="R79" s="661"/>
      <c r="S79" s="228" t="str">
        <f t="array" ref="S79">IFERROR(INDEX('💻シート作成'!$D$6:$D1001, MATCH(T79, '💻シート作成'!$E$6:$E1001, 0)), "")</f>
        <v/>
      </c>
      <c r="T79" s="172"/>
      <c r="U79" s="664"/>
      <c r="V79" s="774"/>
      <c r="W79" s="661"/>
      <c r="X79" s="757"/>
      <c r="Y79" s="661"/>
      <c r="Z79" s="661"/>
    </row>
    <row r="80" ht="19.5" customHeight="1" outlineLevel="1">
      <c r="A80" s="661"/>
      <c r="B80" s="729"/>
      <c r="C80" s="730"/>
      <c r="D80" s="730"/>
      <c r="E80" s="730"/>
      <c r="F80" s="730"/>
      <c r="G80" s="731"/>
      <c r="H80" s="730"/>
      <c r="I80" s="730"/>
      <c r="J80" s="730"/>
      <c r="K80" s="730"/>
      <c r="L80" s="773"/>
      <c r="M80" s="769"/>
      <c r="N80" s="730"/>
      <c r="O80" s="733"/>
      <c r="Q80" s="728"/>
      <c r="R80" s="661"/>
      <c r="S80" s="228" t="str">
        <f t="array" ref="S80">IFERROR(INDEX('💻シート作成'!$D$6:$D1001, MATCH(T80, '💻シート作成'!$E$6:$E1001, 0)), "")</f>
        <v/>
      </c>
      <c r="T80" s="172"/>
      <c r="U80" s="664"/>
      <c r="V80" s="774"/>
      <c r="W80" s="661"/>
      <c r="X80" s="757"/>
      <c r="Y80" s="661"/>
      <c r="Z80" s="661"/>
    </row>
    <row r="81" ht="19.5" customHeight="1" outlineLevel="1">
      <c r="A81" s="661"/>
      <c r="B81" s="729"/>
      <c r="C81" s="730"/>
      <c r="D81" s="730"/>
      <c r="E81" s="730"/>
      <c r="F81" s="730"/>
      <c r="G81" s="731"/>
      <c r="H81" s="730"/>
      <c r="I81" s="730"/>
      <c r="J81" s="730"/>
      <c r="K81" s="730"/>
      <c r="L81" s="773"/>
      <c r="M81" s="769"/>
      <c r="N81" s="730"/>
      <c r="O81" s="733"/>
      <c r="Q81" s="728"/>
      <c r="R81" s="661"/>
      <c r="S81" s="228" t="str">
        <f t="array" ref="S81">IFERROR(INDEX('💻シート作成'!$D$6:$D1001, MATCH(T81, '💻シート作成'!$E$6:$E1001, 0)), "")</f>
        <v/>
      </c>
      <c r="T81" s="172"/>
      <c r="U81" s="664"/>
      <c r="V81" s="774"/>
      <c r="W81" s="661"/>
      <c r="X81" s="757"/>
      <c r="Y81" s="661"/>
      <c r="Z81" s="661"/>
    </row>
    <row r="82" ht="19.5" customHeight="1" outlineLevel="1">
      <c r="A82" s="661"/>
      <c r="B82" s="729"/>
      <c r="C82" s="730"/>
      <c r="D82" s="730"/>
      <c r="E82" s="730"/>
      <c r="F82" s="730"/>
      <c r="G82" s="731"/>
      <c r="H82" s="730"/>
      <c r="I82" s="730"/>
      <c r="J82" s="730"/>
      <c r="K82" s="730"/>
      <c r="L82" s="773"/>
      <c r="M82" s="769"/>
      <c r="N82" s="730"/>
      <c r="O82" s="733"/>
      <c r="Q82" s="728"/>
      <c r="R82" s="661"/>
      <c r="S82" s="228" t="str">
        <f t="array" ref="S82">IFERROR(INDEX('💻シート作成'!$D$6:$D1001, MATCH(T82, '💻シート作成'!$E$6:$E1001, 0)), "")</f>
        <v/>
      </c>
      <c r="T82" s="172"/>
      <c r="U82" s="664"/>
      <c r="V82" s="774"/>
      <c r="W82" s="661"/>
      <c r="X82" s="757"/>
      <c r="Y82" s="661"/>
      <c r="Z82" s="661"/>
    </row>
    <row r="83" ht="19.5" customHeight="1" outlineLevel="1">
      <c r="A83" s="661"/>
      <c r="B83" s="729"/>
      <c r="C83" s="730"/>
      <c r="D83" s="730"/>
      <c r="E83" s="730"/>
      <c r="F83" s="730"/>
      <c r="G83" s="731"/>
      <c r="H83" s="730"/>
      <c r="I83" s="730"/>
      <c r="J83" s="730"/>
      <c r="K83" s="730"/>
      <c r="L83" s="773"/>
      <c r="M83" s="769"/>
      <c r="N83" s="730"/>
      <c r="O83" s="733"/>
      <c r="Q83" s="728"/>
      <c r="R83" s="661"/>
      <c r="S83" s="228" t="str">
        <f t="array" ref="S83">IFERROR(INDEX('💻シート作成'!$D$6:$D1001, MATCH(T83, '💻シート作成'!$E$6:$E1001, 0)), "")</f>
        <v/>
      </c>
      <c r="T83" s="172"/>
      <c r="U83" s="664"/>
      <c r="V83" s="774"/>
      <c r="W83" s="661"/>
      <c r="X83" s="757"/>
      <c r="Y83" s="661"/>
      <c r="Z83" s="661"/>
    </row>
    <row r="84" ht="19.5" customHeight="1" outlineLevel="1">
      <c r="A84" s="661"/>
      <c r="B84" s="729"/>
      <c r="C84" s="730"/>
      <c r="D84" s="730"/>
      <c r="E84" s="730"/>
      <c r="F84" s="730"/>
      <c r="G84" s="731"/>
      <c r="H84" s="730"/>
      <c r="I84" s="730"/>
      <c r="J84" s="730"/>
      <c r="K84" s="730"/>
      <c r="L84" s="773"/>
      <c r="M84" s="769"/>
      <c r="N84" s="730"/>
      <c r="O84" s="733"/>
      <c r="Q84" s="728"/>
      <c r="R84" s="661"/>
      <c r="S84" s="228" t="str">
        <f t="array" ref="S84">IFERROR(INDEX('💻シート作成'!$D$6:$D1001, MATCH(T84, '💻シート作成'!$E$6:$E1001, 0)), "")</f>
        <v/>
      </c>
      <c r="T84" s="172"/>
      <c r="U84" s="664"/>
      <c r="V84" s="774"/>
      <c r="W84" s="661"/>
      <c r="X84" s="757"/>
      <c r="Y84" s="661"/>
      <c r="Z84" s="661"/>
    </row>
    <row r="85" ht="19.5" customHeight="1" outlineLevel="1">
      <c r="A85" s="661"/>
      <c r="B85" s="729"/>
      <c r="C85" s="730"/>
      <c r="D85" s="730"/>
      <c r="E85" s="730"/>
      <c r="F85" s="697"/>
      <c r="G85" s="698"/>
      <c r="H85" s="697"/>
      <c r="I85" s="697"/>
      <c r="J85" s="697"/>
      <c r="K85" s="697"/>
      <c r="L85" s="773"/>
      <c r="M85" s="769"/>
      <c r="N85" s="697"/>
      <c r="O85" s="700"/>
      <c r="P85" s="701"/>
      <c r="Q85" s="737"/>
      <c r="R85" s="661"/>
      <c r="S85" s="228" t="str">
        <f t="array" ref="S85">IFERROR(INDEX('💻シート作成'!$D$6:$D1001, MATCH(T85, '💻シート作成'!$E$6:$E1001, 0)), "")</f>
        <v/>
      </c>
      <c r="T85" s="172"/>
      <c r="U85" s="664"/>
      <c r="V85" s="774"/>
      <c r="W85" s="661"/>
      <c r="X85" s="757"/>
      <c r="Y85" s="661"/>
      <c r="Z85" s="661"/>
    </row>
    <row r="86" ht="18.0" customHeight="1" outlineLevel="1">
      <c r="A86" s="661"/>
      <c r="B86" s="738"/>
      <c r="C86" s="697"/>
      <c r="D86" s="697"/>
      <c r="E86" s="697"/>
      <c r="F86" s="739" t="s">
        <v>517</v>
      </c>
      <c r="G86" s="740" t="s">
        <v>625</v>
      </c>
      <c r="H86" s="741"/>
      <c r="I86" s="741"/>
      <c r="J86" s="741"/>
      <c r="K86" s="741"/>
      <c r="L86" s="740"/>
      <c r="M86" s="740"/>
      <c r="N86" s="740"/>
      <c r="O86" s="740"/>
      <c r="P86" s="740"/>
      <c r="Q86" s="742"/>
      <c r="R86" s="661"/>
      <c r="S86" s="228" t="str">
        <f t="array" ref="S86">IFERROR(INDEX('💻シート作成'!$D$6:$D1001, MATCH(T86, '💻シート作成'!$E$6:$E1001, 0)), "")</f>
        <v/>
      </c>
      <c r="T86" s="172"/>
      <c r="U86" s="664"/>
      <c r="V86" s="774"/>
      <c r="W86" s="661"/>
      <c r="X86" s="757"/>
      <c r="Y86" s="661"/>
      <c r="Z86" s="661"/>
    </row>
    <row r="87" ht="45.0" customHeight="1" outlineLevel="1">
      <c r="A87" s="661"/>
      <c r="B87" s="743"/>
      <c r="C87" s="744">
        <f>IF(C76="","",IF(DAY(C76+1)=1,"",C76+1))</f>
        <v>46089</v>
      </c>
      <c r="D87" s="745" t="str">
        <f>TEXT(C87,"ddd")</f>
        <v>日</v>
      </c>
      <c r="E87" s="746"/>
      <c r="F87" s="775" t="s">
        <v>132</v>
      </c>
      <c r="G87" s="776" t="s">
        <v>626</v>
      </c>
      <c r="H87" s="777"/>
      <c r="I87" s="778">
        <v>0.65625</v>
      </c>
      <c r="J87" s="777">
        <v>8.0</v>
      </c>
      <c r="K87" s="777">
        <v>2.0</v>
      </c>
      <c r="L87" s="755"/>
      <c r="M87" s="755"/>
      <c r="N87" s="775" t="s">
        <v>619</v>
      </c>
      <c r="O87" s="779"/>
      <c r="P87" s="771"/>
      <c r="Q87" s="772"/>
      <c r="R87" s="661"/>
      <c r="S87" s="228" t="str">
        <f t="array" ref="S87">IFERROR(INDEX('💻シート作成'!$D$6:$D1001, MATCH(T87, '💻シート作成'!$E$6:$E1001, 0)), "")</f>
        <v/>
      </c>
      <c r="T87" s="172"/>
      <c r="U87" s="664"/>
      <c r="V87" s="774"/>
      <c r="W87" s="661"/>
      <c r="X87" s="757"/>
      <c r="Y87" s="661"/>
      <c r="Z87" s="661"/>
    </row>
    <row r="88" ht="45.0" customHeight="1" outlineLevel="1">
      <c r="A88" s="661"/>
      <c r="B88" s="729"/>
      <c r="C88" s="730"/>
      <c r="D88" s="730"/>
      <c r="E88" s="730"/>
      <c r="F88" s="730"/>
      <c r="G88" s="731"/>
      <c r="H88" s="730"/>
      <c r="I88" s="730"/>
      <c r="J88" s="730"/>
      <c r="K88" s="730"/>
      <c r="L88" s="755"/>
      <c r="M88" s="755"/>
      <c r="N88" s="730"/>
      <c r="O88" s="733"/>
      <c r="Q88" s="728"/>
      <c r="R88" s="661"/>
      <c r="S88" s="228" t="str">
        <f t="array" ref="S88">IFERROR(INDEX('💻シート作成'!$D$6:$D1001, MATCH(T88, '💻シート作成'!$E$6:$E1001, 0)), "")</f>
        <v/>
      </c>
      <c r="T88" s="172"/>
      <c r="U88" s="664"/>
      <c r="V88" s="774"/>
      <c r="W88" s="661"/>
      <c r="X88" s="757"/>
      <c r="Y88" s="661"/>
      <c r="Z88" s="661"/>
    </row>
    <row r="89" ht="45.0" customHeight="1" outlineLevel="1">
      <c r="A89" s="661"/>
      <c r="B89" s="729"/>
      <c r="C89" s="730"/>
      <c r="D89" s="730"/>
      <c r="E89" s="730"/>
      <c r="F89" s="730"/>
      <c r="G89" s="731"/>
      <c r="H89" s="730"/>
      <c r="I89" s="730"/>
      <c r="J89" s="730"/>
      <c r="K89" s="730"/>
      <c r="L89" s="755"/>
      <c r="M89" s="755"/>
      <c r="N89" s="730"/>
      <c r="O89" s="733"/>
      <c r="Q89" s="728"/>
      <c r="R89" s="661"/>
      <c r="S89" s="228" t="str">
        <f t="array" ref="S89">IFERROR(INDEX('💻シート作成'!$D$6:$D1001, MATCH(T89, '💻シート作成'!$E$6:$E1001, 0)), "")</f>
        <v/>
      </c>
      <c r="T89" s="172"/>
      <c r="U89" s="664"/>
      <c r="V89" s="774"/>
      <c r="W89" s="661"/>
      <c r="X89" s="757"/>
      <c r="Y89" s="661"/>
      <c r="Z89" s="661"/>
    </row>
    <row r="90" ht="45.0" customHeight="1" outlineLevel="1">
      <c r="A90" s="661"/>
      <c r="B90" s="729"/>
      <c r="C90" s="730"/>
      <c r="D90" s="730"/>
      <c r="E90" s="730"/>
      <c r="F90" s="730"/>
      <c r="G90" s="731"/>
      <c r="H90" s="730"/>
      <c r="I90" s="730"/>
      <c r="J90" s="730"/>
      <c r="K90" s="730"/>
      <c r="L90" s="756"/>
      <c r="M90" s="755"/>
      <c r="N90" s="730"/>
      <c r="O90" s="733"/>
      <c r="Q90" s="728"/>
      <c r="R90" s="661"/>
      <c r="S90" s="228" t="str">
        <f t="array" ref="S90">IFERROR(INDEX('💻シート作成'!$D$6:$D1001, MATCH(T90, '💻シート作成'!$E$6:$E1001, 0)), "")</f>
        <v/>
      </c>
      <c r="T90" s="172"/>
      <c r="U90" s="664"/>
      <c r="V90" s="774"/>
      <c r="W90" s="661"/>
      <c r="X90" s="757"/>
      <c r="Y90" s="661"/>
      <c r="Z90" s="661"/>
    </row>
    <row r="91" ht="45.0" customHeight="1" outlineLevel="1">
      <c r="A91" s="661"/>
      <c r="B91" s="729"/>
      <c r="C91" s="730"/>
      <c r="D91" s="730"/>
      <c r="E91" s="730"/>
      <c r="F91" s="730"/>
      <c r="G91" s="731"/>
      <c r="H91" s="730"/>
      <c r="I91" s="730"/>
      <c r="J91" s="730"/>
      <c r="K91" s="730"/>
      <c r="L91" s="756"/>
      <c r="M91" s="755"/>
      <c r="N91" s="730"/>
      <c r="O91" s="733"/>
      <c r="Q91" s="728"/>
      <c r="R91" s="661"/>
      <c r="S91" s="228" t="str">
        <f t="array" ref="S91">IFERROR(INDEX('💻シート作成'!$D$6:$D1001, MATCH(T91, '💻シート作成'!$E$6:$E1001, 0)), "")</f>
        <v/>
      </c>
      <c r="T91" s="172"/>
      <c r="U91" s="664"/>
      <c r="V91" s="774"/>
      <c r="W91" s="661"/>
      <c r="X91" s="757"/>
      <c r="Y91" s="661"/>
      <c r="Z91" s="661"/>
    </row>
    <row r="92" ht="45.0" customHeight="1" outlineLevel="1">
      <c r="A92" s="661"/>
      <c r="B92" s="729"/>
      <c r="C92" s="730"/>
      <c r="D92" s="730"/>
      <c r="E92" s="730"/>
      <c r="F92" s="730"/>
      <c r="G92" s="731"/>
      <c r="H92" s="730"/>
      <c r="I92" s="730"/>
      <c r="J92" s="730"/>
      <c r="K92" s="730"/>
      <c r="L92" s="756"/>
      <c r="M92" s="755"/>
      <c r="N92" s="730"/>
      <c r="O92" s="733"/>
      <c r="Q92" s="728"/>
      <c r="R92" s="661"/>
      <c r="S92" s="228" t="str">
        <f t="array" ref="S92">IFERROR(INDEX('💻シート作成'!$D$6:$D1001, MATCH(T92, '💻シート作成'!$E$6:$E1001, 0)), "")</f>
        <v/>
      </c>
      <c r="T92" s="172"/>
      <c r="U92" s="664"/>
      <c r="V92" s="774"/>
      <c r="W92" s="661"/>
      <c r="X92" s="757"/>
      <c r="Y92" s="661"/>
      <c r="Z92" s="661"/>
    </row>
    <row r="93" ht="45.0" customHeight="1" outlineLevel="1">
      <c r="A93" s="661"/>
      <c r="B93" s="729"/>
      <c r="C93" s="730"/>
      <c r="D93" s="730"/>
      <c r="E93" s="730"/>
      <c r="F93" s="730"/>
      <c r="G93" s="731"/>
      <c r="H93" s="730"/>
      <c r="I93" s="730"/>
      <c r="J93" s="730"/>
      <c r="K93" s="730"/>
      <c r="L93" s="756"/>
      <c r="M93" s="755"/>
      <c r="N93" s="730"/>
      <c r="O93" s="733"/>
      <c r="Q93" s="728"/>
      <c r="R93" s="661"/>
      <c r="S93" s="228" t="str">
        <f t="array" ref="S93">IFERROR(INDEX('💻シート作成'!$D$6:$D1001, MATCH(T93, '💻シート作成'!$E$6:$E1001, 0)), "")</f>
        <v/>
      </c>
      <c r="T93" s="172"/>
      <c r="U93" s="664"/>
      <c r="V93" s="774"/>
      <c r="W93" s="661"/>
      <c r="X93" s="757"/>
      <c r="Y93" s="661"/>
      <c r="Z93" s="661"/>
    </row>
    <row r="94" ht="45.0" customHeight="1" outlineLevel="1">
      <c r="A94" s="661"/>
      <c r="B94" s="729"/>
      <c r="C94" s="730"/>
      <c r="D94" s="730"/>
      <c r="E94" s="730"/>
      <c r="F94" s="730"/>
      <c r="G94" s="731"/>
      <c r="H94" s="730"/>
      <c r="I94" s="730"/>
      <c r="J94" s="730"/>
      <c r="K94" s="730"/>
      <c r="L94" s="756"/>
      <c r="M94" s="755"/>
      <c r="N94" s="730"/>
      <c r="O94" s="733"/>
      <c r="Q94" s="728"/>
      <c r="R94" s="661"/>
      <c r="S94" s="228" t="str">
        <f t="array" ref="S94">IFERROR(INDEX('💻シート作成'!$D$6:$D1001, MATCH(T94, '💻シート作成'!$E$6:$E1001, 0)), "")</f>
        <v/>
      </c>
      <c r="T94" s="172"/>
      <c r="U94" s="664"/>
      <c r="V94" s="774"/>
      <c r="W94" s="661"/>
      <c r="X94" s="757"/>
      <c r="Y94" s="661"/>
      <c r="Z94" s="661"/>
    </row>
    <row r="95" ht="45.0" customHeight="1" outlineLevel="1">
      <c r="A95" s="661"/>
      <c r="B95" s="729"/>
      <c r="C95" s="730"/>
      <c r="D95" s="730"/>
      <c r="E95" s="730"/>
      <c r="F95" s="730"/>
      <c r="G95" s="731"/>
      <c r="H95" s="730"/>
      <c r="I95" s="730"/>
      <c r="J95" s="730"/>
      <c r="K95" s="730"/>
      <c r="L95" s="756"/>
      <c r="M95" s="755"/>
      <c r="N95" s="730"/>
      <c r="O95" s="733"/>
      <c r="Q95" s="728"/>
      <c r="R95" s="661"/>
      <c r="S95" s="228" t="str">
        <f t="array" ref="S95">IFERROR(INDEX('💻シート作成'!$D$6:$D1001, MATCH(T95, '💻シート作成'!$E$6:$E1001, 0)), "")</f>
        <v/>
      </c>
      <c r="T95" s="172"/>
      <c r="U95" s="664"/>
      <c r="V95" s="774"/>
      <c r="W95" s="661"/>
      <c r="X95" s="757"/>
      <c r="Y95" s="661"/>
      <c r="Z95" s="661"/>
    </row>
    <row r="96" ht="45.0" customHeight="1" outlineLevel="1">
      <c r="A96" s="661"/>
      <c r="B96" s="729"/>
      <c r="C96" s="730"/>
      <c r="D96" s="730"/>
      <c r="E96" s="730"/>
      <c r="F96" s="697"/>
      <c r="G96" s="698"/>
      <c r="H96" s="697"/>
      <c r="I96" s="697"/>
      <c r="J96" s="697"/>
      <c r="K96" s="697"/>
      <c r="L96" s="756"/>
      <c r="M96" s="755"/>
      <c r="N96" s="697"/>
      <c r="O96" s="700"/>
      <c r="P96" s="701"/>
      <c r="Q96" s="737"/>
      <c r="R96" s="661"/>
      <c r="S96" s="228" t="str">
        <f t="array" ref="S96">IFERROR(INDEX('💻シート作成'!$D$6:$D1001, MATCH(T96, '💻シート作成'!$E$6:$E1001, 0)), "")</f>
        <v/>
      </c>
      <c r="T96" s="172"/>
      <c r="U96" s="664"/>
      <c r="V96" s="774"/>
      <c r="W96" s="661"/>
      <c r="X96" s="757"/>
      <c r="Y96" s="661"/>
      <c r="Z96" s="661"/>
    </row>
    <row r="97" ht="31.5" customHeight="1" outlineLevel="1">
      <c r="A97" s="661"/>
      <c r="B97" s="738"/>
      <c r="C97" s="697"/>
      <c r="D97" s="697"/>
      <c r="E97" s="697"/>
      <c r="F97" s="758" t="s">
        <v>517</v>
      </c>
      <c r="G97" s="759" t="s">
        <v>627</v>
      </c>
      <c r="H97" s="741"/>
      <c r="I97" s="741"/>
      <c r="J97" s="741"/>
      <c r="K97" s="741"/>
      <c r="L97" s="759"/>
      <c r="M97" s="759"/>
      <c r="N97" s="759"/>
      <c r="O97" s="759"/>
      <c r="P97" s="759"/>
      <c r="Q97" s="760"/>
      <c r="R97" s="661"/>
      <c r="S97" s="228" t="str">
        <f t="array" ref="S97">IFERROR(INDEX('💻シート作成'!$D$6:$D1001, MATCH(T97, '💻シート作成'!$E$6:$E1001, 0)), "")</f>
        <v/>
      </c>
      <c r="T97" s="172"/>
      <c r="U97" s="664"/>
      <c r="V97" s="774"/>
      <c r="W97" s="661"/>
      <c r="X97" s="757"/>
      <c r="Y97" s="661"/>
      <c r="Z97" s="661"/>
    </row>
    <row r="98" outlineLevel="1">
      <c r="A98" s="661"/>
      <c r="B98" s="761"/>
      <c r="C98" s="762">
        <f>IF(C87="","",IF(DAY(C87+1)=1,"",C87+1))</f>
        <v>46090</v>
      </c>
      <c r="D98" s="763" t="str">
        <f>TEXT(C98,"ddd")</f>
        <v>月</v>
      </c>
      <c r="E98" s="764"/>
      <c r="F98" s="765" t="s">
        <v>142</v>
      </c>
      <c r="G98" s="766" t="s">
        <v>628</v>
      </c>
      <c r="H98" s="767"/>
      <c r="I98" s="768">
        <v>0.625</v>
      </c>
      <c r="J98" s="767">
        <v>9.0</v>
      </c>
      <c r="K98" s="767">
        <v>3.0</v>
      </c>
      <c r="L98" s="769"/>
      <c r="M98" s="769"/>
      <c r="N98" s="765"/>
      <c r="O98" s="770"/>
      <c r="P98" s="771"/>
      <c r="Q98" s="772"/>
      <c r="R98" s="661"/>
      <c r="S98" s="228" t="str">
        <f t="array" ref="S98">IFERROR(INDEX('💻シート作成'!$D$6:$D1001, MATCH(T98, '💻シート作成'!$E$6:$E1001, 0)), "")</f>
        <v/>
      </c>
      <c r="T98" s="172"/>
      <c r="U98" s="664"/>
      <c r="V98" s="774"/>
      <c r="W98" s="661"/>
      <c r="X98" s="757"/>
      <c r="Y98" s="661"/>
      <c r="Z98" s="661"/>
    </row>
    <row r="99" outlineLevel="1">
      <c r="A99" s="661"/>
      <c r="B99" s="729"/>
      <c r="C99" s="730"/>
      <c r="D99" s="730"/>
      <c r="E99" s="730"/>
      <c r="F99" s="730"/>
      <c r="G99" s="731"/>
      <c r="H99" s="730"/>
      <c r="I99" s="730"/>
      <c r="J99" s="730"/>
      <c r="K99" s="730"/>
      <c r="L99" s="769"/>
      <c r="M99" s="769"/>
      <c r="N99" s="730"/>
      <c r="O99" s="733"/>
      <c r="Q99" s="728"/>
      <c r="R99" s="661"/>
      <c r="S99" s="228" t="str">
        <f t="array" ref="S99">IFERROR(INDEX('💻シート作成'!$D$6:$D1001, MATCH(T99, '💻シート作成'!$E$6:$E1001, 0)), "")</f>
        <v/>
      </c>
      <c r="T99" s="172"/>
      <c r="U99" s="664"/>
      <c r="V99" s="774"/>
      <c r="W99" s="661"/>
      <c r="X99" s="757"/>
      <c r="Y99" s="661"/>
      <c r="Z99" s="661"/>
    </row>
    <row r="100" outlineLevel="1">
      <c r="A100" s="661"/>
      <c r="B100" s="729"/>
      <c r="C100" s="730"/>
      <c r="D100" s="730"/>
      <c r="E100" s="730"/>
      <c r="F100" s="730"/>
      <c r="G100" s="731"/>
      <c r="H100" s="730"/>
      <c r="I100" s="730"/>
      <c r="J100" s="730"/>
      <c r="K100" s="730"/>
      <c r="L100" s="769"/>
      <c r="M100" s="769"/>
      <c r="N100" s="730"/>
      <c r="O100" s="733"/>
      <c r="Q100" s="728"/>
      <c r="R100" s="661"/>
      <c r="S100" s="228" t="str">
        <f t="array" ref="S100">IFERROR(INDEX('💻シート作成'!$D$6:$D1001, MATCH(T100, '💻シート作成'!$E$6:$E1001, 0)), "")</f>
        <v/>
      </c>
      <c r="T100" s="172"/>
      <c r="U100" s="664"/>
      <c r="V100" s="774"/>
      <c r="W100" s="661"/>
      <c r="X100" s="757"/>
      <c r="Y100" s="661"/>
      <c r="Z100" s="661"/>
    </row>
    <row r="101" outlineLevel="1">
      <c r="A101" s="661"/>
      <c r="B101" s="729"/>
      <c r="C101" s="730"/>
      <c r="D101" s="730"/>
      <c r="E101" s="730"/>
      <c r="F101" s="730"/>
      <c r="G101" s="731"/>
      <c r="H101" s="730"/>
      <c r="I101" s="730"/>
      <c r="J101" s="730"/>
      <c r="K101" s="730"/>
      <c r="L101" s="773"/>
      <c r="M101" s="769"/>
      <c r="N101" s="730"/>
      <c r="O101" s="733"/>
      <c r="Q101" s="728"/>
      <c r="R101" s="661"/>
      <c r="S101" s="228" t="str">
        <f t="array" ref="S101">IFERROR(INDEX('💻シート作成'!$D$6:$D1001, MATCH(T101, '💻シート作成'!$E$6:$E1001, 0)), "")</f>
        <v/>
      </c>
      <c r="T101" s="172"/>
      <c r="U101" s="664"/>
      <c r="V101" s="774"/>
      <c r="W101" s="661"/>
      <c r="X101" s="757"/>
      <c r="Y101" s="661"/>
      <c r="Z101" s="661"/>
    </row>
    <row r="102" outlineLevel="1">
      <c r="A102" s="661"/>
      <c r="B102" s="729"/>
      <c r="C102" s="730"/>
      <c r="D102" s="730"/>
      <c r="E102" s="730"/>
      <c r="F102" s="730"/>
      <c r="G102" s="731"/>
      <c r="H102" s="730"/>
      <c r="I102" s="730"/>
      <c r="J102" s="730"/>
      <c r="K102" s="730"/>
      <c r="L102" s="773"/>
      <c r="M102" s="769"/>
      <c r="N102" s="730"/>
      <c r="O102" s="733"/>
      <c r="Q102" s="728"/>
      <c r="R102" s="661"/>
      <c r="S102" s="228" t="str">
        <f t="array" ref="S102">IFERROR(INDEX('💻シート作成'!$D$6:$D1001, MATCH(T102, '💻シート作成'!$E$6:$E1001, 0)), "")</f>
        <v/>
      </c>
      <c r="T102" s="172"/>
      <c r="U102" s="664"/>
      <c r="V102" s="774"/>
      <c r="W102" s="661"/>
      <c r="X102" s="757"/>
      <c r="Y102" s="661"/>
      <c r="Z102" s="661"/>
    </row>
    <row r="103" outlineLevel="1">
      <c r="A103" s="661"/>
      <c r="B103" s="729"/>
      <c r="C103" s="730"/>
      <c r="D103" s="730"/>
      <c r="E103" s="730"/>
      <c r="F103" s="730"/>
      <c r="G103" s="731"/>
      <c r="H103" s="730"/>
      <c r="I103" s="730"/>
      <c r="J103" s="730"/>
      <c r="K103" s="730"/>
      <c r="L103" s="773"/>
      <c r="M103" s="769"/>
      <c r="N103" s="730"/>
      <c r="O103" s="733"/>
      <c r="Q103" s="728"/>
      <c r="R103" s="661"/>
      <c r="S103" s="228" t="str">
        <f t="array" ref="S103">IFERROR(INDEX('💻シート作成'!$D$6:$D1001, MATCH(T103, '💻シート作成'!$E$6:$E1001, 0)), "")</f>
        <v/>
      </c>
      <c r="T103" s="172"/>
      <c r="U103" s="664"/>
      <c r="V103" s="774"/>
      <c r="W103" s="661"/>
      <c r="X103" s="757"/>
      <c r="Y103" s="661"/>
      <c r="Z103" s="661"/>
    </row>
    <row r="104" outlineLevel="1">
      <c r="A104" s="661"/>
      <c r="B104" s="729"/>
      <c r="C104" s="730"/>
      <c r="D104" s="730"/>
      <c r="E104" s="730"/>
      <c r="F104" s="730"/>
      <c r="G104" s="731"/>
      <c r="H104" s="730"/>
      <c r="I104" s="730"/>
      <c r="J104" s="730"/>
      <c r="K104" s="730"/>
      <c r="L104" s="773"/>
      <c r="M104" s="769"/>
      <c r="N104" s="730"/>
      <c r="O104" s="733"/>
      <c r="Q104" s="728"/>
      <c r="R104" s="661"/>
      <c r="S104" s="228" t="str">
        <f t="array" ref="S104">IFERROR(INDEX('💻シート作成'!$D$6:$D1001, MATCH(T104, '💻シート作成'!$E$6:$E1001, 0)), "")</f>
        <v/>
      </c>
      <c r="T104" s="172"/>
      <c r="U104" s="664"/>
      <c r="V104" s="774"/>
      <c r="W104" s="661"/>
      <c r="X104" s="757"/>
      <c r="Y104" s="661"/>
      <c r="Z104" s="661"/>
    </row>
    <row r="105" outlineLevel="1">
      <c r="A105" s="661"/>
      <c r="B105" s="729"/>
      <c r="C105" s="730"/>
      <c r="D105" s="730"/>
      <c r="E105" s="730"/>
      <c r="F105" s="730"/>
      <c r="G105" s="731"/>
      <c r="H105" s="730"/>
      <c r="I105" s="730"/>
      <c r="J105" s="730"/>
      <c r="K105" s="730"/>
      <c r="L105" s="773"/>
      <c r="M105" s="769"/>
      <c r="N105" s="730"/>
      <c r="O105" s="733"/>
      <c r="Q105" s="728"/>
      <c r="R105" s="661"/>
      <c r="S105" s="228" t="str">
        <f t="array" ref="S105">IFERROR(INDEX('💻シート作成'!$D$6:$D1001, MATCH(T105, '💻シート作成'!$E$6:$E1001, 0)), "")</f>
        <v/>
      </c>
      <c r="T105" s="172"/>
      <c r="U105" s="664"/>
      <c r="V105" s="774"/>
      <c r="W105" s="661"/>
      <c r="X105" s="757"/>
      <c r="Y105" s="661"/>
      <c r="Z105" s="661"/>
    </row>
    <row r="106" outlineLevel="1">
      <c r="A106" s="661"/>
      <c r="B106" s="729"/>
      <c r="C106" s="730"/>
      <c r="D106" s="730"/>
      <c r="E106" s="730"/>
      <c r="F106" s="730"/>
      <c r="G106" s="731"/>
      <c r="H106" s="730"/>
      <c r="I106" s="730"/>
      <c r="J106" s="730"/>
      <c r="K106" s="730"/>
      <c r="L106" s="773"/>
      <c r="M106" s="769"/>
      <c r="N106" s="730"/>
      <c r="O106" s="733"/>
      <c r="Q106" s="728"/>
      <c r="R106" s="661"/>
      <c r="S106" s="228" t="str">
        <f t="array" ref="S106">IFERROR(INDEX('💻シート作成'!$D$6:$D1001, MATCH(T106, '💻シート作成'!$E$6:$E1001, 0)), "")</f>
        <v/>
      </c>
      <c r="T106" s="172"/>
      <c r="U106" s="664"/>
      <c r="V106" s="774"/>
      <c r="W106" s="661"/>
      <c r="X106" s="757"/>
      <c r="Y106" s="661"/>
      <c r="Z106" s="661"/>
    </row>
    <row r="107" outlineLevel="1">
      <c r="A107" s="661"/>
      <c r="B107" s="729"/>
      <c r="C107" s="730"/>
      <c r="D107" s="730"/>
      <c r="E107" s="730"/>
      <c r="F107" s="697"/>
      <c r="G107" s="698"/>
      <c r="H107" s="697"/>
      <c r="I107" s="697"/>
      <c r="J107" s="697"/>
      <c r="K107" s="697"/>
      <c r="L107" s="773"/>
      <c r="M107" s="769"/>
      <c r="N107" s="697"/>
      <c r="O107" s="700"/>
      <c r="P107" s="701"/>
      <c r="Q107" s="737"/>
      <c r="R107" s="661"/>
      <c r="S107" s="228" t="str">
        <f t="array" ref="S107">IFERROR(INDEX('💻シート作成'!$D$6:$D1001, MATCH(T107, '💻シート作成'!$E$6:$E1001, 0)), "")</f>
        <v/>
      </c>
      <c r="T107" s="172"/>
      <c r="U107" s="664"/>
      <c r="V107" s="774"/>
      <c r="W107" s="661"/>
      <c r="X107" s="757"/>
      <c r="Y107" s="661"/>
      <c r="Z107" s="661"/>
    </row>
    <row r="108" ht="18.0" customHeight="1" outlineLevel="1">
      <c r="A108" s="661"/>
      <c r="B108" s="738"/>
      <c r="C108" s="697"/>
      <c r="D108" s="697"/>
      <c r="E108" s="697"/>
      <c r="F108" s="739" t="s">
        <v>517</v>
      </c>
      <c r="G108" s="740" t="s">
        <v>629</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4"/>
      <c r="W108" s="661"/>
      <c r="X108" s="757"/>
      <c r="Y108" s="661"/>
      <c r="Z108" s="661"/>
    </row>
    <row r="109" outlineLevel="1">
      <c r="A109" s="661"/>
      <c r="B109" s="743"/>
      <c r="C109" s="744">
        <f>IF(C98="","",IF(DAY(C98+1)=1,"",C98+1))</f>
        <v>46091</v>
      </c>
      <c r="D109" s="745" t="str">
        <f>TEXT(C109,"ddd")</f>
        <v>火</v>
      </c>
      <c r="E109" s="746"/>
      <c r="F109" s="775" t="s">
        <v>142</v>
      </c>
      <c r="G109" s="776" t="s">
        <v>630</v>
      </c>
      <c r="H109" s="777">
        <v>1.0</v>
      </c>
      <c r="I109" s="778">
        <v>0.625</v>
      </c>
      <c r="J109" s="777" t="s">
        <v>603</v>
      </c>
      <c r="K109" s="777" t="s">
        <v>604</v>
      </c>
      <c r="L109" s="755"/>
      <c r="M109" s="755"/>
      <c r="N109" s="775"/>
      <c r="O109" s="779"/>
      <c r="P109" s="771"/>
      <c r="Q109" s="772"/>
      <c r="R109" s="661"/>
      <c r="S109" s="228" t="str">
        <f t="array" ref="S109">IFERROR(INDEX('💻シート作成'!$D$6:$D1001, MATCH(T109, '💻シート作成'!$E$6:$E1001, 0)), "")</f>
        <v/>
      </c>
      <c r="T109" s="172"/>
      <c r="U109" s="664"/>
      <c r="V109" s="774"/>
      <c r="W109" s="661"/>
      <c r="X109" s="757"/>
      <c r="Y109" s="661"/>
      <c r="Z109" s="661"/>
    </row>
    <row r="110" outlineLevel="1">
      <c r="A110" s="661"/>
      <c r="B110" s="729"/>
      <c r="C110" s="730"/>
      <c r="D110" s="730"/>
      <c r="E110" s="730"/>
      <c r="F110" s="730"/>
      <c r="G110" s="731"/>
      <c r="H110" s="730"/>
      <c r="I110" s="730"/>
      <c r="J110" s="730"/>
      <c r="K110" s="730"/>
      <c r="L110" s="755"/>
      <c r="M110" s="755"/>
      <c r="N110" s="730"/>
      <c r="O110" s="733"/>
      <c r="Q110" s="728"/>
      <c r="R110" s="661"/>
      <c r="S110" s="228" t="str">
        <f t="array" ref="S110">IFERROR(INDEX('💻シート作成'!$D$6:$D1001, MATCH(T110, '💻シート作成'!$E$6:$E1001, 0)), "")</f>
        <v/>
      </c>
      <c r="T110" s="184"/>
      <c r="U110" s="664"/>
      <c r="V110" s="774"/>
      <c r="W110" s="661"/>
      <c r="X110" s="757"/>
      <c r="Y110" s="661"/>
      <c r="Z110" s="661"/>
    </row>
    <row r="111" outlineLevel="1">
      <c r="A111" s="661"/>
      <c r="B111" s="729"/>
      <c r="C111" s="730"/>
      <c r="D111" s="730"/>
      <c r="E111" s="730"/>
      <c r="F111" s="730"/>
      <c r="G111" s="731"/>
      <c r="H111" s="730"/>
      <c r="I111" s="730"/>
      <c r="J111" s="730"/>
      <c r="K111" s="730"/>
      <c r="L111" s="755"/>
      <c r="M111" s="755"/>
      <c r="N111" s="730"/>
      <c r="O111" s="733"/>
      <c r="Q111" s="728"/>
      <c r="R111" s="661"/>
      <c r="S111" s="228" t="str">
        <f t="array" ref="S111">IFERROR(INDEX('💻シート作成'!$D$6:$D1001, MATCH(T111, '💻シート作成'!$E$6:$E1001, 0)), "")</f>
        <v/>
      </c>
      <c r="T111" s="184"/>
      <c r="U111" s="664"/>
      <c r="V111" s="774"/>
      <c r="W111" s="661"/>
      <c r="X111" s="757"/>
      <c r="Y111" s="661"/>
      <c r="Z111" s="661"/>
    </row>
    <row r="112" outlineLevel="1">
      <c r="A112" s="661"/>
      <c r="B112" s="729"/>
      <c r="C112" s="730"/>
      <c r="D112" s="730"/>
      <c r="E112" s="730"/>
      <c r="F112" s="730"/>
      <c r="G112" s="731"/>
      <c r="H112" s="730"/>
      <c r="I112" s="730"/>
      <c r="J112" s="730"/>
      <c r="K112" s="730"/>
      <c r="L112" s="756"/>
      <c r="M112" s="755"/>
      <c r="N112" s="730"/>
      <c r="O112" s="733"/>
      <c r="Q112" s="728"/>
      <c r="R112" s="661"/>
      <c r="S112" s="228" t="str">
        <f t="array" ref="S112">IFERROR(INDEX('💻シート作成'!$D$6:$D1001, MATCH(T112, '💻シート作成'!$E$6:$E1001, 0)), "")</f>
        <v/>
      </c>
      <c r="T112" s="184"/>
      <c r="U112" s="664"/>
      <c r="V112" s="774"/>
      <c r="W112" s="661"/>
      <c r="X112" s="757"/>
      <c r="Y112" s="661"/>
      <c r="Z112" s="661"/>
    </row>
    <row r="113" outlineLevel="1">
      <c r="A113" s="661"/>
      <c r="B113" s="729"/>
      <c r="C113" s="730"/>
      <c r="D113" s="730"/>
      <c r="E113" s="730"/>
      <c r="F113" s="730"/>
      <c r="G113" s="731"/>
      <c r="H113" s="730"/>
      <c r="I113" s="730"/>
      <c r="J113" s="730"/>
      <c r="K113" s="730"/>
      <c r="L113" s="756"/>
      <c r="M113" s="755"/>
      <c r="N113" s="730"/>
      <c r="O113" s="733"/>
      <c r="Q113" s="728"/>
      <c r="R113" s="661"/>
      <c r="S113" s="228" t="str">
        <f t="array" ref="S113">IFERROR(INDEX('💻シート作成'!$D$6:$D1001, MATCH(T113, '💻シート作成'!$E$6:$E1001, 0)), "")</f>
        <v/>
      </c>
      <c r="T113" s="184"/>
      <c r="U113" s="664"/>
      <c r="V113" s="774"/>
      <c r="W113" s="661"/>
      <c r="X113" s="757"/>
      <c r="Y113" s="661"/>
      <c r="Z113" s="661"/>
    </row>
    <row r="114" outlineLevel="1">
      <c r="A114" s="661"/>
      <c r="B114" s="729"/>
      <c r="C114" s="730"/>
      <c r="D114" s="730"/>
      <c r="E114" s="730"/>
      <c r="F114" s="730"/>
      <c r="G114" s="731"/>
      <c r="H114" s="730"/>
      <c r="I114" s="730"/>
      <c r="J114" s="730"/>
      <c r="K114" s="730"/>
      <c r="L114" s="756"/>
      <c r="M114" s="755"/>
      <c r="N114" s="730"/>
      <c r="O114" s="733"/>
      <c r="Q114" s="728"/>
      <c r="R114" s="661"/>
      <c r="S114" s="228" t="str">
        <f t="array" ref="S114">IFERROR(INDEX('💻シート作成'!$D$6:$D1001, MATCH(T114, '💻シート作成'!$E$6:$E1001, 0)), "")</f>
        <v/>
      </c>
      <c r="T114" s="184"/>
      <c r="U114" s="664"/>
      <c r="V114" s="774"/>
      <c r="W114" s="661"/>
      <c r="X114" s="757"/>
      <c r="Y114" s="661"/>
      <c r="Z114" s="661"/>
    </row>
    <row r="115" outlineLevel="1">
      <c r="A115" s="661"/>
      <c r="B115" s="729"/>
      <c r="C115" s="730"/>
      <c r="D115" s="730"/>
      <c r="E115" s="730"/>
      <c r="F115" s="730"/>
      <c r="G115" s="731"/>
      <c r="H115" s="730"/>
      <c r="I115" s="730"/>
      <c r="J115" s="730"/>
      <c r="K115" s="730"/>
      <c r="L115" s="756"/>
      <c r="M115" s="755"/>
      <c r="N115" s="730"/>
      <c r="O115" s="733"/>
      <c r="Q115" s="728"/>
      <c r="R115" s="661"/>
      <c r="S115" s="228" t="str">
        <f t="array" ref="S115">IFERROR(INDEX('💻シート作成'!$D$6:$D1001, MATCH(T115, '💻シート作成'!$E$6:$E1001, 0)), "")</f>
        <v/>
      </c>
      <c r="T115" s="184"/>
      <c r="U115" s="664"/>
      <c r="V115" s="774"/>
      <c r="W115" s="661"/>
      <c r="X115" s="757"/>
      <c r="Y115" s="661"/>
      <c r="Z115" s="661"/>
    </row>
    <row r="116" outlineLevel="1">
      <c r="A116" s="661"/>
      <c r="B116" s="729"/>
      <c r="C116" s="730"/>
      <c r="D116" s="730"/>
      <c r="E116" s="730"/>
      <c r="F116" s="730"/>
      <c r="G116" s="731"/>
      <c r="H116" s="730"/>
      <c r="I116" s="730"/>
      <c r="J116" s="730"/>
      <c r="K116" s="730"/>
      <c r="L116" s="756"/>
      <c r="M116" s="755"/>
      <c r="N116" s="730"/>
      <c r="O116" s="733"/>
      <c r="Q116" s="728"/>
      <c r="R116" s="661"/>
      <c r="S116" s="228" t="str">
        <f t="array" ref="S116">IFERROR(INDEX('💻シート作成'!$D$6:$D1001, MATCH(T116, '💻シート作成'!$E$6:$E1001, 0)), "")</f>
        <v/>
      </c>
      <c r="T116" s="184"/>
      <c r="U116" s="664"/>
      <c r="V116" s="774"/>
      <c r="W116" s="661"/>
      <c r="X116" s="757"/>
      <c r="Y116" s="661"/>
      <c r="Z116" s="661"/>
    </row>
    <row r="117" outlineLevel="1">
      <c r="A117" s="661"/>
      <c r="B117" s="729"/>
      <c r="C117" s="730"/>
      <c r="D117" s="730"/>
      <c r="E117" s="730"/>
      <c r="F117" s="730"/>
      <c r="G117" s="731"/>
      <c r="H117" s="730"/>
      <c r="I117" s="730"/>
      <c r="J117" s="730"/>
      <c r="K117" s="730"/>
      <c r="L117" s="756"/>
      <c r="M117" s="755"/>
      <c r="N117" s="730"/>
      <c r="O117" s="733"/>
      <c r="Q117" s="728"/>
      <c r="R117" s="661"/>
      <c r="S117" s="228" t="str">
        <f t="array" ref="S117">IFERROR(INDEX('💻シート作成'!$D$6:$D1001, MATCH(T117, '💻シート作成'!$E$6:$E1001, 0)), "")</f>
        <v/>
      </c>
      <c r="T117" s="184"/>
      <c r="U117" s="664"/>
      <c r="V117" s="774"/>
      <c r="W117" s="661"/>
      <c r="X117" s="757"/>
      <c r="Y117" s="661"/>
      <c r="Z117" s="661"/>
    </row>
    <row r="118" outlineLevel="1">
      <c r="A118" s="661"/>
      <c r="B118" s="729"/>
      <c r="C118" s="730"/>
      <c r="D118" s="730"/>
      <c r="E118" s="730"/>
      <c r="F118" s="697"/>
      <c r="G118" s="698"/>
      <c r="H118" s="697"/>
      <c r="I118" s="697"/>
      <c r="J118" s="697"/>
      <c r="K118" s="697"/>
      <c r="L118" s="756"/>
      <c r="M118" s="755"/>
      <c r="N118" s="697"/>
      <c r="O118" s="700"/>
      <c r="P118" s="701"/>
      <c r="Q118" s="737"/>
      <c r="R118" s="661"/>
      <c r="S118" s="228" t="str">
        <f t="array" ref="S118">IFERROR(INDEX('💻シート作成'!$D$6:$D1001, MATCH(T118, '💻シート作成'!$E$6:$E1001, 0)), "")</f>
        <v/>
      </c>
      <c r="T118" s="184"/>
      <c r="U118" s="664"/>
      <c r="V118" s="774"/>
      <c r="W118" s="661"/>
      <c r="X118" s="757"/>
      <c r="Y118" s="661"/>
      <c r="Z118" s="661"/>
    </row>
    <row r="119" ht="18.0" customHeight="1" outlineLevel="1">
      <c r="A119" s="661"/>
      <c r="B119" s="738"/>
      <c r="C119" s="697"/>
      <c r="D119" s="697"/>
      <c r="E119" s="697"/>
      <c r="F119" s="758" t="s">
        <v>517</v>
      </c>
      <c r="G119" s="759" t="s">
        <v>631</v>
      </c>
      <c r="H119" s="741"/>
      <c r="I119" s="741"/>
      <c r="J119" s="741"/>
      <c r="K119" s="741"/>
      <c r="L119" s="759"/>
      <c r="M119" s="759"/>
      <c r="N119" s="759"/>
      <c r="O119" s="759"/>
      <c r="P119" s="759"/>
      <c r="Q119" s="760"/>
      <c r="R119" s="661"/>
      <c r="S119" s="228" t="str">
        <f t="array" ref="S119">IFERROR(INDEX('💻シート作成'!$D$6:$D1001, MATCH(T119, '💻シート作成'!$E$6:$E1001, 0)), "")</f>
        <v/>
      </c>
      <c r="T119" s="184"/>
      <c r="U119" s="664"/>
      <c r="V119" s="774"/>
      <c r="W119" s="661"/>
      <c r="X119" s="757"/>
      <c r="Y119" s="661"/>
      <c r="Z119" s="661"/>
    </row>
    <row r="120">
      <c r="A120" s="661"/>
      <c r="B120" s="780" t="s">
        <v>523</v>
      </c>
      <c r="C120" s="781"/>
      <c r="D120" s="781"/>
      <c r="E120" s="781"/>
      <c r="F120" s="782"/>
      <c r="G120" s="783"/>
      <c r="H120" s="784"/>
      <c r="I120" s="784"/>
      <c r="J120" s="785"/>
      <c r="K120" s="785"/>
      <c r="L120" s="783"/>
      <c r="M120" s="783"/>
      <c r="N120" s="786"/>
      <c r="O120" s="787"/>
      <c r="P120" s="787"/>
      <c r="Q120" s="788"/>
      <c r="R120" s="661"/>
      <c r="S120" s="228" t="str">
        <f t="array" ref="S120">IFERROR(INDEX('💻シート作成'!$D$6:$D1001, MATCH(T120, '💻シート作成'!$E$6:$E1001, 0)), "")</f>
        <v/>
      </c>
      <c r="T120" s="184"/>
      <c r="U120" s="664"/>
      <c r="V120" s="774"/>
      <c r="W120" s="661"/>
      <c r="X120" s="757"/>
      <c r="Y120" s="661"/>
      <c r="Z120" s="661"/>
    </row>
    <row r="121" ht="27.75" customHeight="1" outlineLevel="1">
      <c r="A121" s="661"/>
      <c r="B121" s="761"/>
      <c r="C121" s="762">
        <f>IF(C109="","",IF(DAY(C109+1)=1,"",C109+1))</f>
        <v>46092</v>
      </c>
      <c r="D121" s="763" t="str">
        <f>TEXT(C121,"ddd")</f>
        <v>水</v>
      </c>
      <c r="E121" s="764"/>
      <c r="F121" s="765" t="s">
        <v>132</v>
      </c>
      <c r="G121" s="766" t="s">
        <v>632</v>
      </c>
      <c r="H121" s="767">
        <v>1.0</v>
      </c>
      <c r="I121" s="768">
        <v>0.7083333333333334</v>
      </c>
      <c r="J121" s="767">
        <v>6.0</v>
      </c>
      <c r="K121" s="767">
        <v>3.0</v>
      </c>
      <c r="L121" s="769" t="s">
        <v>113</v>
      </c>
      <c r="M121" s="769" t="s">
        <v>633</v>
      </c>
      <c r="N121" s="765"/>
      <c r="O121" s="770"/>
      <c r="P121" s="771"/>
      <c r="Q121" s="772"/>
      <c r="R121" s="661"/>
      <c r="S121" s="228" t="str">
        <f t="array" ref="S121">IFERROR(INDEX('💻シート作成'!$D$6:$D1001, MATCH(T121, '💻シート作成'!$E$6:$E1001, 0)), "")</f>
        <v/>
      </c>
      <c r="T121" s="184"/>
      <c r="U121" s="664"/>
      <c r="V121" s="774"/>
      <c r="W121" s="661"/>
      <c r="X121" s="757"/>
      <c r="Y121" s="661"/>
      <c r="Z121" s="661"/>
    </row>
    <row r="122" ht="27.75" customHeight="1" outlineLevel="1">
      <c r="A122" s="661"/>
      <c r="B122" s="729"/>
      <c r="C122" s="730"/>
      <c r="D122" s="730"/>
      <c r="E122" s="730"/>
      <c r="F122" s="730"/>
      <c r="G122" s="731"/>
      <c r="H122" s="730"/>
      <c r="I122" s="730"/>
      <c r="J122" s="730"/>
      <c r="K122" s="730"/>
      <c r="L122" s="769"/>
      <c r="M122" s="769"/>
      <c r="N122" s="730"/>
      <c r="O122" s="733"/>
      <c r="Q122" s="728"/>
      <c r="R122" s="661"/>
      <c r="S122" s="228" t="str">
        <f t="array" ref="S122">IFERROR(INDEX('💻シート作成'!$D$6:$D1001, MATCH(T122, '💻シート作成'!$E$6:$E1001, 0)), "")</f>
        <v/>
      </c>
      <c r="T122" s="184"/>
      <c r="U122" s="664"/>
      <c r="V122" s="774"/>
      <c r="W122" s="661"/>
      <c r="X122" s="757"/>
      <c r="Y122" s="661"/>
      <c r="Z122" s="661"/>
    </row>
    <row r="123" ht="27.75" customHeight="1" outlineLevel="1">
      <c r="A123" s="661"/>
      <c r="B123" s="729"/>
      <c r="C123" s="730"/>
      <c r="D123" s="730"/>
      <c r="E123" s="730"/>
      <c r="F123" s="730"/>
      <c r="G123" s="731"/>
      <c r="H123" s="730"/>
      <c r="I123" s="730"/>
      <c r="J123" s="730"/>
      <c r="K123" s="730"/>
      <c r="L123" s="769"/>
      <c r="M123" s="769"/>
      <c r="N123" s="730"/>
      <c r="O123" s="733"/>
      <c r="Q123" s="728"/>
      <c r="R123" s="661"/>
      <c r="S123" s="228" t="str">
        <f t="array" ref="S123">IFERROR(INDEX('💻シート作成'!$D$6:$D1001, MATCH(T123, '💻シート作成'!$E$6:$E1001, 0)), "")</f>
        <v/>
      </c>
      <c r="T123" s="184"/>
      <c r="U123" s="664"/>
      <c r="V123" s="774"/>
      <c r="W123" s="661"/>
      <c r="X123" s="757"/>
      <c r="Y123" s="661"/>
      <c r="Z123" s="661"/>
    </row>
    <row r="124" ht="27.75" customHeight="1" outlineLevel="1">
      <c r="A124" s="661"/>
      <c r="B124" s="729"/>
      <c r="C124" s="730"/>
      <c r="D124" s="730"/>
      <c r="E124" s="730"/>
      <c r="F124" s="730"/>
      <c r="G124" s="731"/>
      <c r="H124" s="730"/>
      <c r="I124" s="730"/>
      <c r="J124" s="730"/>
      <c r="K124" s="730"/>
      <c r="L124" s="773"/>
      <c r="M124" s="769"/>
      <c r="N124" s="730"/>
      <c r="O124" s="733"/>
      <c r="Q124" s="728"/>
      <c r="R124" s="661"/>
      <c r="S124" s="228" t="str">
        <f t="array" ref="S124">IFERROR(INDEX('💻シート作成'!$D$6:$D1001, MATCH(T124, '💻シート作成'!$E$6:$E1001, 0)), "")</f>
        <v/>
      </c>
      <c r="T124" s="184"/>
      <c r="U124" s="664"/>
      <c r="V124" s="774"/>
      <c r="W124" s="661"/>
      <c r="X124" s="757"/>
      <c r="Y124" s="661"/>
      <c r="Z124" s="661"/>
    </row>
    <row r="125" ht="27.75" customHeight="1" outlineLevel="1">
      <c r="A125" s="661"/>
      <c r="B125" s="729"/>
      <c r="C125" s="730"/>
      <c r="D125" s="730"/>
      <c r="E125" s="730"/>
      <c r="F125" s="730"/>
      <c r="G125" s="731"/>
      <c r="H125" s="730"/>
      <c r="I125" s="730"/>
      <c r="J125" s="730"/>
      <c r="K125" s="730"/>
      <c r="L125" s="773"/>
      <c r="M125" s="769"/>
      <c r="N125" s="730"/>
      <c r="O125" s="733"/>
      <c r="Q125" s="728"/>
      <c r="R125" s="661"/>
      <c r="S125" s="228" t="str">
        <f t="array" ref="S125">IFERROR(INDEX('💻シート作成'!$D$6:$D1001, MATCH(T125, '💻シート作成'!$E$6:$E1001, 0)), "")</f>
        <v/>
      </c>
      <c r="T125" s="184"/>
      <c r="U125" s="664"/>
      <c r="V125" s="774"/>
      <c r="W125" s="661"/>
      <c r="X125" s="757"/>
      <c r="Y125" s="661"/>
      <c r="Z125" s="661"/>
    </row>
    <row r="126" ht="27.75" customHeight="1" outlineLevel="1">
      <c r="A126" s="661"/>
      <c r="B126" s="729"/>
      <c r="C126" s="730"/>
      <c r="D126" s="730"/>
      <c r="E126" s="730"/>
      <c r="F126" s="730"/>
      <c r="G126" s="731"/>
      <c r="H126" s="730"/>
      <c r="I126" s="730"/>
      <c r="J126" s="730"/>
      <c r="K126" s="730"/>
      <c r="L126" s="773"/>
      <c r="M126" s="769"/>
      <c r="N126" s="730"/>
      <c r="O126" s="733"/>
      <c r="Q126" s="728"/>
      <c r="R126" s="661"/>
      <c r="S126" s="228" t="str">
        <f t="array" ref="S126">IFERROR(INDEX('💻シート作成'!$D$6:$D1001, MATCH(T126, '💻シート作成'!$E$6:$E1001, 0)), "")</f>
        <v/>
      </c>
      <c r="T126" s="184"/>
      <c r="U126" s="664"/>
      <c r="V126" s="774"/>
      <c r="W126" s="661"/>
      <c r="X126" s="757"/>
      <c r="Y126" s="661"/>
      <c r="Z126" s="661"/>
    </row>
    <row r="127" ht="27.75" customHeight="1" outlineLevel="1">
      <c r="A127" s="661"/>
      <c r="B127" s="729"/>
      <c r="C127" s="730"/>
      <c r="D127" s="730"/>
      <c r="E127" s="730"/>
      <c r="F127" s="730"/>
      <c r="G127" s="731"/>
      <c r="H127" s="730"/>
      <c r="I127" s="730"/>
      <c r="J127" s="730"/>
      <c r="K127" s="730"/>
      <c r="L127" s="773"/>
      <c r="M127" s="769"/>
      <c r="N127" s="730"/>
      <c r="O127" s="733"/>
      <c r="Q127" s="728"/>
      <c r="R127" s="661"/>
      <c r="S127" s="228" t="str">
        <f t="array" ref="S127">IFERROR(INDEX('💻シート作成'!$D$6:$D1001, MATCH(T127, '💻シート作成'!$E$6:$E1001, 0)), "")</f>
        <v/>
      </c>
      <c r="T127" s="184"/>
      <c r="U127" s="664"/>
      <c r="V127" s="774"/>
      <c r="W127" s="661"/>
      <c r="X127" s="757"/>
      <c r="Y127" s="661"/>
      <c r="Z127" s="661"/>
    </row>
    <row r="128" ht="27.75" customHeight="1" outlineLevel="1">
      <c r="A128" s="661"/>
      <c r="B128" s="729"/>
      <c r="C128" s="730"/>
      <c r="D128" s="730"/>
      <c r="E128" s="730"/>
      <c r="F128" s="730"/>
      <c r="G128" s="731"/>
      <c r="H128" s="730"/>
      <c r="I128" s="730"/>
      <c r="J128" s="730"/>
      <c r="K128" s="730"/>
      <c r="L128" s="773"/>
      <c r="M128" s="769"/>
      <c r="N128" s="730"/>
      <c r="O128" s="733"/>
      <c r="Q128" s="728"/>
      <c r="R128" s="661"/>
      <c r="S128" s="228" t="str">
        <f t="array" ref="S128">IFERROR(INDEX('💻シート作成'!$D$6:$D1001, MATCH(T128, '💻シート作成'!$E$6:$E1001, 0)), "")</f>
        <v/>
      </c>
      <c r="T128" s="184"/>
      <c r="U128" s="664"/>
      <c r="V128" s="774"/>
      <c r="W128" s="661"/>
      <c r="X128" s="757"/>
      <c r="Y128" s="661"/>
      <c r="Z128" s="661"/>
    </row>
    <row r="129" ht="27.75" customHeight="1" outlineLevel="1">
      <c r="A129" s="661"/>
      <c r="B129" s="729"/>
      <c r="C129" s="730"/>
      <c r="D129" s="730"/>
      <c r="E129" s="730"/>
      <c r="F129" s="730"/>
      <c r="G129" s="731"/>
      <c r="H129" s="730"/>
      <c r="I129" s="730"/>
      <c r="J129" s="730"/>
      <c r="K129" s="730"/>
      <c r="L129" s="773"/>
      <c r="M129" s="769"/>
      <c r="N129" s="730"/>
      <c r="O129" s="733"/>
      <c r="Q129" s="728"/>
      <c r="R129" s="661"/>
      <c r="S129" s="228" t="str">
        <f t="array" ref="S129">IFERROR(INDEX('💻シート作成'!$D$6:$D1001, MATCH(T129, '💻シート作成'!$E$6:$E1001, 0)), "")</f>
        <v/>
      </c>
      <c r="T129" s="184"/>
      <c r="U129" s="664"/>
      <c r="V129" s="774"/>
      <c r="W129" s="661"/>
      <c r="X129" s="757"/>
      <c r="Y129" s="661"/>
      <c r="Z129" s="661"/>
    </row>
    <row r="130" ht="27.75" customHeight="1" outlineLevel="1">
      <c r="A130" s="661"/>
      <c r="B130" s="729"/>
      <c r="C130" s="730"/>
      <c r="D130" s="730"/>
      <c r="E130" s="730"/>
      <c r="F130" s="697"/>
      <c r="G130" s="698"/>
      <c r="H130" s="697"/>
      <c r="I130" s="697"/>
      <c r="J130" s="697"/>
      <c r="K130" s="697"/>
      <c r="L130" s="773"/>
      <c r="M130" s="769"/>
      <c r="N130" s="697"/>
      <c r="O130" s="700"/>
      <c r="P130" s="701"/>
      <c r="Q130" s="737"/>
      <c r="R130" s="661"/>
      <c r="S130" s="228" t="str">
        <f t="array" ref="S130">IFERROR(INDEX('💻シート作成'!$D$6:$D1001, MATCH(T130, '💻シート作成'!$E$6:$E1001, 0)), "")</f>
        <v/>
      </c>
      <c r="T130" s="184"/>
      <c r="U130" s="664"/>
      <c r="V130" s="774"/>
      <c r="W130" s="661"/>
      <c r="X130" s="757"/>
      <c r="Y130" s="661"/>
      <c r="Z130" s="661"/>
    </row>
    <row r="131" ht="18.0" customHeight="1" outlineLevel="1">
      <c r="A131" s="661"/>
      <c r="B131" s="738"/>
      <c r="C131" s="697"/>
      <c r="D131" s="697"/>
      <c r="E131" s="697"/>
      <c r="F131" s="739" t="s">
        <v>517</v>
      </c>
      <c r="G131" s="740" t="s">
        <v>634</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4"/>
      <c r="W131" s="661"/>
      <c r="X131" s="757"/>
      <c r="Y131" s="661"/>
      <c r="Z131" s="661"/>
    </row>
    <row r="132" ht="75.0" customHeight="1" outlineLevel="1">
      <c r="A132" s="661"/>
      <c r="B132" s="743"/>
      <c r="C132" s="744">
        <f>IF(C121="","",IF(DAY(C121+1)=1,"",C121+1))</f>
        <v>46093</v>
      </c>
      <c r="D132" s="745" t="str">
        <f>TEXT(C132,"ddd")</f>
        <v>木</v>
      </c>
      <c r="E132" s="746"/>
      <c r="F132" s="775" t="s">
        <v>132</v>
      </c>
      <c r="G132" s="776" t="s">
        <v>635</v>
      </c>
      <c r="H132" s="777"/>
      <c r="I132" s="778">
        <v>0.6666666666666666</v>
      </c>
      <c r="J132" s="777">
        <v>7.0</v>
      </c>
      <c r="K132" s="777">
        <v>3.0</v>
      </c>
      <c r="L132" s="755" t="s">
        <v>521</v>
      </c>
      <c r="M132" s="755" t="s">
        <v>636</v>
      </c>
      <c r="N132" s="775"/>
      <c r="O132" s="779"/>
      <c r="P132" s="771"/>
      <c r="Q132" s="772"/>
      <c r="R132" s="661"/>
      <c r="S132" s="228" t="str">
        <f t="array" ref="S132">IFERROR(INDEX('💻シート作成'!$D$6:$D1001, MATCH(T132, '💻シート作成'!$E$6:$E1001, 0)), "")</f>
        <v/>
      </c>
      <c r="T132" s="184"/>
      <c r="U132" s="664"/>
      <c r="V132" s="774"/>
      <c r="W132" s="661"/>
      <c r="X132" s="757"/>
      <c r="Y132" s="661"/>
      <c r="Z132" s="661"/>
    </row>
    <row r="133" ht="75.0" customHeight="1" outlineLevel="1">
      <c r="A133" s="661"/>
      <c r="B133" s="729"/>
      <c r="C133" s="730"/>
      <c r="D133" s="730"/>
      <c r="E133" s="730"/>
      <c r="F133" s="730"/>
      <c r="G133" s="731"/>
      <c r="H133" s="730"/>
      <c r="I133" s="730"/>
      <c r="J133" s="730"/>
      <c r="K133" s="730"/>
      <c r="L133" s="755"/>
      <c r="M133" s="755"/>
      <c r="N133" s="730"/>
      <c r="O133" s="733"/>
      <c r="Q133" s="728"/>
      <c r="R133" s="661"/>
      <c r="S133" s="228" t="str">
        <f t="array" ref="S133">IFERROR(INDEX('💻シート作成'!$D$6:$D1001, MATCH(T133, '💻シート作成'!$E$6:$E1001, 0)), "")</f>
        <v/>
      </c>
      <c r="T133" s="184"/>
      <c r="U133" s="664"/>
      <c r="V133" s="774"/>
      <c r="W133" s="661"/>
      <c r="X133" s="757"/>
      <c r="Y133" s="661"/>
      <c r="Z133" s="661"/>
    </row>
    <row r="134" ht="75.0" customHeight="1" outlineLevel="1">
      <c r="A134" s="661"/>
      <c r="B134" s="729"/>
      <c r="C134" s="730"/>
      <c r="D134" s="730"/>
      <c r="E134" s="730"/>
      <c r="F134" s="730"/>
      <c r="G134" s="731"/>
      <c r="H134" s="730"/>
      <c r="I134" s="730"/>
      <c r="J134" s="730"/>
      <c r="K134" s="730"/>
      <c r="L134" s="755"/>
      <c r="M134" s="755"/>
      <c r="N134" s="730"/>
      <c r="O134" s="733"/>
      <c r="Q134" s="728"/>
      <c r="R134" s="661"/>
      <c r="S134" s="228" t="str">
        <f t="array" ref="S134">IFERROR(INDEX('💻シート作成'!$D$6:$D1001, MATCH(T134, '💻シート作成'!$E$6:$E1001, 0)), "")</f>
        <v/>
      </c>
      <c r="T134" s="184"/>
      <c r="U134" s="664"/>
      <c r="V134" s="774"/>
      <c r="W134" s="661"/>
      <c r="X134" s="757"/>
      <c r="Y134" s="661"/>
      <c r="Z134" s="661"/>
    </row>
    <row r="135" ht="75.0" customHeight="1" outlineLevel="1">
      <c r="A135" s="661"/>
      <c r="B135" s="729"/>
      <c r="C135" s="730"/>
      <c r="D135" s="730"/>
      <c r="E135" s="730"/>
      <c r="F135" s="730"/>
      <c r="G135" s="731"/>
      <c r="H135" s="730"/>
      <c r="I135" s="730"/>
      <c r="J135" s="730"/>
      <c r="K135" s="730"/>
      <c r="L135" s="756"/>
      <c r="M135" s="755"/>
      <c r="N135" s="730"/>
      <c r="O135" s="733"/>
      <c r="Q135" s="728"/>
      <c r="R135" s="661"/>
      <c r="S135" s="228" t="str">
        <f t="array" ref="S135">IFERROR(INDEX('💻シート作成'!$D$6:$D1001, MATCH(T135, '💻シート作成'!$E$6:$E1001, 0)), "")</f>
        <v/>
      </c>
      <c r="T135" s="184"/>
      <c r="U135" s="664"/>
      <c r="V135" s="774"/>
      <c r="W135" s="661"/>
      <c r="X135" s="757"/>
      <c r="Y135" s="661"/>
      <c r="Z135" s="661"/>
    </row>
    <row r="136" ht="75.0" customHeight="1" outlineLevel="1">
      <c r="A136" s="661"/>
      <c r="B136" s="729"/>
      <c r="C136" s="730"/>
      <c r="D136" s="730"/>
      <c r="E136" s="730"/>
      <c r="F136" s="730"/>
      <c r="G136" s="731"/>
      <c r="H136" s="730"/>
      <c r="I136" s="730"/>
      <c r="J136" s="730"/>
      <c r="K136" s="730"/>
      <c r="L136" s="756"/>
      <c r="M136" s="755"/>
      <c r="N136" s="730"/>
      <c r="O136" s="733"/>
      <c r="Q136" s="728"/>
      <c r="R136" s="661"/>
      <c r="S136" s="228" t="str">
        <f t="array" ref="S136">IFERROR(INDEX('💻シート作成'!$D$6:$D1001, MATCH(T136, '💻シート作成'!$E$6:$E1001, 0)), "")</f>
        <v/>
      </c>
      <c r="T136" s="184"/>
      <c r="U136" s="664"/>
      <c r="V136" s="774"/>
      <c r="W136" s="661"/>
      <c r="X136" s="757"/>
      <c r="Y136" s="661"/>
      <c r="Z136" s="661"/>
    </row>
    <row r="137" ht="75.0" customHeight="1" outlineLevel="1">
      <c r="A137" s="661"/>
      <c r="B137" s="729"/>
      <c r="C137" s="730"/>
      <c r="D137" s="730"/>
      <c r="E137" s="730"/>
      <c r="F137" s="730"/>
      <c r="G137" s="731"/>
      <c r="H137" s="730"/>
      <c r="I137" s="730"/>
      <c r="J137" s="730"/>
      <c r="K137" s="730"/>
      <c r="L137" s="756"/>
      <c r="M137" s="755"/>
      <c r="N137" s="730"/>
      <c r="O137" s="733"/>
      <c r="Q137" s="728"/>
      <c r="R137" s="661"/>
      <c r="S137" s="228" t="str">
        <f t="array" ref="S137">IFERROR(INDEX('💻シート作成'!$D$6:$D1001, MATCH(T137, '💻シート作成'!$E$6:$E1001, 0)), "")</f>
        <v/>
      </c>
      <c r="T137" s="184"/>
      <c r="U137" s="664"/>
      <c r="V137" s="774"/>
      <c r="W137" s="661"/>
      <c r="X137" s="757"/>
      <c r="Y137" s="661"/>
      <c r="Z137" s="661"/>
    </row>
    <row r="138" ht="75.0" customHeight="1" outlineLevel="1">
      <c r="A138" s="661"/>
      <c r="B138" s="729"/>
      <c r="C138" s="730"/>
      <c r="D138" s="730"/>
      <c r="E138" s="730"/>
      <c r="F138" s="730"/>
      <c r="G138" s="731"/>
      <c r="H138" s="730"/>
      <c r="I138" s="730"/>
      <c r="J138" s="730"/>
      <c r="K138" s="730"/>
      <c r="L138" s="756"/>
      <c r="M138" s="755"/>
      <c r="N138" s="730"/>
      <c r="O138" s="733"/>
      <c r="Q138" s="728"/>
      <c r="R138" s="661"/>
      <c r="S138" s="228" t="str">
        <f t="array" ref="S138">IFERROR(INDEX('💻シート作成'!$D$6:$D1001, MATCH(T138, '💻シート作成'!$E$6:$E1001, 0)), "")</f>
        <v/>
      </c>
      <c r="T138" s="184"/>
      <c r="U138" s="664"/>
      <c r="V138" s="774"/>
      <c r="W138" s="661"/>
      <c r="X138" s="757"/>
      <c r="Y138" s="661"/>
      <c r="Z138" s="661"/>
    </row>
    <row r="139" ht="75.0" customHeight="1" outlineLevel="1">
      <c r="A139" s="661"/>
      <c r="B139" s="729"/>
      <c r="C139" s="730"/>
      <c r="D139" s="730"/>
      <c r="E139" s="730"/>
      <c r="F139" s="730"/>
      <c r="G139" s="731"/>
      <c r="H139" s="730"/>
      <c r="I139" s="730"/>
      <c r="J139" s="730"/>
      <c r="K139" s="730"/>
      <c r="L139" s="756"/>
      <c r="M139" s="755"/>
      <c r="N139" s="730"/>
      <c r="O139" s="733"/>
      <c r="Q139" s="728"/>
      <c r="R139" s="661"/>
      <c r="S139" s="228" t="str">
        <f t="array" ref="S139">IFERROR(INDEX('💻シート作成'!$D$6:$D1001, MATCH(T139, '💻シート作成'!$E$6:$E1001, 0)), "")</f>
        <v/>
      </c>
      <c r="T139" s="184"/>
      <c r="U139" s="664"/>
      <c r="V139" s="774"/>
      <c r="W139" s="661"/>
      <c r="X139" s="757"/>
      <c r="Y139" s="661"/>
      <c r="Z139" s="661"/>
    </row>
    <row r="140" ht="75.0" customHeight="1" outlineLevel="1">
      <c r="A140" s="661"/>
      <c r="B140" s="729"/>
      <c r="C140" s="730"/>
      <c r="D140" s="730"/>
      <c r="E140" s="730"/>
      <c r="F140" s="730"/>
      <c r="G140" s="731"/>
      <c r="H140" s="730"/>
      <c r="I140" s="730"/>
      <c r="J140" s="730"/>
      <c r="K140" s="730"/>
      <c r="L140" s="756"/>
      <c r="M140" s="755"/>
      <c r="N140" s="730"/>
      <c r="O140" s="733"/>
      <c r="Q140" s="728"/>
      <c r="R140" s="661"/>
      <c r="S140" s="228" t="str">
        <f t="array" ref="S140">IFERROR(INDEX('💻シート作成'!$D$6:$D1001, MATCH(T140, '💻シート作成'!$E$6:$E1001, 0)), "")</f>
        <v/>
      </c>
      <c r="T140" s="184"/>
      <c r="U140" s="664"/>
      <c r="V140" s="774"/>
      <c r="W140" s="661"/>
      <c r="X140" s="757"/>
      <c r="Y140" s="661"/>
      <c r="Z140" s="661"/>
    </row>
    <row r="141" ht="75.0" customHeight="1" outlineLevel="1">
      <c r="A141" s="661"/>
      <c r="B141" s="729"/>
      <c r="C141" s="730"/>
      <c r="D141" s="730"/>
      <c r="E141" s="730"/>
      <c r="F141" s="697"/>
      <c r="G141" s="698"/>
      <c r="H141" s="697"/>
      <c r="I141" s="697"/>
      <c r="J141" s="697"/>
      <c r="K141" s="697"/>
      <c r="L141" s="756"/>
      <c r="M141" s="755"/>
      <c r="N141" s="697"/>
      <c r="O141" s="700"/>
      <c r="P141" s="701"/>
      <c r="Q141" s="737"/>
      <c r="R141" s="661"/>
      <c r="S141" s="228" t="str">
        <f t="array" ref="S141">IFERROR(INDEX('💻シート作成'!$D$6:$D1001, MATCH(T141, '💻シート作成'!$E$6:$E1001, 0)), "")</f>
        <v/>
      </c>
      <c r="T141" s="184"/>
      <c r="U141" s="664"/>
      <c r="V141" s="774"/>
      <c r="W141" s="661"/>
      <c r="X141" s="757"/>
      <c r="Y141" s="661"/>
      <c r="Z141" s="661"/>
    </row>
    <row r="142" ht="18.0" customHeight="1" outlineLevel="1">
      <c r="A142" s="661"/>
      <c r="B142" s="738"/>
      <c r="C142" s="697"/>
      <c r="D142" s="697"/>
      <c r="E142" s="697"/>
      <c r="F142" s="758" t="s">
        <v>517</v>
      </c>
      <c r="G142" s="759" t="s">
        <v>637</v>
      </c>
      <c r="H142" s="741"/>
      <c r="I142" s="741"/>
      <c r="J142" s="741"/>
      <c r="K142" s="741"/>
      <c r="L142" s="759"/>
      <c r="M142" s="759"/>
      <c r="N142" s="759"/>
      <c r="O142" s="759"/>
      <c r="P142" s="759"/>
      <c r="Q142" s="760"/>
      <c r="R142" s="661"/>
      <c r="S142" s="228" t="str">
        <f t="array" ref="S142">IFERROR(INDEX('💻シート作成'!$D$6:$D1001, MATCH(T142, '💻シート作成'!$E$6:$E1001, 0)), "")</f>
        <v/>
      </c>
      <c r="T142" s="184"/>
      <c r="U142" s="664"/>
      <c r="V142" s="774"/>
      <c r="W142" s="661"/>
      <c r="X142" s="757"/>
      <c r="Y142" s="661"/>
      <c r="Z142" s="661"/>
    </row>
    <row r="143" ht="45.0" customHeight="1" outlineLevel="1">
      <c r="A143" s="661"/>
      <c r="B143" s="761"/>
      <c r="C143" s="762">
        <f>IF(C132="","",IF(DAY(C132+1)=1,"",C132+1))</f>
        <v>46094</v>
      </c>
      <c r="D143" s="763" t="str">
        <f>TEXT(C143,"ddd")</f>
        <v>金</v>
      </c>
      <c r="E143" s="764"/>
      <c r="F143" s="765" t="s">
        <v>132</v>
      </c>
      <c r="G143" s="766" t="s">
        <v>638</v>
      </c>
      <c r="H143" s="767"/>
      <c r="I143" s="768">
        <v>0.65625</v>
      </c>
      <c r="J143" s="767">
        <v>9.0</v>
      </c>
      <c r="K143" s="767">
        <v>1.0</v>
      </c>
      <c r="L143" s="769" t="s">
        <v>521</v>
      </c>
      <c r="M143" s="769" t="s">
        <v>639</v>
      </c>
      <c r="N143" s="775" t="s">
        <v>640</v>
      </c>
      <c r="O143" s="770"/>
      <c r="P143" s="771"/>
      <c r="Q143" s="772"/>
      <c r="R143" s="661"/>
      <c r="S143" s="228" t="str">
        <f t="array" ref="S143">IFERROR(INDEX('💻シート作成'!$D$6:$D1001, MATCH(T143, '💻シート作成'!$E$6:$E1001, 0)), "")</f>
        <v/>
      </c>
      <c r="T143" s="184"/>
      <c r="U143" s="664"/>
      <c r="V143" s="774"/>
      <c r="W143" s="661"/>
      <c r="X143" s="757"/>
      <c r="Y143" s="661"/>
      <c r="Z143" s="661"/>
    </row>
    <row r="144" ht="45.0" customHeight="1" outlineLevel="1">
      <c r="A144" s="661"/>
      <c r="B144" s="729"/>
      <c r="C144" s="730"/>
      <c r="D144" s="730"/>
      <c r="E144" s="730"/>
      <c r="F144" s="730"/>
      <c r="G144" s="731"/>
      <c r="H144" s="730"/>
      <c r="I144" s="730"/>
      <c r="J144" s="730"/>
      <c r="K144" s="730"/>
      <c r="L144" s="769"/>
      <c r="M144" s="769"/>
      <c r="N144" s="730"/>
      <c r="O144" s="733"/>
      <c r="Q144" s="728"/>
      <c r="R144" s="661"/>
      <c r="S144" s="228" t="str">
        <f t="array" ref="S144">IFERROR(INDEX('💻シート作成'!$D$6:$D1001, MATCH(T144, '💻シート作成'!$E$6:$E1001, 0)), "")</f>
        <v/>
      </c>
      <c r="T144" s="184"/>
      <c r="U144" s="664"/>
      <c r="V144" s="774"/>
      <c r="W144" s="661"/>
      <c r="X144" s="757"/>
      <c r="Y144" s="661"/>
      <c r="Z144" s="661"/>
    </row>
    <row r="145" ht="45.0" customHeight="1" outlineLevel="1">
      <c r="A145" s="661"/>
      <c r="B145" s="729"/>
      <c r="C145" s="730"/>
      <c r="D145" s="730"/>
      <c r="E145" s="730"/>
      <c r="F145" s="730"/>
      <c r="G145" s="731"/>
      <c r="H145" s="730"/>
      <c r="I145" s="730"/>
      <c r="J145" s="730"/>
      <c r="K145" s="730"/>
      <c r="L145" s="769"/>
      <c r="M145" s="769"/>
      <c r="N145" s="730"/>
      <c r="O145" s="733"/>
      <c r="Q145" s="728"/>
      <c r="R145" s="661"/>
      <c r="S145" s="228" t="str">
        <f t="array" ref="S145">IFERROR(INDEX('💻シート作成'!$D$6:$D1001, MATCH(T145, '💻シート作成'!$E$6:$E1001, 0)), "")</f>
        <v/>
      </c>
      <c r="T145" s="184"/>
      <c r="U145" s="664"/>
      <c r="V145" s="774"/>
      <c r="W145" s="661"/>
      <c r="X145" s="757"/>
      <c r="Y145" s="661"/>
      <c r="Z145" s="661"/>
    </row>
    <row r="146" ht="45.0" customHeight="1" outlineLevel="1">
      <c r="A146" s="661"/>
      <c r="B146" s="729"/>
      <c r="C146" s="730"/>
      <c r="D146" s="730"/>
      <c r="E146" s="730"/>
      <c r="F146" s="730"/>
      <c r="G146" s="731"/>
      <c r="H146" s="730"/>
      <c r="I146" s="730"/>
      <c r="J146" s="730"/>
      <c r="K146" s="730"/>
      <c r="L146" s="773"/>
      <c r="M146" s="769"/>
      <c r="N146" s="730"/>
      <c r="O146" s="733"/>
      <c r="Q146" s="728"/>
      <c r="R146" s="661"/>
      <c r="S146" s="228" t="str">
        <f t="array" ref="S146">IFERROR(INDEX('💻シート作成'!$D$6:$D1001, MATCH(T146, '💻シート作成'!$E$6:$E1001, 0)), "")</f>
        <v/>
      </c>
      <c r="T146" s="184"/>
      <c r="U146" s="664"/>
      <c r="V146" s="774"/>
      <c r="W146" s="661"/>
      <c r="X146" s="757"/>
      <c r="Y146" s="661"/>
      <c r="Z146" s="661"/>
    </row>
    <row r="147" ht="45.0" customHeight="1" outlineLevel="1">
      <c r="A147" s="661"/>
      <c r="B147" s="729"/>
      <c r="C147" s="730"/>
      <c r="D147" s="730"/>
      <c r="E147" s="730"/>
      <c r="F147" s="730"/>
      <c r="G147" s="731"/>
      <c r="H147" s="730"/>
      <c r="I147" s="730"/>
      <c r="J147" s="730"/>
      <c r="K147" s="730"/>
      <c r="L147" s="773"/>
      <c r="M147" s="769"/>
      <c r="N147" s="730"/>
      <c r="O147" s="733"/>
      <c r="Q147" s="728"/>
      <c r="R147" s="661"/>
      <c r="S147" s="228" t="str">
        <f t="array" ref="S147">IFERROR(INDEX('💻シート作成'!$D$6:$D1001, MATCH(T147, '💻シート作成'!$E$6:$E1001, 0)), "")</f>
        <v/>
      </c>
      <c r="T147" s="184"/>
      <c r="U147" s="664"/>
      <c r="V147" s="774"/>
      <c r="W147" s="661"/>
      <c r="X147" s="757"/>
      <c r="Y147" s="661"/>
      <c r="Z147" s="661"/>
    </row>
    <row r="148" ht="45.0" customHeight="1" outlineLevel="1">
      <c r="A148" s="661"/>
      <c r="B148" s="729"/>
      <c r="C148" s="730"/>
      <c r="D148" s="730"/>
      <c r="E148" s="730"/>
      <c r="F148" s="730"/>
      <c r="G148" s="731"/>
      <c r="H148" s="730"/>
      <c r="I148" s="730"/>
      <c r="J148" s="730"/>
      <c r="K148" s="730"/>
      <c r="L148" s="773"/>
      <c r="M148" s="769"/>
      <c r="N148" s="730"/>
      <c r="O148" s="733"/>
      <c r="Q148" s="728"/>
      <c r="R148" s="661"/>
      <c r="S148" s="228" t="str">
        <f t="array" ref="S148">IFERROR(INDEX('💻シート作成'!$D$6:$D1001, MATCH(T148, '💻シート作成'!$E$6:$E1001, 0)), "")</f>
        <v/>
      </c>
      <c r="T148" s="184"/>
      <c r="U148" s="664"/>
      <c r="V148" s="774"/>
      <c r="W148" s="661"/>
      <c r="X148" s="757"/>
      <c r="Y148" s="661"/>
      <c r="Z148" s="661"/>
    </row>
    <row r="149" ht="45.0" customHeight="1" outlineLevel="1">
      <c r="A149" s="661"/>
      <c r="B149" s="729"/>
      <c r="C149" s="730"/>
      <c r="D149" s="730"/>
      <c r="E149" s="730"/>
      <c r="F149" s="730"/>
      <c r="G149" s="731"/>
      <c r="H149" s="730"/>
      <c r="I149" s="730"/>
      <c r="J149" s="730"/>
      <c r="K149" s="730"/>
      <c r="L149" s="773"/>
      <c r="M149" s="769"/>
      <c r="N149" s="730"/>
      <c r="O149" s="733"/>
      <c r="Q149" s="728"/>
      <c r="R149" s="661"/>
      <c r="S149" s="228" t="str">
        <f t="array" ref="S149">IFERROR(INDEX('💻シート作成'!$D$6:$D1001, MATCH(T149, '💻シート作成'!$E$6:$E1001, 0)), "")</f>
        <v/>
      </c>
      <c r="T149" s="184"/>
      <c r="U149" s="664"/>
      <c r="V149" s="774"/>
      <c r="W149" s="661"/>
      <c r="X149" s="757"/>
      <c r="Y149" s="661"/>
      <c r="Z149" s="661"/>
    </row>
    <row r="150" ht="45.0" customHeight="1" outlineLevel="1">
      <c r="A150" s="661"/>
      <c r="B150" s="729"/>
      <c r="C150" s="730"/>
      <c r="D150" s="730"/>
      <c r="E150" s="730"/>
      <c r="F150" s="730"/>
      <c r="G150" s="731"/>
      <c r="H150" s="730"/>
      <c r="I150" s="730"/>
      <c r="J150" s="730"/>
      <c r="K150" s="730"/>
      <c r="L150" s="773"/>
      <c r="M150" s="769"/>
      <c r="N150" s="730"/>
      <c r="O150" s="733"/>
      <c r="Q150" s="728"/>
      <c r="R150" s="661"/>
      <c r="S150" s="228" t="str">
        <f t="array" ref="S150">IFERROR(INDEX('💻シート作成'!$D$6:$D1001, MATCH(T150, '💻シート作成'!$E$6:$E1001, 0)), "")</f>
        <v/>
      </c>
      <c r="T150" s="184"/>
      <c r="U150" s="664"/>
      <c r="V150" s="774"/>
      <c r="W150" s="661"/>
      <c r="X150" s="757"/>
      <c r="Y150" s="661"/>
      <c r="Z150" s="661"/>
    </row>
    <row r="151" ht="45.0" customHeight="1" outlineLevel="1">
      <c r="A151" s="661"/>
      <c r="B151" s="729"/>
      <c r="C151" s="730"/>
      <c r="D151" s="730"/>
      <c r="E151" s="730"/>
      <c r="F151" s="730"/>
      <c r="G151" s="731"/>
      <c r="H151" s="730"/>
      <c r="I151" s="730"/>
      <c r="J151" s="730"/>
      <c r="K151" s="730"/>
      <c r="L151" s="773"/>
      <c r="M151" s="769"/>
      <c r="N151" s="730"/>
      <c r="O151" s="733"/>
      <c r="Q151" s="728"/>
      <c r="R151" s="661"/>
      <c r="S151" s="228" t="str">
        <f t="array" ref="S151">IFERROR(INDEX('💻シート作成'!$D$6:$D1001, MATCH(T151, '💻シート作成'!$E$6:$E1001, 0)), "")</f>
        <v/>
      </c>
      <c r="T151" s="184"/>
      <c r="U151" s="664"/>
      <c r="V151" s="774"/>
      <c r="W151" s="661"/>
      <c r="X151" s="757"/>
      <c r="Y151" s="661"/>
      <c r="Z151" s="661"/>
    </row>
    <row r="152" ht="45.0" customHeight="1" outlineLevel="1">
      <c r="A152" s="661"/>
      <c r="B152" s="729"/>
      <c r="C152" s="730"/>
      <c r="D152" s="730"/>
      <c r="E152" s="730"/>
      <c r="F152" s="697"/>
      <c r="G152" s="698"/>
      <c r="H152" s="697"/>
      <c r="I152" s="697"/>
      <c r="J152" s="697"/>
      <c r="K152" s="697"/>
      <c r="L152" s="773"/>
      <c r="M152" s="769"/>
      <c r="N152" s="697"/>
      <c r="O152" s="700"/>
      <c r="P152" s="701"/>
      <c r="Q152" s="737"/>
      <c r="R152" s="661"/>
      <c r="S152" s="228" t="str">
        <f t="array" ref="S152">IFERROR(INDEX('💻シート作成'!$D$6:$D1001, MATCH(T152, '💻シート作成'!$E$6:$E1001, 0)), "")</f>
        <v/>
      </c>
      <c r="T152" s="184"/>
      <c r="U152" s="664"/>
      <c r="V152" s="774"/>
      <c r="W152" s="661"/>
      <c r="X152" s="757"/>
      <c r="Y152" s="661"/>
      <c r="Z152" s="661"/>
    </row>
    <row r="153" ht="18.0" customHeight="1" outlineLevel="1">
      <c r="A153" s="661"/>
      <c r="B153" s="738"/>
      <c r="C153" s="697"/>
      <c r="D153" s="697"/>
      <c r="E153" s="697"/>
      <c r="F153" s="739" t="s">
        <v>517</v>
      </c>
      <c r="G153" s="740" t="s">
        <v>641</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4"/>
      <c r="W153" s="661"/>
      <c r="X153" s="757"/>
      <c r="Y153" s="661"/>
      <c r="Z153" s="661"/>
    </row>
    <row r="154" ht="76.5" customHeight="1" outlineLevel="1">
      <c r="A154" s="661"/>
      <c r="B154" s="743"/>
      <c r="C154" s="744">
        <f>IF(C143="","",IF(DAY(C143+1)=1,"",C143+1))</f>
        <v>46095</v>
      </c>
      <c r="D154" s="745" t="str">
        <f>TEXT(C154,"ddd")</f>
        <v>土</v>
      </c>
      <c r="E154" s="746"/>
      <c r="F154" s="775" t="s">
        <v>132</v>
      </c>
      <c r="G154" s="776" t="s">
        <v>642</v>
      </c>
      <c r="H154" s="777">
        <v>1.0</v>
      </c>
      <c r="I154" s="778">
        <v>0.6666666666666666</v>
      </c>
      <c r="J154" s="777">
        <v>10.0</v>
      </c>
      <c r="K154" s="777">
        <v>2.0</v>
      </c>
      <c r="L154" s="755"/>
      <c r="M154" s="755"/>
      <c r="N154" s="775" t="s">
        <v>643</v>
      </c>
      <c r="O154" s="779"/>
      <c r="P154" s="771"/>
      <c r="Q154" s="772"/>
      <c r="R154" s="661"/>
      <c r="S154" s="228" t="str">
        <f t="array" ref="S154">IFERROR(INDEX('💻シート作成'!$D$6:$D1001, MATCH(T154, '💻シート作成'!$E$6:$E1001, 0)), "")</f>
        <v/>
      </c>
      <c r="T154" s="184"/>
      <c r="U154" s="664"/>
      <c r="V154" s="774"/>
      <c r="W154" s="661"/>
      <c r="X154" s="757"/>
      <c r="Y154" s="661"/>
      <c r="Z154" s="661"/>
    </row>
    <row r="155" ht="76.5" customHeight="1" outlineLevel="1">
      <c r="A155" s="661"/>
      <c r="B155" s="729"/>
      <c r="C155" s="730"/>
      <c r="D155" s="730"/>
      <c r="E155" s="730"/>
      <c r="F155" s="730"/>
      <c r="G155" s="731"/>
      <c r="H155" s="730"/>
      <c r="I155" s="730"/>
      <c r="J155" s="730"/>
      <c r="K155" s="730"/>
      <c r="L155" s="755"/>
      <c r="M155" s="755"/>
      <c r="N155" s="730"/>
      <c r="O155" s="733"/>
      <c r="Q155" s="728"/>
      <c r="R155" s="661"/>
      <c r="S155" s="228" t="str">
        <f t="array" ref="S155">IFERROR(INDEX('💻シート作成'!$D$6:$D1001, MATCH(T155, '💻シート作成'!$E$6:$E1001, 0)), "")</f>
        <v/>
      </c>
      <c r="T155" s="184"/>
      <c r="U155" s="664"/>
      <c r="V155" s="774"/>
      <c r="W155" s="661"/>
      <c r="X155" s="757"/>
      <c r="Y155" s="661"/>
      <c r="Z155" s="661"/>
    </row>
    <row r="156" ht="76.5" customHeight="1" outlineLevel="1">
      <c r="A156" s="661"/>
      <c r="B156" s="729"/>
      <c r="C156" s="730"/>
      <c r="D156" s="730"/>
      <c r="E156" s="730"/>
      <c r="F156" s="730"/>
      <c r="G156" s="731"/>
      <c r="H156" s="730"/>
      <c r="I156" s="730"/>
      <c r="J156" s="730"/>
      <c r="K156" s="730"/>
      <c r="L156" s="755"/>
      <c r="M156" s="755"/>
      <c r="N156" s="730"/>
      <c r="O156" s="733"/>
      <c r="Q156" s="728"/>
      <c r="R156" s="661"/>
      <c r="S156" s="228" t="str">
        <f t="array" ref="S156">IFERROR(INDEX('💻シート作成'!$D$6:$D1001, MATCH(T156, '💻シート作成'!$E$6:$E1001, 0)), "")</f>
        <v/>
      </c>
      <c r="T156" s="184"/>
      <c r="U156" s="664"/>
      <c r="V156" s="774"/>
      <c r="W156" s="661"/>
      <c r="X156" s="757"/>
      <c r="Y156" s="661"/>
      <c r="Z156" s="661"/>
    </row>
    <row r="157" ht="76.5" customHeight="1" outlineLevel="1">
      <c r="A157" s="661"/>
      <c r="B157" s="729"/>
      <c r="C157" s="730"/>
      <c r="D157" s="730"/>
      <c r="E157" s="730"/>
      <c r="F157" s="730"/>
      <c r="G157" s="731"/>
      <c r="H157" s="730"/>
      <c r="I157" s="730"/>
      <c r="J157" s="730"/>
      <c r="K157" s="730"/>
      <c r="L157" s="756"/>
      <c r="M157" s="755"/>
      <c r="N157" s="730"/>
      <c r="O157" s="733"/>
      <c r="Q157" s="728"/>
      <c r="R157" s="661"/>
      <c r="S157" s="228" t="str">
        <f t="array" ref="S157">IFERROR(INDEX('💻シート作成'!$D$6:$D1001, MATCH(T157, '💻シート作成'!$E$6:$E1001, 0)), "")</f>
        <v/>
      </c>
      <c r="T157" s="184"/>
      <c r="U157" s="664"/>
      <c r="V157" s="774"/>
      <c r="W157" s="661"/>
      <c r="X157" s="757"/>
      <c r="Y157" s="661"/>
      <c r="Z157" s="661"/>
    </row>
    <row r="158" ht="76.5" customHeight="1" outlineLevel="1">
      <c r="A158" s="661"/>
      <c r="B158" s="729"/>
      <c r="C158" s="730"/>
      <c r="D158" s="730"/>
      <c r="E158" s="730"/>
      <c r="F158" s="730"/>
      <c r="G158" s="731"/>
      <c r="H158" s="730"/>
      <c r="I158" s="730"/>
      <c r="J158" s="730"/>
      <c r="K158" s="730"/>
      <c r="L158" s="756"/>
      <c r="M158" s="755"/>
      <c r="N158" s="730"/>
      <c r="O158" s="733"/>
      <c r="Q158" s="728"/>
      <c r="R158" s="661"/>
      <c r="S158" s="228" t="str">
        <f t="array" ref="S158">IFERROR(INDEX('💻シート作成'!$D$6:$D1001, MATCH(T158, '💻シート作成'!$E$6:$E1001, 0)), "")</f>
        <v/>
      </c>
      <c r="T158" s="184"/>
      <c r="U158" s="664"/>
      <c r="V158" s="774"/>
      <c r="W158" s="661"/>
      <c r="X158" s="757"/>
      <c r="Y158" s="661"/>
      <c r="Z158" s="661"/>
    </row>
    <row r="159" ht="76.5" customHeight="1" outlineLevel="1">
      <c r="A159" s="661"/>
      <c r="B159" s="729"/>
      <c r="C159" s="730"/>
      <c r="D159" s="730"/>
      <c r="E159" s="730"/>
      <c r="F159" s="730"/>
      <c r="G159" s="731"/>
      <c r="H159" s="730"/>
      <c r="I159" s="730"/>
      <c r="J159" s="730"/>
      <c r="K159" s="730"/>
      <c r="L159" s="756"/>
      <c r="M159" s="755"/>
      <c r="N159" s="730"/>
      <c r="O159" s="733"/>
      <c r="Q159" s="728"/>
      <c r="R159" s="661"/>
      <c r="S159" s="228" t="str">
        <f t="array" ref="S159">IFERROR(INDEX('💻シート作成'!$D$6:$D1001, MATCH(T159, '💻シート作成'!$E$6:$E1001, 0)), "")</f>
        <v/>
      </c>
      <c r="T159" s="184"/>
      <c r="U159" s="664"/>
      <c r="V159" s="774"/>
      <c r="W159" s="661"/>
      <c r="X159" s="757"/>
      <c r="Y159" s="661"/>
      <c r="Z159" s="661"/>
    </row>
    <row r="160" ht="76.5" customHeight="1" outlineLevel="1">
      <c r="A160" s="661"/>
      <c r="B160" s="729"/>
      <c r="C160" s="730"/>
      <c r="D160" s="730"/>
      <c r="E160" s="730"/>
      <c r="F160" s="730"/>
      <c r="G160" s="731"/>
      <c r="H160" s="730"/>
      <c r="I160" s="730"/>
      <c r="J160" s="730"/>
      <c r="K160" s="730"/>
      <c r="L160" s="756"/>
      <c r="M160" s="755"/>
      <c r="N160" s="730"/>
      <c r="O160" s="733"/>
      <c r="Q160" s="728"/>
      <c r="R160" s="661"/>
      <c r="S160" s="228" t="str">
        <f t="array" ref="S160">IFERROR(INDEX('💻シート作成'!$D$6:$D1001, MATCH(T160, '💻シート作成'!$E$6:$E1001, 0)), "")</f>
        <v/>
      </c>
      <c r="T160" s="184"/>
      <c r="U160" s="664"/>
      <c r="V160" s="774"/>
      <c r="W160" s="661"/>
      <c r="X160" s="757"/>
      <c r="Y160" s="661"/>
      <c r="Z160" s="661"/>
    </row>
    <row r="161" ht="76.5" customHeight="1" outlineLevel="1">
      <c r="A161" s="661"/>
      <c r="B161" s="729"/>
      <c r="C161" s="730"/>
      <c r="D161" s="730"/>
      <c r="E161" s="730"/>
      <c r="F161" s="730"/>
      <c r="G161" s="731"/>
      <c r="H161" s="730"/>
      <c r="I161" s="730"/>
      <c r="J161" s="730"/>
      <c r="K161" s="730"/>
      <c r="L161" s="756"/>
      <c r="M161" s="755"/>
      <c r="N161" s="730"/>
      <c r="O161" s="733"/>
      <c r="Q161" s="728"/>
      <c r="R161" s="661"/>
      <c r="S161" s="228" t="str">
        <f t="array" ref="S161">IFERROR(INDEX('💻シート作成'!$D$6:$D1001, MATCH(T161, '💻シート作成'!$E$6:$E1001, 0)), "")</f>
        <v/>
      </c>
      <c r="T161" s="184"/>
      <c r="U161" s="664"/>
      <c r="V161" s="774"/>
      <c r="W161" s="661"/>
      <c r="X161" s="757"/>
      <c r="Y161" s="661"/>
      <c r="Z161" s="661"/>
    </row>
    <row r="162" ht="76.5" customHeight="1" outlineLevel="1">
      <c r="A162" s="661"/>
      <c r="B162" s="729"/>
      <c r="C162" s="730"/>
      <c r="D162" s="730"/>
      <c r="E162" s="730"/>
      <c r="F162" s="730"/>
      <c r="G162" s="731"/>
      <c r="H162" s="730"/>
      <c r="I162" s="730"/>
      <c r="J162" s="730"/>
      <c r="K162" s="730"/>
      <c r="L162" s="756"/>
      <c r="M162" s="755"/>
      <c r="N162" s="730"/>
      <c r="O162" s="733"/>
      <c r="Q162" s="728"/>
      <c r="R162" s="661"/>
      <c r="S162" s="228" t="str">
        <f t="array" ref="S162">IFERROR(INDEX('💻シート作成'!$D$6:$D1001, MATCH(T162, '💻シート作成'!$E$6:$E1001, 0)), "")</f>
        <v/>
      </c>
      <c r="T162" s="184"/>
      <c r="U162" s="664"/>
      <c r="V162" s="774"/>
      <c r="W162" s="661"/>
      <c r="X162" s="757"/>
      <c r="Y162" s="661"/>
      <c r="Z162" s="661"/>
    </row>
    <row r="163" ht="76.5" customHeight="1" outlineLevel="1">
      <c r="A163" s="661"/>
      <c r="B163" s="729"/>
      <c r="C163" s="730"/>
      <c r="D163" s="730"/>
      <c r="E163" s="730"/>
      <c r="F163" s="697"/>
      <c r="G163" s="698"/>
      <c r="H163" s="697"/>
      <c r="I163" s="697"/>
      <c r="J163" s="697"/>
      <c r="K163" s="697"/>
      <c r="L163" s="756"/>
      <c r="M163" s="755"/>
      <c r="N163" s="697"/>
      <c r="O163" s="700"/>
      <c r="P163" s="701"/>
      <c r="Q163" s="737"/>
      <c r="R163" s="661"/>
      <c r="S163" s="228" t="str">
        <f t="array" ref="S163">IFERROR(INDEX('💻シート作成'!$D$6:$D1001, MATCH(T163, '💻シート作成'!$E$6:$E1001, 0)), "")</f>
        <v/>
      </c>
      <c r="T163" s="184"/>
      <c r="U163" s="664"/>
      <c r="V163" s="774"/>
      <c r="W163" s="661"/>
      <c r="X163" s="757"/>
      <c r="Y163" s="661"/>
      <c r="Z163" s="661"/>
    </row>
    <row r="164" ht="18.0" customHeight="1" outlineLevel="1">
      <c r="A164" s="661"/>
      <c r="B164" s="738"/>
      <c r="C164" s="697"/>
      <c r="D164" s="697"/>
      <c r="E164" s="697"/>
      <c r="F164" s="758" t="s">
        <v>517</v>
      </c>
      <c r="G164" s="759" t="s">
        <v>644</v>
      </c>
      <c r="H164" s="741"/>
      <c r="I164" s="741"/>
      <c r="J164" s="741"/>
      <c r="K164" s="741"/>
      <c r="L164" s="759"/>
      <c r="M164" s="759"/>
      <c r="N164" s="759"/>
      <c r="O164" s="759"/>
      <c r="P164" s="759"/>
      <c r="Q164" s="760"/>
      <c r="R164" s="661"/>
      <c r="S164" s="228" t="str">
        <f t="array" ref="S164">IFERROR(INDEX('💻シート作成'!$D$6:$D1001, MATCH(T164, '💻シート作成'!$E$6:$E1001, 0)), "")</f>
        <v/>
      </c>
      <c r="T164" s="184"/>
      <c r="U164" s="664"/>
      <c r="V164" s="774"/>
      <c r="W164" s="661"/>
      <c r="X164" s="757"/>
      <c r="Y164" s="661"/>
      <c r="Z164" s="661"/>
    </row>
    <row r="165" ht="102.0" customHeight="1" outlineLevel="1">
      <c r="A165" s="661"/>
      <c r="B165" s="761"/>
      <c r="C165" s="762">
        <f>IF(C154="","",IF(DAY(C154+1)=1,"",C154+1))</f>
        <v>46096</v>
      </c>
      <c r="D165" s="763" t="str">
        <f>TEXT(C165,"ddd")</f>
        <v>日</v>
      </c>
      <c r="E165" s="764"/>
      <c r="F165" s="765" t="s">
        <v>132</v>
      </c>
      <c r="G165" s="766" t="s">
        <v>645</v>
      </c>
      <c r="H165" s="767"/>
      <c r="I165" s="768">
        <v>0.6458333333333334</v>
      </c>
      <c r="J165" s="767">
        <v>8.0</v>
      </c>
      <c r="K165" s="767">
        <v>3.0</v>
      </c>
      <c r="L165" s="769" t="s">
        <v>112</v>
      </c>
      <c r="M165" s="769" t="s">
        <v>646</v>
      </c>
      <c r="N165" s="765"/>
      <c r="O165" s="770"/>
      <c r="P165" s="771"/>
      <c r="Q165" s="772"/>
      <c r="R165" s="661"/>
      <c r="S165" s="228" t="str">
        <f t="array" ref="S165">IFERROR(INDEX('💻シート作成'!$D$6:$D1001, MATCH(T165, '💻シート作成'!$E$6:$E1001, 0)), "")</f>
        <v/>
      </c>
      <c r="T165" s="184"/>
      <c r="U165" s="664"/>
      <c r="V165" s="774"/>
      <c r="W165" s="661"/>
      <c r="X165" s="757"/>
      <c r="Y165" s="661"/>
      <c r="Z165" s="661"/>
    </row>
    <row r="166" ht="102.0" customHeight="1" outlineLevel="1">
      <c r="A166" s="661"/>
      <c r="B166" s="729"/>
      <c r="C166" s="730"/>
      <c r="D166" s="730"/>
      <c r="E166" s="730"/>
      <c r="F166" s="730"/>
      <c r="G166" s="731"/>
      <c r="H166" s="730"/>
      <c r="I166" s="730"/>
      <c r="J166" s="730"/>
      <c r="K166" s="730"/>
      <c r="L166" s="769"/>
      <c r="M166" s="769"/>
      <c r="N166" s="730"/>
      <c r="O166" s="733"/>
      <c r="Q166" s="728"/>
      <c r="R166" s="661"/>
      <c r="S166" s="228" t="str">
        <f t="array" ref="S166">IFERROR(INDEX('💻シート作成'!$D$6:$D1001, MATCH(T166, '💻シート作成'!$E$6:$E1001, 0)), "")</f>
        <v/>
      </c>
      <c r="T166" s="184"/>
      <c r="U166" s="664"/>
      <c r="V166" s="774"/>
      <c r="W166" s="661"/>
      <c r="X166" s="757"/>
      <c r="Y166" s="661"/>
      <c r="Z166" s="661"/>
    </row>
    <row r="167" ht="102.0" customHeight="1" outlineLevel="1">
      <c r="A167" s="661"/>
      <c r="B167" s="729"/>
      <c r="C167" s="730"/>
      <c r="D167" s="730"/>
      <c r="E167" s="730"/>
      <c r="F167" s="730"/>
      <c r="G167" s="731"/>
      <c r="H167" s="730"/>
      <c r="I167" s="730"/>
      <c r="J167" s="730"/>
      <c r="K167" s="730"/>
      <c r="L167" s="769"/>
      <c r="M167" s="769"/>
      <c r="N167" s="730"/>
      <c r="O167" s="733"/>
      <c r="Q167" s="728"/>
      <c r="R167" s="661"/>
      <c r="S167" s="228" t="str">
        <f t="array" ref="S167">IFERROR(INDEX('💻シート作成'!$D$6:$D1001, MATCH(T167, '💻シート作成'!$E$6:$E1001, 0)), "")</f>
        <v/>
      </c>
      <c r="T167" s="184"/>
      <c r="U167" s="664"/>
      <c r="V167" s="774"/>
      <c r="W167" s="661"/>
      <c r="X167" s="757"/>
      <c r="Y167" s="661"/>
      <c r="Z167" s="661"/>
    </row>
    <row r="168" ht="102.0" customHeight="1" outlineLevel="1">
      <c r="A168" s="661"/>
      <c r="B168" s="729"/>
      <c r="C168" s="730"/>
      <c r="D168" s="730"/>
      <c r="E168" s="730"/>
      <c r="F168" s="730"/>
      <c r="G168" s="731"/>
      <c r="H168" s="730"/>
      <c r="I168" s="730"/>
      <c r="J168" s="730"/>
      <c r="K168" s="730"/>
      <c r="L168" s="773"/>
      <c r="M168" s="769"/>
      <c r="N168" s="730"/>
      <c r="O168" s="733"/>
      <c r="Q168" s="728"/>
      <c r="R168" s="661"/>
      <c r="S168" s="228" t="str">
        <f t="array" ref="S168">IFERROR(INDEX('💻シート作成'!$D$6:$D1001, MATCH(T168, '💻シート作成'!$E$6:$E1001, 0)), "")</f>
        <v/>
      </c>
      <c r="T168" s="184"/>
      <c r="U168" s="664"/>
      <c r="V168" s="774"/>
      <c r="W168" s="661"/>
      <c r="X168" s="757"/>
      <c r="Y168" s="661"/>
      <c r="Z168" s="661"/>
    </row>
    <row r="169" ht="102.0" customHeight="1" outlineLevel="1">
      <c r="A169" s="661"/>
      <c r="B169" s="729"/>
      <c r="C169" s="730"/>
      <c r="D169" s="730"/>
      <c r="E169" s="730"/>
      <c r="F169" s="730"/>
      <c r="G169" s="731"/>
      <c r="H169" s="730"/>
      <c r="I169" s="730"/>
      <c r="J169" s="730"/>
      <c r="K169" s="730"/>
      <c r="L169" s="773"/>
      <c r="M169" s="769"/>
      <c r="N169" s="730"/>
      <c r="O169" s="733"/>
      <c r="Q169" s="728"/>
      <c r="R169" s="661"/>
      <c r="S169" s="228" t="str">
        <f t="array" ref="S169">IFERROR(INDEX('💻シート作成'!$D$6:$D1001, MATCH(T169, '💻シート作成'!$E$6:$E1001, 0)), "")</f>
        <v/>
      </c>
      <c r="T169" s="184"/>
      <c r="U169" s="664"/>
      <c r="V169" s="774"/>
      <c r="W169" s="661"/>
      <c r="X169" s="757"/>
      <c r="Y169" s="661"/>
      <c r="Z169" s="661"/>
    </row>
    <row r="170" ht="102.0" customHeight="1" outlineLevel="1">
      <c r="A170" s="661"/>
      <c r="B170" s="729"/>
      <c r="C170" s="730"/>
      <c r="D170" s="730"/>
      <c r="E170" s="730"/>
      <c r="F170" s="730"/>
      <c r="G170" s="731"/>
      <c r="H170" s="730"/>
      <c r="I170" s="730"/>
      <c r="J170" s="730"/>
      <c r="K170" s="730"/>
      <c r="L170" s="773"/>
      <c r="M170" s="769"/>
      <c r="N170" s="730"/>
      <c r="O170" s="733"/>
      <c r="Q170" s="728"/>
      <c r="R170" s="661"/>
      <c r="S170" s="228" t="str">
        <f t="array" ref="S170">IFERROR(INDEX('💻シート作成'!$D$6:$D1001, MATCH(T170, '💻シート作成'!$E$6:$E1001, 0)), "")</f>
        <v/>
      </c>
      <c r="T170" s="184"/>
      <c r="U170" s="664"/>
      <c r="V170" s="774"/>
      <c r="W170" s="661"/>
      <c r="X170" s="757"/>
      <c r="Y170" s="661"/>
      <c r="Z170" s="661"/>
    </row>
    <row r="171" ht="102.0" customHeight="1" outlineLevel="1">
      <c r="A171" s="661"/>
      <c r="B171" s="729"/>
      <c r="C171" s="730"/>
      <c r="D171" s="730"/>
      <c r="E171" s="730"/>
      <c r="F171" s="730"/>
      <c r="G171" s="731"/>
      <c r="H171" s="730"/>
      <c r="I171" s="730"/>
      <c r="J171" s="730"/>
      <c r="K171" s="730"/>
      <c r="L171" s="773"/>
      <c r="M171" s="769"/>
      <c r="N171" s="730"/>
      <c r="O171" s="733"/>
      <c r="Q171" s="728"/>
      <c r="R171" s="661"/>
      <c r="S171" s="228" t="str">
        <f t="array" ref="S171">IFERROR(INDEX('💻シート作成'!$D$6:$D1001, MATCH(T171, '💻シート作成'!$E$6:$E1001, 0)), "")</f>
        <v/>
      </c>
      <c r="T171" s="184"/>
      <c r="U171" s="664"/>
      <c r="V171" s="774"/>
      <c r="W171" s="661"/>
      <c r="X171" s="757"/>
      <c r="Y171" s="661"/>
      <c r="Z171" s="661"/>
    </row>
    <row r="172" ht="102.0" customHeight="1" outlineLevel="1">
      <c r="A172" s="661"/>
      <c r="B172" s="729"/>
      <c r="C172" s="730"/>
      <c r="D172" s="730"/>
      <c r="E172" s="730"/>
      <c r="F172" s="730"/>
      <c r="G172" s="731"/>
      <c r="H172" s="730"/>
      <c r="I172" s="730"/>
      <c r="J172" s="730"/>
      <c r="K172" s="730"/>
      <c r="L172" s="773"/>
      <c r="M172" s="769"/>
      <c r="N172" s="730"/>
      <c r="O172" s="733"/>
      <c r="Q172" s="728"/>
      <c r="R172" s="661"/>
      <c r="S172" s="228" t="str">
        <f t="array" ref="S172">IFERROR(INDEX('💻シート作成'!$D$6:$D1001, MATCH(T172, '💻シート作成'!$E$6:$E1001, 0)), "")</f>
        <v/>
      </c>
      <c r="T172" s="184"/>
      <c r="U172" s="664"/>
      <c r="V172" s="774"/>
      <c r="W172" s="661"/>
      <c r="X172" s="757"/>
      <c r="Y172" s="661"/>
      <c r="Z172" s="661"/>
    </row>
    <row r="173" ht="102.0" customHeight="1" outlineLevel="1">
      <c r="A173" s="661"/>
      <c r="B173" s="729"/>
      <c r="C173" s="730"/>
      <c r="D173" s="730"/>
      <c r="E173" s="730"/>
      <c r="F173" s="730"/>
      <c r="G173" s="731"/>
      <c r="H173" s="730"/>
      <c r="I173" s="730"/>
      <c r="J173" s="730"/>
      <c r="K173" s="730"/>
      <c r="L173" s="773"/>
      <c r="M173" s="769"/>
      <c r="N173" s="730"/>
      <c r="O173" s="733"/>
      <c r="Q173" s="728"/>
      <c r="R173" s="661"/>
      <c r="S173" s="228" t="str">
        <f t="array" ref="S173">IFERROR(INDEX('💻シート作成'!$D$6:$D1001, MATCH(T173, '💻シート作成'!$E$6:$E1001, 0)), "")</f>
        <v/>
      </c>
      <c r="T173" s="184"/>
      <c r="U173" s="664"/>
      <c r="V173" s="774"/>
      <c r="W173" s="661"/>
      <c r="X173" s="757"/>
      <c r="Y173" s="661"/>
      <c r="Z173" s="661"/>
    </row>
    <row r="174" ht="102.0" customHeight="1" outlineLevel="1">
      <c r="A174" s="661"/>
      <c r="B174" s="729"/>
      <c r="C174" s="730"/>
      <c r="D174" s="730"/>
      <c r="E174" s="730"/>
      <c r="F174" s="697"/>
      <c r="G174" s="698"/>
      <c r="H174" s="697"/>
      <c r="I174" s="697"/>
      <c r="J174" s="697"/>
      <c r="K174" s="697"/>
      <c r="L174" s="773"/>
      <c r="M174" s="769"/>
      <c r="N174" s="697"/>
      <c r="O174" s="700"/>
      <c r="P174" s="701"/>
      <c r="Q174" s="737"/>
      <c r="R174" s="661"/>
      <c r="S174" s="228" t="str">
        <f t="array" ref="S174">IFERROR(INDEX('💻シート作成'!$D$6:$D1001, MATCH(T174, '💻シート作成'!$E$6:$E1001, 0)), "")</f>
        <v/>
      </c>
      <c r="T174" s="184"/>
      <c r="U174" s="664"/>
      <c r="V174" s="774"/>
      <c r="W174" s="661"/>
      <c r="X174" s="757"/>
      <c r="Y174" s="661"/>
      <c r="Z174" s="661"/>
    </row>
    <row r="175" ht="18.0" customHeight="1" outlineLevel="1">
      <c r="A175" s="661"/>
      <c r="B175" s="738"/>
      <c r="C175" s="697"/>
      <c r="D175" s="697"/>
      <c r="E175" s="697"/>
      <c r="F175" s="739" t="s">
        <v>517</v>
      </c>
      <c r="G175" s="740" t="s">
        <v>647</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4"/>
      <c r="W175" s="661"/>
      <c r="X175" s="757"/>
      <c r="Y175" s="661"/>
      <c r="Z175" s="661"/>
    </row>
    <row r="176" collapsed="1">
      <c r="A176" s="661"/>
      <c r="B176" s="780" t="s">
        <v>524</v>
      </c>
      <c r="C176" s="781"/>
      <c r="D176" s="781"/>
      <c r="E176" s="781"/>
      <c r="F176" s="782"/>
      <c r="G176" s="783"/>
      <c r="H176" s="784"/>
      <c r="I176" s="784"/>
      <c r="J176" s="785"/>
      <c r="K176" s="785"/>
      <c r="L176" s="783"/>
      <c r="M176" s="783"/>
      <c r="N176" s="786"/>
      <c r="O176" s="787"/>
      <c r="P176" s="787"/>
      <c r="Q176" s="788"/>
      <c r="R176" s="661"/>
      <c r="S176" s="228" t="str">
        <f t="array" ref="S176">IFERROR(INDEX('💻シート作成'!$D$6:$D1001, MATCH(T176, '💻シート作成'!$E$6:$E1001, 0)), "")</f>
        <v/>
      </c>
      <c r="T176" s="184"/>
      <c r="U176" s="664"/>
      <c r="V176" s="774"/>
      <c r="W176" s="661"/>
      <c r="X176" s="757"/>
      <c r="Y176" s="661"/>
      <c r="Z176" s="661"/>
    </row>
    <row r="177" ht="87.0" hidden="1" customHeight="1" outlineLevel="1">
      <c r="A177" s="661"/>
      <c r="B177" s="743"/>
      <c r="C177" s="744">
        <f>IF(C165="","",IF(DAY(C165+1)=1,"",C165+1))</f>
        <v>46097</v>
      </c>
      <c r="D177" s="745" t="str">
        <f>TEXT(C177,"ddd")</f>
        <v>月</v>
      </c>
      <c r="E177" s="746"/>
      <c r="F177" s="775" t="s">
        <v>132</v>
      </c>
      <c r="G177" s="776" t="s">
        <v>648</v>
      </c>
      <c r="H177" s="777"/>
      <c r="I177" s="778">
        <v>0.6666666666666666</v>
      </c>
      <c r="J177" s="777">
        <v>8.0</v>
      </c>
      <c r="K177" s="777">
        <v>3.0</v>
      </c>
      <c r="L177" s="755" t="s">
        <v>112</v>
      </c>
      <c r="M177" s="755" t="s">
        <v>646</v>
      </c>
      <c r="N177" s="775" t="s">
        <v>649</v>
      </c>
      <c r="O177" s="779"/>
      <c r="P177" s="771"/>
      <c r="Q177" s="772"/>
      <c r="R177" s="661"/>
      <c r="S177" s="228" t="str">
        <f t="array" ref="S177">IFERROR(INDEX('💻シート作成'!$D$6:$D1001, MATCH(T177, '💻シート作成'!$E$6:$E1001, 0)), "")</f>
        <v/>
      </c>
      <c r="T177" s="184"/>
      <c r="U177" s="664"/>
      <c r="V177" s="774"/>
      <c r="W177" s="661"/>
      <c r="X177" s="757"/>
      <c r="Y177" s="661"/>
      <c r="Z177" s="661"/>
    </row>
    <row r="178" ht="87.0" hidden="1" customHeight="1" outlineLevel="1">
      <c r="A178" s="661"/>
      <c r="B178" s="729"/>
      <c r="C178" s="730"/>
      <c r="D178" s="730"/>
      <c r="E178" s="730"/>
      <c r="F178" s="730"/>
      <c r="G178" s="731"/>
      <c r="H178" s="730"/>
      <c r="I178" s="730"/>
      <c r="J178" s="730"/>
      <c r="K178" s="730"/>
      <c r="L178" s="755"/>
      <c r="M178" s="755"/>
      <c r="N178" s="730"/>
      <c r="O178" s="733"/>
      <c r="Q178" s="728"/>
      <c r="R178" s="661"/>
      <c r="S178" s="228" t="str">
        <f t="array" ref="S178">IFERROR(INDEX('💻シート作成'!$D$6:$D1001, MATCH(T178, '💻シート作成'!$E$6:$E1001, 0)), "")</f>
        <v/>
      </c>
      <c r="T178" s="184"/>
      <c r="U178" s="664"/>
      <c r="V178" s="774"/>
      <c r="W178" s="661"/>
      <c r="X178" s="757"/>
      <c r="Y178" s="661"/>
      <c r="Z178" s="661"/>
    </row>
    <row r="179" ht="87.0" hidden="1" customHeight="1" outlineLevel="1">
      <c r="A179" s="661"/>
      <c r="B179" s="729"/>
      <c r="C179" s="730"/>
      <c r="D179" s="730"/>
      <c r="E179" s="730"/>
      <c r="F179" s="730"/>
      <c r="G179" s="731"/>
      <c r="H179" s="730"/>
      <c r="I179" s="730"/>
      <c r="J179" s="730"/>
      <c r="K179" s="730"/>
      <c r="L179" s="755"/>
      <c r="M179" s="755"/>
      <c r="N179" s="730"/>
      <c r="O179" s="733"/>
      <c r="Q179" s="728"/>
      <c r="R179" s="661"/>
      <c r="S179" s="228" t="str">
        <f t="array" ref="S179">IFERROR(INDEX('💻シート作成'!$D$6:$D1001, MATCH(T179, '💻シート作成'!$E$6:$E1001, 0)), "")</f>
        <v/>
      </c>
      <c r="T179" s="184"/>
      <c r="U179" s="664"/>
      <c r="V179" s="774"/>
      <c r="W179" s="661"/>
      <c r="X179" s="757"/>
      <c r="Y179" s="661"/>
      <c r="Z179" s="661"/>
    </row>
    <row r="180" ht="87.0" hidden="1" customHeight="1" outlineLevel="1">
      <c r="A180" s="661"/>
      <c r="B180" s="729"/>
      <c r="C180" s="730"/>
      <c r="D180" s="730"/>
      <c r="E180" s="730"/>
      <c r="F180" s="730"/>
      <c r="G180" s="731"/>
      <c r="H180" s="730"/>
      <c r="I180" s="730"/>
      <c r="J180" s="730"/>
      <c r="K180" s="730"/>
      <c r="L180" s="756"/>
      <c r="M180" s="755"/>
      <c r="N180" s="730"/>
      <c r="O180" s="733"/>
      <c r="Q180" s="728"/>
      <c r="R180" s="661"/>
      <c r="S180" s="228" t="str">
        <f t="array" ref="S180">IFERROR(INDEX('💻シート作成'!$D$6:$D1001, MATCH(T180, '💻シート作成'!$E$6:$E1001, 0)), "")</f>
        <v/>
      </c>
      <c r="T180" s="184"/>
      <c r="U180" s="664"/>
      <c r="V180" s="774"/>
      <c r="W180" s="661"/>
      <c r="X180" s="757"/>
      <c r="Y180" s="661"/>
      <c r="Z180" s="661"/>
    </row>
    <row r="181" ht="87.0" hidden="1" customHeight="1" outlineLevel="1">
      <c r="A181" s="661"/>
      <c r="B181" s="729"/>
      <c r="C181" s="730"/>
      <c r="D181" s="730"/>
      <c r="E181" s="730"/>
      <c r="F181" s="730"/>
      <c r="G181" s="731"/>
      <c r="H181" s="730"/>
      <c r="I181" s="730"/>
      <c r="J181" s="730"/>
      <c r="K181" s="730"/>
      <c r="L181" s="756"/>
      <c r="M181" s="755"/>
      <c r="N181" s="730"/>
      <c r="O181" s="733"/>
      <c r="Q181" s="728"/>
      <c r="R181" s="661"/>
      <c r="S181" s="228" t="str">
        <f t="array" ref="S181">IFERROR(INDEX('💻シート作成'!$D$6:$D1001, MATCH(T181, '💻シート作成'!$E$6:$E1001, 0)), "")</f>
        <v/>
      </c>
      <c r="T181" s="184"/>
      <c r="U181" s="664"/>
      <c r="V181" s="774"/>
      <c r="W181" s="661"/>
      <c r="X181" s="757"/>
      <c r="Y181" s="661"/>
      <c r="Z181" s="661"/>
    </row>
    <row r="182" ht="87.0" hidden="1" customHeight="1" outlineLevel="1">
      <c r="A182" s="661"/>
      <c r="B182" s="729"/>
      <c r="C182" s="730"/>
      <c r="D182" s="730"/>
      <c r="E182" s="730"/>
      <c r="F182" s="730"/>
      <c r="G182" s="731"/>
      <c r="H182" s="730"/>
      <c r="I182" s="730"/>
      <c r="J182" s="730"/>
      <c r="K182" s="730"/>
      <c r="L182" s="756"/>
      <c r="M182" s="755"/>
      <c r="N182" s="730"/>
      <c r="O182" s="733"/>
      <c r="Q182" s="728"/>
      <c r="R182" s="661"/>
      <c r="S182" s="228" t="str">
        <f t="array" ref="S182">IFERROR(INDEX('💻シート作成'!$D$6:$D1001, MATCH(T182, '💻シート作成'!$E$6:$E1001, 0)), "")</f>
        <v/>
      </c>
      <c r="T182" s="184"/>
      <c r="U182" s="664"/>
      <c r="V182" s="774"/>
      <c r="W182" s="661"/>
      <c r="X182" s="757"/>
      <c r="Y182" s="661"/>
      <c r="Z182" s="661"/>
    </row>
    <row r="183" ht="87.0" hidden="1" customHeight="1" outlineLevel="1">
      <c r="A183" s="661"/>
      <c r="B183" s="729"/>
      <c r="C183" s="730"/>
      <c r="D183" s="730"/>
      <c r="E183" s="730"/>
      <c r="F183" s="730"/>
      <c r="G183" s="731"/>
      <c r="H183" s="730"/>
      <c r="I183" s="730"/>
      <c r="J183" s="730"/>
      <c r="K183" s="730"/>
      <c r="L183" s="756"/>
      <c r="M183" s="755"/>
      <c r="N183" s="730"/>
      <c r="O183" s="733"/>
      <c r="Q183" s="728"/>
      <c r="R183" s="661"/>
      <c r="S183" s="228" t="str">
        <f t="array" ref="S183">IFERROR(INDEX('💻シート作成'!$D$6:$D1001, MATCH(T183, '💻シート作成'!$E$6:$E1001, 0)), "")</f>
        <v/>
      </c>
      <c r="T183" s="184"/>
      <c r="U183" s="664"/>
      <c r="V183" s="774"/>
      <c r="W183" s="661"/>
      <c r="X183" s="757"/>
      <c r="Y183" s="661"/>
      <c r="Z183" s="661"/>
    </row>
    <row r="184" ht="87.0" hidden="1" customHeight="1" outlineLevel="1">
      <c r="A184" s="661"/>
      <c r="B184" s="729"/>
      <c r="C184" s="730"/>
      <c r="D184" s="730"/>
      <c r="E184" s="730"/>
      <c r="F184" s="730"/>
      <c r="G184" s="731"/>
      <c r="H184" s="730"/>
      <c r="I184" s="730"/>
      <c r="J184" s="730"/>
      <c r="K184" s="730"/>
      <c r="L184" s="756"/>
      <c r="M184" s="755"/>
      <c r="N184" s="730"/>
      <c r="O184" s="733"/>
      <c r="Q184" s="728"/>
      <c r="R184" s="661"/>
      <c r="S184" s="228" t="str">
        <f t="array" ref="S184">IFERROR(INDEX('💻シート作成'!$D$6:$D1001, MATCH(T184, '💻シート作成'!$E$6:$E1001, 0)), "")</f>
        <v/>
      </c>
      <c r="T184" s="184"/>
      <c r="U184" s="664"/>
      <c r="V184" s="774"/>
      <c r="W184" s="661"/>
      <c r="X184" s="757"/>
      <c r="Y184" s="661"/>
      <c r="Z184" s="661"/>
    </row>
    <row r="185" ht="87.0" hidden="1" customHeight="1" outlineLevel="1">
      <c r="A185" s="661"/>
      <c r="B185" s="729"/>
      <c r="C185" s="730"/>
      <c r="D185" s="730"/>
      <c r="E185" s="730"/>
      <c r="F185" s="730"/>
      <c r="G185" s="731"/>
      <c r="H185" s="730"/>
      <c r="I185" s="730"/>
      <c r="J185" s="730"/>
      <c r="K185" s="730"/>
      <c r="L185" s="756"/>
      <c r="M185" s="755"/>
      <c r="N185" s="730"/>
      <c r="O185" s="733"/>
      <c r="Q185" s="728"/>
      <c r="R185" s="661"/>
      <c r="S185" s="228" t="str">
        <f t="array" ref="S185">IFERROR(INDEX('💻シート作成'!$D$6:$D1001, MATCH(T185, '💻シート作成'!$E$6:$E1001, 0)), "")</f>
        <v/>
      </c>
      <c r="T185" s="184"/>
      <c r="U185" s="664"/>
      <c r="V185" s="774"/>
      <c r="W185" s="661"/>
      <c r="X185" s="757"/>
      <c r="Y185" s="661"/>
      <c r="Z185" s="661"/>
    </row>
    <row r="186" ht="87.0" hidden="1" customHeight="1" outlineLevel="1">
      <c r="A186" s="661"/>
      <c r="B186" s="729"/>
      <c r="C186" s="730"/>
      <c r="D186" s="730"/>
      <c r="E186" s="730"/>
      <c r="F186" s="697"/>
      <c r="G186" s="698"/>
      <c r="H186" s="697"/>
      <c r="I186" s="697"/>
      <c r="J186" s="697"/>
      <c r="K186" s="697"/>
      <c r="L186" s="756"/>
      <c r="M186" s="755"/>
      <c r="N186" s="697"/>
      <c r="O186" s="700"/>
      <c r="P186" s="701"/>
      <c r="Q186" s="737"/>
      <c r="R186" s="661"/>
      <c r="S186" s="228" t="str">
        <f t="array" ref="S186">IFERROR(INDEX('💻シート作成'!$D$6:$D1001, MATCH(T186, '💻シート作成'!$E$6:$E1001, 0)), "")</f>
        <v/>
      </c>
      <c r="T186" s="184"/>
      <c r="U186" s="664"/>
      <c r="V186" s="774"/>
      <c r="W186" s="661"/>
      <c r="X186" s="757"/>
      <c r="Y186" s="661"/>
      <c r="Z186" s="661"/>
    </row>
    <row r="187" ht="18.0" hidden="1" customHeight="1" outlineLevel="1">
      <c r="A187" s="661"/>
      <c r="B187" s="738"/>
      <c r="C187" s="697"/>
      <c r="D187" s="697"/>
      <c r="E187" s="697"/>
      <c r="F187" s="758" t="s">
        <v>517</v>
      </c>
      <c r="G187" s="759" t="s">
        <v>650</v>
      </c>
      <c r="H187" s="741"/>
      <c r="I187" s="741"/>
      <c r="J187" s="741"/>
      <c r="K187" s="741"/>
      <c r="L187" s="759"/>
      <c r="M187" s="759"/>
      <c r="N187" s="759"/>
      <c r="O187" s="759"/>
      <c r="P187" s="759"/>
      <c r="Q187" s="760"/>
      <c r="R187" s="661"/>
      <c r="S187" s="228" t="str">
        <f t="array" ref="S187">IFERROR(INDEX('💻シート作成'!$D$6:$D1001, MATCH(T187, '💻シート作成'!$E$6:$E1001, 0)), "")</f>
        <v/>
      </c>
      <c r="T187" s="184"/>
      <c r="U187" s="664"/>
      <c r="V187" s="774"/>
      <c r="W187" s="661"/>
      <c r="X187" s="757"/>
      <c r="Y187" s="661"/>
      <c r="Z187" s="661"/>
    </row>
    <row r="188" hidden="1" outlineLevel="1">
      <c r="A188" s="661"/>
      <c r="B188" s="761"/>
      <c r="C188" s="762">
        <f>IF(C177="","",IF(DAY(C177+1)=1,"",C177+1))</f>
        <v>46098</v>
      </c>
      <c r="D188" s="763" t="str">
        <f>TEXT(C188,"ddd")</f>
        <v>火</v>
      </c>
      <c r="E188" s="764"/>
      <c r="F188" s="765" t="s">
        <v>142</v>
      </c>
      <c r="G188" s="766" t="s">
        <v>651</v>
      </c>
      <c r="H188" s="767">
        <v>1.0</v>
      </c>
      <c r="I188" s="768">
        <v>0.6458333333333334</v>
      </c>
      <c r="J188" s="767">
        <v>8.0</v>
      </c>
      <c r="K188" s="767">
        <v>3.0</v>
      </c>
      <c r="L188" s="769"/>
      <c r="M188" s="769"/>
      <c r="N188" s="765"/>
      <c r="O188" s="770"/>
      <c r="P188" s="771"/>
      <c r="Q188" s="772"/>
      <c r="R188" s="661"/>
      <c r="S188" s="228" t="str">
        <f t="array" ref="S188">IFERROR(INDEX('💻シート作成'!$D$6:$D1001, MATCH(T188, '💻シート作成'!$E$6:$E1001, 0)), "")</f>
        <v/>
      </c>
      <c r="T188" s="184"/>
      <c r="U188" s="664"/>
      <c r="V188" s="774"/>
      <c r="W188" s="661"/>
      <c r="X188" s="757"/>
      <c r="Y188" s="661"/>
      <c r="Z188" s="661"/>
    </row>
    <row r="189" hidden="1" outlineLevel="1">
      <c r="A189" s="661"/>
      <c r="B189" s="729"/>
      <c r="C189" s="730"/>
      <c r="D189" s="730"/>
      <c r="E189" s="730"/>
      <c r="F189" s="730"/>
      <c r="G189" s="731"/>
      <c r="H189" s="730"/>
      <c r="I189" s="730"/>
      <c r="J189" s="730"/>
      <c r="K189" s="730"/>
      <c r="L189" s="769"/>
      <c r="M189" s="769"/>
      <c r="N189" s="730"/>
      <c r="O189" s="733"/>
      <c r="Q189" s="728"/>
      <c r="R189" s="661"/>
      <c r="S189" s="228" t="str">
        <f t="array" ref="S189">IFERROR(INDEX('💻シート作成'!$D$6:$D1001, MATCH(T189, '💻シート作成'!$E$6:$E1001, 0)), "")</f>
        <v/>
      </c>
      <c r="T189" s="184"/>
      <c r="U189" s="664"/>
      <c r="V189" s="774"/>
      <c r="W189" s="661"/>
      <c r="X189" s="757"/>
      <c r="Y189" s="661"/>
      <c r="Z189" s="661"/>
    </row>
    <row r="190" hidden="1" outlineLevel="1">
      <c r="A190" s="661"/>
      <c r="B190" s="729"/>
      <c r="C190" s="730"/>
      <c r="D190" s="730"/>
      <c r="E190" s="730"/>
      <c r="F190" s="730"/>
      <c r="G190" s="731"/>
      <c r="H190" s="730"/>
      <c r="I190" s="730"/>
      <c r="J190" s="730"/>
      <c r="K190" s="730"/>
      <c r="L190" s="769"/>
      <c r="M190" s="769"/>
      <c r="N190" s="730"/>
      <c r="O190" s="733"/>
      <c r="Q190" s="728"/>
      <c r="R190" s="661"/>
      <c r="S190" s="228" t="str">
        <f t="array" ref="S190">IFERROR(INDEX('💻シート作成'!$D$6:$D1001, MATCH(T190, '💻シート作成'!$E$6:$E1001, 0)), "")</f>
        <v/>
      </c>
      <c r="T190" s="184"/>
      <c r="U190" s="664"/>
      <c r="V190" s="774"/>
      <c r="W190" s="661"/>
      <c r="X190" s="757"/>
      <c r="Y190" s="661"/>
      <c r="Z190" s="661"/>
    </row>
    <row r="191" hidden="1" outlineLevel="1">
      <c r="A191" s="661"/>
      <c r="B191" s="729"/>
      <c r="C191" s="730"/>
      <c r="D191" s="730"/>
      <c r="E191" s="730"/>
      <c r="F191" s="730"/>
      <c r="G191" s="731"/>
      <c r="H191" s="730"/>
      <c r="I191" s="730"/>
      <c r="J191" s="730"/>
      <c r="K191" s="730"/>
      <c r="L191" s="773"/>
      <c r="M191" s="769"/>
      <c r="N191" s="730"/>
      <c r="O191" s="733"/>
      <c r="Q191" s="728"/>
      <c r="R191" s="661"/>
      <c r="S191" s="228" t="str">
        <f t="array" ref="S191">IFERROR(INDEX('💻シート作成'!$D$6:$D1001, MATCH(T191, '💻シート作成'!$E$6:$E1001, 0)), "")</f>
        <v/>
      </c>
      <c r="T191" s="184"/>
      <c r="U191" s="664"/>
      <c r="V191" s="774"/>
      <c r="W191" s="661"/>
      <c r="X191" s="757"/>
      <c r="Y191" s="661"/>
      <c r="Z191" s="661"/>
    </row>
    <row r="192" hidden="1" outlineLevel="1">
      <c r="A192" s="661"/>
      <c r="B192" s="729"/>
      <c r="C192" s="730"/>
      <c r="D192" s="730"/>
      <c r="E192" s="730"/>
      <c r="F192" s="730"/>
      <c r="G192" s="731"/>
      <c r="H192" s="730"/>
      <c r="I192" s="730"/>
      <c r="J192" s="730"/>
      <c r="K192" s="730"/>
      <c r="L192" s="773"/>
      <c r="M192" s="769"/>
      <c r="N192" s="730"/>
      <c r="O192" s="733"/>
      <c r="Q192" s="728"/>
      <c r="R192" s="661"/>
      <c r="S192" s="228" t="str">
        <f t="array" ref="S192">IFERROR(INDEX('💻シート作成'!$D$6:$D1001, MATCH(T192, '💻シート作成'!$E$6:$E1001, 0)), "")</f>
        <v/>
      </c>
      <c r="T192" s="184"/>
      <c r="U192" s="664"/>
      <c r="V192" s="774"/>
      <c r="W192" s="661"/>
      <c r="X192" s="757"/>
      <c r="Y192" s="661"/>
      <c r="Z192" s="661"/>
    </row>
    <row r="193" hidden="1" outlineLevel="1">
      <c r="A193" s="661"/>
      <c r="B193" s="729"/>
      <c r="C193" s="730"/>
      <c r="D193" s="730"/>
      <c r="E193" s="730"/>
      <c r="F193" s="730"/>
      <c r="G193" s="731"/>
      <c r="H193" s="730"/>
      <c r="I193" s="730"/>
      <c r="J193" s="730"/>
      <c r="K193" s="730"/>
      <c r="L193" s="773"/>
      <c r="M193" s="769"/>
      <c r="N193" s="730"/>
      <c r="O193" s="733"/>
      <c r="Q193" s="728"/>
      <c r="R193" s="661"/>
      <c r="S193" s="228" t="str">
        <f t="array" ref="S193">IFERROR(INDEX('💻シート作成'!$D$6:$D1001, MATCH(T193, '💻シート作成'!$E$6:$E1001, 0)), "")</f>
        <v/>
      </c>
      <c r="T193" s="184"/>
      <c r="U193" s="664"/>
      <c r="V193" s="774"/>
      <c r="W193" s="661"/>
      <c r="X193" s="757"/>
      <c r="Y193" s="661"/>
      <c r="Z193" s="661"/>
    </row>
    <row r="194" hidden="1" outlineLevel="1">
      <c r="A194" s="661"/>
      <c r="B194" s="729"/>
      <c r="C194" s="730"/>
      <c r="D194" s="730"/>
      <c r="E194" s="730"/>
      <c r="F194" s="730"/>
      <c r="G194" s="731"/>
      <c r="H194" s="730"/>
      <c r="I194" s="730"/>
      <c r="J194" s="730"/>
      <c r="K194" s="730"/>
      <c r="L194" s="773"/>
      <c r="M194" s="769"/>
      <c r="N194" s="730"/>
      <c r="O194" s="733"/>
      <c r="Q194" s="728"/>
      <c r="R194" s="661"/>
      <c r="S194" s="228" t="str">
        <f t="array" ref="S194">IFERROR(INDEX('💻シート作成'!$D$6:$D1001, MATCH(T194, '💻シート作成'!$E$6:$E1001, 0)), "")</f>
        <v/>
      </c>
      <c r="T194" s="184"/>
      <c r="U194" s="664"/>
      <c r="V194" s="774"/>
      <c r="W194" s="661"/>
      <c r="X194" s="757"/>
      <c r="Y194" s="661"/>
      <c r="Z194" s="661"/>
    </row>
    <row r="195" hidden="1" outlineLevel="1">
      <c r="A195" s="661"/>
      <c r="B195" s="729"/>
      <c r="C195" s="730"/>
      <c r="D195" s="730"/>
      <c r="E195" s="730"/>
      <c r="F195" s="730"/>
      <c r="G195" s="731"/>
      <c r="H195" s="730"/>
      <c r="I195" s="730"/>
      <c r="J195" s="730"/>
      <c r="K195" s="730"/>
      <c r="L195" s="773"/>
      <c r="M195" s="769"/>
      <c r="N195" s="730"/>
      <c r="O195" s="733"/>
      <c r="Q195" s="728"/>
      <c r="R195" s="661"/>
      <c r="S195" s="228" t="str">
        <f t="array" ref="S195">IFERROR(INDEX('💻シート作成'!$D$6:$D1001, MATCH(T195, '💻シート作成'!$E$6:$E1001, 0)), "")</f>
        <v/>
      </c>
      <c r="T195" s="184"/>
      <c r="U195" s="664"/>
      <c r="V195" s="774"/>
      <c r="W195" s="661"/>
      <c r="X195" s="757"/>
      <c r="Y195" s="661"/>
      <c r="Z195" s="661"/>
    </row>
    <row r="196" hidden="1" outlineLevel="1">
      <c r="A196" s="661"/>
      <c r="B196" s="729"/>
      <c r="C196" s="730"/>
      <c r="D196" s="730"/>
      <c r="E196" s="730"/>
      <c r="F196" s="730"/>
      <c r="G196" s="731"/>
      <c r="H196" s="730"/>
      <c r="I196" s="730"/>
      <c r="J196" s="730"/>
      <c r="K196" s="730"/>
      <c r="L196" s="773"/>
      <c r="M196" s="769"/>
      <c r="N196" s="730"/>
      <c r="O196" s="733"/>
      <c r="Q196" s="728"/>
      <c r="R196" s="661"/>
      <c r="S196" s="228" t="str">
        <f t="array" ref="S196">IFERROR(INDEX('💻シート作成'!$D$6:$D1001, MATCH(T196, '💻シート作成'!$E$6:$E1001, 0)), "")</f>
        <v/>
      </c>
      <c r="T196" s="184"/>
      <c r="U196" s="664"/>
      <c r="V196" s="774"/>
      <c r="W196" s="661"/>
      <c r="X196" s="757"/>
      <c r="Y196" s="661"/>
      <c r="Z196" s="661"/>
    </row>
    <row r="197" hidden="1" outlineLevel="1">
      <c r="A197" s="661"/>
      <c r="B197" s="729"/>
      <c r="C197" s="730"/>
      <c r="D197" s="730"/>
      <c r="E197" s="730"/>
      <c r="F197" s="697"/>
      <c r="G197" s="698"/>
      <c r="H197" s="697"/>
      <c r="I197" s="697"/>
      <c r="J197" s="697"/>
      <c r="K197" s="697"/>
      <c r="L197" s="773"/>
      <c r="M197" s="769"/>
      <c r="N197" s="697"/>
      <c r="O197" s="700"/>
      <c r="P197" s="701"/>
      <c r="Q197" s="737"/>
      <c r="R197" s="661"/>
      <c r="S197" s="228" t="str">
        <f t="array" ref="S197">IFERROR(INDEX('💻シート作成'!$D$6:$D1001, MATCH(T197, '💻シート作成'!$E$6:$E1001, 0)), "")</f>
        <v/>
      </c>
      <c r="T197" s="184"/>
      <c r="U197" s="664"/>
      <c r="V197" s="774"/>
      <c r="W197" s="661"/>
      <c r="X197" s="757"/>
      <c r="Y197" s="661"/>
      <c r="Z197" s="661"/>
    </row>
    <row r="198" ht="18.0" hidden="1" customHeight="1" outlineLevel="1">
      <c r="A198" s="661"/>
      <c r="B198" s="738"/>
      <c r="C198" s="697"/>
      <c r="D198" s="697"/>
      <c r="E198" s="697"/>
      <c r="F198" s="739" t="s">
        <v>517</v>
      </c>
      <c r="G198" s="740" t="s">
        <v>652</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4"/>
      <c r="W198" s="661"/>
      <c r="X198" s="757"/>
      <c r="Y198" s="661"/>
      <c r="Z198" s="661"/>
    </row>
    <row r="199" ht="64.5" hidden="1" customHeight="1" outlineLevel="1">
      <c r="A199" s="661"/>
      <c r="B199" s="743"/>
      <c r="C199" s="744">
        <f>IF(C188="","",IF(DAY(C188+1)=1,"",C188+1))</f>
        <v>46099</v>
      </c>
      <c r="D199" s="745" t="str">
        <f>TEXT(C199,"ddd")</f>
        <v>水</v>
      </c>
      <c r="E199" s="746"/>
      <c r="F199" s="775" t="s">
        <v>132</v>
      </c>
      <c r="G199" s="776" t="s">
        <v>653</v>
      </c>
      <c r="H199" s="777"/>
      <c r="I199" s="778">
        <v>0.6458333333333334</v>
      </c>
      <c r="J199" s="777">
        <v>8.0</v>
      </c>
      <c r="K199" s="777">
        <v>2.0</v>
      </c>
      <c r="L199" s="755"/>
      <c r="M199" s="755"/>
      <c r="N199" s="775" t="s">
        <v>654</v>
      </c>
      <c r="O199" s="779"/>
      <c r="P199" s="771"/>
      <c r="Q199" s="772"/>
      <c r="R199" s="661"/>
      <c r="S199" s="228" t="str">
        <f t="array" ref="S199">IFERROR(INDEX('💻シート作成'!$D$6:$D1001, MATCH(T199, '💻シート作成'!$E$6:$E1001, 0)), "")</f>
        <v/>
      </c>
      <c r="T199" s="184"/>
      <c r="U199" s="664"/>
      <c r="V199" s="774"/>
      <c r="W199" s="661"/>
      <c r="X199" s="757"/>
      <c r="Y199" s="661"/>
      <c r="Z199" s="661"/>
    </row>
    <row r="200" ht="64.5" hidden="1" customHeight="1" outlineLevel="1">
      <c r="A200" s="661"/>
      <c r="B200" s="729"/>
      <c r="C200" s="730"/>
      <c r="D200" s="730"/>
      <c r="E200" s="730"/>
      <c r="F200" s="730"/>
      <c r="G200" s="731"/>
      <c r="H200" s="730"/>
      <c r="I200" s="730"/>
      <c r="J200" s="730"/>
      <c r="K200" s="730"/>
      <c r="L200" s="755"/>
      <c r="M200" s="755"/>
      <c r="N200" s="730"/>
      <c r="O200" s="733"/>
      <c r="Q200" s="728"/>
      <c r="R200" s="661"/>
      <c r="S200" s="228" t="str">
        <f t="array" ref="S200">IFERROR(INDEX('💻シート作成'!$D$6:$D1001, MATCH(T200, '💻シート作成'!$E$6:$E1001, 0)), "")</f>
        <v/>
      </c>
      <c r="T200" s="184"/>
      <c r="U200" s="664"/>
      <c r="V200" s="774"/>
      <c r="W200" s="661"/>
      <c r="X200" s="757"/>
      <c r="Y200" s="661"/>
      <c r="Z200" s="661"/>
    </row>
    <row r="201" ht="64.5" hidden="1" customHeight="1" outlineLevel="1">
      <c r="A201" s="661"/>
      <c r="B201" s="729"/>
      <c r="C201" s="730"/>
      <c r="D201" s="730"/>
      <c r="E201" s="730"/>
      <c r="F201" s="730"/>
      <c r="G201" s="731"/>
      <c r="H201" s="730"/>
      <c r="I201" s="730"/>
      <c r="J201" s="730"/>
      <c r="K201" s="730"/>
      <c r="L201" s="755"/>
      <c r="M201" s="755"/>
      <c r="N201" s="730"/>
      <c r="O201" s="733"/>
      <c r="Q201" s="728"/>
      <c r="R201" s="661"/>
      <c r="S201" s="228" t="str">
        <f t="array" ref="S201">IFERROR(INDEX('💻シート作成'!$D$6:$D1001, MATCH(T201, '💻シート作成'!$E$6:$E1001, 0)), "")</f>
        <v/>
      </c>
      <c r="T201" s="184"/>
      <c r="U201" s="664"/>
      <c r="V201" s="774"/>
      <c r="W201" s="661"/>
      <c r="X201" s="757"/>
      <c r="Y201" s="661"/>
      <c r="Z201" s="661"/>
    </row>
    <row r="202" ht="64.5" hidden="1" customHeight="1" outlineLevel="1">
      <c r="A202" s="661"/>
      <c r="B202" s="729"/>
      <c r="C202" s="730"/>
      <c r="D202" s="730"/>
      <c r="E202" s="730"/>
      <c r="F202" s="730"/>
      <c r="G202" s="731"/>
      <c r="H202" s="730"/>
      <c r="I202" s="730"/>
      <c r="J202" s="730"/>
      <c r="K202" s="730"/>
      <c r="L202" s="756"/>
      <c r="M202" s="755"/>
      <c r="N202" s="730"/>
      <c r="O202" s="733"/>
      <c r="Q202" s="728"/>
      <c r="R202" s="661"/>
      <c r="S202" s="228" t="str">
        <f t="array" ref="S202">IFERROR(INDEX('💻シート作成'!$D$6:$D1001, MATCH(T202, '💻シート作成'!$E$6:$E1001, 0)), "")</f>
        <v/>
      </c>
      <c r="T202" s="184"/>
      <c r="U202" s="664"/>
      <c r="V202" s="774"/>
      <c r="W202" s="661"/>
      <c r="X202" s="757"/>
      <c r="Y202" s="661"/>
      <c r="Z202" s="661"/>
    </row>
    <row r="203" ht="64.5" hidden="1" customHeight="1" outlineLevel="1">
      <c r="A203" s="661"/>
      <c r="B203" s="729"/>
      <c r="C203" s="730"/>
      <c r="D203" s="730"/>
      <c r="E203" s="730"/>
      <c r="F203" s="730"/>
      <c r="G203" s="731"/>
      <c r="H203" s="730"/>
      <c r="I203" s="730"/>
      <c r="J203" s="730"/>
      <c r="K203" s="730"/>
      <c r="L203" s="756"/>
      <c r="M203" s="755"/>
      <c r="N203" s="730"/>
      <c r="O203" s="733"/>
      <c r="Q203" s="728"/>
      <c r="R203" s="661"/>
      <c r="S203" s="228" t="str">
        <f t="array" ref="S203">IFERROR(INDEX('💻シート作成'!$D$6:$D1001, MATCH(T203, '💻シート作成'!$E$6:$E1001, 0)), "")</f>
        <v/>
      </c>
      <c r="T203" s="184"/>
      <c r="U203" s="664"/>
      <c r="V203" s="774"/>
      <c r="W203" s="661"/>
      <c r="X203" s="757"/>
      <c r="Y203" s="661"/>
      <c r="Z203" s="661"/>
    </row>
    <row r="204" ht="64.5" hidden="1" customHeight="1" outlineLevel="1">
      <c r="A204" s="661"/>
      <c r="B204" s="729"/>
      <c r="C204" s="730"/>
      <c r="D204" s="730"/>
      <c r="E204" s="730"/>
      <c r="F204" s="730"/>
      <c r="G204" s="731"/>
      <c r="H204" s="730"/>
      <c r="I204" s="730"/>
      <c r="J204" s="730"/>
      <c r="K204" s="730"/>
      <c r="L204" s="756"/>
      <c r="M204" s="755"/>
      <c r="N204" s="730"/>
      <c r="O204" s="733"/>
      <c r="Q204" s="728"/>
      <c r="R204" s="661"/>
      <c r="S204" s="228" t="str">
        <f t="array" ref="S204">IFERROR(INDEX('💻シート作成'!$D$6:$D1001, MATCH(T204, '💻シート作成'!$E$6:$E1001, 0)), "")</f>
        <v/>
      </c>
      <c r="T204" s="184"/>
      <c r="U204" s="664"/>
      <c r="V204" s="774"/>
      <c r="W204" s="661"/>
      <c r="X204" s="757"/>
      <c r="Y204" s="661"/>
      <c r="Z204" s="661"/>
    </row>
    <row r="205" ht="64.5" hidden="1" customHeight="1" outlineLevel="1">
      <c r="A205" s="661"/>
      <c r="B205" s="729"/>
      <c r="C205" s="730"/>
      <c r="D205" s="730"/>
      <c r="E205" s="730"/>
      <c r="F205" s="730"/>
      <c r="G205" s="731"/>
      <c r="H205" s="730"/>
      <c r="I205" s="730"/>
      <c r="J205" s="730"/>
      <c r="K205" s="730"/>
      <c r="L205" s="756"/>
      <c r="M205" s="755"/>
      <c r="N205" s="730"/>
      <c r="O205" s="733"/>
      <c r="Q205" s="728"/>
      <c r="R205" s="661"/>
      <c r="S205" s="228" t="str">
        <f t="array" ref="S205">IFERROR(INDEX('💻シート作成'!$D$6:$D1001, MATCH(T205, '💻シート作成'!$E$6:$E1001, 0)), "")</f>
        <v/>
      </c>
      <c r="T205" s="184"/>
      <c r="U205" s="664"/>
      <c r="V205" s="774"/>
      <c r="W205" s="661"/>
      <c r="X205" s="757"/>
      <c r="Y205" s="661"/>
      <c r="Z205" s="661"/>
    </row>
    <row r="206" ht="64.5" hidden="1" customHeight="1" outlineLevel="1">
      <c r="A206" s="661"/>
      <c r="B206" s="729"/>
      <c r="C206" s="730"/>
      <c r="D206" s="730"/>
      <c r="E206" s="730"/>
      <c r="F206" s="730"/>
      <c r="G206" s="731"/>
      <c r="H206" s="730"/>
      <c r="I206" s="730"/>
      <c r="J206" s="730"/>
      <c r="K206" s="730"/>
      <c r="L206" s="756"/>
      <c r="M206" s="755"/>
      <c r="N206" s="730"/>
      <c r="O206" s="733"/>
      <c r="Q206" s="728"/>
      <c r="R206" s="661"/>
      <c r="S206" s="228" t="str">
        <f t="array" ref="S206">IFERROR(INDEX('💻シート作成'!$D$6:$D1001, MATCH(T206, '💻シート作成'!$E$6:$E1001, 0)), "")</f>
        <v/>
      </c>
      <c r="T206" s="184"/>
      <c r="U206" s="664"/>
      <c r="V206" s="774"/>
      <c r="W206" s="661"/>
      <c r="X206" s="757"/>
      <c r="Y206" s="661"/>
      <c r="Z206" s="661"/>
    </row>
    <row r="207" ht="64.5" hidden="1" customHeight="1" outlineLevel="1">
      <c r="A207" s="661"/>
      <c r="B207" s="729"/>
      <c r="C207" s="730"/>
      <c r="D207" s="730"/>
      <c r="E207" s="730"/>
      <c r="F207" s="730"/>
      <c r="G207" s="731"/>
      <c r="H207" s="730"/>
      <c r="I207" s="730"/>
      <c r="J207" s="730"/>
      <c r="K207" s="730"/>
      <c r="L207" s="756"/>
      <c r="M207" s="755"/>
      <c r="N207" s="730"/>
      <c r="O207" s="733"/>
      <c r="Q207" s="728"/>
      <c r="R207" s="661"/>
      <c r="S207" s="228" t="str">
        <f t="array" ref="S207">IFERROR(INDEX('💻シート作成'!$D$6:$D1001, MATCH(T207, '💻シート作成'!$E$6:$E1001, 0)), "")</f>
        <v/>
      </c>
      <c r="T207" s="184"/>
      <c r="U207" s="664"/>
      <c r="V207" s="774"/>
      <c r="W207" s="661"/>
      <c r="X207" s="757"/>
      <c r="Y207" s="661"/>
      <c r="Z207" s="661"/>
    </row>
    <row r="208" ht="64.5" hidden="1" customHeight="1" outlineLevel="1">
      <c r="A208" s="661"/>
      <c r="B208" s="729"/>
      <c r="C208" s="730"/>
      <c r="D208" s="730"/>
      <c r="E208" s="730"/>
      <c r="F208" s="697"/>
      <c r="G208" s="698"/>
      <c r="H208" s="697"/>
      <c r="I208" s="697"/>
      <c r="J208" s="697"/>
      <c r="K208" s="697"/>
      <c r="L208" s="756"/>
      <c r="M208" s="755"/>
      <c r="N208" s="697"/>
      <c r="O208" s="700"/>
      <c r="P208" s="701"/>
      <c r="Q208" s="737"/>
      <c r="R208" s="661"/>
      <c r="S208" s="228" t="str">
        <f t="array" ref="S208">IFERROR(INDEX('💻シート作成'!$D$6:$D1001, MATCH(T208, '💻シート作成'!$E$6:$E1001, 0)), "")</f>
        <v/>
      </c>
      <c r="T208" s="184"/>
      <c r="U208" s="664"/>
      <c r="V208" s="774"/>
      <c r="W208" s="661"/>
      <c r="X208" s="757"/>
      <c r="Y208" s="661"/>
      <c r="Z208" s="661"/>
    </row>
    <row r="209" ht="18.0" hidden="1" customHeight="1" outlineLevel="1">
      <c r="A209" s="661"/>
      <c r="B209" s="738"/>
      <c r="C209" s="697"/>
      <c r="D209" s="697"/>
      <c r="E209" s="697"/>
      <c r="F209" s="758" t="s">
        <v>517</v>
      </c>
      <c r="G209" s="759" t="s">
        <v>655</v>
      </c>
      <c r="H209" s="741"/>
      <c r="I209" s="741"/>
      <c r="J209" s="741"/>
      <c r="K209" s="741"/>
      <c r="L209" s="759"/>
      <c r="M209" s="759"/>
      <c r="N209" s="759"/>
      <c r="O209" s="759"/>
      <c r="P209" s="759"/>
      <c r="Q209" s="760"/>
      <c r="R209" s="661"/>
      <c r="S209" s="228" t="str">
        <f t="array" ref="S209">IFERROR(INDEX('💻シート作成'!$D$6:$D1001, MATCH(T209, '💻シート作成'!$E$6:$E1001, 0)), "")</f>
        <v/>
      </c>
      <c r="T209" s="184"/>
      <c r="U209" s="664"/>
      <c r="V209" s="774"/>
      <c r="W209" s="661"/>
      <c r="X209" s="757"/>
      <c r="Y209" s="661"/>
      <c r="Z209" s="661"/>
    </row>
    <row r="210" ht="57.75" hidden="1" customHeight="1" outlineLevel="1">
      <c r="A210" s="661"/>
      <c r="B210" s="761"/>
      <c r="C210" s="762">
        <f>IF(C199="","",IF(DAY(C199+1)=1,"",C199+1))</f>
        <v>46100</v>
      </c>
      <c r="D210" s="763" t="str">
        <f>TEXT(C210,"ddd")</f>
        <v>木</v>
      </c>
      <c r="E210" s="764"/>
      <c r="F210" s="765" t="s">
        <v>132</v>
      </c>
      <c r="G210" s="766" t="s">
        <v>656</v>
      </c>
      <c r="H210" s="767"/>
      <c r="I210" s="768">
        <v>0.6666666666666666</v>
      </c>
      <c r="J210" s="767">
        <v>8.0</v>
      </c>
      <c r="K210" s="767">
        <v>3.0</v>
      </c>
      <c r="L210" s="769"/>
      <c r="M210" s="769"/>
      <c r="N210" s="765" t="s">
        <v>657</v>
      </c>
      <c r="O210" s="770"/>
      <c r="P210" s="771"/>
      <c r="Q210" s="772"/>
      <c r="R210" s="661"/>
      <c r="S210" s="228" t="str">
        <f t="array" ref="S210">IFERROR(INDEX('💻シート作成'!$D$6:$D1001, MATCH(T210, '💻シート作成'!$E$6:$E1001, 0)), "")</f>
        <v/>
      </c>
      <c r="T210" s="184"/>
      <c r="U210" s="664"/>
      <c r="V210" s="774"/>
      <c r="W210" s="661"/>
      <c r="X210" s="757"/>
      <c r="Y210" s="661"/>
      <c r="Z210" s="661"/>
    </row>
    <row r="211" ht="57.75" hidden="1" customHeight="1" outlineLevel="1">
      <c r="A211" s="661"/>
      <c r="B211" s="729"/>
      <c r="C211" s="730"/>
      <c r="D211" s="730"/>
      <c r="E211" s="730"/>
      <c r="F211" s="730"/>
      <c r="G211" s="731"/>
      <c r="H211" s="730"/>
      <c r="I211" s="730"/>
      <c r="J211" s="730"/>
      <c r="K211" s="730"/>
      <c r="L211" s="769"/>
      <c r="M211" s="769"/>
      <c r="N211" s="730"/>
      <c r="O211" s="733"/>
      <c r="Q211" s="728"/>
      <c r="R211" s="661"/>
      <c r="S211" s="228" t="str">
        <f t="array" ref="S211">IFERROR(INDEX('💻シート作成'!$D$6:$D1001, MATCH(T211, '💻シート作成'!$E$6:$E1001, 0)), "")</f>
        <v/>
      </c>
      <c r="T211" s="184"/>
      <c r="U211" s="664"/>
      <c r="V211" s="774"/>
      <c r="W211" s="661"/>
      <c r="X211" s="757"/>
      <c r="Y211" s="661"/>
      <c r="Z211" s="661"/>
    </row>
    <row r="212" ht="57.75" hidden="1" customHeight="1" outlineLevel="1">
      <c r="A212" s="661"/>
      <c r="B212" s="729"/>
      <c r="C212" s="730"/>
      <c r="D212" s="730"/>
      <c r="E212" s="730"/>
      <c r="F212" s="730"/>
      <c r="G212" s="731"/>
      <c r="H212" s="730"/>
      <c r="I212" s="730"/>
      <c r="J212" s="730"/>
      <c r="K212" s="730"/>
      <c r="L212" s="769"/>
      <c r="M212" s="769"/>
      <c r="N212" s="730"/>
      <c r="O212" s="733"/>
      <c r="Q212" s="728"/>
      <c r="R212" s="661"/>
      <c r="S212" s="228" t="str">
        <f t="array" ref="S212">IFERROR(INDEX('💻シート作成'!$D$6:$D1001, MATCH(T212, '💻シート作成'!$E$6:$E1001, 0)), "")</f>
        <v/>
      </c>
      <c r="T212" s="184"/>
      <c r="U212" s="664"/>
      <c r="V212" s="774"/>
      <c r="W212" s="661"/>
      <c r="X212" s="757"/>
      <c r="Y212" s="661"/>
      <c r="Z212" s="661"/>
    </row>
    <row r="213" ht="57.75" hidden="1" customHeight="1" outlineLevel="1">
      <c r="A213" s="661"/>
      <c r="B213" s="729"/>
      <c r="C213" s="730"/>
      <c r="D213" s="730"/>
      <c r="E213" s="730"/>
      <c r="F213" s="730"/>
      <c r="G213" s="731"/>
      <c r="H213" s="730"/>
      <c r="I213" s="730"/>
      <c r="J213" s="730"/>
      <c r="K213" s="730"/>
      <c r="L213" s="773"/>
      <c r="M213" s="769"/>
      <c r="N213" s="730"/>
      <c r="O213" s="733"/>
      <c r="Q213" s="728"/>
      <c r="R213" s="661"/>
      <c r="S213" s="228" t="str">
        <f t="array" ref="S213">IFERROR(INDEX('💻シート作成'!$D$6:$D1001, MATCH(T213, '💻シート作成'!$E$6:$E1001, 0)), "")</f>
        <v/>
      </c>
      <c r="T213" s="184"/>
      <c r="U213" s="664"/>
      <c r="V213" s="774"/>
      <c r="W213" s="661"/>
      <c r="X213" s="757"/>
      <c r="Y213" s="661"/>
      <c r="Z213" s="661"/>
    </row>
    <row r="214" ht="57.75" hidden="1" customHeight="1" outlineLevel="1">
      <c r="A214" s="661"/>
      <c r="B214" s="729"/>
      <c r="C214" s="730"/>
      <c r="D214" s="730"/>
      <c r="E214" s="730"/>
      <c r="F214" s="730"/>
      <c r="G214" s="731"/>
      <c r="H214" s="730"/>
      <c r="I214" s="730"/>
      <c r="J214" s="730"/>
      <c r="K214" s="730"/>
      <c r="L214" s="773"/>
      <c r="M214" s="769"/>
      <c r="N214" s="730"/>
      <c r="O214" s="733"/>
      <c r="Q214" s="728"/>
      <c r="R214" s="661"/>
      <c r="S214" s="228" t="str">
        <f t="array" ref="S214">IFERROR(INDEX('💻シート作成'!$D$6:$D1001, MATCH(T214, '💻シート作成'!$E$6:$E1001, 0)), "")</f>
        <v/>
      </c>
      <c r="T214" s="184"/>
      <c r="U214" s="664"/>
      <c r="V214" s="774"/>
      <c r="W214" s="661"/>
      <c r="X214" s="757"/>
      <c r="Y214" s="661"/>
      <c r="Z214" s="661"/>
    </row>
    <row r="215" ht="57.75" hidden="1" customHeight="1" outlineLevel="1">
      <c r="A215" s="661"/>
      <c r="B215" s="729"/>
      <c r="C215" s="730"/>
      <c r="D215" s="730"/>
      <c r="E215" s="730"/>
      <c r="F215" s="730"/>
      <c r="G215" s="731"/>
      <c r="H215" s="730"/>
      <c r="I215" s="730"/>
      <c r="J215" s="730"/>
      <c r="K215" s="730"/>
      <c r="L215" s="773"/>
      <c r="M215" s="769"/>
      <c r="N215" s="730"/>
      <c r="O215" s="733"/>
      <c r="Q215" s="728"/>
      <c r="R215" s="661"/>
      <c r="S215" s="228" t="str">
        <f t="array" ref="S215">IFERROR(INDEX('💻シート作成'!$D$6:$D1001, MATCH(T215, '💻シート作成'!$E$6:$E1001, 0)), "")</f>
        <v/>
      </c>
      <c r="T215" s="184"/>
      <c r="U215" s="664"/>
      <c r="V215" s="774"/>
      <c r="W215" s="661"/>
      <c r="X215" s="757"/>
      <c r="Y215" s="661"/>
      <c r="Z215" s="661"/>
    </row>
    <row r="216" ht="57.75" hidden="1" customHeight="1" outlineLevel="1">
      <c r="A216" s="661"/>
      <c r="B216" s="729"/>
      <c r="C216" s="730"/>
      <c r="D216" s="730"/>
      <c r="E216" s="730"/>
      <c r="F216" s="730"/>
      <c r="G216" s="731"/>
      <c r="H216" s="730"/>
      <c r="I216" s="730"/>
      <c r="J216" s="730"/>
      <c r="K216" s="730"/>
      <c r="L216" s="773"/>
      <c r="M216" s="769"/>
      <c r="N216" s="730"/>
      <c r="O216" s="733"/>
      <c r="Q216" s="728"/>
      <c r="R216" s="661"/>
      <c r="S216" s="228" t="str">
        <f t="array" ref="S216">IFERROR(INDEX('💻シート作成'!$D$6:$D1001, MATCH(T216, '💻シート作成'!$E$6:$E1001, 0)), "")</f>
        <v/>
      </c>
      <c r="T216" s="184"/>
      <c r="U216" s="664"/>
      <c r="V216" s="774"/>
      <c r="W216" s="661"/>
      <c r="X216" s="757"/>
      <c r="Y216" s="661"/>
      <c r="Z216" s="661"/>
    </row>
    <row r="217" ht="57.75" hidden="1" customHeight="1" outlineLevel="1">
      <c r="A217" s="661"/>
      <c r="B217" s="729"/>
      <c r="C217" s="730"/>
      <c r="D217" s="730"/>
      <c r="E217" s="730"/>
      <c r="F217" s="730"/>
      <c r="G217" s="731"/>
      <c r="H217" s="730"/>
      <c r="I217" s="730"/>
      <c r="J217" s="730"/>
      <c r="K217" s="730"/>
      <c r="L217" s="773"/>
      <c r="M217" s="769"/>
      <c r="N217" s="730"/>
      <c r="O217" s="733"/>
      <c r="Q217" s="728"/>
      <c r="R217" s="661"/>
      <c r="S217" s="228" t="str">
        <f t="array" ref="S217">IFERROR(INDEX('💻シート作成'!$D$6:$D1001, MATCH(T217, '💻シート作成'!$E$6:$E1001, 0)), "")</f>
        <v/>
      </c>
      <c r="T217" s="184"/>
      <c r="U217" s="664"/>
      <c r="V217" s="774"/>
      <c r="W217" s="661"/>
      <c r="X217" s="757"/>
      <c r="Y217" s="661"/>
      <c r="Z217" s="661"/>
    </row>
    <row r="218" ht="57.75" hidden="1" customHeight="1" outlineLevel="1">
      <c r="A218" s="661"/>
      <c r="B218" s="729"/>
      <c r="C218" s="730"/>
      <c r="D218" s="730"/>
      <c r="E218" s="730"/>
      <c r="F218" s="730"/>
      <c r="G218" s="731"/>
      <c r="H218" s="730"/>
      <c r="I218" s="730"/>
      <c r="J218" s="730"/>
      <c r="K218" s="730"/>
      <c r="L218" s="773"/>
      <c r="M218" s="769"/>
      <c r="N218" s="730"/>
      <c r="O218" s="733"/>
      <c r="Q218" s="728"/>
      <c r="R218" s="661"/>
      <c r="S218" s="228" t="str">
        <f t="array" ref="S218">IFERROR(INDEX('💻シート作成'!$D$6:$D1001, MATCH(T218, '💻シート作成'!$E$6:$E1001, 0)), "")</f>
        <v/>
      </c>
      <c r="T218" s="184"/>
      <c r="U218" s="664"/>
      <c r="V218" s="774"/>
      <c r="W218" s="661"/>
      <c r="X218" s="757"/>
      <c r="Y218" s="661"/>
      <c r="Z218" s="661"/>
    </row>
    <row r="219" ht="57.75" hidden="1" customHeight="1" outlineLevel="1">
      <c r="A219" s="661"/>
      <c r="B219" s="729"/>
      <c r="C219" s="730"/>
      <c r="D219" s="730"/>
      <c r="E219" s="730"/>
      <c r="F219" s="697"/>
      <c r="G219" s="698"/>
      <c r="H219" s="697"/>
      <c r="I219" s="697"/>
      <c r="J219" s="697"/>
      <c r="K219" s="697"/>
      <c r="L219" s="773"/>
      <c r="M219" s="769"/>
      <c r="N219" s="697"/>
      <c r="O219" s="700"/>
      <c r="P219" s="701"/>
      <c r="Q219" s="737"/>
      <c r="R219" s="661"/>
      <c r="S219" s="228" t="str">
        <f t="array" ref="S219">IFERROR(INDEX('💻シート作成'!$D$6:$D1001, MATCH(T219, '💻シート作成'!$E$6:$E1001, 0)), "")</f>
        <v/>
      </c>
      <c r="T219" s="184"/>
      <c r="U219" s="664"/>
      <c r="V219" s="774"/>
      <c r="W219" s="661"/>
      <c r="X219" s="757"/>
      <c r="Y219" s="661"/>
      <c r="Z219" s="661"/>
    </row>
    <row r="220" ht="18.0" hidden="1" customHeight="1" outlineLevel="1">
      <c r="A220" s="661"/>
      <c r="B220" s="738"/>
      <c r="C220" s="697"/>
      <c r="D220" s="697"/>
      <c r="E220" s="697"/>
      <c r="F220" s="739" t="s">
        <v>517</v>
      </c>
      <c r="G220" s="740" t="s">
        <v>658</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4"/>
      <c r="W220" s="661"/>
      <c r="X220" s="757"/>
      <c r="Y220" s="661"/>
      <c r="Z220" s="661"/>
    </row>
    <row r="221" ht="18.0" hidden="1" customHeight="1" outlineLevel="1">
      <c r="A221" s="661"/>
      <c r="B221" s="743"/>
      <c r="C221" s="744">
        <f>IF(C210="","",IF(DAY(C210+1)=1,"",C210+1))</f>
        <v>46101</v>
      </c>
      <c r="D221" s="745" t="str">
        <f>TEXT(C221,"ddd")</f>
        <v>金</v>
      </c>
      <c r="E221" s="746"/>
      <c r="F221" s="775" t="s">
        <v>132</v>
      </c>
      <c r="G221" s="776" t="s">
        <v>659</v>
      </c>
      <c r="H221" s="777"/>
      <c r="I221" s="778">
        <v>0.7083333333333334</v>
      </c>
      <c r="J221" s="777">
        <v>8.0</v>
      </c>
      <c r="K221" s="777">
        <v>1.0</v>
      </c>
      <c r="L221" s="755"/>
      <c r="M221" s="755"/>
      <c r="N221" s="775"/>
      <c r="O221" s="779"/>
      <c r="P221" s="771"/>
      <c r="Q221" s="772"/>
      <c r="R221" s="661"/>
      <c r="S221" s="228" t="str">
        <f t="array" ref="S221">IFERROR(INDEX('💻シート作成'!$D$6:$D1001, MATCH(T221, '💻シート作成'!$E$6:$E1001, 0)), "")</f>
        <v/>
      </c>
      <c r="T221" s="184"/>
      <c r="U221" s="664"/>
      <c r="V221" s="774"/>
      <c r="W221" s="661"/>
      <c r="X221" s="757"/>
      <c r="Y221" s="661"/>
      <c r="Z221" s="661"/>
    </row>
    <row r="222" ht="18.0" hidden="1" customHeight="1" outlineLevel="1">
      <c r="A222" s="661"/>
      <c r="B222" s="729"/>
      <c r="C222" s="730"/>
      <c r="D222" s="730"/>
      <c r="E222" s="730"/>
      <c r="F222" s="730"/>
      <c r="G222" s="731"/>
      <c r="H222" s="730"/>
      <c r="I222" s="730"/>
      <c r="J222" s="730"/>
      <c r="K222" s="730"/>
      <c r="L222" s="755"/>
      <c r="M222" s="755"/>
      <c r="N222" s="730"/>
      <c r="O222" s="733"/>
      <c r="Q222" s="728"/>
      <c r="R222" s="661"/>
      <c r="S222" s="228" t="str">
        <f t="array" ref="S222">IFERROR(INDEX('💻シート作成'!$D$6:$D1001, MATCH(T222, '💻シート作成'!$E$6:$E1001, 0)), "")</f>
        <v/>
      </c>
      <c r="T222" s="184"/>
      <c r="U222" s="664"/>
      <c r="V222" s="774"/>
      <c r="W222" s="661"/>
      <c r="X222" s="757"/>
      <c r="Y222" s="661"/>
      <c r="Z222" s="661"/>
    </row>
    <row r="223" ht="18.0" hidden="1" customHeight="1" outlineLevel="1">
      <c r="A223" s="661"/>
      <c r="B223" s="729"/>
      <c r="C223" s="730"/>
      <c r="D223" s="730"/>
      <c r="E223" s="730"/>
      <c r="F223" s="730"/>
      <c r="G223" s="731"/>
      <c r="H223" s="730"/>
      <c r="I223" s="730"/>
      <c r="J223" s="730"/>
      <c r="K223" s="730"/>
      <c r="L223" s="755"/>
      <c r="M223" s="755"/>
      <c r="N223" s="730"/>
      <c r="O223" s="733"/>
      <c r="Q223" s="728"/>
      <c r="R223" s="661"/>
      <c r="S223" s="228" t="str">
        <f t="array" ref="S223">IFERROR(INDEX('💻シート作成'!$D$6:$D1001, MATCH(T223, '💻シート作成'!$E$6:$E1001, 0)), "")</f>
        <v/>
      </c>
      <c r="T223" s="184"/>
      <c r="U223" s="664"/>
      <c r="V223" s="774"/>
      <c r="W223" s="661"/>
      <c r="X223" s="757"/>
      <c r="Y223" s="661"/>
      <c r="Z223" s="661"/>
    </row>
    <row r="224" ht="18.0" hidden="1" customHeight="1" outlineLevel="1">
      <c r="A224" s="661"/>
      <c r="B224" s="729"/>
      <c r="C224" s="730"/>
      <c r="D224" s="730"/>
      <c r="E224" s="730"/>
      <c r="F224" s="730"/>
      <c r="G224" s="731"/>
      <c r="H224" s="730"/>
      <c r="I224" s="730"/>
      <c r="J224" s="730"/>
      <c r="K224" s="730"/>
      <c r="L224" s="756"/>
      <c r="M224" s="755"/>
      <c r="N224" s="730"/>
      <c r="O224" s="733"/>
      <c r="Q224" s="728"/>
      <c r="R224" s="661"/>
      <c r="S224" s="228" t="str">
        <f t="array" ref="S224">IFERROR(INDEX('💻シート作成'!$D$6:$D1001, MATCH(T224, '💻シート作成'!$E$6:$E1001, 0)), "")</f>
        <v/>
      </c>
      <c r="T224" s="184"/>
      <c r="U224" s="664"/>
      <c r="V224" s="774"/>
      <c r="W224" s="661"/>
      <c r="X224" s="757"/>
      <c r="Y224" s="661"/>
      <c r="Z224" s="661"/>
    </row>
    <row r="225" ht="18.0" hidden="1" customHeight="1" outlineLevel="1">
      <c r="A225" s="661"/>
      <c r="B225" s="729"/>
      <c r="C225" s="730"/>
      <c r="D225" s="730"/>
      <c r="E225" s="730"/>
      <c r="F225" s="730"/>
      <c r="G225" s="731"/>
      <c r="H225" s="730"/>
      <c r="I225" s="730"/>
      <c r="J225" s="730"/>
      <c r="K225" s="730"/>
      <c r="L225" s="756"/>
      <c r="M225" s="755"/>
      <c r="N225" s="730"/>
      <c r="O225" s="733"/>
      <c r="Q225" s="728"/>
      <c r="R225" s="661"/>
      <c r="S225" s="228" t="str">
        <f t="array" ref="S225">IFERROR(INDEX('💻シート作成'!$D$6:$D1001, MATCH(T225, '💻シート作成'!$E$6:$E1001, 0)), "")</f>
        <v/>
      </c>
      <c r="T225" s="184"/>
      <c r="U225" s="664"/>
      <c r="V225" s="774"/>
      <c r="W225" s="661"/>
      <c r="X225" s="757"/>
      <c r="Y225" s="661"/>
      <c r="Z225" s="661"/>
    </row>
    <row r="226" ht="18.0" hidden="1" customHeight="1" outlineLevel="1">
      <c r="A226" s="661"/>
      <c r="B226" s="729"/>
      <c r="C226" s="730"/>
      <c r="D226" s="730"/>
      <c r="E226" s="730"/>
      <c r="F226" s="730"/>
      <c r="G226" s="731"/>
      <c r="H226" s="730"/>
      <c r="I226" s="730"/>
      <c r="J226" s="730"/>
      <c r="K226" s="730"/>
      <c r="L226" s="756"/>
      <c r="M226" s="755"/>
      <c r="N226" s="730"/>
      <c r="O226" s="733"/>
      <c r="Q226" s="728"/>
      <c r="R226" s="661"/>
      <c r="S226" s="228" t="str">
        <f t="array" ref="S226">IFERROR(INDEX('💻シート作成'!$D$6:$D1001, MATCH(T226, '💻シート作成'!$E$6:$E1001, 0)), "")</f>
        <v/>
      </c>
      <c r="T226" s="184"/>
      <c r="U226" s="664"/>
      <c r="V226" s="774"/>
      <c r="W226" s="661"/>
      <c r="X226" s="757"/>
      <c r="Y226" s="661"/>
      <c r="Z226" s="661"/>
    </row>
    <row r="227" ht="18.0" hidden="1" customHeight="1" outlineLevel="1">
      <c r="A227" s="661"/>
      <c r="B227" s="729"/>
      <c r="C227" s="730"/>
      <c r="D227" s="730"/>
      <c r="E227" s="730"/>
      <c r="F227" s="730"/>
      <c r="G227" s="731"/>
      <c r="H227" s="730"/>
      <c r="I227" s="730"/>
      <c r="J227" s="730"/>
      <c r="K227" s="730"/>
      <c r="L227" s="756"/>
      <c r="M227" s="755"/>
      <c r="N227" s="730"/>
      <c r="O227" s="733"/>
      <c r="Q227" s="728"/>
      <c r="R227" s="661"/>
      <c r="S227" s="228" t="str">
        <f t="array" ref="S227">IFERROR(INDEX('💻シート作成'!$D$6:$D1001, MATCH(T227, '💻シート作成'!$E$6:$E1001, 0)), "")</f>
        <v/>
      </c>
      <c r="T227" s="184"/>
      <c r="U227" s="664"/>
      <c r="V227" s="774"/>
      <c r="W227" s="661"/>
      <c r="X227" s="757"/>
      <c r="Y227" s="661"/>
      <c r="Z227" s="661"/>
    </row>
    <row r="228" ht="18.0" hidden="1" customHeight="1" outlineLevel="1">
      <c r="A228" s="661"/>
      <c r="B228" s="729"/>
      <c r="C228" s="730"/>
      <c r="D228" s="730"/>
      <c r="E228" s="730"/>
      <c r="F228" s="730"/>
      <c r="G228" s="731"/>
      <c r="H228" s="730"/>
      <c r="I228" s="730"/>
      <c r="J228" s="730"/>
      <c r="K228" s="730"/>
      <c r="L228" s="756"/>
      <c r="M228" s="755"/>
      <c r="N228" s="730"/>
      <c r="O228" s="733"/>
      <c r="Q228" s="728"/>
      <c r="R228" s="661"/>
      <c r="S228" s="228" t="str">
        <f t="array" ref="S228">IFERROR(INDEX('💻シート作成'!$D$6:$D1001, MATCH(T228, '💻シート作成'!$E$6:$E1001, 0)), "")</f>
        <v/>
      </c>
      <c r="T228" s="184"/>
      <c r="U228" s="664"/>
      <c r="V228" s="774"/>
      <c r="W228" s="661"/>
      <c r="X228" s="757"/>
      <c r="Y228" s="661"/>
      <c r="Z228" s="661"/>
    </row>
    <row r="229" ht="18.0" hidden="1" customHeight="1" outlineLevel="1">
      <c r="A229" s="661"/>
      <c r="B229" s="729"/>
      <c r="C229" s="730"/>
      <c r="D229" s="730"/>
      <c r="E229" s="730"/>
      <c r="F229" s="730"/>
      <c r="G229" s="731"/>
      <c r="H229" s="730"/>
      <c r="I229" s="730"/>
      <c r="J229" s="730"/>
      <c r="K229" s="730"/>
      <c r="L229" s="756"/>
      <c r="M229" s="755"/>
      <c r="N229" s="730"/>
      <c r="O229" s="733"/>
      <c r="Q229" s="728"/>
      <c r="R229" s="661"/>
      <c r="S229" s="228" t="str">
        <f t="array" ref="S229">IFERROR(INDEX('💻シート作成'!$D$6:$D1001, MATCH(T229, '💻シート作成'!$E$6:$E1001, 0)), "")</f>
        <v/>
      </c>
      <c r="T229" s="184"/>
      <c r="U229" s="664"/>
      <c r="V229" s="774"/>
      <c r="W229" s="661"/>
      <c r="X229" s="757"/>
      <c r="Y229" s="661"/>
      <c r="Z229" s="661"/>
    </row>
    <row r="230" ht="18.0" hidden="1" customHeight="1" outlineLevel="1">
      <c r="A230" s="661"/>
      <c r="B230" s="729"/>
      <c r="C230" s="730"/>
      <c r="D230" s="730"/>
      <c r="E230" s="730"/>
      <c r="F230" s="697"/>
      <c r="G230" s="698"/>
      <c r="H230" s="697"/>
      <c r="I230" s="697"/>
      <c r="J230" s="697"/>
      <c r="K230" s="697"/>
      <c r="L230" s="756"/>
      <c r="M230" s="755"/>
      <c r="N230" s="697"/>
      <c r="O230" s="700"/>
      <c r="P230" s="701"/>
      <c r="Q230" s="737"/>
      <c r="R230" s="661"/>
      <c r="S230" s="228" t="str">
        <f t="array" ref="S230">IFERROR(INDEX('💻シート作成'!$D$6:$D1001, MATCH(T230, '💻シート作成'!$E$6:$E1001, 0)), "")</f>
        <v/>
      </c>
      <c r="T230" s="184"/>
      <c r="U230" s="664"/>
      <c r="V230" s="774"/>
      <c r="W230" s="661"/>
      <c r="X230" s="757"/>
      <c r="Y230" s="661"/>
      <c r="Z230" s="661"/>
    </row>
    <row r="231" ht="18.0" hidden="1" customHeight="1" outlineLevel="1">
      <c r="A231" s="661"/>
      <c r="B231" s="738"/>
      <c r="C231" s="697"/>
      <c r="D231" s="697"/>
      <c r="E231" s="697"/>
      <c r="F231" s="758" t="s">
        <v>517</v>
      </c>
      <c r="G231" s="759" t="s">
        <v>660</v>
      </c>
      <c r="H231" s="741"/>
      <c r="I231" s="741"/>
      <c r="J231" s="741"/>
      <c r="K231" s="741"/>
      <c r="L231" s="759"/>
      <c r="M231" s="759"/>
      <c r="N231" s="759"/>
      <c r="O231" s="759"/>
      <c r="P231" s="759"/>
      <c r="Q231" s="760"/>
      <c r="R231" s="661"/>
      <c r="S231" s="228" t="str">
        <f t="array" ref="S231">IFERROR(INDEX('💻シート作成'!$D$6:$D1001, MATCH(T231, '💻シート作成'!$E$6:$E1001, 0)), "")</f>
        <v/>
      </c>
      <c r="T231" s="184"/>
      <c r="U231" s="664"/>
      <c r="V231" s="774"/>
      <c r="W231" s="661"/>
      <c r="X231" s="757"/>
      <c r="Y231" s="661"/>
      <c r="Z231" s="661"/>
    </row>
    <row r="232" collapsed="1">
      <c r="A232" s="661"/>
      <c r="B232" s="780" t="s">
        <v>525</v>
      </c>
      <c r="C232" s="781"/>
      <c r="D232" s="781"/>
      <c r="E232" s="781"/>
      <c r="F232" s="782"/>
      <c r="G232" s="783"/>
      <c r="H232" s="784"/>
      <c r="I232" s="784"/>
      <c r="J232" s="785"/>
      <c r="K232" s="785"/>
      <c r="L232" s="783"/>
      <c r="M232" s="783"/>
      <c r="N232" s="786"/>
      <c r="O232" s="787"/>
      <c r="P232" s="787"/>
      <c r="Q232" s="788"/>
      <c r="R232" s="661"/>
      <c r="S232" s="228" t="str">
        <f t="array" ref="S232">IFERROR(INDEX('💻シート作成'!$D$6:$D1001, MATCH(T232, '💻シート作成'!$E$6:$E1001, 0)), "")</f>
        <v/>
      </c>
      <c r="T232" s="184"/>
      <c r="U232" s="664"/>
      <c r="V232" s="774"/>
      <c r="W232" s="661"/>
      <c r="X232" s="757"/>
      <c r="Y232" s="661"/>
      <c r="Z232" s="661"/>
    </row>
    <row r="233" ht="30.75" hidden="1" customHeight="1" outlineLevel="1">
      <c r="A233" s="661"/>
      <c r="B233" s="761"/>
      <c r="C233" s="762">
        <f>IF(C221="","",IF(DAY(C221+1)=1,"",C221+1))</f>
        <v>46102</v>
      </c>
      <c r="D233" s="763" t="str">
        <f>TEXT(C233,"ddd")</f>
        <v>土</v>
      </c>
      <c r="E233" s="764"/>
      <c r="F233" s="765" t="s">
        <v>132</v>
      </c>
      <c r="G233" s="766" t="s">
        <v>661</v>
      </c>
      <c r="H233" s="767">
        <v>1.0</v>
      </c>
      <c r="I233" s="768">
        <v>0.625</v>
      </c>
      <c r="J233" s="767">
        <v>9.0</v>
      </c>
      <c r="K233" s="767">
        <v>2.0</v>
      </c>
      <c r="L233" s="769"/>
      <c r="M233" s="769"/>
      <c r="N233" s="765"/>
      <c r="O233" s="770"/>
      <c r="P233" s="771"/>
      <c r="Q233" s="772"/>
      <c r="R233" s="661"/>
      <c r="S233" s="228" t="str">
        <f t="array" ref="S233">IFERROR(INDEX('💻シート作成'!$D$6:$D1001, MATCH(T233, '💻シート作成'!$E$6:$E1001, 0)), "")</f>
        <v/>
      </c>
      <c r="T233" s="184"/>
      <c r="U233" s="664"/>
      <c r="V233" s="774"/>
      <c r="W233" s="661"/>
      <c r="X233" s="757"/>
      <c r="Y233" s="661"/>
      <c r="Z233" s="661"/>
    </row>
    <row r="234" ht="30.75" hidden="1" customHeight="1" outlineLevel="1">
      <c r="A234" s="661"/>
      <c r="B234" s="729"/>
      <c r="C234" s="730"/>
      <c r="D234" s="730"/>
      <c r="E234" s="730"/>
      <c r="F234" s="730"/>
      <c r="G234" s="731"/>
      <c r="H234" s="730"/>
      <c r="I234" s="730"/>
      <c r="J234" s="730"/>
      <c r="K234" s="730"/>
      <c r="L234" s="769"/>
      <c r="M234" s="769"/>
      <c r="N234" s="730"/>
      <c r="O234" s="733"/>
      <c r="Q234" s="728"/>
      <c r="R234" s="661"/>
      <c r="S234" s="228" t="str">
        <f t="array" ref="S234">IFERROR(INDEX('💻シート作成'!$D$6:$D1001, MATCH(T234, '💻シート作成'!$E$6:$E1001, 0)), "")</f>
        <v/>
      </c>
      <c r="T234" s="184"/>
      <c r="U234" s="664"/>
      <c r="V234" s="774"/>
      <c r="W234" s="661"/>
      <c r="X234" s="757"/>
      <c r="Y234" s="661"/>
      <c r="Z234" s="661"/>
    </row>
    <row r="235" ht="30.75" hidden="1" customHeight="1" outlineLevel="1">
      <c r="A235" s="661"/>
      <c r="B235" s="729"/>
      <c r="C235" s="730"/>
      <c r="D235" s="730"/>
      <c r="E235" s="730"/>
      <c r="F235" s="730"/>
      <c r="G235" s="731"/>
      <c r="H235" s="730"/>
      <c r="I235" s="730"/>
      <c r="J235" s="730"/>
      <c r="K235" s="730"/>
      <c r="L235" s="769"/>
      <c r="M235" s="769"/>
      <c r="N235" s="730"/>
      <c r="O235" s="733"/>
      <c r="Q235" s="728"/>
      <c r="R235" s="661"/>
      <c r="S235" s="228" t="str">
        <f t="array" ref="S235">IFERROR(INDEX('💻シート作成'!$D$6:$D1001, MATCH(T235, '💻シート作成'!$E$6:$E1001, 0)), "")</f>
        <v/>
      </c>
      <c r="T235" s="184"/>
      <c r="U235" s="664"/>
      <c r="V235" s="774"/>
      <c r="W235" s="661"/>
      <c r="X235" s="757"/>
      <c r="Y235" s="661"/>
      <c r="Z235" s="661"/>
    </row>
    <row r="236" ht="30.75" hidden="1" customHeight="1" outlineLevel="1">
      <c r="A236" s="661"/>
      <c r="B236" s="729"/>
      <c r="C236" s="730"/>
      <c r="D236" s="730"/>
      <c r="E236" s="730"/>
      <c r="F236" s="730"/>
      <c r="G236" s="731"/>
      <c r="H236" s="730"/>
      <c r="I236" s="730"/>
      <c r="J236" s="730"/>
      <c r="K236" s="730"/>
      <c r="L236" s="773"/>
      <c r="M236" s="769"/>
      <c r="N236" s="730"/>
      <c r="O236" s="733"/>
      <c r="Q236" s="728"/>
      <c r="R236" s="661"/>
      <c r="S236" s="228" t="str">
        <f t="array" ref="S236">IFERROR(INDEX('💻シート作成'!$D$6:$D1001, MATCH(T236, '💻シート作成'!$E$6:$E1001, 0)), "")</f>
        <v/>
      </c>
      <c r="T236" s="184"/>
      <c r="U236" s="664"/>
      <c r="V236" s="774"/>
      <c r="W236" s="661"/>
      <c r="X236" s="757"/>
      <c r="Y236" s="661"/>
      <c r="Z236" s="661"/>
    </row>
    <row r="237" ht="30.75" hidden="1" customHeight="1" outlineLevel="1">
      <c r="A237" s="661"/>
      <c r="B237" s="729"/>
      <c r="C237" s="730"/>
      <c r="D237" s="730"/>
      <c r="E237" s="730"/>
      <c r="F237" s="730"/>
      <c r="G237" s="731"/>
      <c r="H237" s="730"/>
      <c r="I237" s="730"/>
      <c r="J237" s="730"/>
      <c r="K237" s="730"/>
      <c r="L237" s="773"/>
      <c r="M237" s="769"/>
      <c r="N237" s="730"/>
      <c r="O237" s="733"/>
      <c r="Q237" s="728"/>
      <c r="R237" s="661"/>
      <c r="S237" s="228" t="str">
        <f t="array" ref="S237">IFERROR(INDEX('💻シート作成'!$D$6:$D1001, MATCH(T237, '💻シート作成'!$E$6:$E1001, 0)), "")</f>
        <v/>
      </c>
      <c r="T237" s="184"/>
      <c r="U237" s="664"/>
      <c r="V237" s="774"/>
      <c r="W237" s="661"/>
      <c r="X237" s="757"/>
      <c r="Y237" s="661"/>
      <c r="Z237" s="661"/>
    </row>
    <row r="238" ht="30.75" hidden="1" customHeight="1" outlineLevel="1">
      <c r="A238" s="661"/>
      <c r="B238" s="729"/>
      <c r="C238" s="730"/>
      <c r="D238" s="730"/>
      <c r="E238" s="730"/>
      <c r="F238" s="730"/>
      <c r="G238" s="731"/>
      <c r="H238" s="730"/>
      <c r="I238" s="730"/>
      <c r="J238" s="730"/>
      <c r="K238" s="730"/>
      <c r="L238" s="773"/>
      <c r="M238" s="769"/>
      <c r="N238" s="730"/>
      <c r="O238" s="733"/>
      <c r="Q238" s="728"/>
      <c r="R238" s="661"/>
      <c r="S238" s="228" t="str">
        <f t="array" ref="S238">IFERROR(INDEX('💻シート作成'!$D$6:$D1001, MATCH(T238, '💻シート作成'!$E$6:$E1001, 0)), "")</f>
        <v/>
      </c>
      <c r="T238" s="184"/>
      <c r="U238" s="664"/>
      <c r="V238" s="774"/>
      <c r="W238" s="661"/>
      <c r="X238" s="757"/>
      <c r="Y238" s="661"/>
      <c r="Z238" s="661"/>
    </row>
    <row r="239" ht="30.75" hidden="1" customHeight="1" outlineLevel="1">
      <c r="A239" s="661"/>
      <c r="B239" s="729"/>
      <c r="C239" s="730"/>
      <c r="D239" s="730"/>
      <c r="E239" s="730"/>
      <c r="F239" s="730"/>
      <c r="G239" s="731"/>
      <c r="H239" s="730"/>
      <c r="I239" s="730"/>
      <c r="J239" s="730"/>
      <c r="K239" s="730"/>
      <c r="L239" s="773"/>
      <c r="M239" s="769"/>
      <c r="N239" s="730"/>
      <c r="O239" s="733"/>
      <c r="Q239" s="728"/>
      <c r="R239" s="661"/>
      <c r="S239" s="228" t="str">
        <f t="array" ref="S239">IFERROR(INDEX('💻シート作成'!$D$6:$D1001, MATCH(T239, '💻シート作成'!$E$6:$E1001, 0)), "")</f>
        <v/>
      </c>
      <c r="T239" s="184"/>
      <c r="U239" s="664"/>
      <c r="V239" s="774"/>
      <c r="W239" s="661"/>
      <c r="X239" s="757"/>
      <c r="Y239" s="661"/>
      <c r="Z239" s="661"/>
    </row>
    <row r="240" ht="30.75" hidden="1" customHeight="1" outlineLevel="1">
      <c r="A240" s="661"/>
      <c r="B240" s="729"/>
      <c r="C240" s="730"/>
      <c r="D240" s="730"/>
      <c r="E240" s="730"/>
      <c r="F240" s="730"/>
      <c r="G240" s="731"/>
      <c r="H240" s="730"/>
      <c r="I240" s="730"/>
      <c r="J240" s="730"/>
      <c r="K240" s="730"/>
      <c r="L240" s="773"/>
      <c r="M240" s="769"/>
      <c r="N240" s="730"/>
      <c r="O240" s="733"/>
      <c r="Q240" s="728"/>
      <c r="R240" s="661"/>
      <c r="S240" s="228" t="str">
        <f t="array" ref="S240">IFERROR(INDEX('💻シート作成'!$D$6:$D1001, MATCH(T240, '💻シート作成'!$E$6:$E1001, 0)), "")</f>
        <v/>
      </c>
      <c r="T240" s="184"/>
      <c r="U240" s="664"/>
      <c r="V240" s="774"/>
      <c r="W240" s="661"/>
      <c r="X240" s="757"/>
      <c r="Y240" s="661"/>
      <c r="Z240" s="661"/>
    </row>
    <row r="241" ht="30.75" hidden="1" customHeight="1" outlineLevel="1">
      <c r="A241" s="661"/>
      <c r="B241" s="729"/>
      <c r="C241" s="730"/>
      <c r="D241" s="730"/>
      <c r="E241" s="730"/>
      <c r="F241" s="730"/>
      <c r="G241" s="731"/>
      <c r="H241" s="730"/>
      <c r="I241" s="730"/>
      <c r="J241" s="730"/>
      <c r="K241" s="730"/>
      <c r="L241" s="773"/>
      <c r="M241" s="769"/>
      <c r="N241" s="730"/>
      <c r="O241" s="733"/>
      <c r="Q241" s="728"/>
      <c r="R241" s="661"/>
      <c r="S241" s="228" t="str">
        <f t="array" ref="S241">IFERROR(INDEX('💻シート作成'!$D$6:$D1001, MATCH(T241, '💻シート作成'!$E$6:$E1001, 0)), "")</f>
        <v/>
      </c>
      <c r="T241" s="184"/>
      <c r="U241" s="664"/>
      <c r="V241" s="774"/>
      <c r="W241" s="661"/>
      <c r="X241" s="757"/>
      <c r="Y241" s="661"/>
      <c r="Z241" s="661"/>
    </row>
    <row r="242" ht="30.75" hidden="1" customHeight="1" outlineLevel="1">
      <c r="A242" s="661"/>
      <c r="B242" s="729"/>
      <c r="C242" s="730"/>
      <c r="D242" s="730"/>
      <c r="E242" s="730"/>
      <c r="F242" s="697"/>
      <c r="G242" s="698"/>
      <c r="H242" s="697"/>
      <c r="I242" s="697"/>
      <c r="J242" s="697"/>
      <c r="K242" s="697"/>
      <c r="L242" s="773"/>
      <c r="M242" s="769"/>
      <c r="N242" s="697"/>
      <c r="O242" s="700"/>
      <c r="P242" s="701"/>
      <c r="Q242" s="737"/>
      <c r="R242" s="661"/>
      <c r="S242" s="228" t="str">
        <f t="array" ref="S242">IFERROR(INDEX('💻シート作成'!$D$6:$D1001, MATCH(T242, '💻シート作成'!$E$6:$E1001, 0)), "")</f>
        <v/>
      </c>
      <c r="T242" s="184"/>
      <c r="U242" s="664"/>
      <c r="V242" s="774"/>
      <c r="W242" s="661"/>
      <c r="X242" s="757"/>
      <c r="Y242" s="661"/>
      <c r="Z242" s="661"/>
    </row>
    <row r="243" ht="18.0" hidden="1" customHeight="1" outlineLevel="1">
      <c r="A243" s="661"/>
      <c r="B243" s="738"/>
      <c r="C243" s="697"/>
      <c r="D243" s="697"/>
      <c r="E243" s="697"/>
      <c r="F243" s="739" t="s">
        <v>517</v>
      </c>
      <c r="G243" s="740" t="s">
        <v>662</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4"/>
      <c r="W243" s="661"/>
      <c r="X243" s="757"/>
      <c r="Y243" s="661"/>
      <c r="Z243" s="661"/>
    </row>
    <row r="244" ht="27.75" hidden="1" customHeight="1" outlineLevel="1">
      <c r="A244" s="661"/>
      <c r="B244" s="743"/>
      <c r="C244" s="744">
        <f>IF(C233="","",IF(DAY(C233+1)=1,"",C233+1))</f>
        <v>46103</v>
      </c>
      <c r="D244" s="745" t="str">
        <f>TEXT(C244,"ddd")</f>
        <v>日</v>
      </c>
      <c r="E244" s="746"/>
      <c r="F244" s="775" t="s">
        <v>132</v>
      </c>
      <c r="G244" s="776" t="s">
        <v>663</v>
      </c>
      <c r="H244" s="777"/>
      <c r="I244" s="778">
        <v>0.6666666666666666</v>
      </c>
      <c r="J244" s="777">
        <v>8.0</v>
      </c>
      <c r="K244" s="777">
        <v>1.0</v>
      </c>
      <c r="L244" s="755"/>
      <c r="M244" s="755"/>
      <c r="N244" s="775"/>
      <c r="O244" s="779"/>
      <c r="P244" s="771"/>
      <c r="Q244" s="772"/>
      <c r="R244" s="661"/>
      <c r="S244" s="228" t="str">
        <f t="array" ref="S244">IFERROR(INDEX('💻シート作成'!$D$6:$D1001, MATCH(T244, '💻シート作成'!$E$6:$E1001, 0)), "")</f>
        <v/>
      </c>
      <c r="T244" s="184"/>
      <c r="U244" s="664"/>
      <c r="V244" s="774"/>
      <c r="W244" s="661"/>
      <c r="X244" s="757"/>
      <c r="Y244" s="661"/>
      <c r="Z244" s="661"/>
    </row>
    <row r="245" ht="27.75" hidden="1" customHeight="1" outlineLevel="1">
      <c r="A245" s="661"/>
      <c r="B245" s="729"/>
      <c r="C245" s="730"/>
      <c r="D245" s="730"/>
      <c r="E245" s="730"/>
      <c r="F245" s="730"/>
      <c r="G245" s="731"/>
      <c r="H245" s="730"/>
      <c r="I245" s="730"/>
      <c r="J245" s="730"/>
      <c r="K245" s="730"/>
      <c r="L245" s="755"/>
      <c r="M245" s="755"/>
      <c r="N245" s="730"/>
      <c r="O245" s="733"/>
      <c r="Q245" s="728"/>
      <c r="R245" s="661"/>
      <c r="S245" s="228" t="str">
        <f t="array" ref="S245">IFERROR(INDEX('💻シート作成'!$D$6:$D1001, MATCH(T245, '💻シート作成'!$E$6:$E1001, 0)), "")</f>
        <v/>
      </c>
      <c r="T245" s="184"/>
      <c r="U245" s="664"/>
      <c r="V245" s="774"/>
      <c r="W245" s="661"/>
      <c r="X245" s="757"/>
      <c r="Y245" s="661"/>
      <c r="Z245" s="661"/>
    </row>
    <row r="246" ht="27.75" hidden="1" customHeight="1" outlineLevel="1">
      <c r="A246" s="661"/>
      <c r="B246" s="729"/>
      <c r="C246" s="730"/>
      <c r="D246" s="730"/>
      <c r="E246" s="730"/>
      <c r="F246" s="730"/>
      <c r="G246" s="731"/>
      <c r="H246" s="730"/>
      <c r="I246" s="730"/>
      <c r="J246" s="730"/>
      <c r="K246" s="730"/>
      <c r="L246" s="755"/>
      <c r="M246" s="755"/>
      <c r="N246" s="730"/>
      <c r="O246" s="733"/>
      <c r="Q246" s="728"/>
      <c r="R246" s="661"/>
      <c r="S246" s="228" t="str">
        <f t="array" ref="S246">IFERROR(INDEX('💻シート作成'!$D$6:$D1001, MATCH(T246, '💻シート作成'!$E$6:$E1001, 0)), "")</f>
        <v/>
      </c>
      <c r="T246" s="184"/>
      <c r="U246" s="664"/>
      <c r="V246" s="774"/>
      <c r="W246" s="661"/>
      <c r="X246" s="757"/>
      <c r="Y246" s="661"/>
      <c r="Z246" s="661"/>
    </row>
    <row r="247" ht="27.75" hidden="1" customHeight="1" outlineLevel="1">
      <c r="A247" s="661"/>
      <c r="B247" s="729"/>
      <c r="C247" s="730"/>
      <c r="D247" s="730"/>
      <c r="E247" s="730"/>
      <c r="F247" s="730"/>
      <c r="G247" s="731"/>
      <c r="H247" s="730"/>
      <c r="I247" s="730"/>
      <c r="J247" s="730"/>
      <c r="K247" s="730"/>
      <c r="L247" s="756"/>
      <c r="M247" s="755"/>
      <c r="N247" s="730"/>
      <c r="O247" s="733"/>
      <c r="Q247" s="728"/>
      <c r="R247" s="661"/>
      <c r="S247" s="228" t="str">
        <f t="array" ref="S247">IFERROR(INDEX('💻シート作成'!$D$6:$D1001, MATCH(T247, '💻シート作成'!$E$6:$E1001, 0)), "")</f>
        <v/>
      </c>
      <c r="T247" s="184"/>
      <c r="U247" s="664"/>
      <c r="V247" s="774"/>
      <c r="W247" s="661"/>
      <c r="X247" s="757"/>
      <c r="Y247" s="661"/>
      <c r="Z247" s="661"/>
    </row>
    <row r="248" ht="27.75" hidden="1" customHeight="1" outlineLevel="1">
      <c r="A248" s="661"/>
      <c r="B248" s="729"/>
      <c r="C248" s="730"/>
      <c r="D248" s="730"/>
      <c r="E248" s="730"/>
      <c r="F248" s="730"/>
      <c r="G248" s="731"/>
      <c r="H248" s="730"/>
      <c r="I248" s="730"/>
      <c r="J248" s="730"/>
      <c r="K248" s="730"/>
      <c r="L248" s="756"/>
      <c r="M248" s="755"/>
      <c r="N248" s="730"/>
      <c r="O248" s="733"/>
      <c r="Q248" s="728"/>
      <c r="R248" s="661"/>
      <c r="S248" s="228" t="str">
        <f t="array" ref="S248">IFERROR(INDEX('💻シート作成'!$D$6:$D1001, MATCH(T248, '💻シート作成'!$E$6:$E1001, 0)), "")</f>
        <v/>
      </c>
      <c r="T248" s="184"/>
      <c r="U248" s="664"/>
      <c r="V248" s="774"/>
      <c r="W248" s="661"/>
      <c r="X248" s="757"/>
      <c r="Y248" s="661"/>
      <c r="Z248" s="661"/>
    </row>
    <row r="249" ht="27.75" hidden="1" customHeight="1" outlineLevel="1">
      <c r="A249" s="661"/>
      <c r="B249" s="729"/>
      <c r="C249" s="730"/>
      <c r="D249" s="730"/>
      <c r="E249" s="730"/>
      <c r="F249" s="730"/>
      <c r="G249" s="731"/>
      <c r="H249" s="730"/>
      <c r="I249" s="730"/>
      <c r="J249" s="730"/>
      <c r="K249" s="730"/>
      <c r="L249" s="756"/>
      <c r="M249" s="755"/>
      <c r="N249" s="730"/>
      <c r="O249" s="733"/>
      <c r="Q249" s="728"/>
      <c r="R249" s="661"/>
      <c r="S249" s="228" t="str">
        <f t="array" ref="S249">IFERROR(INDEX('💻シート作成'!$D$6:$D1001, MATCH(T249, '💻シート作成'!$E$6:$E1001, 0)), "")</f>
        <v/>
      </c>
      <c r="T249" s="184"/>
      <c r="U249" s="664"/>
      <c r="V249" s="774"/>
      <c r="W249" s="661"/>
      <c r="X249" s="757"/>
      <c r="Y249" s="661"/>
      <c r="Z249" s="661"/>
    </row>
    <row r="250" ht="27.75" hidden="1" customHeight="1" outlineLevel="1">
      <c r="A250" s="661"/>
      <c r="B250" s="729"/>
      <c r="C250" s="730"/>
      <c r="D250" s="730"/>
      <c r="E250" s="730"/>
      <c r="F250" s="730"/>
      <c r="G250" s="731"/>
      <c r="H250" s="730"/>
      <c r="I250" s="730"/>
      <c r="J250" s="730"/>
      <c r="K250" s="730"/>
      <c r="L250" s="756"/>
      <c r="M250" s="755"/>
      <c r="N250" s="730"/>
      <c r="O250" s="733"/>
      <c r="Q250" s="728"/>
      <c r="R250" s="661"/>
      <c r="S250" s="228" t="str">
        <f t="array" ref="S250">IFERROR(INDEX('💻シート作成'!$D$6:$D1001, MATCH(T250, '💻シート作成'!$E$6:$E1001, 0)), "")</f>
        <v/>
      </c>
      <c r="T250" s="184"/>
      <c r="U250" s="664"/>
      <c r="V250" s="774"/>
      <c r="W250" s="661"/>
      <c r="X250" s="757"/>
      <c r="Y250" s="661"/>
      <c r="Z250" s="661"/>
    </row>
    <row r="251" ht="27.75" hidden="1" customHeight="1" outlineLevel="1">
      <c r="A251" s="661"/>
      <c r="B251" s="729"/>
      <c r="C251" s="730"/>
      <c r="D251" s="730"/>
      <c r="E251" s="730"/>
      <c r="F251" s="730"/>
      <c r="G251" s="731"/>
      <c r="H251" s="730"/>
      <c r="I251" s="730"/>
      <c r="J251" s="730"/>
      <c r="K251" s="730"/>
      <c r="L251" s="756"/>
      <c r="M251" s="755"/>
      <c r="N251" s="730"/>
      <c r="O251" s="733"/>
      <c r="Q251" s="728"/>
      <c r="R251" s="661"/>
      <c r="S251" s="228" t="str">
        <f t="array" ref="S251">IFERROR(INDEX('💻シート作成'!$D$6:$D1001, MATCH(T251, '💻シート作成'!$E$6:$E1001, 0)), "")</f>
        <v/>
      </c>
      <c r="T251" s="184"/>
      <c r="U251" s="664"/>
      <c r="V251" s="774"/>
      <c r="W251" s="661"/>
      <c r="X251" s="757"/>
      <c r="Y251" s="661"/>
      <c r="Z251" s="661"/>
    </row>
    <row r="252" ht="27.75" hidden="1" customHeight="1" outlineLevel="1">
      <c r="A252" s="661"/>
      <c r="B252" s="729"/>
      <c r="C252" s="730"/>
      <c r="D252" s="730"/>
      <c r="E252" s="730"/>
      <c r="F252" s="730"/>
      <c r="G252" s="731"/>
      <c r="H252" s="730"/>
      <c r="I252" s="730"/>
      <c r="J252" s="730"/>
      <c r="K252" s="730"/>
      <c r="L252" s="756"/>
      <c r="M252" s="755"/>
      <c r="N252" s="730"/>
      <c r="O252" s="733"/>
      <c r="Q252" s="728"/>
      <c r="R252" s="661"/>
      <c r="S252" s="228" t="str">
        <f t="array" ref="S252">IFERROR(INDEX('💻シート作成'!$D$6:$D1001, MATCH(T252, '💻シート作成'!$E$6:$E1001, 0)), "")</f>
        <v/>
      </c>
      <c r="T252" s="184"/>
      <c r="U252" s="664"/>
      <c r="V252" s="774"/>
      <c r="W252" s="661"/>
      <c r="X252" s="757"/>
      <c r="Y252" s="661"/>
      <c r="Z252" s="661"/>
    </row>
    <row r="253" ht="27.75" hidden="1" customHeight="1" outlineLevel="1">
      <c r="A253" s="661"/>
      <c r="B253" s="729"/>
      <c r="C253" s="730"/>
      <c r="D253" s="730"/>
      <c r="E253" s="730"/>
      <c r="F253" s="697"/>
      <c r="G253" s="698"/>
      <c r="H253" s="697"/>
      <c r="I253" s="697"/>
      <c r="J253" s="697"/>
      <c r="K253" s="697"/>
      <c r="L253" s="756"/>
      <c r="M253" s="755"/>
      <c r="N253" s="697"/>
      <c r="O253" s="700"/>
      <c r="P253" s="701"/>
      <c r="Q253" s="737"/>
      <c r="R253" s="661"/>
      <c r="S253" s="228" t="str">
        <f t="array" ref="S253">IFERROR(INDEX('💻シート作成'!$D$6:$D1001, MATCH(T253, '💻シート作成'!$E$6:$E1001, 0)), "")</f>
        <v/>
      </c>
      <c r="T253" s="184"/>
      <c r="U253" s="664"/>
      <c r="V253" s="774"/>
      <c r="W253" s="661"/>
      <c r="X253" s="757"/>
      <c r="Y253" s="661"/>
      <c r="Z253" s="661"/>
    </row>
    <row r="254" ht="18.0" hidden="1" customHeight="1" outlineLevel="1">
      <c r="A254" s="661"/>
      <c r="B254" s="738"/>
      <c r="C254" s="697"/>
      <c r="D254" s="697"/>
      <c r="E254" s="697"/>
      <c r="F254" s="758" t="s">
        <v>517</v>
      </c>
      <c r="G254" s="759" t="s">
        <v>664</v>
      </c>
      <c r="H254" s="741"/>
      <c r="I254" s="741"/>
      <c r="J254" s="741"/>
      <c r="K254" s="741"/>
      <c r="L254" s="759"/>
      <c r="M254" s="759"/>
      <c r="N254" s="759"/>
      <c r="O254" s="759"/>
      <c r="P254" s="759"/>
      <c r="Q254" s="760"/>
      <c r="R254" s="661"/>
      <c r="S254" s="228" t="str">
        <f t="array" ref="S254">IFERROR(INDEX('💻シート作成'!$D$6:$D1001, MATCH(T254, '💻シート作成'!$E$6:$E1001, 0)), "")</f>
        <v/>
      </c>
      <c r="T254" s="184"/>
      <c r="U254" s="664"/>
      <c r="V254" s="774"/>
      <c r="W254" s="661"/>
      <c r="X254" s="757"/>
      <c r="Y254" s="661"/>
      <c r="Z254" s="661"/>
    </row>
    <row r="255" ht="92.25" hidden="1" customHeight="1" outlineLevel="1">
      <c r="A255" s="661"/>
      <c r="B255" s="761"/>
      <c r="C255" s="762">
        <f>IF(C244="","",IF(DAY(C244+1)=1,"",C244+1))</f>
        <v>46104</v>
      </c>
      <c r="D255" s="763" t="str">
        <f>TEXT(C255,"ddd")</f>
        <v>月</v>
      </c>
      <c r="E255" s="764"/>
      <c r="F255" s="765" t="s">
        <v>132</v>
      </c>
      <c r="G255" s="766" t="s">
        <v>665</v>
      </c>
      <c r="H255" s="767"/>
      <c r="I255" s="768">
        <v>0.625</v>
      </c>
      <c r="J255" s="767">
        <v>8.0</v>
      </c>
      <c r="K255" s="767">
        <v>3.0</v>
      </c>
      <c r="L255" s="769" t="s">
        <v>481</v>
      </c>
      <c r="M255" s="769" t="s">
        <v>666</v>
      </c>
      <c r="N255" s="765" t="s">
        <v>667</v>
      </c>
      <c r="O255" s="770"/>
      <c r="P255" s="771"/>
      <c r="Q255" s="772"/>
      <c r="R255" s="661"/>
      <c r="S255" s="228" t="str">
        <f t="array" ref="S255">IFERROR(INDEX('💻シート作成'!$D$6:$D1001, MATCH(T255, '💻シート作成'!$E$6:$E1001, 0)), "")</f>
        <v/>
      </c>
      <c r="T255" s="184"/>
      <c r="U255" s="664"/>
      <c r="V255" s="774"/>
      <c r="W255" s="661"/>
      <c r="X255" s="757"/>
      <c r="Y255" s="661"/>
      <c r="Z255" s="661"/>
    </row>
    <row r="256" ht="92.25" hidden="1" customHeight="1" outlineLevel="1">
      <c r="A256" s="661"/>
      <c r="B256" s="729"/>
      <c r="C256" s="730"/>
      <c r="D256" s="730"/>
      <c r="E256" s="730"/>
      <c r="F256" s="730"/>
      <c r="G256" s="731"/>
      <c r="H256" s="730"/>
      <c r="I256" s="730"/>
      <c r="J256" s="730"/>
      <c r="K256" s="730"/>
      <c r="L256" s="769"/>
      <c r="M256" s="769"/>
      <c r="N256" s="730"/>
      <c r="O256" s="733"/>
      <c r="Q256" s="728"/>
      <c r="R256" s="661"/>
      <c r="S256" s="228" t="str">
        <f t="array" ref="S256">IFERROR(INDEX('💻シート作成'!$D$6:$D1001, MATCH(T256, '💻シート作成'!$E$6:$E1001, 0)), "")</f>
        <v/>
      </c>
      <c r="T256" s="184"/>
      <c r="U256" s="664"/>
      <c r="V256" s="774"/>
      <c r="W256" s="661"/>
      <c r="X256" s="757"/>
      <c r="Y256" s="661"/>
      <c r="Z256" s="661"/>
    </row>
    <row r="257" ht="92.25" hidden="1" customHeight="1" outlineLevel="1">
      <c r="A257" s="661"/>
      <c r="B257" s="729"/>
      <c r="C257" s="730"/>
      <c r="D257" s="730"/>
      <c r="E257" s="730"/>
      <c r="F257" s="730"/>
      <c r="G257" s="731"/>
      <c r="H257" s="730"/>
      <c r="I257" s="730"/>
      <c r="J257" s="730"/>
      <c r="K257" s="730"/>
      <c r="L257" s="769"/>
      <c r="M257" s="769"/>
      <c r="N257" s="730"/>
      <c r="O257" s="733"/>
      <c r="Q257" s="728"/>
      <c r="R257" s="661"/>
      <c r="S257" s="228" t="str">
        <f t="array" ref="S257">IFERROR(INDEX('💻シート作成'!$D$6:$D1001, MATCH(T257, '💻シート作成'!$E$6:$E1001, 0)), "")</f>
        <v/>
      </c>
      <c r="T257" s="184"/>
      <c r="U257" s="664"/>
      <c r="V257" s="774"/>
      <c r="W257" s="661"/>
      <c r="X257" s="757"/>
      <c r="Y257" s="661"/>
      <c r="Z257" s="661"/>
    </row>
    <row r="258" ht="92.25" hidden="1" customHeight="1" outlineLevel="1">
      <c r="A258" s="661"/>
      <c r="B258" s="729"/>
      <c r="C258" s="730"/>
      <c r="D258" s="730"/>
      <c r="E258" s="730"/>
      <c r="F258" s="730"/>
      <c r="G258" s="731"/>
      <c r="H258" s="730"/>
      <c r="I258" s="730"/>
      <c r="J258" s="730"/>
      <c r="K258" s="730"/>
      <c r="L258" s="773"/>
      <c r="M258" s="769"/>
      <c r="N258" s="730"/>
      <c r="O258" s="733"/>
      <c r="Q258" s="728"/>
      <c r="R258" s="661"/>
      <c r="S258" s="228" t="str">
        <f t="array" ref="S258">IFERROR(INDEX('💻シート作成'!$D$6:$D1001, MATCH(T258, '💻シート作成'!$E$6:$E1001, 0)), "")</f>
        <v/>
      </c>
      <c r="T258" s="184"/>
      <c r="U258" s="664"/>
      <c r="V258" s="774"/>
      <c r="W258" s="661"/>
      <c r="X258" s="757"/>
      <c r="Y258" s="661"/>
      <c r="Z258" s="661"/>
    </row>
    <row r="259" ht="92.25" hidden="1" customHeight="1" outlineLevel="1">
      <c r="A259" s="661"/>
      <c r="B259" s="729"/>
      <c r="C259" s="730"/>
      <c r="D259" s="730"/>
      <c r="E259" s="730"/>
      <c r="F259" s="730"/>
      <c r="G259" s="731"/>
      <c r="H259" s="730"/>
      <c r="I259" s="730"/>
      <c r="J259" s="730"/>
      <c r="K259" s="730"/>
      <c r="L259" s="773"/>
      <c r="M259" s="769"/>
      <c r="N259" s="730"/>
      <c r="O259" s="733"/>
      <c r="Q259" s="728"/>
      <c r="R259" s="661"/>
      <c r="S259" s="228" t="str">
        <f t="array" ref="S259">IFERROR(INDEX('💻シート作成'!$D$6:$D1001, MATCH(T259, '💻シート作成'!$E$6:$E1001, 0)), "")</f>
        <v/>
      </c>
      <c r="T259" s="184"/>
      <c r="U259" s="664"/>
      <c r="V259" s="774"/>
      <c r="W259" s="661"/>
      <c r="X259" s="757"/>
      <c r="Y259" s="661"/>
      <c r="Z259" s="661"/>
    </row>
    <row r="260" ht="92.25" hidden="1" customHeight="1" outlineLevel="1">
      <c r="A260" s="661"/>
      <c r="B260" s="729"/>
      <c r="C260" s="730"/>
      <c r="D260" s="730"/>
      <c r="E260" s="730"/>
      <c r="F260" s="730"/>
      <c r="G260" s="731"/>
      <c r="H260" s="730"/>
      <c r="I260" s="730"/>
      <c r="J260" s="730"/>
      <c r="K260" s="730"/>
      <c r="L260" s="773"/>
      <c r="M260" s="769"/>
      <c r="N260" s="730"/>
      <c r="O260" s="733"/>
      <c r="Q260" s="728"/>
      <c r="R260" s="661"/>
      <c r="S260" s="228" t="str">
        <f t="array" ref="S260">IFERROR(INDEX('💻シート作成'!$D$6:$D1001, MATCH(T260, '💻シート作成'!$E$6:$E1001, 0)), "")</f>
        <v/>
      </c>
      <c r="T260" s="184"/>
      <c r="U260" s="664"/>
      <c r="V260" s="774"/>
      <c r="W260" s="661"/>
      <c r="X260" s="757"/>
      <c r="Y260" s="661"/>
      <c r="Z260" s="661"/>
    </row>
    <row r="261" ht="92.25" hidden="1" customHeight="1" outlineLevel="1">
      <c r="A261" s="661"/>
      <c r="B261" s="729"/>
      <c r="C261" s="730"/>
      <c r="D261" s="730"/>
      <c r="E261" s="730"/>
      <c r="F261" s="730"/>
      <c r="G261" s="731"/>
      <c r="H261" s="730"/>
      <c r="I261" s="730"/>
      <c r="J261" s="730"/>
      <c r="K261" s="730"/>
      <c r="L261" s="773"/>
      <c r="M261" s="769"/>
      <c r="N261" s="730"/>
      <c r="O261" s="733"/>
      <c r="Q261" s="728"/>
      <c r="R261" s="661"/>
      <c r="S261" s="228" t="str">
        <f t="array" ref="S261">IFERROR(INDEX('💻シート作成'!$D$6:$D1001, MATCH(T261, '💻シート作成'!$E$6:$E1001, 0)), "")</f>
        <v/>
      </c>
      <c r="T261" s="184"/>
      <c r="U261" s="664"/>
      <c r="V261" s="774"/>
      <c r="W261" s="661"/>
      <c r="X261" s="757"/>
      <c r="Y261" s="661"/>
      <c r="Z261" s="661"/>
    </row>
    <row r="262" ht="92.25" hidden="1" customHeight="1" outlineLevel="1">
      <c r="A262" s="661"/>
      <c r="B262" s="729"/>
      <c r="C262" s="730"/>
      <c r="D262" s="730"/>
      <c r="E262" s="730"/>
      <c r="F262" s="730"/>
      <c r="G262" s="731"/>
      <c r="H262" s="730"/>
      <c r="I262" s="730"/>
      <c r="J262" s="730"/>
      <c r="K262" s="730"/>
      <c r="L262" s="773"/>
      <c r="M262" s="769"/>
      <c r="N262" s="730"/>
      <c r="O262" s="733"/>
      <c r="Q262" s="728"/>
      <c r="R262" s="661"/>
      <c r="S262" s="228" t="str">
        <f t="array" ref="S262">IFERROR(INDEX('💻シート作成'!$D$6:$D1001, MATCH(T262, '💻シート作成'!$E$6:$E1001, 0)), "")</f>
        <v/>
      </c>
      <c r="T262" s="184"/>
      <c r="U262" s="664"/>
      <c r="V262" s="774"/>
      <c r="W262" s="661"/>
      <c r="X262" s="757"/>
      <c r="Y262" s="661"/>
      <c r="Z262" s="661"/>
    </row>
    <row r="263" ht="92.25" hidden="1" customHeight="1" outlineLevel="1">
      <c r="A263" s="661"/>
      <c r="B263" s="729"/>
      <c r="C263" s="730"/>
      <c r="D263" s="730"/>
      <c r="E263" s="730"/>
      <c r="F263" s="730"/>
      <c r="G263" s="731"/>
      <c r="H263" s="730"/>
      <c r="I263" s="730"/>
      <c r="J263" s="730"/>
      <c r="K263" s="730"/>
      <c r="L263" s="773"/>
      <c r="M263" s="769"/>
      <c r="N263" s="730"/>
      <c r="O263" s="733"/>
      <c r="Q263" s="728"/>
      <c r="R263" s="661"/>
      <c r="S263" s="228" t="str">
        <f t="array" ref="S263">IFERROR(INDEX('💻シート作成'!$D$6:$D1001, MATCH(T263, '💻シート作成'!$E$6:$E1001, 0)), "")</f>
        <v/>
      </c>
      <c r="T263" s="184"/>
      <c r="U263" s="664"/>
      <c r="V263" s="774"/>
      <c r="W263" s="661"/>
      <c r="X263" s="757"/>
      <c r="Y263" s="661"/>
      <c r="Z263" s="661"/>
    </row>
    <row r="264" ht="92.25" hidden="1" customHeight="1" outlineLevel="1">
      <c r="A264" s="661"/>
      <c r="B264" s="729"/>
      <c r="C264" s="730"/>
      <c r="D264" s="730"/>
      <c r="E264" s="730"/>
      <c r="F264" s="697"/>
      <c r="G264" s="698"/>
      <c r="H264" s="697"/>
      <c r="I264" s="697"/>
      <c r="J264" s="697"/>
      <c r="K264" s="697"/>
      <c r="L264" s="773"/>
      <c r="M264" s="769"/>
      <c r="N264" s="697"/>
      <c r="O264" s="700"/>
      <c r="P264" s="701"/>
      <c r="Q264" s="737"/>
      <c r="R264" s="661"/>
      <c r="S264" s="228" t="str">
        <f t="array" ref="S264">IFERROR(INDEX('💻シート作成'!$D$6:$D1001, MATCH(T264, '💻シート作成'!$E$6:$E1001, 0)), "")</f>
        <v/>
      </c>
      <c r="T264" s="184"/>
      <c r="U264" s="664"/>
      <c r="V264" s="774"/>
      <c r="W264" s="661"/>
      <c r="X264" s="757"/>
      <c r="Y264" s="661"/>
      <c r="Z264" s="661"/>
    </row>
    <row r="265" ht="18.0" hidden="1" customHeight="1" outlineLevel="1">
      <c r="A265" s="661"/>
      <c r="B265" s="738"/>
      <c r="C265" s="697"/>
      <c r="D265" s="697"/>
      <c r="E265" s="697"/>
      <c r="F265" s="739" t="s">
        <v>517</v>
      </c>
      <c r="G265" s="740" t="s">
        <v>668</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4"/>
      <c r="W265" s="661"/>
      <c r="X265" s="757"/>
      <c r="Y265" s="661"/>
      <c r="Z265" s="661"/>
    </row>
    <row r="266" hidden="1" outlineLevel="1">
      <c r="A266" s="661"/>
      <c r="B266" s="743"/>
      <c r="C266" s="744">
        <f>IF(C255="","",IF(DAY(C255+1)=1,"",C255+1))</f>
        <v>46105</v>
      </c>
      <c r="D266" s="745" t="str">
        <f>TEXT(C266,"ddd")</f>
        <v>火</v>
      </c>
      <c r="E266" s="746"/>
      <c r="F266" s="775" t="s">
        <v>142</v>
      </c>
      <c r="G266" s="776" t="s">
        <v>669</v>
      </c>
      <c r="H266" s="777"/>
      <c r="I266" s="777" t="s">
        <v>670</v>
      </c>
      <c r="J266" s="777" t="s">
        <v>603</v>
      </c>
      <c r="K266" s="777">
        <v>3.0</v>
      </c>
      <c r="L266" s="755"/>
      <c r="M266" s="755"/>
      <c r="N266" s="775"/>
      <c r="O266" s="779"/>
      <c r="P266" s="771"/>
      <c r="Q266" s="772"/>
      <c r="R266" s="661"/>
      <c r="S266" s="228" t="str">
        <f t="array" ref="S266">IFERROR(INDEX('💻シート作成'!$D$6:$D1001, MATCH(T266, '💻シート作成'!$E$6:$E1001, 0)), "")</f>
        <v/>
      </c>
      <c r="T266" s="184"/>
      <c r="U266" s="664"/>
      <c r="V266" s="774"/>
      <c r="W266" s="661"/>
      <c r="X266" s="757"/>
      <c r="Y266" s="661"/>
      <c r="Z266" s="661"/>
    </row>
    <row r="267" hidden="1" outlineLevel="1">
      <c r="A267" s="661"/>
      <c r="B267" s="729"/>
      <c r="C267" s="730"/>
      <c r="D267" s="730"/>
      <c r="E267" s="730"/>
      <c r="F267" s="730"/>
      <c r="G267" s="731"/>
      <c r="H267" s="730"/>
      <c r="I267" s="730"/>
      <c r="J267" s="730"/>
      <c r="K267" s="730"/>
      <c r="L267" s="755"/>
      <c r="M267" s="755"/>
      <c r="N267" s="730"/>
      <c r="O267" s="733"/>
      <c r="Q267" s="728"/>
      <c r="R267" s="661"/>
      <c r="S267" s="228" t="str">
        <f t="array" ref="S267">IFERROR(INDEX('💻シート作成'!$D$6:$D1001, MATCH(T267, '💻シート作成'!$E$6:$E1001, 0)), "")</f>
        <v/>
      </c>
      <c r="T267" s="184"/>
      <c r="U267" s="664"/>
      <c r="V267" s="774"/>
      <c r="W267" s="661"/>
      <c r="X267" s="757"/>
      <c r="Y267" s="661"/>
      <c r="Z267" s="661"/>
    </row>
    <row r="268" hidden="1" outlineLevel="1">
      <c r="A268" s="661"/>
      <c r="B268" s="729"/>
      <c r="C268" s="730"/>
      <c r="D268" s="730"/>
      <c r="E268" s="730"/>
      <c r="F268" s="730"/>
      <c r="G268" s="731"/>
      <c r="H268" s="730"/>
      <c r="I268" s="730"/>
      <c r="J268" s="730"/>
      <c r="K268" s="730"/>
      <c r="L268" s="755"/>
      <c r="M268" s="755"/>
      <c r="N268" s="730"/>
      <c r="O268" s="733"/>
      <c r="Q268" s="728"/>
      <c r="R268" s="661"/>
      <c r="S268" s="228" t="str">
        <f t="array" ref="S268">IFERROR(INDEX('💻シート作成'!$D$6:$D1001, MATCH(T268, '💻シート作成'!$E$6:$E1001, 0)), "")</f>
        <v/>
      </c>
      <c r="T268" s="184"/>
      <c r="U268" s="664"/>
      <c r="V268" s="774"/>
      <c r="W268" s="661"/>
      <c r="X268" s="757"/>
      <c r="Y268" s="661"/>
      <c r="Z268" s="661"/>
    </row>
    <row r="269" hidden="1" outlineLevel="1">
      <c r="A269" s="661"/>
      <c r="B269" s="729"/>
      <c r="C269" s="730"/>
      <c r="D269" s="730"/>
      <c r="E269" s="730"/>
      <c r="F269" s="730"/>
      <c r="G269" s="731"/>
      <c r="H269" s="730"/>
      <c r="I269" s="730"/>
      <c r="J269" s="730"/>
      <c r="K269" s="730"/>
      <c r="L269" s="756"/>
      <c r="M269" s="755"/>
      <c r="N269" s="730"/>
      <c r="O269" s="733"/>
      <c r="Q269" s="728"/>
      <c r="R269" s="661"/>
      <c r="S269" s="228" t="str">
        <f t="array" ref="S269">IFERROR(INDEX('💻シート作成'!$D$6:$D1001, MATCH(T269, '💻シート作成'!$E$6:$E1001, 0)), "")</f>
        <v/>
      </c>
      <c r="T269" s="184"/>
      <c r="U269" s="664"/>
      <c r="V269" s="774"/>
      <c r="W269" s="661"/>
      <c r="X269" s="757"/>
      <c r="Y269" s="661"/>
      <c r="Z269" s="661"/>
    </row>
    <row r="270" hidden="1" outlineLevel="1">
      <c r="A270" s="661"/>
      <c r="B270" s="729"/>
      <c r="C270" s="730"/>
      <c r="D270" s="730"/>
      <c r="E270" s="730"/>
      <c r="F270" s="730"/>
      <c r="G270" s="731"/>
      <c r="H270" s="730"/>
      <c r="I270" s="730"/>
      <c r="J270" s="730"/>
      <c r="K270" s="730"/>
      <c r="L270" s="756"/>
      <c r="M270" s="755"/>
      <c r="N270" s="730"/>
      <c r="O270" s="733"/>
      <c r="Q270" s="728"/>
      <c r="R270" s="661"/>
      <c r="S270" s="228" t="str">
        <f t="array" ref="S270">IFERROR(INDEX('💻シート作成'!$D$6:$D1001, MATCH(T270, '💻シート作成'!$E$6:$E1001, 0)), "")</f>
        <v/>
      </c>
      <c r="T270" s="184"/>
      <c r="U270" s="664"/>
      <c r="V270" s="774"/>
      <c r="W270" s="661"/>
      <c r="X270" s="757"/>
      <c r="Y270" s="661"/>
      <c r="Z270" s="661"/>
    </row>
    <row r="271" hidden="1" outlineLevel="1">
      <c r="A271" s="661"/>
      <c r="B271" s="729"/>
      <c r="C271" s="730"/>
      <c r="D271" s="730"/>
      <c r="E271" s="730"/>
      <c r="F271" s="730"/>
      <c r="G271" s="731"/>
      <c r="H271" s="730"/>
      <c r="I271" s="730"/>
      <c r="J271" s="730"/>
      <c r="K271" s="730"/>
      <c r="L271" s="756"/>
      <c r="M271" s="755"/>
      <c r="N271" s="730"/>
      <c r="O271" s="733"/>
      <c r="Q271" s="728"/>
      <c r="R271" s="661"/>
      <c r="S271" s="228" t="str">
        <f t="array" ref="S271">IFERROR(INDEX('💻シート作成'!$D$6:$D1001, MATCH(T271, '💻シート作成'!$E$6:$E1001, 0)), "")</f>
        <v/>
      </c>
      <c r="T271" s="184"/>
      <c r="U271" s="664"/>
      <c r="V271" s="774"/>
      <c r="W271" s="661"/>
      <c r="X271" s="757"/>
      <c r="Y271" s="661"/>
      <c r="Z271" s="661"/>
    </row>
    <row r="272" hidden="1" outlineLevel="1">
      <c r="A272" s="661"/>
      <c r="B272" s="729"/>
      <c r="C272" s="730"/>
      <c r="D272" s="730"/>
      <c r="E272" s="730"/>
      <c r="F272" s="730"/>
      <c r="G272" s="731"/>
      <c r="H272" s="730"/>
      <c r="I272" s="730"/>
      <c r="J272" s="730"/>
      <c r="K272" s="730"/>
      <c r="L272" s="756"/>
      <c r="M272" s="755"/>
      <c r="N272" s="730"/>
      <c r="O272" s="733"/>
      <c r="Q272" s="728"/>
      <c r="R272" s="661"/>
      <c r="S272" s="228" t="str">
        <f t="array" ref="S272">IFERROR(INDEX('💻シート作成'!$D$6:$D1001, MATCH(T272, '💻シート作成'!$E$6:$E1001, 0)), "")</f>
        <v/>
      </c>
      <c r="T272" s="184"/>
      <c r="U272" s="664"/>
      <c r="V272" s="774"/>
      <c r="W272" s="661"/>
      <c r="X272" s="757"/>
      <c r="Y272" s="661"/>
      <c r="Z272" s="661"/>
    </row>
    <row r="273" hidden="1" outlineLevel="1">
      <c r="A273" s="661"/>
      <c r="B273" s="729"/>
      <c r="C273" s="730"/>
      <c r="D273" s="730"/>
      <c r="E273" s="730"/>
      <c r="F273" s="730"/>
      <c r="G273" s="731"/>
      <c r="H273" s="730"/>
      <c r="I273" s="730"/>
      <c r="J273" s="730"/>
      <c r="K273" s="730"/>
      <c r="L273" s="756"/>
      <c r="M273" s="755"/>
      <c r="N273" s="730"/>
      <c r="O273" s="733"/>
      <c r="Q273" s="728"/>
      <c r="R273" s="661"/>
      <c r="S273" s="228" t="str">
        <f t="array" ref="S273">IFERROR(INDEX('💻シート作成'!$D$6:$D1001, MATCH(T273, '💻シート作成'!$E$6:$E1001, 0)), "")</f>
        <v/>
      </c>
      <c r="T273" s="184"/>
      <c r="U273" s="664"/>
      <c r="V273" s="774"/>
      <c r="W273" s="661"/>
      <c r="X273" s="757"/>
      <c r="Y273" s="661"/>
      <c r="Z273" s="661"/>
    </row>
    <row r="274" hidden="1" outlineLevel="1">
      <c r="A274" s="661"/>
      <c r="B274" s="729"/>
      <c r="C274" s="730"/>
      <c r="D274" s="730"/>
      <c r="E274" s="730"/>
      <c r="F274" s="730"/>
      <c r="G274" s="731"/>
      <c r="H274" s="730"/>
      <c r="I274" s="730"/>
      <c r="J274" s="730"/>
      <c r="K274" s="730"/>
      <c r="L274" s="756"/>
      <c r="M274" s="755"/>
      <c r="N274" s="730"/>
      <c r="O274" s="733"/>
      <c r="Q274" s="728"/>
      <c r="R274" s="661"/>
      <c r="S274" s="228" t="str">
        <f t="array" ref="S274">IFERROR(INDEX('💻シート作成'!$D$6:$D1001, MATCH(T274, '💻シート作成'!$E$6:$E1001, 0)), "")</f>
        <v/>
      </c>
      <c r="T274" s="184"/>
      <c r="U274" s="664"/>
      <c r="V274" s="774"/>
      <c r="W274" s="661"/>
      <c r="X274" s="757"/>
      <c r="Y274" s="661"/>
      <c r="Z274" s="661"/>
    </row>
    <row r="275" hidden="1" outlineLevel="1">
      <c r="A275" s="661"/>
      <c r="B275" s="729"/>
      <c r="C275" s="730"/>
      <c r="D275" s="730"/>
      <c r="E275" s="730"/>
      <c r="F275" s="697"/>
      <c r="G275" s="698"/>
      <c r="H275" s="697"/>
      <c r="I275" s="697"/>
      <c r="J275" s="697"/>
      <c r="K275" s="697"/>
      <c r="L275" s="756"/>
      <c r="M275" s="755"/>
      <c r="N275" s="697"/>
      <c r="O275" s="700"/>
      <c r="P275" s="701"/>
      <c r="Q275" s="737"/>
      <c r="R275" s="661"/>
      <c r="S275" s="228" t="str">
        <f t="array" ref="S275">IFERROR(INDEX('💻シート作成'!$D$6:$D1001, MATCH(T275, '💻シート作成'!$E$6:$E1001, 0)), "")</f>
        <v/>
      </c>
      <c r="T275" s="184"/>
      <c r="U275" s="664"/>
      <c r="V275" s="774"/>
      <c r="W275" s="661"/>
      <c r="X275" s="757"/>
      <c r="Y275" s="661"/>
      <c r="Z275" s="661"/>
    </row>
    <row r="276" ht="18.0" hidden="1" customHeight="1" outlineLevel="1">
      <c r="A276" s="661"/>
      <c r="B276" s="738"/>
      <c r="C276" s="697"/>
      <c r="D276" s="697"/>
      <c r="E276" s="697"/>
      <c r="F276" s="758" t="s">
        <v>517</v>
      </c>
      <c r="G276" s="759" t="s">
        <v>671</v>
      </c>
      <c r="H276" s="741"/>
      <c r="I276" s="741"/>
      <c r="J276" s="741"/>
      <c r="K276" s="741"/>
      <c r="L276" s="759"/>
      <c r="M276" s="759"/>
      <c r="N276" s="759"/>
      <c r="O276" s="759"/>
      <c r="P276" s="759"/>
      <c r="Q276" s="760"/>
      <c r="R276" s="661"/>
      <c r="S276" s="228" t="str">
        <f t="array" ref="S276">IFERROR(INDEX('💻シート作成'!$D$6:$D1001, MATCH(T276, '💻シート作成'!$E$6:$E1001, 0)), "")</f>
        <v/>
      </c>
      <c r="T276" s="184"/>
      <c r="U276" s="664"/>
      <c r="V276" s="774"/>
      <c r="W276" s="661"/>
      <c r="X276" s="757"/>
      <c r="Y276" s="661"/>
      <c r="Z276" s="661"/>
    </row>
    <row r="277" ht="34.5" hidden="1" customHeight="1" outlineLevel="1">
      <c r="A277" s="661"/>
      <c r="B277" s="761"/>
      <c r="C277" s="762">
        <f>IF(C266="","",IF(DAY(C266+1)=1,"",C266+1))</f>
        <v>46106</v>
      </c>
      <c r="D277" s="763" t="str">
        <f>TEXT(C277,"ddd")</f>
        <v>水</v>
      </c>
      <c r="E277" s="764"/>
      <c r="F277" s="765" t="s">
        <v>132</v>
      </c>
      <c r="G277" s="766" t="s">
        <v>672</v>
      </c>
      <c r="H277" s="767"/>
      <c r="I277" s="768">
        <v>0.6770833333333334</v>
      </c>
      <c r="J277" s="767">
        <v>8.0</v>
      </c>
      <c r="K277" s="767">
        <v>4.0</v>
      </c>
      <c r="L277" s="769"/>
      <c r="M277" s="769"/>
      <c r="N277" s="765"/>
      <c r="O277" s="770"/>
      <c r="P277" s="771"/>
      <c r="Q277" s="772"/>
      <c r="R277" s="661"/>
      <c r="S277" s="228" t="str">
        <f t="array" ref="S277">IFERROR(INDEX('💻シート作成'!$D$6:$D1001, MATCH(T277, '💻シート作成'!$E$6:$E1001, 0)), "")</f>
        <v/>
      </c>
      <c r="T277" s="184"/>
      <c r="U277" s="664"/>
      <c r="V277" s="774"/>
      <c r="W277" s="661"/>
      <c r="X277" s="757"/>
      <c r="Y277" s="661"/>
      <c r="Z277" s="661"/>
    </row>
    <row r="278" ht="34.5" hidden="1" customHeight="1" outlineLevel="1">
      <c r="A278" s="661"/>
      <c r="B278" s="729"/>
      <c r="C278" s="730"/>
      <c r="D278" s="730"/>
      <c r="E278" s="730"/>
      <c r="F278" s="730"/>
      <c r="G278" s="731"/>
      <c r="H278" s="730"/>
      <c r="I278" s="730"/>
      <c r="J278" s="730"/>
      <c r="K278" s="730"/>
      <c r="L278" s="769"/>
      <c r="M278" s="769"/>
      <c r="N278" s="730"/>
      <c r="O278" s="733"/>
      <c r="Q278" s="728"/>
      <c r="R278" s="661"/>
      <c r="S278" s="228" t="str">
        <f t="array" ref="S278">IFERROR(INDEX('💻シート作成'!$D$6:$D1001, MATCH(T278, '💻シート作成'!$E$6:$E1001, 0)), "")</f>
        <v/>
      </c>
      <c r="T278" s="184"/>
      <c r="U278" s="664"/>
      <c r="V278" s="774"/>
      <c r="W278" s="661"/>
      <c r="X278" s="757"/>
      <c r="Y278" s="661"/>
      <c r="Z278" s="661"/>
    </row>
    <row r="279" ht="34.5" hidden="1" customHeight="1" outlineLevel="1">
      <c r="A279" s="661"/>
      <c r="B279" s="729"/>
      <c r="C279" s="730"/>
      <c r="D279" s="730"/>
      <c r="E279" s="730"/>
      <c r="F279" s="730"/>
      <c r="G279" s="731"/>
      <c r="H279" s="730"/>
      <c r="I279" s="730"/>
      <c r="J279" s="730"/>
      <c r="K279" s="730"/>
      <c r="L279" s="769"/>
      <c r="M279" s="769"/>
      <c r="N279" s="730"/>
      <c r="O279" s="733"/>
      <c r="Q279" s="728"/>
      <c r="R279" s="661"/>
      <c r="S279" s="228" t="str">
        <f t="array" ref="S279">IFERROR(INDEX('💻シート作成'!$D$6:$D1001, MATCH(T279, '💻シート作成'!$E$6:$E1001, 0)), "")</f>
        <v/>
      </c>
      <c r="T279" s="184"/>
      <c r="U279" s="664"/>
      <c r="V279" s="774"/>
      <c r="W279" s="661"/>
      <c r="X279" s="757"/>
      <c r="Y279" s="661"/>
      <c r="Z279" s="661"/>
    </row>
    <row r="280" ht="34.5" hidden="1" customHeight="1" outlineLevel="1">
      <c r="A280" s="661"/>
      <c r="B280" s="729"/>
      <c r="C280" s="730"/>
      <c r="D280" s="730"/>
      <c r="E280" s="730"/>
      <c r="F280" s="730"/>
      <c r="G280" s="731"/>
      <c r="H280" s="730"/>
      <c r="I280" s="730"/>
      <c r="J280" s="730"/>
      <c r="K280" s="730"/>
      <c r="L280" s="773"/>
      <c r="M280" s="769"/>
      <c r="N280" s="730"/>
      <c r="O280" s="733"/>
      <c r="Q280" s="728"/>
      <c r="R280" s="661"/>
      <c r="S280" s="228" t="str">
        <f t="array" ref="S280">IFERROR(INDEX('💻シート作成'!$D$6:$D1001, MATCH(T280, '💻シート作成'!$E$6:$E1001, 0)), "")</f>
        <v/>
      </c>
      <c r="T280" s="184"/>
      <c r="U280" s="664"/>
      <c r="V280" s="774"/>
      <c r="W280" s="661"/>
      <c r="X280" s="757"/>
      <c r="Y280" s="661"/>
      <c r="Z280" s="661"/>
    </row>
    <row r="281" ht="34.5" hidden="1" customHeight="1" outlineLevel="1">
      <c r="A281" s="661"/>
      <c r="B281" s="729"/>
      <c r="C281" s="730"/>
      <c r="D281" s="730"/>
      <c r="E281" s="730"/>
      <c r="F281" s="730"/>
      <c r="G281" s="731"/>
      <c r="H281" s="730"/>
      <c r="I281" s="730"/>
      <c r="J281" s="730"/>
      <c r="K281" s="730"/>
      <c r="L281" s="773"/>
      <c r="M281" s="769"/>
      <c r="N281" s="730"/>
      <c r="O281" s="733"/>
      <c r="Q281" s="728"/>
      <c r="R281" s="661"/>
      <c r="S281" s="228" t="str">
        <f t="array" ref="S281">IFERROR(INDEX('💻シート作成'!$D$6:$D1001, MATCH(T281, '💻シート作成'!$E$6:$E1001, 0)), "")</f>
        <v/>
      </c>
      <c r="T281" s="184"/>
      <c r="U281" s="664"/>
      <c r="V281" s="774"/>
      <c r="W281" s="661"/>
      <c r="X281" s="757"/>
      <c r="Y281" s="661"/>
      <c r="Z281" s="661"/>
    </row>
    <row r="282" ht="34.5" hidden="1" customHeight="1" outlineLevel="1">
      <c r="A282" s="661"/>
      <c r="B282" s="729"/>
      <c r="C282" s="730"/>
      <c r="D282" s="730"/>
      <c r="E282" s="730"/>
      <c r="F282" s="730"/>
      <c r="G282" s="731"/>
      <c r="H282" s="730"/>
      <c r="I282" s="730"/>
      <c r="J282" s="730"/>
      <c r="K282" s="730"/>
      <c r="L282" s="773"/>
      <c r="M282" s="769"/>
      <c r="N282" s="730"/>
      <c r="O282" s="733"/>
      <c r="Q282" s="728"/>
      <c r="R282" s="661"/>
      <c r="S282" s="228" t="str">
        <f t="array" ref="S282">IFERROR(INDEX('💻シート作成'!$D$6:$D1001, MATCH(T282, '💻シート作成'!$E$6:$E1001, 0)), "")</f>
        <v/>
      </c>
      <c r="T282" s="184"/>
      <c r="U282" s="664"/>
      <c r="V282" s="774"/>
      <c r="W282" s="661"/>
      <c r="X282" s="757"/>
      <c r="Y282" s="661"/>
      <c r="Z282" s="661"/>
    </row>
    <row r="283" ht="34.5" hidden="1" customHeight="1" outlineLevel="1">
      <c r="A283" s="661"/>
      <c r="B283" s="729"/>
      <c r="C283" s="730"/>
      <c r="D283" s="730"/>
      <c r="E283" s="730"/>
      <c r="F283" s="730"/>
      <c r="G283" s="731"/>
      <c r="H283" s="730"/>
      <c r="I283" s="730"/>
      <c r="J283" s="730"/>
      <c r="K283" s="730"/>
      <c r="L283" s="773"/>
      <c r="M283" s="769"/>
      <c r="N283" s="730"/>
      <c r="O283" s="733"/>
      <c r="Q283" s="728"/>
      <c r="R283" s="661"/>
      <c r="S283" s="228" t="str">
        <f t="array" ref="S283">IFERROR(INDEX('💻シート作成'!$D$6:$D1001, MATCH(T283, '💻シート作成'!$E$6:$E1001, 0)), "")</f>
        <v/>
      </c>
      <c r="T283" s="184"/>
      <c r="U283" s="664"/>
      <c r="V283" s="774"/>
      <c r="W283" s="661"/>
      <c r="X283" s="757"/>
      <c r="Y283" s="661"/>
      <c r="Z283" s="661"/>
    </row>
    <row r="284" ht="34.5" hidden="1" customHeight="1" outlineLevel="1">
      <c r="A284" s="661"/>
      <c r="B284" s="729"/>
      <c r="C284" s="730"/>
      <c r="D284" s="730"/>
      <c r="E284" s="730"/>
      <c r="F284" s="730"/>
      <c r="G284" s="731"/>
      <c r="H284" s="730"/>
      <c r="I284" s="730"/>
      <c r="J284" s="730"/>
      <c r="K284" s="730"/>
      <c r="L284" s="773"/>
      <c r="M284" s="769"/>
      <c r="N284" s="730"/>
      <c r="O284" s="733"/>
      <c r="Q284" s="728"/>
      <c r="R284" s="661"/>
      <c r="S284" s="228" t="str">
        <f t="array" ref="S284">IFERROR(INDEX('💻シート作成'!$D$6:$D1001, MATCH(T284, '💻シート作成'!$E$6:$E1001, 0)), "")</f>
        <v/>
      </c>
      <c r="T284" s="184"/>
      <c r="U284" s="664"/>
      <c r="V284" s="774"/>
      <c r="W284" s="661"/>
      <c r="X284" s="757"/>
      <c r="Y284" s="661"/>
      <c r="Z284" s="661"/>
    </row>
    <row r="285" ht="34.5" hidden="1" customHeight="1" outlineLevel="1">
      <c r="A285" s="661"/>
      <c r="B285" s="729"/>
      <c r="C285" s="730"/>
      <c r="D285" s="730"/>
      <c r="E285" s="730"/>
      <c r="F285" s="730"/>
      <c r="G285" s="731"/>
      <c r="H285" s="730"/>
      <c r="I285" s="730"/>
      <c r="J285" s="730"/>
      <c r="K285" s="730"/>
      <c r="L285" s="773"/>
      <c r="M285" s="769"/>
      <c r="N285" s="730"/>
      <c r="O285" s="733"/>
      <c r="Q285" s="728"/>
      <c r="R285" s="661"/>
      <c r="S285" s="228" t="str">
        <f t="array" ref="S285">IFERROR(INDEX('💻シート作成'!$D$6:$D1001, MATCH(T285, '💻シート作成'!$E$6:$E1001, 0)), "")</f>
        <v/>
      </c>
      <c r="T285" s="184"/>
      <c r="U285" s="664"/>
      <c r="V285" s="774"/>
      <c r="W285" s="661"/>
      <c r="X285" s="757"/>
      <c r="Y285" s="661"/>
      <c r="Z285" s="661"/>
    </row>
    <row r="286" ht="34.5" hidden="1" customHeight="1" outlineLevel="1">
      <c r="A286" s="661"/>
      <c r="B286" s="729"/>
      <c r="C286" s="730"/>
      <c r="D286" s="730"/>
      <c r="E286" s="730"/>
      <c r="F286" s="697"/>
      <c r="G286" s="698"/>
      <c r="H286" s="697"/>
      <c r="I286" s="697"/>
      <c r="J286" s="697"/>
      <c r="K286" s="697"/>
      <c r="L286" s="773"/>
      <c r="M286" s="769"/>
      <c r="N286" s="697"/>
      <c r="O286" s="700"/>
      <c r="P286" s="701"/>
      <c r="Q286" s="737"/>
      <c r="R286" s="661"/>
      <c r="S286" s="228" t="str">
        <f t="array" ref="S286">IFERROR(INDEX('💻シート作成'!$D$6:$D1001, MATCH(T286, '💻シート作成'!$E$6:$E1001, 0)), "")</f>
        <v/>
      </c>
      <c r="T286" s="184"/>
      <c r="U286" s="664"/>
      <c r="V286" s="774"/>
      <c r="W286" s="661"/>
      <c r="X286" s="757"/>
      <c r="Y286" s="661"/>
      <c r="Z286" s="661"/>
    </row>
    <row r="287" ht="18.0" hidden="1" customHeight="1" outlineLevel="1">
      <c r="A287" s="661"/>
      <c r="B287" s="738"/>
      <c r="C287" s="697"/>
      <c r="D287" s="697"/>
      <c r="E287" s="697"/>
      <c r="F287" s="739" t="s">
        <v>517</v>
      </c>
      <c r="G287" s="740" t="s">
        <v>673</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4"/>
      <c r="W287" s="661"/>
      <c r="X287" s="757"/>
      <c r="Y287" s="661"/>
      <c r="Z287" s="661"/>
    </row>
    <row r="288">
      <c r="A288" s="661"/>
      <c r="B288" s="780" t="s">
        <v>526</v>
      </c>
      <c r="C288" s="781"/>
      <c r="D288" s="781"/>
      <c r="E288" s="781"/>
      <c r="F288" s="782"/>
      <c r="G288" s="783"/>
      <c r="H288" s="784"/>
      <c r="I288" s="784"/>
      <c r="J288" s="785"/>
      <c r="K288" s="785"/>
      <c r="L288" s="783"/>
      <c r="M288" s="783"/>
      <c r="N288" s="786"/>
      <c r="O288" s="787"/>
      <c r="P288" s="787"/>
      <c r="Q288" s="788"/>
      <c r="R288" s="661"/>
      <c r="S288" s="228" t="str">
        <f t="array" ref="S288">IFERROR(INDEX('💻シート作成'!$D$6:$D1001, MATCH(T288, '💻シート作成'!$E$6:$E1001, 0)), "")</f>
        <v/>
      </c>
      <c r="T288" s="184"/>
      <c r="U288" s="664"/>
      <c r="V288" s="774"/>
      <c r="W288" s="661"/>
      <c r="X288" s="757"/>
      <c r="Y288" s="661"/>
      <c r="Z288" s="661"/>
    </row>
    <row r="289" ht="26.25" customHeight="1" outlineLevel="1">
      <c r="A289" s="661"/>
      <c r="B289" s="743"/>
      <c r="C289" s="744">
        <f>IF(C277="","",IF(DAY(C277+1)=1,"",C277+1))</f>
        <v>46107</v>
      </c>
      <c r="D289" s="745" t="str">
        <f>TEXT(C289,"ddd")</f>
        <v>木</v>
      </c>
      <c r="E289" s="746"/>
      <c r="F289" s="775" t="s">
        <v>132</v>
      </c>
      <c r="G289" s="776" t="s">
        <v>674</v>
      </c>
      <c r="H289" s="777"/>
      <c r="I289" s="778">
        <v>0.7083333333333334</v>
      </c>
      <c r="J289" s="777">
        <v>6.0</v>
      </c>
      <c r="K289" s="777">
        <v>3.0</v>
      </c>
      <c r="L289" s="755"/>
      <c r="M289" s="755"/>
      <c r="N289" s="775"/>
      <c r="O289" s="779"/>
      <c r="P289" s="771"/>
      <c r="Q289" s="772"/>
      <c r="R289" s="661"/>
      <c r="S289" s="661"/>
      <c r="T289" s="661"/>
      <c r="U289" s="664"/>
      <c r="V289" s="665"/>
      <c r="W289" s="661"/>
      <c r="X289" s="661"/>
      <c r="Y289" s="661"/>
      <c r="Z289" s="661"/>
    </row>
    <row r="290" ht="26.25" customHeight="1"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ht="26.25" customHeight="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ht="26.25" customHeight="1"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ht="26.25" customHeight="1"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ht="26.25" customHeight="1"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ht="26.25" customHeight="1"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ht="26.25" customHeight="1"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ht="26.25" customHeight="1"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ht="26.25" customHeight="1"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8" t="s">
        <v>517</v>
      </c>
      <c r="G299" s="759" t="s">
        <v>675</v>
      </c>
      <c r="H299" s="741"/>
      <c r="I299" s="741"/>
      <c r="J299" s="741"/>
      <c r="K299" s="741"/>
      <c r="L299" s="759"/>
      <c r="M299" s="759"/>
      <c r="N299" s="759"/>
      <c r="O299" s="759"/>
      <c r="P299" s="759"/>
      <c r="Q299" s="760"/>
      <c r="R299" s="661"/>
      <c r="S299" s="661"/>
      <c r="T299" s="661"/>
      <c r="U299" s="664"/>
      <c r="V299" s="665"/>
      <c r="W299" s="661"/>
      <c r="X299" s="661"/>
      <c r="Y299" s="661"/>
      <c r="Z299" s="661"/>
    </row>
    <row r="300" ht="29.25" customHeight="1" outlineLevel="1">
      <c r="A300" s="661"/>
      <c r="B300" s="761"/>
      <c r="C300" s="762">
        <f>IF(C289="","",IF(DAY(C289+1)=1,"",C289+1))</f>
        <v>46108</v>
      </c>
      <c r="D300" s="763" t="str">
        <f>TEXT(C300,"ddd")</f>
        <v>金</v>
      </c>
      <c r="E300" s="764"/>
      <c r="F300" s="765" t="s">
        <v>132</v>
      </c>
      <c r="G300" s="766" t="s">
        <v>676</v>
      </c>
      <c r="H300" s="767"/>
      <c r="I300" s="768">
        <v>0.6458333333333334</v>
      </c>
      <c r="J300" s="767">
        <v>8.0</v>
      </c>
      <c r="K300" s="767">
        <v>2.0</v>
      </c>
      <c r="L300" s="769"/>
      <c r="M300" s="769"/>
      <c r="N300" s="765"/>
      <c r="O300" s="770"/>
      <c r="P300" s="771"/>
      <c r="Q300" s="772"/>
      <c r="R300" s="661"/>
      <c r="S300" s="661"/>
      <c r="T300" s="661"/>
      <c r="U300" s="664"/>
      <c r="V300" s="665"/>
      <c r="W300" s="661"/>
      <c r="X300" s="661"/>
      <c r="Y300" s="661"/>
      <c r="Z300" s="661"/>
    </row>
    <row r="301" ht="29.25" customHeight="1" outlineLevel="1">
      <c r="A301" s="661"/>
      <c r="B301" s="729"/>
      <c r="C301" s="730"/>
      <c r="D301" s="730"/>
      <c r="E301" s="730"/>
      <c r="F301" s="730"/>
      <c r="G301" s="731"/>
      <c r="H301" s="730"/>
      <c r="I301" s="730"/>
      <c r="J301" s="730"/>
      <c r="K301" s="730"/>
      <c r="L301" s="769"/>
      <c r="M301" s="769"/>
      <c r="N301" s="730"/>
      <c r="O301" s="733"/>
      <c r="Q301" s="728"/>
      <c r="R301" s="661"/>
      <c r="S301" s="661"/>
      <c r="T301" s="661"/>
      <c r="U301" s="664"/>
      <c r="V301" s="665"/>
      <c r="W301" s="661"/>
      <c r="X301" s="661"/>
      <c r="Y301" s="661"/>
      <c r="Z301" s="661"/>
    </row>
    <row r="302" ht="29.25" customHeight="1" outlineLevel="1">
      <c r="A302" s="661"/>
      <c r="B302" s="729"/>
      <c r="C302" s="730"/>
      <c r="D302" s="730"/>
      <c r="E302" s="730"/>
      <c r="F302" s="730"/>
      <c r="G302" s="731"/>
      <c r="H302" s="730"/>
      <c r="I302" s="730"/>
      <c r="J302" s="730"/>
      <c r="K302" s="730"/>
      <c r="L302" s="769"/>
      <c r="M302" s="769"/>
      <c r="N302" s="730"/>
      <c r="O302" s="733"/>
      <c r="Q302" s="728"/>
      <c r="R302" s="661"/>
      <c r="S302" s="661"/>
      <c r="T302" s="661"/>
      <c r="U302" s="664"/>
      <c r="V302" s="665"/>
      <c r="W302" s="661"/>
      <c r="X302" s="661"/>
      <c r="Y302" s="661"/>
      <c r="Z302" s="661"/>
    </row>
    <row r="303" ht="29.25" customHeight="1" outlineLevel="1">
      <c r="A303" s="661"/>
      <c r="B303" s="729"/>
      <c r="C303" s="730"/>
      <c r="D303" s="730"/>
      <c r="E303" s="730"/>
      <c r="F303" s="730"/>
      <c r="G303" s="731"/>
      <c r="H303" s="730"/>
      <c r="I303" s="730"/>
      <c r="J303" s="730"/>
      <c r="K303" s="730"/>
      <c r="L303" s="773"/>
      <c r="M303" s="769"/>
      <c r="N303" s="730"/>
      <c r="O303" s="733"/>
      <c r="Q303" s="728"/>
      <c r="R303" s="661"/>
      <c r="S303" s="661"/>
      <c r="T303" s="661"/>
      <c r="U303" s="664"/>
      <c r="V303" s="665"/>
      <c r="W303" s="661"/>
      <c r="X303" s="661"/>
      <c r="Y303" s="661"/>
      <c r="Z303" s="661"/>
    </row>
    <row r="304" ht="29.25" customHeight="1" outlineLevel="1">
      <c r="A304" s="661"/>
      <c r="B304" s="729"/>
      <c r="C304" s="730"/>
      <c r="D304" s="730"/>
      <c r="E304" s="730"/>
      <c r="F304" s="730"/>
      <c r="G304" s="731"/>
      <c r="H304" s="730"/>
      <c r="I304" s="730"/>
      <c r="J304" s="730"/>
      <c r="K304" s="730"/>
      <c r="L304" s="773"/>
      <c r="M304" s="769"/>
      <c r="N304" s="730"/>
      <c r="O304" s="733"/>
      <c r="Q304" s="728"/>
      <c r="R304" s="661"/>
      <c r="S304" s="661"/>
      <c r="T304" s="661"/>
      <c r="U304" s="664"/>
      <c r="V304" s="665"/>
      <c r="W304" s="661"/>
      <c r="X304" s="661"/>
      <c r="Y304" s="661"/>
      <c r="Z304" s="661"/>
    </row>
    <row r="305" ht="29.25" customHeight="1" outlineLevel="1">
      <c r="A305" s="661"/>
      <c r="B305" s="729"/>
      <c r="C305" s="730"/>
      <c r="D305" s="730"/>
      <c r="E305" s="730"/>
      <c r="F305" s="730"/>
      <c r="G305" s="731"/>
      <c r="H305" s="730"/>
      <c r="I305" s="730"/>
      <c r="J305" s="730"/>
      <c r="K305" s="730"/>
      <c r="L305" s="773"/>
      <c r="M305" s="769"/>
      <c r="N305" s="730"/>
      <c r="O305" s="733"/>
      <c r="Q305" s="728"/>
      <c r="R305" s="661"/>
      <c r="S305" s="661"/>
      <c r="T305" s="661"/>
      <c r="U305" s="664"/>
      <c r="V305" s="665"/>
      <c r="W305" s="661"/>
      <c r="X305" s="661"/>
      <c r="Y305" s="661"/>
      <c r="Z305" s="661"/>
    </row>
    <row r="306" ht="29.25" customHeight="1" outlineLevel="1">
      <c r="A306" s="661"/>
      <c r="B306" s="729"/>
      <c r="C306" s="730"/>
      <c r="D306" s="730"/>
      <c r="E306" s="730"/>
      <c r="F306" s="730"/>
      <c r="G306" s="731"/>
      <c r="H306" s="730"/>
      <c r="I306" s="730"/>
      <c r="J306" s="730"/>
      <c r="K306" s="730"/>
      <c r="L306" s="773"/>
      <c r="M306" s="769"/>
      <c r="N306" s="730"/>
      <c r="O306" s="733"/>
      <c r="Q306" s="728"/>
      <c r="R306" s="661"/>
      <c r="S306" s="661"/>
      <c r="T306" s="661"/>
      <c r="U306" s="664"/>
      <c r="V306" s="665"/>
      <c r="W306" s="661"/>
      <c r="X306" s="661"/>
      <c r="Y306" s="661"/>
      <c r="Z306" s="661"/>
    </row>
    <row r="307" ht="29.25" customHeight="1" outlineLevel="1">
      <c r="A307" s="661"/>
      <c r="B307" s="729"/>
      <c r="C307" s="730"/>
      <c r="D307" s="730"/>
      <c r="E307" s="730"/>
      <c r="F307" s="730"/>
      <c r="G307" s="731"/>
      <c r="H307" s="730"/>
      <c r="I307" s="730"/>
      <c r="J307" s="730"/>
      <c r="K307" s="730"/>
      <c r="L307" s="773"/>
      <c r="M307" s="769"/>
      <c r="N307" s="730"/>
      <c r="O307" s="733"/>
      <c r="Q307" s="728"/>
      <c r="R307" s="661"/>
      <c r="S307" s="661"/>
      <c r="T307" s="661"/>
      <c r="U307" s="664"/>
      <c r="V307" s="665"/>
      <c r="W307" s="661"/>
      <c r="X307" s="661"/>
      <c r="Y307" s="661"/>
      <c r="Z307" s="661"/>
    </row>
    <row r="308" ht="29.25" customHeight="1" outlineLevel="1">
      <c r="A308" s="661"/>
      <c r="B308" s="729"/>
      <c r="C308" s="730"/>
      <c r="D308" s="730"/>
      <c r="E308" s="730"/>
      <c r="F308" s="730"/>
      <c r="G308" s="731"/>
      <c r="H308" s="730"/>
      <c r="I308" s="730"/>
      <c r="J308" s="730"/>
      <c r="K308" s="730"/>
      <c r="L308" s="773"/>
      <c r="M308" s="769"/>
      <c r="N308" s="730"/>
      <c r="O308" s="733"/>
      <c r="Q308" s="728"/>
      <c r="R308" s="661"/>
      <c r="S308" s="661"/>
      <c r="T308" s="661"/>
      <c r="U308" s="664"/>
      <c r="V308" s="665"/>
      <c r="W308" s="661"/>
      <c r="X308" s="661"/>
      <c r="Y308" s="661"/>
      <c r="Z308" s="661"/>
    </row>
    <row r="309" ht="29.25" customHeight="1" outlineLevel="1">
      <c r="A309" s="661"/>
      <c r="B309" s="729"/>
      <c r="C309" s="730"/>
      <c r="D309" s="730"/>
      <c r="E309" s="730"/>
      <c r="F309" s="697"/>
      <c r="G309" s="698"/>
      <c r="H309" s="697"/>
      <c r="I309" s="697"/>
      <c r="J309" s="697"/>
      <c r="K309" s="697"/>
      <c r="L309" s="773"/>
      <c r="M309" s="769"/>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517</v>
      </c>
      <c r="G310" s="740" t="s">
        <v>677</v>
      </c>
      <c r="H310" s="741"/>
      <c r="I310" s="741"/>
      <c r="J310" s="741"/>
      <c r="K310" s="741"/>
      <c r="L310" s="740"/>
      <c r="M310" s="740"/>
      <c r="N310" s="740"/>
      <c r="O310" s="740"/>
      <c r="P310" s="740"/>
      <c r="Q310" s="742"/>
      <c r="R310" s="661"/>
      <c r="S310" s="661"/>
      <c r="T310" s="661"/>
      <c r="U310" s="664"/>
      <c r="V310" s="665"/>
      <c r="W310" s="661"/>
      <c r="X310" s="661"/>
      <c r="Y310" s="661"/>
      <c r="Z310" s="661"/>
    </row>
    <row r="311" ht="51.75" customHeight="1" outlineLevel="1">
      <c r="A311" s="661"/>
      <c r="B311" s="743"/>
      <c r="C311" s="744">
        <f>IF(C300="","",IF(DAY(C300+1)=1,"",C300+1))</f>
        <v>46109</v>
      </c>
      <c r="D311" s="745" t="str">
        <f>TEXT(C311,"ddd")</f>
        <v>土</v>
      </c>
      <c r="E311" s="746"/>
      <c r="F311" s="775" t="s">
        <v>132</v>
      </c>
      <c r="G311" s="776" t="s">
        <v>678</v>
      </c>
      <c r="H311" s="777"/>
      <c r="I311" s="778">
        <v>0.65625</v>
      </c>
      <c r="J311" s="777">
        <v>7.0</v>
      </c>
      <c r="K311" s="777">
        <v>3.0</v>
      </c>
      <c r="L311" s="755" t="s">
        <v>470</v>
      </c>
      <c r="M311" s="755" t="s">
        <v>679</v>
      </c>
      <c r="N311" s="775"/>
      <c r="O311" s="779"/>
      <c r="P311" s="771"/>
      <c r="Q311" s="772"/>
      <c r="R311" s="661"/>
      <c r="S311" s="661"/>
      <c r="T311" s="661"/>
      <c r="U311" s="664"/>
      <c r="V311" s="665"/>
      <c r="W311" s="661"/>
      <c r="X311" s="661"/>
      <c r="Y311" s="661"/>
      <c r="Z311" s="661"/>
    </row>
    <row r="312" ht="51.75" customHeight="1"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ht="51.75" customHeight="1"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ht="51.75" customHeight="1"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ht="51.75" customHeight="1"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ht="51.75" customHeight="1"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ht="51.75" customHeight="1"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ht="51.75" customHeight="1"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ht="51.75" customHeight="1"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ht="51.75" customHeight="1"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8" t="s">
        <v>517</v>
      </c>
      <c r="G321" s="759" t="s">
        <v>680</v>
      </c>
      <c r="H321" s="741"/>
      <c r="I321" s="741"/>
      <c r="J321" s="741"/>
      <c r="K321" s="741"/>
      <c r="L321" s="759"/>
      <c r="M321" s="759"/>
      <c r="N321" s="759"/>
      <c r="O321" s="759"/>
      <c r="P321" s="759"/>
      <c r="Q321" s="760"/>
      <c r="R321" s="661"/>
      <c r="S321" s="661"/>
      <c r="T321" s="661"/>
      <c r="U321" s="664"/>
      <c r="V321" s="665"/>
      <c r="W321" s="661"/>
      <c r="X321" s="661"/>
      <c r="Y321" s="661"/>
      <c r="Z321" s="661"/>
    </row>
    <row r="322" ht="17.25" customHeight="1" outlineLevel="1">
      <c r="A322" s="661"/>
      <c r="B322" s="761"/>
      <c r="C322" s="762">
        <f>IF(C311="","",IF(DAY(C311+1)=1,"",C311+1))</f>
        <v>46110</v>
      </c>
      <c r="D322" s="763" t="str">
        <f>TEXT(C322,"ddd")</f>
        <v>日</v>
      </c>
      <c r="E322" s="764"/>
      <c r="F322" s="765" t="s">
        <v>518</v>
      </c>
      <c r="G322" s="766" t="s">
        <v>681</v>
      </c>
      <c r="H322" s="767"/>
      <c r="I322" s="768">
        <v>0.6666666666666666</v>
      </c>
      <c r="J322" s="767">
        <v>8.0</v>
      </c>
      <c r="K322" s="767">
        <v>3.0</v>
      </c>
      <c r="L322" s="769"/>
      <c r="M322" s="769"/>
      <c r="N322" s="765"/>
      <c r="O322" s="770"/>
      <c r="P322" s="771"/>
      <c r="Q322" s="772"/>
      <c r="R322" s="661"/>
      <c r="S322" s="661"/>
      <c r="T322" s="661"/>
      <c r="U322" s="664"/>
      <c r="V322" s="665"/>
      <c r="W322" s="661"/>
      <c r="X322" s="661"/>
      <c r="Y322" s="661"/>
      <c r="Z322" s="661"/>
    </row>
    <row r="323" ht="17.25" customHeight="1" outlineLevel="1">
      <c r="A323" s="661"/>
      <c r="B323" s="729"/>
      <c r="C323" s="730"/>
      <c r="D323" s="730"/>
      <c r="E323" s="730"/>
      <c r="F323" s="730"/>
      <c r="G323" s="731"/>
      <c r="H323" s="730"/>
      <c r="I323" s="730"/>
      <c r="J323" s="730"/>
      <c r="K323" s="730"/>
      <c r="L323" s="769"/>
      <c r="M323" s="769"/>
      <c r="N323" s="730"/>
      <c r="O323" s="733"/>
      <c r="Q323" s="728"/>
      <c r="R323" s="661"/>
      <c r="S323" s="661"/>
      <c r="T323" s="661"/>
      <c r="U323" s="664"/>
      <c r="V323" s="665"/>
      <c r="W323" s="661"/>
      <c r="X323" s="661"/>
      <c r="Y323" s="661"/>
      <c r="Z323" s="661"/>
    </row>
    <row r="324" ht="17.25" customHeight="1" outlineLevel="1">
      <c r="A324" s="661"/>
      <c r="B324" s="729"/>
      <c r="C324" s="730"/>
      <c r="D324" s="730"/>
      <c r="E324" s="730"/>
      <c r="F324" s="730"/>
      <c r="G324" s="731"/>
      <c r="H324" s="730"/>
      <c r="I324" s="730"/>
      <c r="J324" s="730"/>
      <c r="K324" s="730"/>
      <c r="L324" s="769"/>
      <c r="M324" s="769"/>
      <c r="N324" s="730"/>
      <c r="O324" s="733"/>
      <c r="Q324" s="728"/>
      <c r="R324" s="661"/>
      <c r="S324" s="661"/>
      <c r="T324" s="661"/>
      <c r="U324" s="664"/>
      <c r="V324" s="665"/>
      <c r="W324" s="661"/>
      <c r="X324" s="661"/>
      <c r="Y324" s="661"/>
      <c r="Z324" s="661"/>
    </row>
    <row r="325" ht="17.25" customHeight="1" outlineLevel="1">
      <c r="A325" s="661"/>
      <c r="B325" s="729"/>
      <c r="C325" s="730"/>
      <c r="D325" s="730"/>
      <c r="E325" s="730"/>
      <c r="F325" s="730"/>
      <c r="G325" s="731"/>
      <c r="H325" s="730"/>
      <c r="I325" s="730"/>
      <c r="J325" s="730"/>
      <c r="K325" s="730"/>
      <c r="L325" s="773"/>
      <c r="M325" s="769"/>
      <c r="N325" s="730"/>
      <c r="O325" s="733"/>
      <c r="Q325" s="728"/>
      <c r="R325" s="661"/>
      <c r="S325" s="661"/>
      <c r="T325" s="661"/>
      <c r="U325" s="664"/>
      <c r="V325" s="665"/>
      <c r="W325" s="661"/>
      <c r="X325" s="661"/>
      <c r="Y325" s="661"/>
      <c r="Z325" s="661"/>
    </row>
    <row r="326" ht="17.25" customHeight="1" outlineLevel="1">
      <c r="A326" s="661"/>
      <c r="B326" s="729"/>
      <c r="C326" s="730"/>
      <c r="D326" s="730"/>
      <c r="E326" s="730"/>
      <c r="F326" s="730"/>
      <c r="G326" s="731"/>
      <c r="H326" s="730"/>
      <c r="I326" s="730"/>
      <c r="J326" s="730"/>
      <c r="K326" s="730"/>
      <c r="L326" s="773"/>
      <c r="M326" s="769"/>
      <c r="N326" s="730"/>
      <c r="O326" s="733"/>
      <c r="Q326" s="728"/>
      <c r="R326" s="661"/>
      <c r="S326" s="661"/>
      <c r="T326" s="661"/>
      <c r="U326" s="664"/>
      <c r="V326" s="665"/>
      <c r="W326" s="661"/>
      <c r="X326" s="661"/>
      <c r="Y326" s="661"/>
      <c r="Z326" s="661"/>
    </row>
    <row r="327" ht="17.25" customHeight="1" outlineLevel="1">
      <c r="A327" s="661"/>
      <c r="B327" s="729"/>
      <c r="C327" s="730"/>
      <c r="D327" s="730"/>
      <c r="E327" s="730"/>
      <c r="F327" s="730"/>
      <c r="G327" s="731"/>
      <c r="H327" s="730"/>
      <c r="I327" s="730"/>
      <c r="J327" s="730"/>
      <c r="K327" s="730"/>
      <c r="L327" s="773"/>
      <c r="M327" s="769"/>
      <c r="N327" s="730"/>
      <c r="O327" s="733"/>
      <c r="Q327" s="728"/>
      <c r="R327" s="661"/>
      <c r="S327" s="661"/>
      <c r="T327" s="661"/>
      <c r="U327" s="664"/>
      <c r="V327" s="665"/>
      <c r="W327" s="661"/>
      <c r="X327" s="661"/>
      <c r="Y327" s="661"/>
      <c r="Z327" s="661"/>
    </row>
    <row r="328" ht="17.25" customHeight="1" outlineLevel="1">
      <c r="A328" s="661"/>
      <c r="B328" s="729"/>
      <c r="C328" s="730"/>
      <c r="D328" s="730"/>
      <c r="E328" s="730"/>
      <c r="F328" s="730"/>
      <c r="G328" s="731"/>
      <c r="H328" s="730"/>
      <c r="I328" s="730"/>
      <c r="J328" s="730"/>
      <c r="K328" s="730"/>
      <c r="L328" s="773"/>
      <c r="M328" s="769"/>
      <c r="N328" s="730"/>
      <c r="O328" s="733"/>
      <c r="Q328" s="728"/>
      <c r="R328" s="661"/>
      <c r="S328" s="661"/>
      <c r="T328" s="661"/>
      <c r="U328" s="664"/>
      <c r="V328" s="665"/>
      <c r="W328" s="661"/>
      <c r="X328" s="661"/>
      <c r="Y328" s="661"/>
      <c r="Z328" s="661"/>
    </row>
    <row r="329" ht="17.25" customHeight="1" outlineLevel="1">
      <c r="A329" s="661"/>
      <c r="B329" s="729"/>
      <c r="C329" s="730"/>
      <c r="D329" s="730"/>
      <c r="E329" s="730"/>
      <c r="F329" s="730"/>
      <c r="G329" s="731"/>
      <c r="H329" s="730"/>
      <c r="I329" s="730"/>
      <c r="J329" s="730"/>
      <c r="K329" s="730"/>
      <c r="L329" s="773"/>
      <c r="M329" s="769"/>
      <c r="N329" s="730"/>
      <c r="O329" s="733"/>
      <c r="Q329" s="728"/>
      <c r="R329" s="661"/>
      <c r="S329" s="661"/>
      <c r="T329" s="661"/>
      <c r="U329" s="664"/>
      <c r="V329" s="665"/>
      <c r="W329" s="661"/>
      <c r="X329" s="661"/>
      <c r="Y329" s="661"/>
      <c r="Z329" s="661"/>
    </row>
    <row r="330" ht="17.25" customHeight="1" outlineLevel="1">
      <c r="A330" s="661"/>
      <c r="B330" s="729"/>
      <c r="C330" s="730"/>
      <c r="D330" s="730"/>
      <c r="E330" s="730"/>
      <c r="F330" s="730"/>
      <c r="G330" s="731"/>
      <c r="H330" s="730"/>
      <c r="I330" s="730"/>
      <c r="J330" s="730"/>
      <c r="K330" s="730"/>
      <c r="L330" s="773"/>
      <c r="M330" s="769"/>
      <c r="N330" s="730"/>
      <c r="O330" s="733"/>
      <c r="Q330" s="728"/>
      <c r="R330" s="661"/>
      <c r="S330" s="661"/>
      <c r="T330" s="661"/>
      <c r="U330" s="664"/>
      <c r="V330" s="665"/>
      <c r="W330" s="661"/>
      <c r="X330" s="661"/>
      <c r="Y330" s="661"/>
      <c r="Z330" s="661"/>
    </row>
    <row r="331" ht="17.25" customHeight="1" outlineLevel="1">
      <c r="A331" s="661"/>
      <c r="B331" s="729"/>
      <c r="C331" s="730"/>
      <c r="D331" s="730"/>
      <c r="E331" s="730"/>
      <c r="F331" s="697"/>
      <c r="G331" s="698"/>
      <c r="H331" s="697"/>
      <c r="I331" s="697"/>
      <c r="J331" s="697"/>
      <c r="K331" s="697"/>
      <c r="L331" s="773"/>
      <c r="M331" s="769"/>
      <c r="N331" s="697"/>
      <c r="O331" s="700"/>
      <c r="P331" s="701"/>
      <c r="Q331" s="737"/>
      <c r="R331" s="661"/>
      <c r="S331" s="661"/>
      <c r="T331" s="661"/>
      <c r="U331" s="664"/>
      <c r="V331" s="665"/>
      <c r="W331" s="661"/>
      <c r="X331" s="661"/>
      <c r="Y331" s="661"/>
      <c r="Z331" s="661"/>
    </row>
    <row r="332" ht="18.0" customHeight="1" outlineLevel="1">
      <c r="A332" s="661"/>
      <c r="B332" s="738"/>
      <c r="C332" s="697"/>
      <c r="D332" s="697"/>
      <c r="E332" s="697"/>
      <c r="F332" s="739" t="s">
        <v>517</v>
      </c>
      <c r="G332" s="740" t="s">
        <v>682</v>
      </c>
      <c r="H332" s="741"/>
      <c r="I332" s="741"/>
      <c r="J332" s="741"/>
      <c r="K332" s="741"/>
      <c r="L332" s="740"/>
      <c r="M332" s="740"/>
      <c r="N332" s="740"/>
      <c r="O332" s="740"/>
      <c r="P332" s="740"/>
      <c r="Q332" s="742"/>
      <c r="R332" s="661"/>
      <c r="S332" s="661"/>
      <c r="T332" s="661"/>
      <c r="U332" s="664"/>
      <c r="V332" s="665"/>
      <c r="W332" s="661"/>
      <c r="X332" s="661"/>
      <c r="Y332" s="661"/>
      <c r="Z332" s="661"/>
    </row>
    <row r="333" ht="22.5" customHeight="1" outlineLevel="1">
      <c r="A333" s="661"/>
      <c r="B333" s="743"/>
      <c r="C333" s="744">
        <f>IF(C322="","",IF(DAY(C322+1)=1,"",C322+1))</f>
        <v>46111</v>
      </c>
      <c r="D333" s="745" t="str">
        <f>TEXT(C333,"ddd")</f>
        <v>月</v>
      </c>
      <c r="E333" s="746"/>
      <c r="F333" s="775" t="s">
        <v>142</v>
      </c>
      <c r="G333" s="776" t="s">
        <v>683</v>
      </c>
      <c r="H333" s="777"/>
      <c r="I333" s="778">
        <v>0.6979166666666666</v>
      </c>
      <c r="J333" s="777">
        <v>8.0</v>
      </c>
      <c r="K333" s="777">
        <v>3.0</v>
      </c>
      <c r="L333" s="755" t="s">
        <v>466</v>
      </c>
      <c r="M333" s="755" t="s">
        <v>684</v>
      </c>
      <c r="N333" s="775"/>
      <c r="O333" s="779"/>
      <c r="P333" s="771"/>
      <c r="Q333" s="772"/>
      <c r="R333" s="661"/>
      <c r="S333" s="661"/>
      <c r="T333" s="661"/>
      <c r="U333" s="664"/>
      <c r="V333" s="665"/>
      <c r="W333" s="661"/>
      <c r="X333" s="661"/>
      <c r="Y333" s="661"/>
      <c r="Z333" s="661"/>
    </row>
    <row r="334" ht="22.5" customHeight="1" outlineLevel="1">
      <c r="A334" s="661"/>
      <c r="B334" s="729"/>
      <c r="C334" s="730"/>
      <c r="D334" s="730"/>
      <c r="E334" s="730"/>
      <c r="F334" s="730"/>
      <c r="G334" s="731"/>
      <c r="H334" s="730"/>
      <c r="I334" s="730"/>
      <c r="J334" s="730"/>
      <c r="K334" s="730"/>
      <c r="L334" s="755" t="s">
        <v>468</v>
      </c>
      <c r="M334" s="755" t="s">
        <v>685</v>
      </c>
      <c r="N334" s="730"/>
      <c r="O334" s="733"/>
      <c r="Q334" s="728"/>
      <c r="R334" s="661"/>
      <c r="S334" s="661"/>
      <c r="T334" s="661"/>
      <c r="U334" s="664"/>
      <c r="V334" s="665"/>
      <c r="W334" s="661"/>
      <c r="X334" s="661"/>
      <c r="Y334" s="661"/>
      <c r="Z334" s="661"/>
    </row>
    <row r="335" ht="22.5" customHeight="1"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ht="22.5" customHeight="1"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ht="22.5" customHeight="1"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ht="22.5" customHeight="1"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ht="22.5" customHeight="1"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ht="22.5" customHeight="1"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ht="22.5" customHeight="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ht="22.5" customHeight="1"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ht="18.0" customHeight="1" outlineLevel="1">
      <c r="A343" s="661"/>
      <c r="B343" s="738"/>
      <c r="C343" s="697"/>
      <c r="D343" s="697"/>
      <c r="E343" s="697"/>
      <c r="F343" s="758" t="s">
        <v>517</v>
      </c>
      <c r="G343" s="759" t="s">
        <v>686</v>
      </c>
      <c r="H343" s="741"/>
      <c r="I343" s="741"/>
      <c r="J343" s="741"/>
      <c r="K343" s="741"/>
      <c r="L343" s="759"/>
      <c r="M343" s="759"/>
      <c r="N343" s="759"/>
      <c r="O343" s="759"/>
      <c r="P343" s="759"/>
      <c r="Q343" s="760"/>
      <c r="R343" s="661"/>
      <c r="S343" s="661"/>
      <c r="T343" s="661"/>
      <c r="U343" s="664"/>
      <c r="V343" s="665"/>
      <c r="W343" s="661"/>
      <c r="X343" s="661"/>
      <c r="Y343" s="661"/>
      <c r="Z343" s="661"/>
    </row>
    <row r="344" ht="53.25" customHeight="1" outlineLevel="1">
      <c r="A344" s="661"/>
      <c r="B344" s="761"/>
      <c r="C344" s="762">
        <f>IF(C333="","",IF(DAY(C333+1)=1,"",C333+1))</f>
        <v>46112</v>
      </c>
      <c r="D344" s="763" t="str">
        <f>TEXT(C344,"ddd")</f>
        <v>火</v>
      </c>
      <c r="E344" s="764"/>
      <c r="F344" s="765" t="s">
        <v>132</v>
      </c>
      <c r="G344" s="766" t="s">
        <v>687</v>
      </c>
      <c r="H344" s="767"/>
      <c r="I344" s="768">
        <v>0.6875</v>
      </c>
      <c r="J344" s="767">
        <v>8.0</v>
      </c>
      <c r="K344" s="767">
        <v>3.0</v>
      </c>
      <c r="L344" s="769" t="s">
        <v>476</v>
      </c>
      <c r="M344" s="769" t="s">
        <v>688</v>
      </c>
      <c r="N344" s="765"/>
      <c r="O344" s="770"/>
      <c r="P344" s="771"/>
      <c r="Q344" s="772"/>
      <c r="R344" s="661"/>
      <c r="S344" s="661"/>
      <c r="T344" s="661"/>
      <c r="U344" s="664"/>
      <c r="V344" s="665"/>
      <c r="W344" s="661"/>
      <c r="X344" s="661"/>
      <c r="Y344" s="661"/>
      <c r="Z344" s="661"/>
    </row>
    <row r="345" ht="53.25" customHeight="1" outlineLevel="1">
      <c r="A345" s="661"/>
      <c r="B345" s="729"/>
      <c r="C345" s="730"/>
      <c r="D345" s="730"/>
      <c r="E345" s="730"/>
      <c r="F345" s="730"/>
      <c r="G345" s="731"/>
      <c r="H345" s="730"/>
      <c r="I345" s="730"/>
      <c r="J345" s="730"/>
      <c r="K345" s="730"/>
      <c r="L345" s="769"/>
      <c r="M345" s="769"/>
      <c r="N345" s="730"/>
      <c r="O345" s="733"/>
      <c r="Q345" s="728"/>
      <c r="R345" s="661"/>
      <c r="S345" s="661"/>
      <c r="T345" s="661"/>
      <c r="U345" s="664"/>
      <c r="V345" s="665"/>
      <c r="W345" s="661"/>
      <c r="X345" s="661"/>
      <c r="Y345" s="661"/>
      <c r="Z345" s="661"/>
    </row>
    <row r="346" ht="53.25" customHeight="1" outlineLevel="1">
      <c r="A346" s="661"/>
      <c r="B346" s="729"/>
      <c r="C346" s="730"/>
      <c r="D346" s="730"/>
      <c r="E346" s="730"/>
      <c r="F346" s="730"/>
      <c r="G346" s="731"/>
      <c r="H346" s="730"/>
      <c r="I346" s="730"/>
      <c r="J346" s="730"/>
      <c r="K346" s="730"/>
      <c r="L346" s="769"/>
      <c r="M346" s="769"/>
      <c r="N346" s="730"/>
      <c r="O346" s="733"/>
      <c r="Q346" s="728"/>
      <c r="R346" s="661"/>
      <c r="S346" s="661"/>
      <c r="T346" s="661"/>
      <c r="U346" s="664"/>
      <c r="V346" s="665"/>
      <c r="W346" s="661"/>
      <c r="X346" s="661"/>
      <c r="Y346" s="661"/>
      <c r="Z346" s="661"/>
    </row>
    <row r="347" ht="53.25" customHeight="1" outlineLevel="1">
      <c r="A347" s="661"/>
      <c r="B347" s="729"/>
      <c r="C347" s="730"/>
      <c r="D347" s="730"/>
      <c r="E347" s="730"/>
      <c r="F347" s="730"/>
      <c r="G347" s="731"/>
      <c r="H347" s="730"/>
      <c r="I347" s="730"/>
      <c r="J347" s="730"/>
      <c r="K347" s="730"/>
      <c r="L347" s="773"/>
      <c r="M347" s="769"/>
      <c r="N347" s="730"/>
      <c r="O347" s="733"/>
      <c r="Q347" s="728"/>
      <c r="R347" s="661"/>
      <c r="S347" s="661"/>
      <c r="T347" s="661"/>
      <c r="U347" s="664"/>
      <c r="V347" s="665"/>
      <c r="W347" s="661"/>
      <c r="X347" s="661"/>
      <c r="Y347" s="661"/>
      <c r="Z347" s="661"/>
    </row>
    <row r="348" ht="53.25" customHeight="1" outlineLevel="1">
      <c r="A348" s="661"/>
      <c r="B348" s="729"/>
      <c r="C348" s="730"/>
      <c r="D348" s="730"/>
      <c r="E348" s="730"/>
      <c r="F348" s="730"/>
      <c r="G348" s="731"/>
      <c r="H348" s="730"/>
      <c r="I348" s="730"/>
      <c r="J348" s="730"/>
      <c r="K348" s="730"/>
      <c r="L348" s="773"/>
      <c r="M348" s="769"/>
      <c r="N348" s="730"/>
      <c r="O348" s="733"/>
      <c r="Q348" s="728"/>
      <c r="R348" s="661"/>
      <c r="S348" s="661"/>
      <c r="T348" s="661"/>
      <c r="U348" s="664"/>
      <c r="V348" s="665"/>
      <c r="W348" s="661"/>
      <c r="X348" s="661"/>
      <c r="Y348" s="661"/>
      <c r="Z348" s="661"/>
    </row>
    <row r="349" ht="53.25" customHeight="1" outlineLevel="1">
      <c r="A349" s="661"/>
      <c r="B349" s="729"/>
      <c r="C349" s="730"/>
      <c r="D349" s="730"/>
      <c r="E349" s="730"/>
      <c r="F349" s="730"/>
      <c r="G349" s="731"/>
      <c r="H349" s="730"/>
      <c r="I349" s="730"/>
      <c r="J349" s="730"/>
      <c r="K349" s="730"/>
      <c r="L349" s="773"/>
      <c r="M349" s="769"/>
      <c r="N349" s="730"/>
      <c r="O349" s="733"/>
      <c r="Q349" s="728"/>
      <c r="R349" s="661"/>
      <c r="S349" s="661"/>
      <c r="T349" s="661"/>
      <c r="U349" s="664"/>
      <c r="V349" s="665"/>
      <c r="W349" s="661"/>
      <c r="X349" s="661"/>
      <c r="Y349" s="661"/>
      <c r="Z349" s="661"/>
    </row>
    <row r="350" ht="53.25" customHeight="1" outlineLevel="1">
      <c r="A350" s="661"/>
      <c r="B350" s="729"/>
      <c r="C350" s="730"/>
      <c r="D350" s="730"/>
      <c r="E350" s="730"/>
      <c r="F350" s="730"/>
      <c r="G350" s="731"/>
      <c r="H350" s="730"/>
      <c r="I350" s="730"/>
      <c r="J350" s="730"/>
      <c r="K350" s="730"/>
      <c r="L350" s="773"/>
      <c r="M350" s="769"/>
      <c r="N350" s="730"/>
      <c r="O350" s="733"/>
      <c r="Q350" s="728"/>
      <c r="R350" s="661"/>
      <c r="S350" s="661"/>
      <c r="T350" s="661"/>
      <c r="U350" s="664"/>
      <c r="V350" s="665"/>
      <c r="W350" s="661"/>
      <c r="X350" s="661"/>
      <c r="Y350" s="661"/>
      <c r="Z350" s="661"/>
    </row>
    <row r="351" ht="53.25" customHeight="1" outlineLevel="1">
      <c r="A351" s="661"/>
      <c r="B351" s="729"/>
      <c r="C351" s="730"/>
      <c r="D351" s="730"/>
      <c r="E351" s="730"/>
      <c r="F351" s="730"/>
      <c r="G351" s="731"/>
      <c r="H351" s="730"/>
      <c r="I351" s="730"/>
      <c r="J351" s="730"/>
      <c r="K351" s="730"/>
      <c r="L351" s="773"/>
      <c r="M351" s="769"/>
      <c r="N351" s="730"/>
      <c r="O351" s="733"/>
      <c r="Q351" s="728"/>
      <c r="R351" s="661"/>
      <c r="S351" s="661"/>
      <c r="T351" s="661"/>
      <c r="U351" s="664"/>
      <c r="V351" s="665"/>
      <c r="W351" s="661"/>
      <c r="X351" s="661"/>
      <c r="Y351" s="661"/>
      <c r="Z351" s="661"/>
    </row>
    <row r="352" ht="53.25" customHeight="1" outlineLevel="1">
      <c r="A352" s="661"/>
      <c r="B352" s="729"/>
      <c r="C352" s="730"/>
      <c r="D352" s="730"/>
      <c r="E352" s="730"/>
      <c r="F352" s="730"/>
      <c r="G352" s="731"/>
      <c r="H352" s="730"/>
      <c r="I352" s="730"/>
      <c r="J352" s="730"/>
      <c r="K352" s="730"/>
      <c r="L352" s="773"/>
      <c r="M352" s="769"/>
      <c r="N352" s="730"/>
      <c r="O352" s="733"/>
      <c r="Q352" s="728"/>
      <c r="R352" s="661"/>
      <c r="S352" s="661"/>
      <c r="T352" s="661"/>
      <c r="U352" s="664"/>
      <c r="V352" s="665"/>
      <c r="W352" s="661"/>
      <c r="X352" s="661"/>
      <c r="Y352" s="661"/>
      <c r="Z352" s="661"/>
    </row>
    <row r="353" ht="53.25" customHeight="1" outlineLevel="1">
      <c r="A353" s="661"/>
      <c r="B353" s="729"/>
      <c r="C353" s="730"/>
      <c r="D353" s="730"/>
      <c r="E353" s="730"/>
      <c r="F353" s="697"/>
      <c r="G353" s="698"/>
      <c r="H353" s="697"/>
      <c r="I353" s="697"/>
      <c r="J353" s="697"/>
      <c r="K353" s="697"/>
      <c r="L353" s="773"/>
      <c r="M353" s="769"/>
      <c r="N353" s="697"/>
      <c r="O353" s="700"/>
      <c r="P353" s="701"/>
      <c r="Q353" s="737"/>
      <c r="R353" s="661"/>
      <c r="S353" s="661"/>
      <c r="T353" s="661"/>
      <c r="U353" s="664"/>
      <c r="V353" s="665"/>
      <c r="W353" s="661"/>
      <c r="X353" s="661"/>
      <c r="Y353" s="661"/>
      <c r="Z353" s="661"/>
    </row>
    <row r="354" ht="18.0" customHeight="1" outlineLevel="1">
      <c r="A354" s="661"/>
      <c r="B354" s="789"/>
      <c r="C354" s="790"/>
      <c r="D354" s="790"/>
      <c r="E354" s="790"/>
      <c r="F354" s="791" t="s">
        <v>517</v>
      </c>
      <c r="G354" s="792" t="s">
        <v>689</v>
      </c>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574360543" ref="V15"/>
    <hyperlink r:id="rId11" location="gid=1297144717" ref="V16"/>
    <hyperlink r:id="rId12" location="gid=1389092672" ref="V17"/>
    <hyperlink r:id="rId13" location="gid=1651039724" ref="V18"/>
    <hyperlink r:id="rId14" location="gid=1601559799" ref="V19"/>
    <hyperlink r:id="rId15" location="gid=1299007814" ref="V20"/>
    <hyperlink r:id="rId16" location="gid=1626253560" ref="V21"/>
    <hyperlink r:id="rId17" location="gid=447200588" ref="V22"/>
    <hyperlink r:id="rId18" location="gid=1241498263" ref="V23"/>
    <hyperlink r:id="rId19" location="gid=706079354" ref="V24"/>
    <hyperlink r:id="rId20" location="gid=292497182" ref="V25"/>
    <hyperlink r:id="rId21" location="gid=2137010562" ref="V26"/>
    <hyperlink r:id="rId22" location="gid=879781303" ref="V27"/>
    <hyperlink r:id="rId23" location="gid=134143724" ref="V28"/>
    <hyperlink r:id="rId24" location="gid=30515264" ref="V29"/>
    <hyperlink r:id="rId25" location="gid=56211455" ref="V30"/>
    <hyperlink r:id="rId26" location="gid=569583776" ref="V31"/>
    <hyperlink r:id="rId27" location="gid=466686637" ref="V32"/>
    <hyperlink r:id="rId28" location="gid=1101850425" ref="V33"/>
    <hyperlink r:id="rId29" location="gid=1636820167" ref="V34"/>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527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528</v>
      </c>
      <c r="C4" s="806"/>
      <c r="D4" s="807" t="s">
        <v>529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t="s">
        <v>132</v>
      </c>
      <c r="E5" s="811" t="b">
        <v>1</v>
      </c>
      <c r="F5" s="809" t="s">
        <v>530</v>
      </c>
      <c r="G5" s="812"/>
      <c r="H5" s="813" t="b">
        <v>0</v>
      </c>
      <c r="J5" s="814"/>
      <c r="K5" s="798"/>
      <c r="L5" s="815" t="s">
        <v>531</v>
      </c>
      <c r="T5" s="814"/>
      <c r="U5" s="816" t="s">
        <v>532</v>
      </c>
      <c r="AC5" s="799"/>
      <c r="AD5" s="817" t="s">
        <v>96</v>
      </c>
      <c r="AE5" s="817" t="s">
        <v>533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534</v>
      </c>
      <c r="M7" s="236"/>
      <c r="N7" s="236"/>
      <c r="O7" s="236"/>
      <c r="P7" s="236"/>
      <c r="Q7" s="236"/>
      <c r="R7" s="236"/>
      <c r="S7" s="113"/>
      <c r="T7" s="821" t="s">
        <v>535</v>
      </c>
      <c r="U7" s="822" t="s">
        <v>536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537</v>
      </c>
      <c r="C8" s="824"/>
      <c r="D8" s="825" t="s">
        <v>51</v>
      </c>
      <c r="E8" s="826" t="str">
        <f>IFERROR(__xludf.DUMMYFUNCTION("IFERROR(INDEX(FILTER($AE$6:$AE$200, $AD$6:$AD$200=$B$5, REGEXMATCH($AE$6:$AE$200, ""集計"")), 1), """")
"),"①R8_3集計")</f>
        <v>①R8_3集計</v>
      </c>
      <c r="F8" s="526"/>
      <c r="G8" s="223"/>
      <c r="H8" s="223"/>
      <c r="I8" s="200"/>
      <c r="J8" s="814"/>
      <c r="K8" s="798"/>
      <c r="L8" s="827" t="s">
        <v>690</v>
      </c>
      <c r="M8" s="247"/>
      <c r="N8" s="247"/>
      <c r="O8" s="247"/>
      <c r="P8" s="247"/>
      <c r="Q8" s="247"/>
      <c r="R8" s="247"/>
      <c r="S8" s="250"/>
      <c r="U8" s="827" t="s">
        <v>691</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0.2466111505</v>
      </c>
      <c r="D10" s="833">
        <f t="array" ref="D10">INDIRECT($E$8 &amp; "!E8")</f>
        <v>0.6012856815</v>
      </c>
      <c r="E10" s="833">
        <f t="array" ref="E10">INDIRECT($E$8 &amp; "!G8")</f>
        <v>0.8882949309</v>
      </c>
      <c r="F10" s="834">
        <f t="array" ref="F10">INDIRECT($E$8 &amp; "!H8")</f>
        <v>5290320</v>
      </c>
      <c r="G10" s="834">
        <f t="array" ref="G10">INDIRECT($E$8 &amp; "!K8")</f>
        <v>0</v>
      </c>
      <c r="H10" s="834">
        <f t="array" ref="H10">INDIRECT($E$8 &amp; "!M8")</f>
        <v>1304651.902</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538</v>
      </c>
      <c r="C13" s="844"/>
      <c r="D13" s="845" t="s">
        <v>51</v>
      </c>
      <c r="E13" s="846" t="s">
        <v>539</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541</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542</v>
      </c>
      <c r="C20" s="830" t="s">
        <v>543</v>
      </c>
      <c r="D20" s="830" t="s">
        <v>89</v>
      </c>
      <c r="E20" s="830" t="s">
        <v>90</v>
      </c>
      <c r="F20" s="830" t="s">
        <v>544</v>
      </c>
      <c r="G20" s="830" t="s">
        <v>574</v>
      </c>
      <c r="H20" s="830" t="s">
        <v>135</v>
      </c>
      <c r="I20" s="830" t="s">
        <v>545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546</v>
      </c>
      <c r="M21" s="232"/>
      <c r="N21" s="232"/>
      <c r="O21" s="232"/>
      <c r="P21" s="232"/>
      <c r="Q21" s="232"/>
      <c r="R21" s="232"/>
      <c r="S21" s="3"/>
      <c r="T21" s="821" t="s">
        <v>535</v>
      </c>
      <c r="U21" s="822" t="s">
        <v>547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692</v>
      </c>
      <c r="M22" s="247"/>
      <c r="N22" s="247"/>
      <c r="O22" s="247"/>
      <c r="P22" s="247"/>
      <c r="Q22" s="247"/>
      <c r="R22" s="247"/>
      <c r="S22" s="250"/>
      <c r="U22" s="827" t="s">
        <v>693</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548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549</v>
      </c>
      <c r="C25" s="870" t="s">
        <v>550</v>
      </c>
      <c r="D25" s="3"/>
      <c r="E25" s="870" t="s">
        <v>551</v>
      </c>
      <c r="F25" s="232"/>
      <c r="G25" s="232"/>
      <c r="H25" s="870" t="s">
        <v>552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694</v>
      </c>
      <c r="C26" s="872" t="s">
        <v>90</v>
      </c>
      <c r="D26" s="3"/>
      <c r="E26" s="872" t="s">
        <v>695</v>
      </c>
      <c r="F26" s="232"/>
      <c r="G26" s="232"/>
      <c r="H26" s="873" t="s">
        <v>696</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553</v>
      </c>
      <c r="M35" s="232"/>
      <c r="N35" s="232"/>
      <c r="O35" s="232"/>
      <c r="P35" s="232"/>
      <c r="Q35" s="232"/>
      <c r="R35" s="232"/>
      <c r="S35" s="3"/>
      <c r="T35" s="821" t="s">
        <v>535</v>
      </c>
      <c r="U35" s="822" t="s">
        <v>553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697</v>
      </c>
      <c r="M36" s="247"/>
      <c r="N36" s="247"/>
      <c r="O36" s="247"/>
      <c r="P36" s="247"/>
      <c r="Q36" s="247"/>
      <c r="R36" s="247"/>
      <c r="S36" s="250"/>
      <c r="U36" s="827" t="s">
        <v>698</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554</v>
      </c>
      <c r="C37" s="877"/>
      <c r="D37" s="878">
        <f>counta(C39:D48)</f>
        <v>8</v>
      </c>
      <c r="E37" s="879" t="s">
        <v>555</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551</v>
      </c>
      <c r="F38" s="883"/>
      <c r="G38" s="882" t="s">
        <v>556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1">
        <v>46083.0</v>
      </c>
      <c r="C39" s="886" t="s">
        <v>699</v>
      </c>
      <c r="D39" s="883"/>
      <c r="E39" s="887" t="s">
        <v>700</v>
      </c>
      <c r="F39" s="883"/>
      <c r="G39" s="932"/>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1">
        <v>46086.0</v>
      </c>
      <c r="C40" s="886" t="s">
        <v>701</v>
      </c>
      <c r="D40" s="883"/>
      <c r="E40" s="887" t="s">
        <v>702</v>
      </c>
      <c r="F40" s="883"/>
      <c r="G40" s="932" t="s">
        <v>703</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1">
        <v>46090.0</v>
      </c>
      <c r="C41" s="886" t="s">
        <v>478</v>
      </c>
      <c r="D41" s="883"/>
      <c r="E41" s="887" t="s">
        <v>700</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1">
        <v>46097.0</v>
      </c>
      <c r="C42" s="886" t="s">
        <v>704</v>
      </c>
      <c r="D42" s="883"/>
      <c r="E42" s="887" t="s">
        <v>705</v>
      </c>
      <c r="F42" s="883"/>
      <c r="G42" s="932" t="s">
        <v>706</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1">
        <v>46098.0</v>
      </c>
      <c r="C43" s="886" t="s">
        <v>707</v>
      </c>
      <c r="D43" s="883"/>
      <c r="E43" s="887" t="s">
        <v>705</v>
      </c>
      <c r="F43" s="883"/>
      <c r="G43" s="932" t="s">
        <v>708</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1">
        <v>46098.0</v>
      </c>
      <c r="C44" s="886" t="s">
        <v>709</v>
      </c>
      <c r="D44" s="883"/>
      <c r="E44" s="887" t="s">
        <v>700</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1">
        <v>46104.0</v>
      </c>
      <c r="C45" s="886" t="s">
        <v>710</v>
      </c>
      <c r="D45" s="883"/>
      <c r="E45" s="887" t="s">
        <v>705</v>
      </c>
      <c r="F45" s="883"/>
      <c r="G45" s="932" t="s">
        <v>711</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1">
        <v>46104.0</v>
      </c>
      <c r="C46" s="886" t="s">
        <v>485</v>
      </c>
      <c r="D46" s="883"/>
      <c r="E46" s="887" t="s">
        <v>712</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557</v>
      </c>
      <c r="M49" s="232"/>
      <c r="N49" s="232"/>
      <c r="O49" s="232"/>
      <c r="P49" s="232"/>
      <c r="Q49" s="232"/>
      <c r="R49" s="232"/>
      <c r="S49" s="3"/>
      <c r="T49" s="821" t="s">
        <v>535</v>
      </c>
      <c r="U49" s="822" t="s">
        <v>558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559</v>
      </c>
      <c r="C50" s="896"/>
      <c r="D50" s="897">
        <f>COUNTA(C52:D62)</f>
        <v>2</v>
      </c>
      <c r="E50" s="860"/>
      <c r="F50" s="860"/>
      <c r="G50" s="860"/>
      <c r="H50" s="860"/>
      <c r="I50" s="799"/>
      <c r="J50" s="799"/>
      <c r="K50" s="798"/>
      <c r="L50" s="827" t="s">
        <v>713</v>
      </c>
      <c r="M50" s="247"/>
      <c r="N50" s="247"/>
      <c r="O50" s="247"/>
      <c r="P50" s="247"/>
      <c r="Q50" s="247"/>
      <c r="R50" s="247"/>
      <c r="S50" s="250"/>
      <c r="U50" s="827" t="s">
        <v>714</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560</v>
      </c>
      <c r="C51" s="882" t="s">
        <v>433</v>
      </c>
      <c r="D51" s="883"/>
      <c r="E51" s="881" t="s">
        <v>561</v>
      </c>
      <c r="F51" s="881" t="s">
        <v>562</v>
      </c>
      <c r="G51" s="881" t="s">
        <v>563</v>
      </c>
      <c r="H51" s="882" t="s">
        <v>564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481</v>
      </c>
      <c r="D52" s="883"/>
      <c r="E52" s="933">
        <v>46094.0</v>
      </c>
      <c r="F52" s="900" t="s">
        <v>715</v>
      </c>
      <c r="G52" s="900" t="s">
        <v>716</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482</v>
      </c>
      <c r="D53" s="883"/>
      <c r="E53" s="933">
        <v>46098.0</v>
      </c>
      <c r="F53" s="900" t="s">
        <v>715</v>
      </c>
      <c r="G53" s="900" t="s">
        <v>717</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565</v>
      </c>
      <c r="M63" s="232"/>
      <c r="N63" s="232"/>
      <c r="O63" s="232"/>
      <c r="P63" s="232"/>
      <c r="Q63" s="232"/>
      <c r="R63" s="232"/>
      <c r="S63" s="3"/>
      <c r="T63" s="821" t="s">
        <v>535</v>
      </c>
      <c r="U63" s="822" t="s">
        <v>566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567</v>
      </c>
      <c r="C64" s="903"/>
      <c r="D64" s="897">
        <f>COUNTA(C66:D76)</f>
        <v>2</v>
      </c>
      <c r="E64" s="860"/>
      <c r="F64" s="860"/>
      <c r="G64" s="860"/>
      <c r="H64" s="860"/>
      <c r="I64" s="860"/>
      <c r="J64" s="799"/>
      <c r="K64" s="798"/>
      <c r="L64" s="827" t="s">
        <v>718</v>
      </c>
      <c r="M64" s="247"/>
      <c r="N64" s="247"/>
      <c r="O64" s="247"/>
      <c r="P64" s="247"/>
      <c r="Q64" s="247"/>
      <c r="R64" s="247"/>
      <c r="S64" s="250"/>
      <c r="U64" s="827" t="s">
        <v>719</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560</v>
      </c>
      <c r="C65" s="882" t="s">
        <v>433</v>
      </c>
      <c r="D65" s="883"/>
      <c r="E65" s="881" t="s">
        <v>568</v>
      </c>
      <c r="F65" s="882" t="s">
        <v>569</v>
      </c>
      <c r="G65" s="883"/>
      <c r="H65" s="882" t="s">
        <v>564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4">
        <v>1187.0</v>
      </c>
      <c r="C66" s="886" t="s">
        <v>720</v>
      </c>
      <c r="D66" s="883"/>
      <c r="E66" s="935">
        <v>46112.0</v>
      </c>
      <c r="F66" s="932" t="s">
        <v>721</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4">
        <v>2340.0</v>
      </c>
      <c r="C67" s="886" t="s">
        <v>521</v>
      </c>
      <c r="D67" s="883"/>
      <c r="E67" s="935">
        <v>46112.0</v>
      </c>
      <c r="F67" s="932" t="s">
        <v>722</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570</v>
      </c>
      <c r="M77" s="232"/>
      <c r="N77" s="232"/>
      <c r="O77" s="232"/>
      <c r="P77" s="232"/>
      <c r="Q77" s="232"/>
      <c r="R77" s="232"/>
      <c r="S77" s="3"/>
      <c r="T77" s="814"/>
      <c r="U77" s="906" t="s">
        <v>571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723</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573</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573</v>
      </c>
      <c r="B14" s="417" t="b">
        <v>0</v>
      </c>
      <c r="C14" s="400">
        <f t="shared" ref="C14:C43" si="8">IF(C13="","",IF(DAY(C13+1)=1,"",C13+1))</f>
        <v>46055</v>
      </c>
      <c r="D14" s="401" t="str">
        <f t="shared" si="2"/>
        <v>月</v>
      </c>
      <c r="E14" s="910">
        <v>175.0</v>
      </c>
      <c r="F14" s="401">
        <f t="shared" si="3"/>
        <v>135</v>
      </c>
      <c r="G14" s="401">
        <f t="shared" si="4"/>
        <v>127</v>
      </c>
      <c r="H14" s="418">
        <v>58.0</v>
      </c>
      <c r="I14" s="418">
        <v>6.0</v>
      </c>
      <c r="J14" s="418">
        <v>20.0</v>
      </c>
      <c r="K14" s="418">
        <v>43.0</v>
      </c>
      <c r="L14" s="418">
        <v>8.0</v>
      </c>
      <c r="M14" s="418">
        <v>31.0</v>
      </c>
      <c r="N14" s="418">
        <v>26.0</v>
      </c>
      <c r="O14" s="418">
        <v>9.0</v>
      </c>
      <c r="P14" s="418">
        <v>0.0</v>
      </c>
      <c r="Q14" s="418">
        <v>10.0</v>
      </c>
      <c r="R14" s="418">
        <v>0.0</v>
      </c>
      <c r="S14" s="418">
        <v>0.0</v>
      </c>
      <c r="T14" s="418">
        <v>1.0</v>
      </c>
      <c r="U14" s="418">
        <v>1.0</v>
      </c>
      <c r="V14" s="418">
        <v>0.0</v>
      </c>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1" t="s">
        <v>100</v>
      </c>
      <c r="AZ14" s="422"/>
      <c r="BA14" s="422"/>
      <c r="BB14" s="423"/>
      <c r="BC14" s="315"/>
      <c r="BD14" s="421"/>
      <c r="BE14" s="425"/>
      <c r="BF14" s="422"/>
      <c r="BG14" s="426"/>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573</v>
      </c>
      <c r="B15" s="399" t="b">
        <v>0</v>
      </c>
      <c r="C15" s="400">
        <f t="shared" si="8"/>
        <v>46056</v>
      </c>
      <c r="D15" s="401" t="str">
        <f t="shared" si="2"/>
        <v>火</v>
      </c>
      <c r="E15" s="910">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1" t="s">
        <v>142</v>
      </c>
      <c r="AZ15" s="422"/>
      <c r="BA15" s="422"/>
      <c r="BB15" s="423"/>
      <c r="BC15" s="315"/>
      <c r="BD15" s="424"/>
      <c r="BE15" s="422"/>
      <c r="BF15" s="422"/>
      <c r="BG15" s="423"/>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573</v>
      </c>
      <c r="B16" s="417" t="b">
        <v>0</v>
      </c>
      <c r="C16" s="400">
        <f t="shared" si="8"/>
        <v>46057</v>
      </c>
      <c r="D16" s="401" t="str">
        <f t="shared" si="2"/>
        <v>水</v>
      </c>
      <c r="E16" s="910">
        <v>175.0</v>
      </c>
      <c r="F16" s="401">
        <f t="shared" si="3"/>
        <v>141</v>
      </c>
      <c r="G16" s="401">
        <f t="shared" si="4"/>
        <v>134</v>
      </c>
      <c r="H16" s="418">
        <v>66.0</v>
      </c>
      <c r="I16" s="418">
        <v>7.0</v>
      </c>
      <c r="J16" s="418">
        <v>18.0</v>
      </c>
      <c r="K16" s="418">
        <v>43.0</v>
      </c>
      <c r="L16" s="418">
        <v>7.0</v>
      </c>
      <c r="M16" s="418">
        <v>32.0</v>
      </c>
      <c r="N16" s="418">
        <v>29.0</v>
      </c>
      <c r="O16" s="418">
        <v>11.0</v>
      </c>
      <c r="P16" s="418">
        <v>0.0</v>
      </c>
      <c r="Q16" s="418">
        <v>9.0</v>
      </c>
      <c r="R16" s="418">
        <v>1.0</v>
      </c>
      <c r="S16" s="418">
        <v>0.0</v>
      </c>
      <c r="T16" s="418">
        <v>1.0</v>
      </c>
      <c r="U16" s="418">
        <v>1.0</v>
      </c>
      <c r="V16" s="418">
        <v>0.0</v>
      </c>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1" t="s">
        <v>119</v>
      </c>
      <c r="AZ16" s="422"/>
      <c r="BA16" s="422"/>
      <c r="BB16" s="423"/>
      <c r="BC16" s="315"/>
      <c r="BD16" s="424"/>
      <c r="BE16" s="422"/>
      <c r="BF16" s="422"/>
      <c r="BG16" s="423"/>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573</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1" t="s">
        <v>132</v>
      </c>
      <c r="AZ17" s="425">
        <v>6150.0</v>
      </c>
      <c r="BA17" s="422"/>
      <c r="BB17" s="426" t="s">
        <v>574</v>
      </c>
      <c r="BC17" s="315"/>
      <c r="BD17" s="424"/>
      <c r="BE17" s="422"/>
      <c r="BF17" s="422"/>
      <c r="BG17" s="423"/>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573</v>
      </c>
      <c r="B18" s="417" t="b">
        <v>0</v>
      </c>
      <c r="C18" s="400">
        <f t="shared" si="8"/>
        <v>46059</v>
      </c>
      <c r="D18" s="401" t="str">
        <f t="shared" si="2"/>
        <v>金</v>
      </c>
      <c r="E18" s="910">
        <v>175.0</v>
      </c>
      <c r="F18" s="401">
        <f t="shared" si="3"/>
        <v>166</v>
      </c>
      <c r="G18" s="401">
        <f t="shared" si="4"/>
        <v>162</v>
      </c>
      <c r="H18" s="418">
        <v>80.0</v>
      </c>
      <c r="I18" s="418">
        <v>9.0</v>
      </c>
      <c r="J18" s="418">
        <v>26.0</v>
      </c>
      <c r="K18" s="418">
        <v>47.0</v>
      </c>
      <c r="L18" s="418">
        <v>4.0</v>
      </c>
      <c r="M18" s="418">
        <v>0.0</v>
      </c>
      <c r="N18" s="418">
        <v>0.0</v>
      </c>
      <c r="O18" s="418">
        <v>6.0</v>
      </c>
      <c r="P18" s="418">
        <v>0.0</v>
      </c>
      <c r="Q18" s="418">
        <v>10.0</v>
      </c>
      <c r="R18" s="418">
        <v>0.0</v>
      </c>
      <c r="S18" s="418">
        <v>0.0</v>
      </c>
      <c r="T18" s="418">
        <v>1.0</v>
      </c>
      <c r="U18" s="418">
        <v>1.0</v>
      </c>
      <c r="V18" s="418">
        <v>0.0</v>
      </c>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4"/>
      <c r="AZ18" s="422"/>
      <c r="BA18" s="422"/>
      <c r="BB18" s="423"/>
      <c r="BC18" s="315"/>
      <c r="BD18" s="424"/>
      <c r="BE18" s="422"/>
      <c r="BF18" s="422"/>
      <c r="BG18" s="423"/>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573</v>
      </c>
      <c r="B19" s="427"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8"/>
      <c r="AZ19" s="429"/>
      <c r="BA19" s="429"/>
      <c r="BB19" s="430"/>
      <c r="BC19" s="315"/>
      <c r="BD19" s="428"/>
      <c r="BE19" s="429"/>
      <c r="BF19" s="429"/>
      <c r="BG19" s="430"/>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573</v>
      </c>
      <c r="B20" s="431" t="b">
        <v>0</v>
      </c>
      <c r="C20" s="400">
        <f t="shared" si="8"/>
        <v>46061</v>
      </c>
      <c r="D20" s="401" t="str">
        <f t="shared" si="2"/>
        <v>日</v>
      </c>
      <c r="E20" s="401">
        <f t="shared" si="9"/>
        <v>175</v>
      </c>
      <c r="F20" s="401">
        <f t="shared" si="3"/>
        <v>168</v>
      </c>
      <c r="G20" s="401">
        <f t="shared" si="4"/>
        <v>162</v>
      </c>
      <c r="H20" s="418">
        <v>98.0</v>
      </c>
      <c r="I20" s="418">
        <v>7.0</v>
      </c>
      <c r="J20" s="418">
        <v>25.0</v>
      </c>
      <c r="K20" s="418">
        <v>32.0</v>
      </c>
      <c r="L20" s="418">
        <v>6.0</v>
      </c>
      <c r="M20" s="418">
        <v>0.0</v>
      </c>
      <c r="N20" s="418">
        <v>45.0</v>
      </c>
      <c r="O20" s="418">
        <v>11.0</v>
      </c>
      <c r="P20" s="418">
        <v>0.0</v>
      </c>
      <c r="Q20" s="418">
        <v>8.0</v>
      </c>
      <c r="R20" s="418">
        <v>0.0</v>
      </c>
      <c r="S20" s="418">
        <v>0.0</v>
      </c>
      <c r="T20" s="418">
        <v>1.0</v>
      </c>
      <c r="U20" s="418">
        <v>1.0</v>
      </c>
      <c r="V20" s="418">
        <v>4.0</v>
      </c>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2" t="s">
        <v>344</v>
      </c>
      <c r="AZ20" s="433">
        <f>IFERROR(__xludf.DUMMYFUNCTION("IMPORTRANGE(""https://docs.google.com/spreadsheets/d/1QbHfX9wvC_RRupa4CCe_ZxA6O4e2Ap9vqX5hrZPeQRg/edit?gid=284905409#gid=284905409"",""date2_1!B17"")/G5*COUNTIFS($E$13:$E$43,""&gt;0"")+sum(AZ14:BA19)"),853150.0)</f>
        <v>853150</v>
      </c>
      <c r="BA20" s="434"/>
      <c r="BB20" s="435"/>
      <c r="BC20" s="315"/>
      <c r="BD20" s="432" t="s">
        <v>344</v>
      </c>
      <c r="BE20" s="433">
        <f>sum(BE14:BF19)</f>
        <v>0</v>
      </c>
      <c r="BF20" s="434"/>
      <c r="BG20" s="435"/>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573</v>
      </c>
      <c r="B21" s="427"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573</v>
      </c>
      <c r="B22" s="431" t="b">
        <v>0</v>
      </c>
      <c r="C22" s="400">
        <f t="shared" si="8"/>
        <v>46063</v>
      </c>
      <c r="D22" s="401" t="str">
        <f t="shared" si="2"/>
        <v>火</v>
      </c>
      <c r="E22" s="401">
        <f t="shared" si="9"/>
        <v>175</v>
      </c>
      <c r="F22" s="401">
        <f t="shared" si="3"/>
        <v>149</v>
      </c>
      <c r="G22" s="401">
        <f t="shared" si="4"/>
        <v>141</v>
      </c>
      <c r="H22" s="418">
        <v>68.0</v>
      </c>
      <c r="I22" s="418">
        <v>10.0</v>
      </c>
      <c r="J22" s="418">
        <v>17.0</v>
      </c>
      <c r="K22" s="418">
        <v>46.0</v>
      </c>
      <c r="L22" s="418">
        <v>8.0</v>
      </c>
      <c r="M22" s="418">
        <v>11.0</v>
      </c>
      <c r="N22" s="418">
        <v>35.0</v>
      </c>
      <c r="O22" s="418">
        <v>6.0</v>
      </c>
      <c r="P22" s="418">
        <v>0.0</v>
      </c>
      <c r="Q22" s="418">
        <v>0.0</v>
      </c>
      <c r="R22" s="418">
        <v>0.0</v>
      </c>
      <c r="S22" s="418">
        <v>0.0</v>
      </c>
      <c r="T22" s="418">
        <v>1.0</v>
      </c>
      <c r="U22" s="418">
        <v>1.0</v>
      </c>
      <c r="V22" s="418">
        <v>0.0</v>
      </c>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6" t="s">
        <v>345</v>
      </c>
      <c r="AZ22" s="437"/>
      <c r="BA22" s="437"/>
      <c r="BB22" s="438" t="s">
        <v>346</v>
      </c>
      <c r="BC22" s="329"/>
      <c r="BD22" s="439"/>
      <c r="BE22" s="438" t="s">
        <v>347</v>
      </c>
      <c r="BF22" s="438" t="s">
        <v>348</v>
      </c>
      <c r="BG22" s="438"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573</v>
      </c>
      <c r="B23" s="427" t="b">
        <v>0</v>
      </c>
      <c r="C23" s="400">
        <f t="shared" si="8"/>
        <v>46064</v>
      </c>
      <c r="D23" s="401" t="str">
        <f t="shared" si="2"/>
        <v>水</v>
      </c>
      <c r="E23" s="910">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0" t="s">
        <v>349</v>
      </c>
      <c r="AZ23" s="441">
        <f>AR44</f>
        <v>0</v>
      </c>
      <c r="BA23" s="77"/>
      <c r="BB23" s="442">
        <f>AZ23-AZ24</f>
        <v>0</v>
      </c>
      <c r="BC23" s="315"/>
      <c r="BD23" s="443" t="s">
        <v>350</v>
      </c>
      <c r="BE23" s="444">
        <f>IFERROR(__xludf.DUMMYFUNCTION("IMPORTRANGE(AT9,""total!ai2"")"),2854202.833333333)</f>
        <v>2854202.833</v>
      </c>
      <c r="BF23" s="444">
        <f>IFERROR(__xludf.DUMMYFUNCTION("IMPORTRANGE(AT9,""total!an2"")"),211287.0)</f>
        <v>211287</v>
      </c>
      <c r="BG23" s="442">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573</v>
      </c>
      <c r="B24" s="431" t="b">
        <v>0</v>
      </c>
      <c r="C24" s="400">
        <f t="shared" si="8"/>
        <v>46065</v>
      </c>
      <c r="D24" s="401" t="str">
        <f t="shared" si="2"/>
        <v>木</v>
      </c>
      <c r="E24" s="910">
        <v>175.0</v>
      </c>
      <c r="F24" s="401">
        <f t="shared" si="3"/>
        <v>143</v>
      </c>
      <c r="G24" s="401">
        <f t="shared" si="4"/>
        <v>136</v>
      </c>
      <c r="H24" s="418">
        <v>69.0</v>
      </c>
      <c r="I24" s="418">
        <v>7.0</v>
      </c>
      <c r="J24" s="418">
        <v>23.0</v>
      </c>
      <c r="K24" s="418">
        <v>37.0</v>
      </c>
      <c r="L24" s="418">
        <v>7.0</v>
      </c>
      <c r="M24" s="418">
        <v>27.0</v>
      </c>
      <c r="N24" s="418">
        <v>31.0</v>
      </c>
      <c r="O24" s="418">
        <v>10.0</v>
      </c>
      <c r="P24" s="418">
        <v>0.0</v>
      </c>
      <c r="Q24" s="418">
        <v>6.0</v>
      </c>
      <c r="R24" s="418">
        <v>0.0</v>
      </c>
      <c r="S24" s="418">
        <v>0.0</v>
      </c>
      <c r="T24" s="418">
        <v>1.0</v>
      </c>
      <c r="U24" s="418">
        <v>1.0</v>
      </c>
      <c r="V24" s="418">
        <v>0.0</v>
      </c>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0" t="s">
        <v>351</v>
      </c>
      <c r="AZ24" s="441">
        <f>BE36</f>
        <v>0</v>
      </c>
      <c r="BA24" s="77"/>
      <c r="BB24" s="445"/>
      <c r="BC24" s="315"/>
      <c r="BD24" s="440" t="s">
        <v>352</v>
      </c>
      <c r="BE24" s="441">
        <f>IFERROR(__xludf.DUMMYFUNCTION("IMPORTRANGE(AT9,""total!as2"")"),10328.0)</f>
        <v>10328</v>
      </c>
      <c r="BF24" s="77"/>
      <c r="BG24" s="445"/>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573</v>
      </c>
      <c r="B25" s="427" t="b">
        <v>0</v>
      </c>
      <c r="C25" s="400">
        <f t="shared" si="8"/>
        <v>46066</v>
      </c>
      <c r="D25" s="401" t="str">
        <f t="shared" si="2"/>
        <v>金</v>
      </c>
      <c r="E25" s="910">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3"/>
      <c r="AZ25" s="446"/>
      <c r="BA25" s="77"/>
      <c r="BB25" s="445"/>
      <c r="BC25" s="315"/>
      <c r="BD25" s="440" t="s">
        <v>353</v>
      </c>
      <c r="BE25" s="441"/>
      <c r="BF25" s="77"/>
      <c r="BG25" s="445"/>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573</v>
      </c>
      <c r="B26" s="431" t="b">
        <v>0</v>
      </c>
      <c r="C26" s="400">
        <f t="shared" si="8"/>
        <v>46067</v>
      </c>
      <c r="D26" s="401" t="str">
        <f t="shared" si="2"/>
        <v>土</v>
      </c>
      <c r="E26" s="401">
        <f t="shared" ref="E26:E27" si="10">if(H26="","",175)</f>
        <v>175</v>
      </c>
      <c r="F26" s="401">
        <f t="shared" si="3"/>
        <v>163</v>
      </c>
      <c r="G26" s="401">
        <f t="shared" si="4"/>
        <v>160</v>
      </c>
      <c r="H26" s="418">
        <v>83.0</v>
      </c>
      <c r="I26" s="418">
        <v>9.0</v>
      </c>
      <c r="J26" s="418">
        <v>20.0</v>
      </c>
      <c r="K26" s="418">
        <v>48.0</v>
      </c>
      <c r="L26" s="418">
        <v>3.0</v>
      </c>
      <c r="M26" s="418">
        <v>2.0</v>
      </c>
      <c r="N26" s="418">
        <v>50.0</v>
      </c>
      <c r="O26" s="418">
        <v>15.0</v>
      </c>
      <c r="P26" s="418">
        <v>0.0</v>
      </c>
      <c r="Q26" s="418">
        <v>0.0</v>
      </c>
      <c r="R26" s="418">
        <v>0.0</v>
      </c>
      <c r="S26" s="418">
        <v>0.0</v>
      </c>
      <c r="T26" s="418">
        <v>1.0</v>
      </c>
      <c r="U26" s="418">
        <v>2.0</v>
      </c>
      <c r="V26" s="418">
        <v>0.0</v>
      </c>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3"/>
      <c r="AZ26" s="446"/>
      <c r="BA26" s="77"/>
      <c r="BB26" s="445"/>
      <c r="BC26" s="315"/>
      <c r="BD26" s="440"/>
      <c r="BE26" s="447"/>
      <c r="BF26" s="77"/>
      <c r="BG26" s="445"/>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573</v>
      </c>
      <c r="B27" s="427"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3"/>
      <c r="AZ27" s="446"/>
      <c r="BA27" s="77"/>
      <c r="BB27" s="222"/>
      <c r="BC27" s="315"/>
      <c r="BD27" s="424"/>
      <c r="BE27" s="447"/>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573</v>
      </c>
      <c r="B28" s="431" t="b">
        <v>0</v>
      </c>
      <c r="C28" s="400">
        <f t="shared" si="8"/>
        <v>46069</v>
      </c>
      <c r="D28" s="401" t="str">
        <f t="shared" si="2"/>
        <v>月</v>
      </c>
      <c r="E28" s="910">
        <v>175.0</v>
      </c>
      <c r="F28" s="401">
        <f t="shared" si="3"/>
        <v>150</v>
      </c>
      <c r="G28" s="401">
        <f t="shared" si="4"/>
        <v>147</v>
      </c>
      <c r="H28" s="418">
        <v>67.0</v>
      </c>
      <c r="I28" s="418">
        <v>7.0</v>
      </c>
      <c r="J28" s="418">
        <v>27.0</v>
      </c>
      <c r="K28" s="418">
        <v>46.0</v>
      </c>
      <c r="L28" s="418">
        <v>3.0</v>
      </c>
      <c r="M28" s="418">
        <v>16.0</v>
      </c>
      <c r="N28" s="418">
        <v>36.0</v>
      </c>
      <c r="O28" s="418">
        <v>10.0</v>
      </c>
      <c r="P28" s="418">
        <v>0.0</v>
      </c>
      <c r="Q28" s="418">
        <v>0.0</v>
      </c>
      <c r="R28" s="418">
        <v>0.0</v>
      </c>
      <c r="S28" s="418">
        <v>0.0</v>
      </c>
      <c r="T28" s="418">
        <v>1.0</v>
      </c>
      <c r="U28" s="418">
        <v>1.0</v>
      </c>
      <c r="V28" s="418">
        <v>0.0</v>
      </c>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8"/>
      <c r="BL28" s="449"/>
      <c r="BM28" s="172"/>
      <c r="BN28" s="448"/>
      <c r="BO28" s="448"/>
      <c r="BP28" s="448"/>
      <c r="BQ28" s="448"/>
      <c r="BR28" s="448"/>
      <c r="BS28" s="448"/>
      <c r="BT28" s="448"/>
      <c r="BU28" s="448"/>
      <c r="BV28" s="448"/>
      <c r="BW28" s="448"/>
      <c r="BX28" s="448"/>
      <c r="BY28" s="448"/>
      <c r="BZ28" s="448"/>
      <c r="CA28" s="448"/>
    </row>
    <row r="29" ht="15.75" customHeight="1">
      <c r="A29" s="314" t="s">
        <v>573</v>
      </c>
      <c r="B29" s="427"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0" t="s">
        <v>354</v>
      </c>
      <c r="AZ29" s="451" t="s">
        <v>278</v>
      </c>
      <c r="BA29" s="451" t="s">
        <v>355</v>
      </c>
      <c r="BB29" s="451" t="s">
        <v>356</v>
      </c>
      <c r="BC29" s="315"/>
      <c r="BD29" s="452"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8"/>
      <c r="BL29" s="453"/>
      <c r="BM29" s="172"/>
      <c r="BN29" s="448"/>
      <c r="BO29" s="448"/>
      <c r="BP29" s="448"/>
      <c r="BQ29" s="448"/>
      <c r="BR29" s="448"/>
      <c r="BS29" s="448"/>
      <c r="BT29" s="448"/>
      <c r="BU29" s="448"/>
      <c r="BV29" s="448"/>
      <c r="BW29" s="448"/>
      <c r="BX29" s="448"/>
      <c r="BY29" s="448"/>
      <c r="BZ29" s="448"/>
      <c r="CA29" s="448"/>
    </row>
    <row r="30" ht="15.75" customHeight="1">
      <c r="A30" s="314" t="s">
        <v>573</v>
      </c>
      <c r="B30" s="431" t="b">
        <v>0</v>
      </c>
      <c r="C30" s="400">
        <f t="shared" si="8"/>
        <v>46071</v>
      </c>
      <c r="D30" s="401" t="str">
        <f t="shared" si="2"/>
        <v>水</v>
      </c>
      <c r="E30" s="401">
        <f t="shared" si="11"/>
        <v>175</v>
      </c>
      <c r="F30" s="401">
        <f t="shared" si="3"/>
        <v>166</v>
      </c>
      <c r="G30" s="401">
        <f t="shared" si="4"/>
        <v>157</v>
      </c>
      <c r="H30" s="418">
        <v>84.0</v>
      </c>
      <c r="I30" s="418">
        <v>9.0</v>
      </c>
      <c r="J30" s="418">
        <v>24.0</v>
      </c>
      <c r="K30" s="418">
        <v>40.0</v>
      </c>
      <c r="L30" s="418">
        <v>9.0</v>
      </c>
      <c r="M30" s="418">
        <v>0.0</v>
      </c>
      <c r="N30" s="418">
        <v>16.0</v>
      </c>
      <c r="O30" s="418">
        <v>5.0</v>
      </c>
      <c r="P30" s="418">
        <v>0.0</v>
      </c>
      <c r="Q30" s="418">
        <v>1.0</v>
      </c>
      <c r="R30" s="418">
        <v>0.0</v>
      </c>
      <c r="S30" s="418">
        <v>0.0</v>
      </c>
      <c r="T30" s="418">
        <v>1.0</v>
      </c>
      <c r="U30" s="418">
        <v>1.0</v>
      </c>
      <c r="V30" s="418">
        <v>0.0</v>
      </c>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4" t="s">
        <v>358</v>
      </c>
      <c r="AZ30" s="444">
        <f>AS46</f>
        <v>4401450</v>
      </c>
      <c r="BA30" s="455" t="s">
        <v>286</v>
      </c>
      <c r="BB30" s="442">
        <f>SUM(AZ30:AZ36)</f>
        <v>4791800</v>
      </c>
      <c r="BC30" s="315"/>
      <c r="BD30" s="456" t="s">
        <v>359</v>
      </c>
      <c r="BE30" s="457" t="s">
        <v>360</v>
      </c>
      <c r="BF30" s="457" t="s">
        <v>361</v>
      </c>
      <c r="BG30" s="458" t="s">
        <v>344</v>
      </c>
      <c r="BH30" s="315"/>
      <c r="BI30" s="228" t="str">
        <f t="array" ref="BI30">IFERROR(INDEX('💻シート作成'!$D$6:$D162, MATCH(BJ30, '💻シート作成'!$E$6:$E162, 0)), "")</f>
        <v>10月</v>
      </c>
      <c r="BJ30" s="172" t="str">
        <f>IFERROR(__xludf.DUMMYFUNCTION("""COMPUTED_VALUE"""),"②R8_10シフト")</f>
        <v>②R8_10シフト</v>
      </c>
      <c r="BK30" s="448"/>
      <c r="BL30" s="453"/>
      <c r="BM30" s="172"/>
      <c r="BN30" s="448"/>
      <c r="BO30" s="448"/>
      <c r="BP30" s="448"/>
      <c r="BQ30" s="448"/>
      <c r="BR30" s="448"/>
      <c r="BS30" s="448"/>
      <c r="BT30" s="448"/>
      <c r="BU30" s="448"/>
      <c r="BV30" s="448"/>
      <c r="BW30" s="448"/>
      <c r="BX30" s="448"/>
      <c r="BY30" s="448"/>
      <c r="BZ30" s="448"/>
      <c r="CA30" s="448"/>
    </row>
    <row r="31" ht="15.75" customHeight="1">
      <c r="A31" s="314" t="s">
        <v>573</v>
      </c>
      <c r="B31" s="427" t="b">
        <v>0</v>
      </c>
      <c r="C31" s="400">
        <f t="shared" si="8"/>
        <v>46072</v>
      </c>
      <c r="D31" s="401" t="str">
        <f t="shared" si="2"/>
        <v>木</v>
      </c>
      <c r="E31" s="401">
        <f t="shared" si="11"/>
        <v>175</v>
      </c>
      <c r="F31" s="401">
        <f t="shared" si="3"/>
        <v>169</v>
      </c>
      <c r="G31" s="401">
        <f t="shared" si="4"/>
        <v>161</v>
      </c>
      <c r="H31" s="418">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59" t="s">
        <v>362</v>
      </c>
      <c r="AZ31" s="444">
        <f t="shared" ref="AZ31:AZ32" si="12">BA31/$G$5*COUNTIFS($E$13:$E$43,"&gt;0")</f>
        <v>182400</v>
      </c>
      <c r="BA31" s="460">
        <v>182400.0</v>
      </c>
      <c r="BB31" s="445"/>
      <c r="BC31" s="315"/>
      <c r="BD31" s="461" t="s">
        <v>363</v>
      </c>
      <c r="BE31" s="462">
        <v>2000.0</v>
      </c>
      <c r="BF31" s="463"/>
      <c r="BG31" s="444">
        <f t="shared" ref="BG31:BG35" si="13">BF31*BE31</f>
        <v>0</v>
      </c>
      <c r="BH31" s="315"/>
      <c r="BI31" s="228" t="str">
        <f t="array" ref="BI31">IFERROR(INDEX('💻シート作成'!$D$6:$D162, MATCH(BJ31, '💻シート作成'!$E$6:$E162, 0)), "")</f>
        <v>10月</v>
      </c>
      <c r="BJ31" s="172" t="str">
        <f>IFERROR(__xludf.DUMMYFUNCTION("""COMPUTED_VALUE"""),"③R8_10日報")</f>
        <v>③R8_10日報</v>
      </c>
      <c r="BK31" s="448"/>
      <c r="BL31" s="453"/>
      <c r="BM31" s="172"/>
      <c r="BN31" s="448"/>
      <c r="BO31" s="448"/>
      <c r="BP31" s="448"/>
      <c r="BQ31" s="448"/>
      <c r="BR31" s="448"/>
      <c r="BS31" s="448"/>
      <c r="BT31" s="448"/>
      <c r="BU31" s="448"/>
      <c r="BV31" s="448"/>
      <c r="BW31" s="448"/>
      <c r="BX31" s="448"/>
      <c r="BY31" s="448"/>
      <c r="BZ31" s="448"/>
      <c r="CA31" s="448"/>
    </row>
    <row r="32" ht="15.75" customHeight="1">
      <c r="A32" s="314" t="s">
        <v>573</v>
      </c>
      <c r="B32" s="431" t="b">
        <v>0</v>
      </c>
      <c r="C32" s="400">
        <f t="shared" si="8"/>
        <v>46073</v>
      </c>
      <c r="D32" s="401" t="str">
        <f t="shared" si="2"/>
        <v>金</v>
      </c>
      <c r="E32" s="401">
        <f t="shared" si="11"/>
        <v>175</v>
      </c>
      <c r="F32" s="401">
        <f t="shared" si="3"/>
        <v>173</v>
      </c>
      <c r="G32" s="401">
        <f t="shared" si="4"/>
        <v>171</v>
      </c>
      <c r="H32" s="418">
        <v>83.0</v>
      </c>
      <c r="I32" s="418">
        <v>11.0</v>
      </c>
      <c r="J32" s="418">
        <v>25.0</v>
      </c>
      <c r="K32" s="418">
        <v>52.0</v>
      </c>
      <c r="L32" s="418">
        <v>2.0</v>
      </c>
      <c r="M32" s="418">
        <v>1.0</v>
      </c>
      <c r="N32" s="418">
        <v>41.0</v>
      </c>
      <c r="O32" s="418">
        <v>10.0</v>
      </c>
      <c r="P32" s="418">
        <v>3.0</v>
      </c>
      <c r="Q32" s="418">
        <v>2.0</v>
      </c>
      <c r="R32" s="418">
        <v>0.0</v>
      </c>
      <c r="S32" s="418">
        <v>0.0</v>
      </c>
      <c r="T32" s="418">
        <v>1.0</v>
      </c>
      <c r="U32" s="418">
        <v>1.0</v>
      </c>
      <c r="V32" s="418">
        <v>0.0</v>
      </c>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59" t="s">
        <v>364</v>
      </c>
      <c r="AZ32" s="444">
        <f t="shared" si="12"/>
        <v>100000</v>
      </c>
      <c r="BA32" s="460">
        <v>100000.0</v>
      </c>
      <c r="BB32" s="445"/>
      <c r="BC32" s="315"/>
      <c r="BD32" s="461" t="s">
        <v>365</v>
      </c>
      <c r="BE32" s="462">
        <v>2500.0</v>
      </c>
      <c r="BF32" s="463"/>
      <c r="BG32" s="444">
        <f t="shared" si="13"/>
        <v>0</v>
      </c>
      <c r="BH32" s="315"/>
      <c r="BI32" s="228" t="str">
        <f t="array" ref="BI32">IFERROR(INDEX('💻シート作成'!$D$6:$D162, MATCH(BJ32, '💻シート作成'!$E$6:$E162, 0)), "")</f>
        <v>10月</v>
      </c>
      <c r="BJ32" s="172" t="str">
        <f>IFERROR(__xludf.DUMMYFUNCTION("""COMPUTED_VALUE"""),"④R8_10月報")</f>
        <v>④R8_10月報</v>
      </c>
      <c r="BK32" s="448"/>
      <c r="BL32" s="453"/>
      <c r="BM32" s="172"/>
      <c r="BN32" s="448"/>
      <c r="BO32" s="448"/>
      <c r="BP32" s="448"/>
      <c r="BQ32" s="448"/>
      <c r="BR32" s="448"/>
      <c r="BS32" s="448"/>
      <c r="BT32" s="448"/>
      <c r="BU32" s="448"/>
      <c r="BV32" s="448"/>
      <c r="BW32" s="448"/>
      <c r="BX32" s="448"/>
      <c r="BY32" s="448"/>
      <c r="BZ32" s="448"/>
      <c r="CA32" s="448"/>
    </row>
    <row r="33" ht="15.75" customHeight="1">
      <c r="A33" s="314" t="s">
        <v>573</v>
      </c>
      <c r="B33" s="427" t="b">
        <v>0</v>
      </c>
      <c r="C33" s="400">
        <f t="shared" si="8"/>
        <v>46074</v>
      </c>
      <c r="D33" s="401" t="str">
        <f t="shared" si="2"/>
        <v>土</v>
      </c>
      <c r="E33" s="401">
        <f t="shared" si="11"/>
        <v>175</v>
      </c>
      <c r="F33" s="401">
        <f t="shared" si="3"/>
        <v>170</v>
      </c>
      <c r="G33" s="401">
        <f t="shared" si="4"/>
        <v>165</v>
      </c>
      <c r="H33" s="418">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59" t="s">
        <v>366</v>
      </c>
      <c r="AZ33" s="460">
        <v>0.0</v>
      </c>
      <c r="BA33" s="460">
        <v>105000.0</v>
      </c>
      <c r="BB33" s="445"/>
      <c r="BC33" s="315"/>
      <c r="BD33" s="464" t="s">
        <v>367</v>
      </c>
      <c r="BE33" s="463"/>
      <c r="BF33" s="463"/>
      <c r="BG33" s="444">
        <f t="shared" si="13"/>
        <v>0</v>
      </c>
      <c r="BH33" s="315"/>
      <c r="BI33" s="228" t="str">
        <f t="array" ref="BI33">IFERROR(INDEX('💻シート作成'!$D$6:$D162, MATCH(BJ33, '💻シート作成'!$E$6:$E162, 0)), "")</f>
        <v>9月</v>
      </c>
      <c r="BJ33" s="172" t="str">
        <f>IFERROR(__xludf.DUMMYFUNCTION("""COMPUTED_VALUE"""),"①R8_9集計")</f>
        <v>①R8_9集計</v>
      </c>
      <c r="BK33" s="448"/>
      <c r="BL33" s="453"/>
      <c r="BM33" s="172"/>
      <c r="BN33" s="448"/>
      <c r="BO33" s="448"/>
      <c r="BP33" s="448"/>
      <c r="BQ33" s="448"/>
      <c r="BR33" s="448"/>
      <c r="BS33" s="448"/>
      <c r="BT33" s="448"/>
      <c r="BU33" s="448"/>
      <c r="BV33" s="448"/>
      <c r="BW33" s="448"/>
      <c r="BX33" s="448"/>
      <c r="BY33" s="448"/>
      <c r="BZ33" s="448"/>
      <c r="CA33" s="448"/>
    </row>
    <row r="34" ht="15.75" customHeight="1">
      <c r="A34" s="314" t="s">
        <v>573</v>
      </c>
      <c r="B34" s="431" t="b">
        <v>0</v>
      </c>
      <c r="C34" s="400">
        <f t="shared" si="8"/>
        <v>46075</v>
      </c>
      <c r="D34" s="401" t="str">
        <f t="shared" si="2"/>
        <v>日</v>
      </c>
      <c r="E34" s="401">
        <f t="shared" si="11"/>
        <v>175</v>
      </c>
      <c r="F34" s="401">
        <f t="shared" si="3"/>
        <v>171</v>
      </c>
      <c r="G34" s="401">
        <f t="shared" si="4"/>
        <v>168</v>
      </c>
      <c r="H34" s="418">
        <v>82.0</v>
      </c>
      <c r="I34" s="418">
        <v>5.0</v>
      </c>
      <c r="J34" s="418">
        <v>29.0</v>
      </c>
      <c r="K34" s="418">
        <v>52.0</v>
      </c>
      <c r="L34" s="418">
        <v>3.0</v>
      </c>
      <c r="M34" s="418">
        <v>0.0</v>
      </c>
      <c r="N34" s="418">
        <v>55.0</v>
      </c>
      <c r="O34" s="418">
        <v>8.0</v>
      </c>
      <c r="P34" s="418">
        <v>2.0</v>
      </c>
      <c r="Q34" s="418">
        <v>0.0</v>
      </c>
      <c r="R34" s="418">
        <v>2.0</v>
      </c>
      <c r="S34" s="418">
        <v>0.0</v>
      </c>
      <c r="T34" s="418">
        <v>1.0</v>
      </c>
      <c r="U34" s="418">
        <v>2.0</v>
      </c>
      <c r="V34" s="418">
        <v>0.0</v>
      </c>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59" t="s">
        <v>368</v>
      </c>
      <c r="AZ34" s="425">
        <v>15200.0</v>
      </c>
      <c r="BA34" s="425">
        <v>15200.0</v>
      </c>
      <c r="BB34" s="445"/>
      <c r="BC34" s="315"/>
      <c r="BD34" s="461"/>
      <c r="BE34" s="463"/>
      <c r="BF34" s="463"/>
      <c r="BG34" s="444">
        <f t="shared" si="13"/>
        <v>0</v>
      </c>
      <c r="BH34" s="315"/>
      <c r="BI34" s="228" t="str">
        <f t="array" ref="BI34">IFERROR(INDEX('💻シート作成'!$D$6:$D162, MATCH(BJ34, '💻シート作成'!$E$6:$E162, 0)), "")</f>
        <v>9月</v>
      </c>
      <c r="BJ34" s="172" t="str">
        <f>IFERROR(__xludf.DUMMYFUNCTION("""COMPUTED_VALUE"""),"②R8_9シフト")</f>
        <v>②R8_9シフト</v>
      </c>
      <c r="BK34" s="315"/>
      <c r="BL34" s="453"/>
      <c r="BM34" s="172"/>
      <c r="BN34" s="315"/>
      <c r="BO34" s="315"/>
      <c r="BP34" s="315"/>
      <c r="BQ34" s="315"/>
      <c r="BR34" s="315"/>
      <c r="BS34" s="315"/>
      <c r="BT34" s="315"/>
      <c r="BU34" s="315"/>
      <c r="BV34" s="315"/>
      <c r="BW34" s="315"/>
      <c r="BX34" s="315"/>
      <c r="BY34" s="315"/>
      <c r="BZ34" s="315"/>
      <c r="CA34" s="315"/>
    </row>
    <row r="35" ht="15.75" customHeight="1">
      <c r="A35" s="314" t="s">
        <v>573</v>
      </c>
      <c r="B35" s="427" t="b">
        <v>0</v>
      </c>
      <c r="C35" s="400">
        <f t="shared" si="8"/>
        <v>46076</v>
      </c>
      <c r="D35" s="401" t="str">
        <f t="shared" si="2"/>
        <v>月</v>
      </c>
      <c r="E35" s="910">
        <v>175.0</v>
      </c>
      <c r="F35" s="401">
        <f t="shared" si="3"/>
        <v>162</v>
      </c>
      <c r="G35" s="401">
        <f t="shared" si="4"/>
        <v>160</v>
      </c>
      <c r="H35" s="399">
        <v>82.0</v>
      </c>
      <c r="I35" s="418">
        <v>7.0</v>
      </c>
      <c r="J35" s="418">
        <v>28.0</v>
      </c>
      <c r="K35" s="418">
        <v>43.0</v>
      </c>
      <c r="L35" s="418">
        <v>2.0</v>
      </c>
      <c r="M35" s="418">
        <v>2.0</v>
      </c>
      <c r="N35" s="418">
        <v>47.0</v>
      </c>
      <c r="O35" s="418">
        <v>12.0</v>
      </c>
      <c r="P35" s="418">
        <v>2.0</v>
      </c>
      <c r="Q35" s="418">
        <v>0.0</v>
      </c>
      <c r="R35" s="418">
        <v>1.0</v>
      </c>
      <c r="S35" s="418">
        <v>0.0</v>
      </c>
      <c r="T35" s="418">
        <v>1.0</v>
      </c>
      <c r="U35" s="418">
        <v>1.0</v>
      </c>
      <c r="V35" s="418">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3"/>
      <c r="AZ35" s="422"/>
      <c r="BA35" s="422"/>
      <c r="BB35" s="445"/>
      <c r="BC35" s="315"/>
      <c r="BD35" s="465"/>
      <c r="BE35" s="428"/>
      <c r="BF35" s="428"/>
      <c r="BG35" s="466">
        <f t="shared" si="13"/>
        <v>0</v>
      </c>
      <c r="BH35" s="315"/>
      <c r="BI35" s="228" t="str">
        <f t="array" ref="BI35">IFERROR(INDEX('💻シート作成'!$D$6:$D162, MATCH(BJ35, '💻シート作成'!$E$6:$E162, 0)), "")</f>
        <v>9月</v>
      </c>
      <c r="BJ35" s="172" t="str">
        <f>IFERROR(__xludf.DUMMYFUNCTION("""COMPUTED_VALUE"""),"③R8_9日報")</f>
        <v>③R8_9日報</v>
      </c>
      <c r="BK35" s="315"/>
      <c r="BL35" s="453"/>
      <c r="BM35" s="172"/>
      <c r="BN35" s="315"/>
      <c r="BO35" s="315"/>
      <c r="BP35" s="315"/>
      <c r="BQ35" s="315"/>
      <c r="BR35" s="315"/>
      <c r="BS35" s="315"/>
      <c r="BT35" s="315"/>
      <c r="BU35" s="315"/>
      <c r="BV35" s="315"/>
      <c r="BW35" s="315"/>
      <c r="BX35" s="315"/>
      <c r="BY35" s="315"/>
      <c r="BZ35" s="315"/>
      <c r="CA35" s="315"/>
    </row>
    <row r="36" ht="15.75" customHeight="1">
      <c r="A36" s="314" t="s">
        <v>573</v>
      </c>
      <c r="B36" s="431" t="b">
        <v>0</v>
      </c>
      <c r="C36" s="400">
        <f t="shared" si="8"/>
        <v>46077</v>
      </c>
      <c r="D36" s="401" t="str">
        <f t="shared" si="2"/>
        <v>火</v>
      </c>
      <c r="E36" s="401">
        <f>if(H36="","",175)</f>
        <v>175</v>
      </c>
      <c r="F36" s="401">
        <f t="shared" si="3"/>
        <v>144</v>
      </c>
      <c r="G36" s="401">
        <f t="shared" si="4"/>
        <v>141</v>
      </c>
      <c r="H36" s="467">
        <v>66.0</v>
      </c>
      <c r="I36" s="418">
        <v>9.0</v>
      </c>
      <c r="J36" s="418">
        <v>19.0</v>
      </c>
      <c r="K36" s="418">
        <v>47.0</v>
      </c>
      <c r="L36" s="418">
        <v>3.0</v>
      </c>
      <c r="M36" s="418">
        <v>23.0</v>
      </c>
      <c r="N36" s="418">
        <v>34.0</v>
      </c>
      <c r="O36" s="418">
        <v>8.0</v>
      </c>
      <c r="P36" s="418">
        <v>1.0</v>
      </c>
      <c r="Q36" s="418">
        <v>0.0</v>
      </c>
      <c r="R36" s="418">
        <v>0.0</v>
      </c>
      <c r="S36" s="418">
        <v>0.0</v>
      </c>
      <c r="T36" s="418">
        <v>1.0</v>
      </c>
      <c r="U36" s="418">
        <v>1.0</v>
      </c>
      <c r="V36" s="418">
        <v>0.0</v>
      </c>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59" t="s">
        <v>369</v>
      </c>
      <c r="AZ36" s="422">
        <f>BB40</f>
        <v>92750</v>
      </c>
      <c r="BA36" s="422"/>
      <c r="BB36" s="222"/>
      <c r="BC36" s="315"/>
      <c r="BD36" s="432" t="s">
        <v>344</v>
      </c>
      <c r="BE36" s="433">
        <f>sum(BG31:BG35)</f>
        <v>0</v>
      </c>
      <c r="BF36" s="434"/>
      <c r="BG36" s="435"/>
      <c r="BH36" s="315"/>
      <c r="BI36" s="228" t="str">
        <f t="array" ref="BI36">IFERROR(INDEX('💻シート作成'!$D$6:$D162, MATCH(BJ36, '💻シート作成'!$E$6:$E162, 0)), "")</f>
        <v>9月</v>
      </c>
      <c r="BJ36" s="172" t="str">
        <f>IFERROR(__xludf.DUMMYFUNCTION("""COMPUTED_VALUE"""),"④R8_9月報")</f>
        <v>④R8_9月報</v>
      </c>
      <c r="BK36" s="315"/>
      <c r="BL36" s="453"/>
      <c r="BM36" s="172"/>
      <c r="BN36" s="315"/>
      <c r="BO36" s="315"/>
      <c r="BP36" s="315"/>
      <c r="BQ36" s="315"/>
      <c r="BR36" s="315"/>
      <c r="BS36" s="315"/>
      <c r="BT36" s="315"/>
      <c r="BU36" s="315"/>
      <c r="BV36" s="315"/>
      <c r="BW36" s="315"/>
      <c r="BX36" s="315"/>
      <c r="BY36" s="315"/>
      <c r="BZ36" s="315"/>
      <c r="CA36" s="315"/>
    </row>
    <row r="37" ht="15.75" customHeight="1">
      <c r="A37" s="314" t="s">
        <v>573</v>
      </c>
      <c r="B37" s="427" t="b">
        <v>0</v>
      </c>
      <c r="C37" s="400">
        <f t="shared" si="8"/>
        <v>46078</v>
      </c>
      <c r="D37" s="401" t="str">
        <f t="shared" si="2"/>
        <v>水</v>
      </c>
      <c r="E37" s="910">
        <v>175.0</v>
      </c>
      <c r="F37" s="401">
        <f t="shared" si="3"/>
        <v>150</v>
      </c>
      <c r="G37" s="401">
        <f t="shared" si="4"/>
        <v>147</v>
      </c>
      <c r="H37" s="399">
        <v>73.0</v>
      </c>
      <c r="I37" s="418">
        <v>5.0</v>
      </c>
      <c r="J37" s="418">
        <v>24.0</v>
      </c>
      <c r="K37" s="418">
        <v>45.0</v>
      </c>
      <c r="L37" s="418">
        <v>3.0</v>
      </c>
      <c r="M37" s="418">
        <v>5.0</v>
      </c>
      <c r="N37" s="418">
        <v>42.0</v>
      </c>
      <c r="O37" s="418">
        <v>10.0</v>
      </c>
      <c r="P37" s="418">
        <v>0.0</v>
      </c>
      <c r="Q37" s="418">
        <v>0.0</v>
      </c>
      <c r="R37" s="418">
        <v>1.0</v>
      </c>
      <c r="S37" s="418">
        <v>0.0</v>
      </c>
      <c r="T37" s="418">
        <v>1.0</v>
      </c>
      <c r="U37" s="418">
        <v>1.0</v>
      </c>
      <c r="V37" s="418">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3"/>
      <c r="BM37" s="172"/>
      <c r="BN37" s="315"/>
      <c r="BO37" s="315"/>
      <c r="BP37" s="315"/>
      <c r="BQ37" s="315"/>
      <c r="BR37" s="315"/>
      <c r="BS37" s="315"/>
      <c r="BT37" s="315"/>
      <c r="BU37" s="315"/>
      <c r="BV37" s="315"/>
      <c r="BW37" s="315"/>
      <c r="BX37" s="315"/>
      <c r="BY37" s="315"/>
      <c r="BZ37" s="315"/>
      <c r="CA37" s="315"/>
    </row>
    <row r="38" ht="15.75" customHeight="1">
      <c r="A38" s="314" t="s">
        <v>573</v>
      </c>
      <c r="B38" s="431" t="b">
        <v>0</v>
      </c>
      <c r="C38" s="400">
        <f t="shared" si="8"/>
        <v>46079</v>
      </c>
      <c r="D38" s="401" t="str">
        <f t="shared" si="2"/>
        <v>木</v>
      </c>
      <c r="E38" s="401">
        <f t="shared" ref="E38:E43" si="14">if(H38="","",175)</f>
        <v>175</v>
      </c>
      <c r="F38" s="401">
        <f t="shared" si="3"/>
        <v>172</v>
      </c>
      <c r="G38" s="401">
        <f t="shared" si="4"/>
        <v>165</v>
      </c>
      <c r="H38" s="467">
        <v>90.0</v>
      </c>
      <c r="I38" s="418">
        <v>5.0</v>
      </c>
      <c r="J38" s="418">
        <v>19.0</v>
      </c>
      <c r="K38" s="418">
        <v>51.0</v>
      </c>
      <c r="L38" s="418">
        <v>7.0</v>
      </c>
      <c r="M38" s="418">
        <v>1.0</v>
      </c>
      <c r="N38" s="418">
        <v>24.0</v>
      </c>
      <c r="O38" s="418">
        <v>2.0</v>
      </c>
      <c r="P38" s="418">
        <v>0.0</v>
      </c>
      <c r="Q38" s="418">
        <v>0.0</v>
      </c>
      <c r="R38" s="418">
        <v>1.0</v>
      </c>
      <c r="S38" s="418">
        <v>0.0</v>
      </c>
      <c r="T38" s="418">
        <v>1.0</v>
      </c>
      <c r="U38" s="418">
        <v>1.0</v>
      </c>
      <c r="V38" s="418">
        <v>0.0</v>
      </c>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370</v>
      </c>
      <c r="AZ38" s="468"/>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3"/>
      <c r="BM38" s="172"/>
      <c r="BN38" s="315"/>
      <c r="BO38" s="315"/>
      <c r="BP38" s="315"/>
      <c r="BQ38" s="315"/>
      <c r="BR38" s="315"/>
      <c r="BS38" s="315"/>
      <c r="BT38" s="315"/>
      <c r="BU38" s="315"/>
      <c r="BV38" s="315"/>
      <c r="BW38" s="315"/>
      <c r="BX38" s="315"/>
      <c r="BY38" s="315"/>
      <c r="BZ38" s="315"/>
      <c r="CA38" s="315"/>
    </row>
    <row r="39" ht="15.75" customHeight="1">
      <c r="A39" s="314" t="s">
        <v>573</v>
      </c>
      <c r="B39" s="427" t="b">
        <v>0</v>
      </c>
      <c r="C39" s="400">
        <f t="shared" si="8"/>
        <v>46080</v>
      </c>
      <c r="D39" s="401" t="str">
        <f t="shared" si="2"/>
        <v>金</v>
      </c>
      <c r="E39" s="401">
        <f t="shared" si="14"/>
        <v>175</v>
      </c>
      <c r="F39" s="401">
        <f t="shared" si="3"/>
        <v>162</v>
      </c>
      <c r="G39" s="401">
        <f t="shared" si="4"/>
        <v>160</v>
      </c>
      <c r="H39" s="399">
        <v>93.0</v>
      </c>
      <c r="I39" s="418">
        <v>6.0</v>
      </c>
      <c r="J39" s="418">
        <v>25.0</v>
      </c>
      <c r="K39" s="418">
        <v>36.0</v>
      </c>
      <c r="L39" s="418">
        <v>2.0</v>
      </c>
      <c r="M39" s="418">
        <v>3.0</v>
      </c>
      <c r="N39" s="418">
        <v>62.0</v>
      </c>
      <c r="O39" s="418">
        <v>10.0</v>
      </c>
      <c r="P39" s="418">
        <v>0.0</v>
      </c>
      <c r="Q39" s="418">
        <v>0.0</v>
      </c>
      <c r="R39" s="418">
        <v>1.0</v>
      </c>
      <c r="S39" s="418">
        <v>0.0</v>
      </c>
      <c r="T39" s="418">
        <v>1.0</v>
      </c>
      <c r="U39" s="418">
        <v>1.0</v>
      </c>
      <c r="V39" s="418">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0" t="s">
        <v>354</v>
      </c>
      <c r="AZ39" s="451" t="s">
        <v>278</v>
      </c>
      <c r="BA39" s="451" t="s">
        <v>372</v>
      </c>
      <c r="BB39" s="451" t="s">
        <v>356</v>
      </c>
      <c r="BC39" s="329"/>
      <c r="BD39" s="450" t="s">
        <v>373</v>
      </c>
      <c r="BE39" s="451" t="s">
        <v>374</v>
      </c>
      <c r="BF39" s="451" t="s">
        <v>372</v>
      </c>
      <c r="BG39" s="451" t="s">
        <v>344</v>
      </c>
      <c r="BH39" s="315"/>
      <c r="BI39" s="228" t="str">
        <f t="array" ref="BI39">IFERROR(INDEX('💻シート作成'!$D$6:$D162, MATCH(BJ39, '💻シート作成'!$E$6:$E162, 0)), "")</f>
        <v>8月</v>
      </c>
      <c r="BJ39" s="172" t="str">
        <f>IFERROR(__xludf.DUMMYFUNCTION("""COMPUTED_VALUE"""),"③R8_8日報")</f>
        <v>③R8_8日報</v>
      </c>
      <c r="BK39" s="315"/>
      <c r="BL39" s="453"/>
      <c r="BM39" s="172"/>
      <c r="BN39" s="315"/>
      <c r="BO39" s="315"/>
      <c r="BP39" s="315"/>
      <c r="BQ39" s="315"/>
      <c r="BR39" s="315"/>
      <c r="BS39" s="315"/>
      <c r="BT39" s="315"/>
      <c r="BU39" s="315"/>
      <c r="BV39" s="315"/>
      <c r="BW39" s="315"/>
      <c r="BX39" s="315"/>
      <c r="BY39" s="315"/>
      <c r="BZ39" s="315"/>
      <c r="CA39" s="315"/>
    </row>
    <row r="40" ht="15.75" customHeight="1">
      <c r="A40" s="314" t="s">
        <v>573</v>
      </c>
      <c r="B40" s="431" t="b">
        <v>0</v>
      </c>
      <c r="C40" s="400">
        <f t="shared" si="8"/>
        <v>46081</v>
      </c>
      <c r="D40" s="401" t="str">
        <f t="shared" si="2"/>
        <v>土</v>
      </c>
      <c r="E40" s="401">
        <f t="shared" si="14"/>
        <v>175</v>
      </c>
      <c r="F40" s="401">
        <f t="shared" si="3"/>
        <v>161</v>
      </c>
      <c r="G40" s="401">
        <f t="shared" si="4"/>
        <v>155</v>
      </c>
      <c r="H40" s="467">
        <v>86.0</v>
      </c>
      <c r="I40" s="418">
        <v>8.0</v>
      </c>
      <c r="J40" s="418">
        <v>21.0</v>
      </c>
      <c r="K40" s="418">
        <v>40.0</v>
      </c>
      <c r="L40" s="418">
        <v>6.0</v>
      </c>
      <c r="M40" s="418">
        <v>2.0</v>
      </c>
      <c r="N40" s="418">
        <v>62.0</v>
      </c>
      <c r="O40" s="418">
        <v>10.0</v>
      </c>
      <c r="P40" s="418">
        <v>1.0</v>
      </c>
      <c r="Q40" s="418">
        <v>0.0</v>
      </c>
      <c r="R40" s="418">
        <v>3.0</v>
      </c>
      <c r="S40" s="418">
        <v>0.0</v>
      </c>
      <c r="T40" s="418">
        <v>1.0</v>
      </c>
      <c r="U40" s="418">
        <v>2.0</v>
      </c>
      <c r="V40" s="418">
        <v>2.0</v>
      </c>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0" t="s">
        <v>724</v>
      </c>
      <c r="AZ40" s="460">
        <v>92750.0</v>
      </c>
      <c r="BA40" s="936"/>
      <c r="BB40" s="442">
        <f>SUM(AZ40:AZ45)</f>
        <v>92750</v>
      </c>
      <c r="BC40" s="315"/>
      <c r="BD40" s="472" t="s">
        <v>364</v>
      </c>
      <c r="BE40" s="473">
        <v>60000.0</v>
      </c>
      <c r="BF40" s="937"/>
      <c r="BG40" s="442">
        <f>SUM(BE40:BE45)</f>
        <v>60000</v>
      </c>
      <c r="BH40" s="315"/>
      <c r="BI40" s="228" t="str">
        <f t="array" ref="BI40">IFERROR(INDEX('💻シート作成'!$D$6:$D162, MATCH(BJ40, '💻シート作成'!$E$6:$E162, 0)), "")</f>
        <v>8月</v>
      </c>
      <c r="BJ40" s="172" t="str">
        <f>IFERROR(__xludf.DUMMYFUNCTION("""COMPUTED_VALUE"""),"④R8_8月報")</f>
        <v>④R8_8月報</v>
      </c>
      <c r="BK40" s="315"/>
      <c r="BL40" s="453"/>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8"/>
      <c r="J41" s="418"/>
      <c r="K41" s="418"/>
      <c r="L41" s="418"/>
      <c r="M41" s="418"/>
      <c r="N41" s="418"/>
      <c r="O41" s="418"/>
      <c r="P41" s="418"/>
      <c r="Q41" s="418"/>
      <c r="R41" s="418"/>
      <c r="S41" s="418"/>
      <c r="T41" s="418"/>
      <c r="U41" s="418"/>
      <c r="V41" s="418"/>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4"/>
      <c r="AZ41" s="422"/>
      <c r="BA41" s="476"/>
      <c r="BB41" s="445"/>
      <c r="BC41" s="315"/>
      <c r="BD41" s="424"/>
      <c r="BE41" s="422"/>
      <c r="BF41" s="476"/>
      <c r="BG41" s="445"/>
      <c r="BH41" s="315"/>
      <c r="BI41" s="228" t="str">
        <f t="array" ref="BI41">IFERROR(INDEX('💻シート作成'!$D$6:$D162, MATCH(BJ41, '💻シート作成'!$E$6:$E162, 0)), "")</f>
        <v>7月</v>
      </c>
      <c r="BJ41" s="172" t="str">
        <f>IFERROR(__xludf.DUMMYFUNCTION("""COMPUTED_VALUE"""),"①R8_7集計")</f>
        <v>①R8_7集計</v>
      </c>
      <c r="BK41" s="315"/>
      <c r="BL41" s="453"/>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19"/>
      <c r="I42" s="420"/>
      <c r="J42" s="420"/>
      <c r="K42" s="420"/>
      <c r="L42" s="420"/>
      <c r="M42" s="420"/>
      <c r="N42" s="420"/>
      <c r="O42" s="420"/>
      <c r="P42" s="420"/>
      <c r="Q42" s="420"/>
      <c r="R42" s="420"/>
      <c r="S42" s="420"/>
      <c r="T42" s="420"/>
      <c r="U42" s="420"/>
      <c r="V42" s="420"/>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4"/>
      <c r="AZ42" s="422"/>
      <c r="BA42" s="476"/>
      <c r="BB42" s="445"/>
      <c r="BC42" s="315"/>
      <c r="BD42" s="424"/>
      <c r="BE42" s="422"/>
      <c r="BF42" s="476"/>
      <c r="BG42" s="445"/>
      <c r="BH42" s="315"/>
      <c r="BI42" s="228" t="str">
        <f t="array" ref="BI42">IFERROR(INDEX('💻シート作成'!$D$6:$D162, MATCH(BJ42, '💻シート作成'!$E$6:$E162, 0)), "")</f>
        <v>7月</v>
      </c>
      <c r="BJ42" s="172" t="str">
        <f>IFERROR(__xludf.DUMMYFUNCTION("""COMPUTED_VALUE"""),"②R8_7シフト")</f>
        <v>②R8_7シフト</v>
      </c>
      <c r="BK42" s="315"/>
      <c r="BL42" s="453"/>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0"/>
      <c r="J43" s="420"/>
      <c r="K43" s="420"/>
      <c r="L43" s="420"/>
      <c r="M43" s="420"/>
      <c r="N43" s="420"/>
      <c r="O43" s="420"/>
      <c r="P43" s="420"/>
      <c r="Q43" s="420"/>
      <c r="R43" s="420"/>
      <c r="S43" s="420"/>
      <c r="T43" s="420"/>
      <c r="U43" s="420"/>
      <c r="V43" s="420"/>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4"/>
      <c r="AZ43" s="422"/>
      <c r="BA43" s="476"/>
      <c r="BB43" s="445"/>
      <c r="BC43" s="315"/>
      <c r="BD43" s="424"/>
      <c r="BE43" s="476"/>
      <c r="BF43" s="476"/>
      <c r="BG43" s="445"/>
      <c r="BH43" s="315"/>
      <c r="BI43" s="228" t="str">
        <f t="array" ref="BI43">IFERROR(INDEX('💻シート作成'!$D$6:$D162, MATCH(BJ43, '💻シート作成'!$E$6:$E162, 0)), "")</f>
        <v>7月</v>
      </c>
      <c r="BJ43" s="172" t="str">
        <f>IFERROR(__xludf.DUMMYFUNCTION("""COMPUTED_VALUE"""),"③R8_7日報")</f>
        <v>③R8_7日報</v>
      </c>
      <c r="BK43" s="315"/>
      <c r="BL43" s="453"/>
      <c r="BM43" s="172"/>
      <c r="BN43" s="315"/>
      <c r="BO43" s="315"/>
      <c r="BP43" s="315"/>
      <c r="BQ43" s="315"/>
      <c r="BR43" s="315"/>
      <c r="BS43" s="315"/>
      <c r="BT43" s="315"/>
      <c r="BU43" s="315"/>
      <c r="BV43" s="315"/>
      <c r="BW43" s="315"/>
      <c r="BX43" s="315"/>
      <c r="BY43" s="315"/>
      <c r="BZ43" s="315"/>
      <c r="CA43" s="315"/>
    </row>
    <row r="44" ht="15.75" customHeight="1">
      <c r="A44" s="315"/>
      <c r="B44" s="478"/>
      <c r="C44" s="479" t="s">
        <v>344</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4"/>
      <c r="AZ44" s="422"/>
      <c r="BA44" s="476"/>
      <c r="BB44" s="445"/>
      <c r="BC44" s="315"/>
      <c r="BD44" s="424"/>
      <c r="BE44" s="476"/>
      <c r="BF44" s="476"/>
      <c r="BG44" s="445"/>
      <c r="BH44" s="315"/>
      <c r="BI44" s="228" t="str">
        <f t="array" ref="BI44">IFERROR(INDEX('💻シート作成'!$D$6:$D162, MATCH(BJ44, '💻シート作成'!$E$6:$E162, 0)), "")</f>
        <v>7月</v>
      </c>
      <c r="BJ44" s="172" t="str">
        <f>IFERROR(__xludf.DUMMYFUNCTION("""COMPUTED_VALUE"""),"④R8_7月報")</f>
        <v>④R8_7月報</v>
      </c>
      <c r="BK44" s="315"/>
      <c r="BL44" s="453"/>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360</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4"/>
      <c r="AZ45" s="422"/>
      <c r="BA45" s="476"/>
      <c r="BB45" s="222"/>
      <c r="BC45" s="315"/>
      <c r="BD45" s="424"/>
      <c r="BE45" s="422"/>
      <c r="BF45" s="476"/>
      <c r="BG45" s="222"/>
      <c r="BH45" s="315"/>
      <c r="BI45" s="228" t="str">
        <f t="array" ref="BI45">IFERROR(INDEX('💻シート作成'!$D$6:$D162, MATCH(BJ45, '💻シート作成'!$E$6:$E162, 0)), "")</f>
        <v>6月</v>
      </c>
      <c r="BJ45" s="172" t="str">
        <f>IFERROR(__xludf.DUMMYFUNCTION("""COMPUTED_VALUE"""),"①R8_6集計")</f>
        <v>①R8_6集計</v>
      </c>
      <c r="BK45" s="315"/>
      <c r="BL45" s="453"/>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377</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3"/>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378</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3"/>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3"/>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3"/>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3"/>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3"/>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3"/>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3"/>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3"/>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3"/>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3"/>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3"/>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3"/>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3"/>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3"/>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3"/>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3"/>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3"/>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3"/>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3"/>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3"/>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3"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3"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3"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3"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3"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3"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3"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3"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3"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3"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3"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3"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3"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3"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3"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3"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3"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3"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3"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3"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3"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3"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3"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3"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3"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3"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3"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3"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3"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3"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3"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3"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3"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3"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3"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3"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3"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3"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3"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3"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3"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3"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3"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3"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3"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3"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3"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3"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3"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3"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3"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3"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3"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3"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3"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3"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3"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3"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3"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3"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3"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3"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3"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3"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3"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3"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3"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3"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3"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3"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3"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3"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3"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3"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3"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3"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3"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3"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3"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3"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3"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3"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3"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3"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3"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3"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3"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3"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3"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3"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3"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3"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3"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3"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3"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3"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380</v>
      </c>
      <c r="M2" s="532"/>
      <c r="N2" s="533" t="s">
        <v>725</v>
      </c>
      <c r="O2" s="534"/>
      <c r="P2" s="535"/>
      <c r="Q2" s="536"/>
      <c r="R2" s="536"/>
      <c r="S2" s="537"/>
      <c r="T2" s="536"/>
      <c r="U2" s="536"/>
      <c r="V2" s="536"/>
      <c r="W2" s="536"/>
      <c r="X2" s="536"/>
      <c r="Y2" s="538"/>
      <c r="Z2" s="281"/>
      <c r="AA2" s="281"/>
      <c r="AB2" s="281"/>
      <c r="AC2" s="281"/>
      <c r="AD2" s="281"/>
      <c r="AE2" s="281"/>
      <c r="AF2" s="539"/>
      <c r="AG2" s="540"/>
      <c r="AH2" s="541"/>
      <c r="AI2" s="542" t="s">
        <v>726</v>
      </c>
      <c r="AJ2" s="281"/>
      <c r="AK2" s="281"/>
      <c r="AT2" s="281"/>
      <c r="AU2" s="543" t="s">
        <v>383</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384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385</v>
      </c>
      <c r="AV3" s="559"/>
      <c r="AW3" s="560" t="s">
        <v>52</v>
      </c>
      <c r="AX3" s="560" t="s">
        <v>34</v>
      </c>
      <c r="AY3" s="560" t="s">
        <v>55</v>
      </c>
      <c r="AZ3" s="560" t="s">
        <v>57</v>
      </c>
      <c r="BA3" s="560" t="s">
        <v>59</v>
      </c>
      <c r="BB3" s="560" t="s">
        <v>61</v>
      </c>
      <c r="BC3" s="560" t="s">
        <v>63</v>
      </c>
      <c r="BD3" s="560" t="s">
        <v>65</v>
      </c>
      <c r="BE3" s="560" t="s">
        <v>67</v>
      </c>
      <c r="BF3" s="560" t="s">
        <v>69</v>
      </c>
      <c r="BG3" s="560" t="s">
        <v>71</v>
      </c>
      <c r="BH3" s="561" t="s">
        <v>73</v>
      </c>
      <c r="BI3" s="562" t="s">
        <v>344</v>
      </c>
      <c r="BJ3" s="200"/>
      <c r="BK3" s="563" t="s">
        <v>386</v>
      </c>
      <c r="BL3" s="3"/>
      <c r="BM3" s="564">
        <v>46113.0</v>
      </c>
      <c r="BU3" s="200"/>
      <c r="BV3" s="200"/>
      <c r="BW3" s="200"/>
      <c r="BX3" s="200"/>
      <c r="BY3" s="200"/>
    </row>
    <row r="4" ht="24.75" customHeight="1">
      <c r="A4" s="529"/>
      <c r="B4" s="565" t="s">
        <v>387</v>
      </c>
      <c r="C4" s="566"/>
      <c r="D4" s="567"/>
      <c r="E4" s="568" t="s">
        <v>388</v>
      </c>
      <c r="F4" s="528"/>
      <c r="G4" s="529"/>
      <c r="H4" s="529"/>
      <c r="I4" s="569" t="s">
        <v>389</v>
      </c>
      <c r="J4" s="3"/>
      <c r="K4" s="570" t="s">
        <v>390</v>
      </c>
      <c r="L4" s="571"/>
      <c r="M4" s="572" t="s">
        <v>391</v>
      </c>
      <c r="N4" s="573"/>
      <c r="O4" s="574"/>
      <c r="P4" s="575" t="s">
        <v>392</v>
      </c>
      <c r="Q4" s="576" t="s">
        <v>393</v>
      </c>
      <c r="R4" s="574"/>
      <c r="S4" s="574"/>
      <c r="T4" s="575" t="s">
        <v>394</v>
      </c>
      <c r="U4" s="576" t="s">
        <v>395</v>
      </c>
      <c r="V4" s="574"/>
      <c r="W4" s="574"/>
      <c r="X4" s="577" t="s">
        <v>192</v>
      </c>
      <c r="Y4" s="576" t="s">
        <v>396</v>
      </c>
      <c r="Z4" s="574"/>
      <c r="AA4" s="574"/>
      <c r="AB4" s="578" t="s">
        <v>397</v>
      </c>
      <c r="AC4" s="576" t="s">
        <v>398</v>
      </c>
      <c r="AD4" s="574"/>
      <c r="AE4" s="574"/>
      <c r="AF4" s="579" t="s">
        <v>399</v>
      </c>
      <c r="AG4" s="576" t="s">
        <v>400</v>
      </c>
      <c r="AH4" s="574"/>
      <c r="AI4" s="574"/>
      <c r="AJ4" s="579" t="s">
        <v>401</v>
      </c>
      <c r="AK4" s="938"/>
      <c r="AL4" s="576" t="s">
        <v>402</v>
      </c>
      <c r="AM4" s="574"/>
      <c r="AN4" s="580"/>
      <c r="AO4" s="581"/>
      <c r="AP4" s="581"/>
      <c r="AQ4" s="555"/>
      <c r="AR4" s="582"/>
      <c r="AS4" s="557"/>
      <c r="AT4" s="200"/>
      <c r="AU4" s="583" t="s">
        <v>119</v>
      </c>
      <c r="AV4" s="584" t="s">
        <v>213</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404</v>
      </c>
      <c r="BL4" s="250"/>
      <c r="BM4" s="564">
        <v>46143.0</v>
      </c>
      <c r="BU4" s="526"/>
      <c r="BV4" s="526"/>
      <c r="BW4" s="526"/>
      <c r="BX4" s="526"/>
      <c r="BY4" s="526"/>
    </row>
    <row r="5" ht="24.75" customHeight="1">
      <c r="A5" s="529"/>
      <c r="B5" s="589" t="s">
        <v>405</v>
      </c>
      <c r="C5" s="590"/>
      <c r="D5" s="529"/>
      <c r="E5" s="591" t="s">
        <v>406</v>
      </c>
      <c r="F5" s="590"/>
      <c r="G5" s="529"/>
      <c r="H5" s="529"/>
      <c r="I5" s="592" t="b">
        <v>0</v>
      </c>
      <c r="J5" s="3"/>
      <c r="K5" s="593"/>
      <c r="L5" s="594"/>
      <c r="M5" s="595" t="s">
        <v>407</v>
      </c>
      <c r="N5" s="596"/>
      <c r="O5" s="574"/>
      <c r="P5" s="597" t="s">
        <v>408</v>
      </c>
      <c r="Q5" s="576" t="s">
        <v>409</v>
      </c>
      <c r="R5" s="574"/>
      <c r="S5" s="574"/>
      <c r="T5" s="597" t="s">
        <v>410</v>
      </c>
      <c r="U5" s="576" t="s">
        <v>411</v>
      </c>
      <c r="V5" s="574"/>
      <c r="W5" s="574"/>
      <c r="X5" s="597" t="s">
        <v>412</v>
      </c>
      <c r="Y5" s="576" t="s">
        <v>413</v>
      </c>
      <c r="Z5" s="574"/>
      <c r="AA5" s="574"/>
      <c r="AB5" s="597" t="s">
        <v>414</v>
      </c>
      <c r="AC5" s="576" t="s">
        <v>415</v>
      </c>
      <c r="AD5" s="574"/>
      <c r="AE5" s="574"/>
      <c r="AF5" s="597" t="s">
        <v>416</v>
      </c>
      <c r="AG5" s="576" t="s">
        <v>417</v>
      </c>
      <c r="AH5" s="574"/>
      <c r="AI5" s="574"/>
      <c r="AJ5" s="597" t="s">
        <v>418</v>
      </c>
      <c r="AK5" s="939"/>
      <c r="AL5" s="576" t="s">
        <v>419</v>
      </c>
      <c r="AM5" s="574"/>
      <c r="AN5" s="580"/>
      <c r="AO5" s="581"/>
      <c r="AP5" s="581"/>
      <c r="AQ5" s="555"/>
      <c r="AR5" s="582"/>
      <c r="AS5" s="557"/>
      <c r="AT5" s="200"/>
      <c r="AU5" s="598" t="s">
        <v>420</v>
      </c>
      <c r="AV5" s="584" t="s">
        <v>216</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46114</v>
      </c>
      <c r="C7" s="614"/>
      <c r="D7" s="529"/>
      <c r="E7" s="615">
        <f>today()+1</f>
        <v>46115</v>
      </c>
      <c r="F7" s="616"/>
      <c r="G7" s="529"/>
      <c r="H7" s="529"/>
      <c r="I7" s="617" t="s">
        <v>421</v>
      </c>
      <c r="J7" s="618" t="s">
        <v>422</v>
      </c>
      <c r="K7" s="619">
        <v>46054.0</v>
      </c>
      <c r="L7" s="620" t="s">
        <v>423</v>
      </c>
      <c r="M7" s="621" t="s">
        <v>424</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425</v>
      </c>
      <c r="AU7" s="625" t="s">
        <v>426</v>
      </c>
      <c r="AV7" s="626" t="s">
        <v>81</v>
      </c>
      <c r="AW7" s="626" t="s">
        <v>427</v>
      </c>
      <c r="AX7" s="626" t="s">
        <v>428</v>
      </c>
      <c r="AY7" s="626" t="s">
        <v>429</v>
      </c>
      <c r="AZ7" s="626" t="s">
        <v>430</v>
      </c>
      <c r="BA7" s="626" t="s">
        <v>431</v>
      </c>
      <c r="BB7" s="626" t="s">
        <v>82</v>
      </c>
      <c r="BC7" s="627" t="s">
        <v>342</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292</v>
      </c>
      <c r="C8" s="912" t="str">
        <f>TEXT(B7,"ddd")</f>
        <v>木</v>
      </c>
      <c r="D8" s="200"/>
      <c r="E8" s="913" t="s">
        <v>292</v>
      </c>
      <c r="F8" s="914" t="str">
        <f>TEXT(E7,"ddd")</f>
        <v>金</v>
      </c>
      <c r="G8" s="200"/>
      <c r="H8" s="200"/>
      <c r="I8" s="617"/>
      <c r="J8" s="632" t="s">
        <v>432</v>
      </c>
      <c r="K8" s="620" t="s">
        <v>433</v>
      </c>
      <c r="L8" s="633" t="s">
        <v>434</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435</v>
      </c>
      <c r="L9" s="639" t="s">
        <v>135</v>
      </c>
      <c r="M9" s="640" t="s">
        <v>436</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437</v>
      </c>
      <c r="L10" s="639" t="s">
        <v>135</v>
      </c>
      <c r="M10" s="640" t="s">
        <v>438</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394</v>
      </c>
      <c r="O11" s="646" t="s">
        <v>408</v>
      </c>
      <c r="P11" s="646" t="s">
        <v>408</v>
      </c>
      <c r="Q11" s="646" t="s">
        <v>408</v>
      </c>
      <c r="R11" s="646" t="s">
        <v>394</v>
      </c>
      <c r="S11" s="646" t="s">
        <v>408</v>
      </c>
      <c r="T11" s="646" t="s">
        <v>394</v>
      </c>
      <c r="U11" s="646" t="s">
        <v>394</v>
      </c>
      <c r="V11" s="646" t="s">
        <v>408</v>
      </c>
      <c r="W11" s="646" t="s">
        <v>408</v>
      </c>
      <c r="X11" s="646" t="s">
        <v>394</v>
      </c>
      <c r="Y11" s="646" t="s">
        <v>394</v>
      </c>
      <c r="Z11" s="646" t="s">
        <v>408</v>
      </c>
      <c r="AA11" s="646" t="s">
        <v>394</v>
      </c>
      <c r="AB11" s="646" t="s">
        <v>394</v>
      </c>
      <c r="AC11" s="646" t="s">
        <v>408</v>
      </c>
      <c r="AD11" s="646" t="s">
        <v>410</v>
      </c>
      <c r="AE11" s="646" t="s">
        <v>410</v>
      </c>
      <c r="AF11" s="646" t="s">
        <v>394</v>
      </c>
      <c r="AG11" s="646" t="s">
        <v>410</v>
      </c>
      <c r="AH11" s="646" t="s">
        <v>410</v>
      </c>
      <c r="AI11" s="646" t="s">
        <v>410</v>
      </c>
      <c r="AJ11" s="646" t="s">
        <v>410</v>
      </c>
      <c r="AK11" s="646"/>
      <c r="AL11" s="646" t="s">
        <v>410</v>
      </c>
      <c r="AM11" s="646" t="s">
        <v>410</v>
      </c>
      <c r="AN11" s="646" t="s">
        <v>394</v>
      </c>
      <c r="AO11" s="646" t="s">
        <v>410</v>
      </c>
      <c r="AP11" s="646" t="s">
        <v>394</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727</v>
      </c>
      <c r="O12" s="921" t="s">
        <v>394</v>
      </c>
      <c r="P12" s="921" t="s">
        <v>394</v>
      </c>
      <c r="Q12" s="921" t="s">
        <v>394</v>
      </c>
      <c r="R12" s="921" t="s">
        <v>394</v>
      </c>
      <c r="S12" s="921" t="s">
        <v>728</v>
      </c>
      <c r="T12" s="941" t="s">
        <v>408</v>
      </c>
      <c r="U12" s="940" t="s">
        <v>727</v>
      </c>
      <c r="V12" s="921" t="s">
        <v>394</v>
      </c>
      <c r="W12" s="921" t="s">
        <v>408</v>
      </c>
      <c r="X12" s="921" t="s">
        <v>394</v>
      </c>
      <c r="Y12" s="921" t="s">
        <v>408</v>
      </c>
      <c r="Z12" s="921" t="s">
        <v>394</v>
      </c>
      <c r="AA12" s="941" t="s">
        <v>727</v>
      </c>
      <c r="AB12" s="940" t="s">
        <v>727</v>
      </c>
      <c r="AC12" s="921" t="s">
        <v>394</v>
      </c>
      <c r="AD12" s="921" t="s">
        <v>408</v>
      </c>
      <c r="AE12" s="921" t="s">
        <v>394</v>
      </c>
      <c r="AF12" s="921" t="s">
        <v>408</v>
      </c>
      <c r="AG12" s="921" t="s">
        <v>394</v>
      </c>
      <c r="AH12" s="941" t="s">
        <v>394</v>
      </c>
      <c r="AI12" s="940" t="s">
        <v>394</v>
      </c>
      <c r="AJ12" s="921" t="s">
        <v>394</v>
      </c>
      <c r="AK12" s="921"/>
      <c r="AL12" s="921" t="s">
        <v>408</v>
      </c>
      <c r="AM12" s="921" t="s">
        <v>394</v>
      </c>
      <c r="AN12" s="921" t="s">
        <v>408</v>
      </c>
      <c r="AO12" s="921" t="s">
        <v>394</v>
      </c>
      <c r="AP12" s="941" t="s">
        <v>394</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8"/>
      <c r="O13" s="919"/>
      <c r="P13" s="921" t="s">
        <v>394</v>
      </c>
      <c r="Q13" s="919"/>
      <c r="R13" s="919"/>
      <c r="S13" s="921" t="s">
        <v>414</v>
      </c>
      <c r="T13" s="920"/>
      <c r="U13" s="918"/>
      <c r="V13" s="921" t="s">
        <v>394</v>
      </c>
      <c r="W13" s="921" t="s">
        <v>394</v>
      </c>
      <c r="X13" s="919"/>
      <c r="Y13" s="919"/>
      <c r="Z13" s="921" t="s">
        <v>394</v>
      </c>
      <c r="AA13" s="920"/>
      <c r="AB13" s="918"/>
      <c r="AC13" s="919"/>
      <c r="AD13" s="921" t="s">
        <v>394</v>
      </c>
      <c r="AE13" s="919"/>
      <c r="AF13" s="919"/>
      <c r="AG13" s="921" t="s">
        <v>394</v>
      </c>
      <c r="AH13" s="920"/>
      <c r="AI13" s="918"/>
      <c r="AJ13" s="921" t="s">
        <v>394</v>
      </c>
      <c r="AK13" s="921"/>
      <c r="AL13" s="921" t="s">
        <v>394</v>
      </c>
      <c r="AM13" s="919"/>
      <c r="AN13" s="919"/>
      <c r="AO13" s="921" t="s">
        <v>394</v>
      </c>
      <c r="AP13" s="920"/>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394</v>
      </c>
      <c r="Z14" s="646" t="s">
        <v>408</v>
      </c>
      <c r="AA14" s="921" t="s">
        <v>394</v>
      </c>
      <c r="AB14" s="921" t="s">
        <v>394</v>
      </c>
      <c r="AC14" s="646" t="s">
        <v>408</v>
      </c>
      <c r="AD14" s="922" t="s">
        <v>394</v>
      </c>
      <c r="AE14" s="921" t="s">
        <v>394</v>
      </c>
      <c r="AF14" s="646" t="s">
        <v>394</v>
      </c>
      <c r="AG14" s="646" t="s">
        <v>394</v>
      </c>
      <c r="AH14" s="921" t="s">
        <v>394</v>
      </c>
      <c r="AI14" s="921" t="s">
        <v>394</v>
      </c>
      <c r="AJ14" s="646" t="s">
        <v>408</v>
      </c>
      <c r="AK14" s="646"/>
      <c r="AL14" s="646" t="s">
        <v>408</v>
      </c>
      <c r="AM14" s="646" t="s">
        <v>729</v>
      </c>
      <c r="AN14" s="916" t="s">
        <v>408</v>
      </c>
      <c r="AO14" s="921" t="s">
        <v>394</v>
      </c>
      <c r="AP14" s="921" t="s">
        <v>394</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730</v>
      </c>
      <c r="Q15" s="646"/>
      <c r="R15" s="646" t="s">
        <v>731</v>
      </c>
      <c r="S15" s="646"/>
      <c r="T15" s="646"/>
      <c r="U15" s="646"/>
      <c r="V15" s="646"/>
      <c r="W15" s="646"/>
      <c r="X15" s="646"/>
      <c r="Y15" s="646"/>
      <c r="Z15" s="646"/>
      <c r="AA15" s="646"/>
      <c r="AB15" s="646"/>
      <c r="AC15" s="646"/>
      <c r="AD15" s="646"/>
      <c r="AE15" s="646"/>
      <c r="AF15" s="646" t="s">
        <v>732</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733</v>
      </c>
      <c r="Q16" s="646"/>
      <c r="R16" s="646" t="s">
        <v>734</v>
      </c>
      <c r="S16" s="646"/>
      <c r="T16" s="646"/>
      <c r="U16" s="646"/>
      <c r="V16" s="646"/>
      <c r="W16" s="646"/>
      <c r="X16" s="646"/>
      <c r="Y16" s="646"/>
      <c r="Z16" s="646"/>
      <c r="AA16" s="646"/>
      <c r="AB16" s="646"/>
      <c r="AC16" s="646"/>
      <c r="AD16" s="646"/>
      <c r="AE16" s="646"/>
      <c r="AF16" s="646" t="s">
        <v>733</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446</v>
      </c>
      <c r="L17" s="639" t="s">
        <v>447</v>
      </c>
      <c r="M17" s="645"/>
      <c r="N17" s="646" t="s">
        <v>414</v>
      </c>
      <c r="O17" s="646" t="s">
        <v>394</v>
      </c>
      <c r="P17" s="646" t="s">
        <v>394</v>
      </c>
      <c r="Q17" s="646"/>
      <c r="R17" s="646"/>
      <c r="S17" s="646" t="s">
        <v>394</v>
      </c>
      <c r="T17" s="646" t="s">
        <v>414</v>
      </c>
      <c r="U17" s="646" t="s">
        <v>414</v>
      </c>
      <c r="V17" s="646" t="s">
        <v>394</v>
      </c>
      <c r="W17" s="646" t="s">
        <v>394</v>
      </c>
      <c r="X17" s="646" t="s">
        <v>414</v>
      </c>
      <c r="Y17" s="646"/>
      <c r="Z17" s="646" t="s">
        <v>414</v>
      </c>
      <c r="AA17" s="646" t="s">
        <v>414</v>
      </c>
      <c r="AB17" s="646" t="s">
        <v>414</v>
      </c>
      <c r="AC17" s="646" t="s">
        <v>394</v>
      </c>
      <c r="AD17" s="646" t="s">
        <v>394</v>
      </c>
      <c r="AE17" s="646"/>
      <c r="AF17" s="646" t="s">
        <v>394</v>
      </c>
      <c r="AG17" s="646"/>
      <c r="AH17" s="646" t="s">
        <v>414</v>
      </c>
      <c r="AI17" s="646" t="s">
        <v>414</v>
      </c>
      <c r="AJ17" s="646" t="s">
        <v>414</v>
      </c>
      <c r="AK17" s="646"/>
      <c r="AL17" s="646" t="s">
        <v>394</v>
      </c>
      <c r="AM17" s="646" t="s">
        <v>394</v>
      </c>
      <c r="AN17" s="646" t="s">
        <v>394</v>
      </c>
      <c r="AO17" s="646" t="s">
        <v>414</v>
      </c>
      <c r="AP17" s="646" t="s">
        <v>414</v>
      </c>
      <c r="AQ17" s="646"/>
      <c r="AR17" s="646"/>
      <c r="AS17" s="641"/>
      <c r="AT17" s="647">
        <f t="array" ref="AT17">SUM(COUNTIF(N17:AS17, {"◎","〇","☆","共","特","浴"}))</f>
        <v>11</v>
      </c>
      <c r="AU17" s="651"/>
      <c r="AV17" s="649"/>
      <c r="AW17" s="649"/>
      <c r="AX17" s="649"/>
      <c r="AY17" s="649"/>
      <c r="AZ17" s="649"/>
      <c r="BA17" s="649"/>
      <c r="BB17" s="649"/>
      <c r="BC17" s="652" t="s">
        <v>580</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449</v>
      </c>
      <c r="L18" s="639" t="s">
        <v>447</v>
      </c>
      <c r="M18" s="645"/>
      <c r="N18" s="646"/>
      <c r="O18" s="646" t="s">
        <v>394</v>
      </c>
      <c r="P18" s="646" t="s">
        <v>394</v>
      </c>
      <c r="Q18" s="646"/>
      <c r="R18" s="646" t="s">
        <v>394</v>
      </c>
      <c r="S18" s="646"/>
      <c r="T18" s="646"/>
      <c r="U18" s="646"/>
      <c r="V18" s="646" t="s">
        <v>394</v>
      </c>
      <c r="W18" s="646" t="s">
        <v>394</v>
      </c>
      <c r="X18" s="646"/>
      <c r="Y18" s="646" t="s">
        <v>394</v>
      </c>
      <c r="Z18" s="646"/>
      <c r="AA18" s="646"/>
      <c r="AB18" s="646"/>
      <c r="AC18" s="646" t="s">
        <v>394</v>
      </c>
      <c r="AD18" s="646" t="s">
        <v>394</v>
      </c>
      <c r="AE18" s="646"/>
      <c r="AF18" s="646" t="s">
        <v>394</v>
      </c>
      <c r="AG18" s="646"/>
      <c r="AH18" s="646"/>
      <c r="AI18" s="646"/>
      <c r="AJ18" s="646" t="s">
        <v>394</v>
      </c>
      <c r="AK18" s="646"/>
      <c r="AL18" s="646" t="s">
        <v>394</v>
      </c>
      <c r="AM18" s="646"/>
      <c r="AN18" s="646" t="s">
        <v>394</v>
      </c>
      <c r="AO18" s="646"/>
      <c r="AP18" s="646"/>
      <c r="AQ18" s="646"/>
      <c r="AR18" s="646"/>
      <c r="AS18" s="641"/>
      <c r="AT18" s="647">
        <f t="array" ref="AT18">SUM(COUNTIF(N18:AS18, {"◎","〇","☆","共","特","浴"}))</f>
        <v>12</v>
      </c>
      <c r="AU18" s="648"/>
      <c r="AV18" s="649"/>
      <c r="AW18" s="649"/>
      <c r="AX18" s="649"/>
      <c r="AY18" s="649"/>
      <c r="AZ18" s="649"/>
      <c r="BA18" s="649"/>
      <c r="BB18" s="649"/>
      <c r="BC18" s="652" t="s">
        <v>581</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447</v>
      </c>
      <c r="M19" s="645"/>
      <c r="N19" s="646"/>
      <c r="O19" s="646"/>
      <c r="P19" s="646" t="s">
        <v>414</v>
      </c>
      <c r="Q19" s="646" t="s">
        <v>394</v>
      </c>
      <c r="R19" s="646" t="s">
        <v>394</v>
      </c>
      <c r="S19" s="646" t="s">
        <v>394</v>
      </c>
      <c r="T19" s="646"/>
      <c r="U19" s="646"/>
      <c r="V19" s="646"/>
      <c r="W19" s="646"/>
      <c r="X19" s="646" t="s">
        <v>414</v>
      </c>
      <c r="Y19" s="646" t="s">
        <v>394</v>
      </c>
      <c r="Z19" s="646" t="s">
        <v>394</v>
      </c>
      <c r="AA19" s="646"/>
      <c r="AB19" s="646"/>
      <c r="AC19" s="646" t="s">
        <v>394</v>
      </c>
      <c r="AD19" s="646" t="s">
        <v>414</v>
      </c>
      <c r="AE19" s="646" t="s">
        <v>394</v>
      </c>
      <c r="AF19" s="646" t="s">
        <v>394</v>
      </c>
      <c r="AG19" s="646" t="s">
        <v>394</v>
      </c>
      <c r="AH19" s="646"/>
      <c r="AI19" s="646"/>
      <c r="AJ19" s="646" t="s">
        <v>414</v>
      </c>
      <c r="AK19" s="646"/>
      <c r="AL19" s="646" t="s">
        <v>394</v>
      </c>
      <c r="AM19" s="646" t="s">
        <v>394</v>
      </c>
      <c r="AN19" s="646"/>
      <c r="AO19" s="646" t="s">
        <v>394</v>
      </c>
      <c r="AP19" s="646"/>
      <c r="AQ19" s="646"/>
      <c r="AR19" s="646"/>
      <c r="AS19" s="641"/>
      <c r="AT19" s="647">
        <f t="array" ref="AT19">SUM(COUNTIF(N19:AS19, {"◎","〇","☆","共","特","浴"}))</f>
        <v>12</v>
      </c>
      <c r="AU19" s="651"/>
      <c r="AV19" s="649"/>
      <c r="AW19" s="649"/>
      <c r="AX19" s="649"/>
      <c r="AY19" s="649"/>
      <c r="AZ19" s="649"/>
      <c r="BA19" s="649"/>
      <c r="BB19" s="649"/>
      <c r="BC19" s="652" t="s">
        <v>582</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450</v>
      </c>
      <c r="L20" s="639" t="s">
        <v>447</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394</v>
      </c>
      <c r="AQ20" s="646"/>
      <c r="AR20" s="646"/>
      <c r="AS20" s="646"/>
      <c r="AT20" s="647">
        <f t="array" ref="AT20">SUM(COUNTIF(N20:AS20, {"◎","〇","☆","共","特","浴"}))</f>
        <v>1</v>
      </c>
      <c r="AU20" s="651"/>
      <c r="AV20" s="649"/>
      <c r="AW20" s="649"/>
      <c r="AX20" s="649"/>
      <c r="AY20" s="649"/>
      <c r="AZ20" s="649"/>
      <c r="BA20" s="649"/>
      <c r="BB20" s="649"/>
      <c r="BC20" s="942" t="s">
        <v>735</v>
      </c>
      <c r="BD20" s="924"/>
      <c r="BE20" s="924"/>
      <c r="BF20" s="924"/>
      <c r="BG20" s="924"/>
      <c r="BH20" s="924"/>
      <c r="BI20" s="925"/>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452</v>
      </c>
      <c r="L21" s="639" t="s">
        <v>447</v>
      </c>
      <c r="M21" s="645"/>
      <c r="N21" s="646" t="s">
        <v>414</v>
      </c>
      <c r="O21" s="646" t="s">
        <v>394</v>
      </c>
      <c r="P21" s="646"/>
      <c r="Q21" s="646" t="s">
        <v>394</v>
      </c>
      <c r="R21" s="646"/>
      <c r="S21" s="646"/>
      <c r="T21" s="646" t="s">
        <v>394</v>
      </c>
      <c r="U21" s="646" t="s">
        <v>394</v>
      </c>
      <c r="V21" s="646"/>
      <c r="W21" s="646"/>
      <c r="X21" s="646" t="s">
        <v>394</v>
      </c>
      <c r="Y21" s="646"/>
      <c r="Z21" s="646"/>
      <c r="AA21" s="646" t="s">
        <v>394</v>
      </c>
      <c r="AB21" s="646" t="s">
        <v>394</v>
      </c>
      <c r="AC21" s="646"/>
      <c r="AD21" s="646"/>
      <c r="AE21" s="646" t="s">
        <v>394</v>
      </c>
      <c r="AF21" s="646"/>
      <c r="AG21" s="646"/>
      <c r="AH21" s="646" t="s">
        <v>394</v>
      </c>
      <c r="AI21" s="646" t="s">
        <v>394</v>
      </c>
      <c r="AJ21" s="646" t="s">
        <v>394</v>
      </c>
      <c r="AK21" s="646"/>
      <c r="AL21" s="646"/>
      <c r="AM21" s="646" t="s">
        <v>394</v>
      </c>
      <c r="AN21" s="646"/>
      <c r="AO21" s="646"/>
      <c r="AP21" s="646" t="s">
        <v>394</v>
      </c>
      <c r="AQ21" s="646"/>
      <c r="AR21" s="646"/>
      <c r="AS21" s="641"/>
      <c r="AT21" s="647">
        <f t="array" ref="AT21">SUM(COUNTIF(N21:AS21, {"◎","〇","☆","共","特","浴"}))</f>
        <v>13</v>
      </c>
      <c r="AU21" s="651"/>
      <c r="AV21" s="649"/>
      <c r="AW21" s="649"/>
      <c r="AX21" s="649"/>
      <c r="AY21" s="649"/>
      <c r="AZ21" s="649"/>
      <c r="BA21" s="649"/>
      <c r="BB21" s="649"/>
      <c r="BC21" s="652" t="s">
        <v>584</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520</v>
      </c>
      <c r="L22" s="639" t="s">
        <v>736</v>
      </c>
      <c r="M22" s="645"/>
      <c r="N22" s="646" t="s">
        <v>221</v>
      </c>
      <c r="O22" s="646"/>
      <c r="P22" s="646"/>
      <c r="Q22" s="646"/>
      <c r="R22" s="646"/>
      <c r="S22" s="646"/>
      <c r="T22" s="646" t="s">
        <v>221</v>
      </c>
      <c r="U22" s="646" t="s">
        <v>221</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474</v>
      </c>
      <c r="M23" s="645"/>
      <c r="N23" s="646" t="s">
        <v>394</v>
      </c>
      <c r="O23" s="646" t="s">
        <v>192</v>
      </c>
      <c r="P23" s="646" t="s">
        <v>192</v>
      </c>
      <c r="Q23" s="646" t="s">
        <v>192</v>
      </c>
      <c r="R23" s="646" t="s">
        <v>192</v>
      </c>
      <c r="S23" s="646"/>
      <c r="T23" s="646" t="s">
        <v>394</v>
      </c>
      <c r="U23" s="646" t="s">
        <v>394</v>
      </c>
      <c r="V23" s="646" t="s">
        <v>192</v>
      </c>
      <c r="W23" s="646" t="s">
        <v>192</v>
      </c>
      <c r="X23" s="646" t="s">
        <v>192</v>
      </c>
      <c r="Y23" s="646" t="s">
        <v>192</v>
      </c>
      <c r="Z23" s="646"/>
      <c r="AA23" s="646" t="s">
        <v>394</v>
      </c>
      <c r="AB23" s="646" t="s">
        <v>394</v>
      </c>
      <c r="AC23" s="646" t="s">
        <v>192</v>
      </c>
      <c r="AD23" s="646" t="s">
        <v>192</v>
      </c>
      <c r="AE23" s="646" t="s">
        <v>192</v>
      </c>
      <c r="AF23" s="646"/>
      <c r="AG23" s="646"/>
      <c r="AH23" s="646" t="s">
        <v>394</v>
      </c>
      <c r="AI23" s="646" t="s">
        <v>394</v>
      </c>
      <c r="AJ23" s="646" t="s">
        <v>192</v>
      </c>
      <c r="AK23" s="646"/>
      <c r="AL23" s="646"/>
      <c r="AM23" s="646" t="s">
        <v>192</v>
      </c>
      <c r="AN23" s="646" t="s">
        <v>192</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454</v>
      </c>
      <c r="C24" s="637"/>
      <c r="D24" s="200"/>
      <c r="E24" s="636" t="s">
        <v>454</v>
      </c>
      <c r="F24" s="637"/>
      <c r="G24" s="200"/>
      <c r="H24" s="200"/>
      <c r="I24" s="172" t="b">
        <v>0</v>
      </c>
      <c r="J24" s="618"/>
      <c r="K24" s="638" t="s">
        <v>454</v>
      </c>
      <c r="L24" s="639" t="s">
        <v>447</v>
      </c>
      <c r="M24" s="645"/>
      <c r="N24" s="646"/>
      <c r="O24" s="646"/>
      <c r="P24" s="646"/>
      <c r="Q24" s="646"/>
      <c r="R24" s="646"/>
      <c r="S24" s="646"/>
      <c r="T24" s="646"/>
      <c r="U24" s="646"/>
      <c r="V24" s="646"/>
      <c r="W24" s="646"/>
      <c r="X24" s="646"/>
      <c r="Y24" s="646" t="s">
        <v>192</v>
      </c>
      <c r="Z24" s="646"/>
      <c r="AA24" s="646"/>
      <c r="AB24" s="646"/>
      <c r="AC24" s="646"/>
      <c r="AD24" s="646"/>
      <c r="AE24" s="646"/>
      <c r="AF24" s="646" t="s">
        <v>192</v>
      </c>
      <c r="AG24" s="646"/>
      <c r="AH24" s="646"/>
      <c r="AI24" s="646"/>
      <c r="AJ24" s="646"/>
      <c r="AK24" s="646"/>
      <c r="AL24" s="646"/>
      <c r="AM24" s="646"/>
      <c r="AN24" s="646" t="s">
        <v>192</v>
      </c>
      <c r="AO24" s="646"/>
      <c r="AP24" s="646" t="s">
        <v>192</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456</v>
      </c>
      <c r="L26" s="639" t="s">
        <v>574</v>
      </c>
      <c r="M26" s="645"/>
      <c r="N26" s="646" t="s">
        <v>457</v>
      </c>
      <c r="O26" s="646"/>
      <c r="P26" s="646"/>
      <c r="Q26" s="646" t="s">
        <v>457</v>
      </c>
      <c r="R26" s="646" t="s">
        <v>457</v>
      </c>
      <c r="S26" s="646" t="s">
        <v>457</v>
      </c>
      <c r="T26" s="646" t="s">
        <v>457</v>
      </c>
      <c r="U26" s="646" t="s">
        <v>457</v>
      </c>
      <c r="V26" s="646"/>
      <c r="W26" s="646"/>
      <c r="X26" s="646" t="s">
        <v>457</v>
      </c>
      <c r="Y26" s="646" t="s">
        <v>457</v>
      </c>
      <c r="Z26" s="646" t="s">
        <v>457</v>
      </c>
      <c r="AA26" s="646" t="s">
        <v>457</v>
      </c>
      <c r="AB26" s="646" t="s">
        <v>457</v>
      </c>
      <c r="AC26" s="646"/>
      <c r="AD26" s="646"/>
      <c r="AE26" s="646" t="s">
        <v>457</v>
      </c>
      <c r="AF26" s="646" t="s">
        <v>457</v>
      </c>
      <c r="AG26" s="646" t="s">
        <v>457</v>
      </c>
      <c r="AH26" s="646" t="s">
        <v>457</v>
      </c>
      <c r="AI26" s="646" t="s">
        <v>457</v>
      </c>
      <c r="AJ26" s="646"/>
      <c r="AK26" s="646"/>
      <c r="AL26" s="646"/>
      <c r="AM26" s="646" t="s">
        <v>457</v>
      </c>
      <c r="AN26" s="646" t="s">
        <v>457</v>
      </c>
      <c r="AO26" s="646" t="s">
        <v>457</v>
      </c>
      <c r="AP26" s="646" t="s">
        <v>457</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3"/>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459</v>
      </c>
      <c r="L27" s="639" t="s">
        <v>574</v>
      </c>
      <c r="M27" s="645"/>
      <c r="N27" s="646"/>
      <c r="O27" s="646" t="s">
        <v>457</v>
      </c>
      <c r="P27" s="646" t="s">
        <v>457</v>
      </c>
      <c r="Q27" s="646"/>
      <c r="R27" s="646"/>
      <c r="S27" s="646"/>
      <c r="T27" s="646"/>
      <c r="U27" s="646"/>
      <c r="V27" s="646" t="s">
        <v>457</v>
      </c>
      <c r="W27" s="646" t="s">
        <v>457</v>
      </c>
      <c r="X27" s="646"/>
      <c r="Y27" s="646"/>
      <c r="Z27" s="646"/>
      <c r="AA27" s="646"/>
      <c r="AB27" s="646"/>
      <c r="AC27" s="646" t="s">
        <v>457</v>
      </c>
      <c r="AD27" s="646" t="s">
        <v>457</v>
      </c>
      <c r="AE27" s="646"/>
      <c r="AF27" s="646"/>
      <c r="AG27" s="646"/>
      <c r="AH27" s="646"/>
      <c r="AI27" s="646"/>
      <c r="AJ27" s="646" t="s">
        <v>457</v>
      </c>
      <c r="AK27" s="646"/>
      <c r="AL27" s="646" t="s">
        <v>457</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3"/>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3"/>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3"/>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3"/>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3"/>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3"/>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3"/>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3"/>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3"/>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3"/>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3"/>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3"/>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3"/>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3"/>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3"/>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461</v>
      </c>
      <c r="L42" s="639" t="s">
        <v>447</v>
      </c>
      <c r="M42" s="640" t="s">
        <v>192</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3"/>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462</v>
      </c>
      <c r="L43" s="639" t="s">
        <v>447</v>
      </c>
      <c r="M43" s="640" t="s">
        <v>397</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3"/>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5" t="b">
        <v>0</v>
      </c>
      <c r="J44" s="618"/>
      <c r="K44" s="656" t="s">
        <v>463</v>
      </c>
      <c r="L44" s="657" t="s">
        <v>445</v>
      </c>
      <c r="M44" s="658"/>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59"/>
      <c r="AW44" s="659"/>
      <c r="AX44" s="659"/>
      <c r="AY44" s="659"/>
      <c r="AZ44" s="659"/>
      <c r="BA44" s="659"/>
      <c r="BB44" s="659"/>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3"/>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464</v>
      </c>
      <c r="L45" s="639" t="s">
        <v>445</v>
      </c>
      <c r="M45" s="640" t="s">
        <v>465</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3"/>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466</v>
      </c>
      <c r="L46" s="639" t="s">
        <v>467</v>
      </c>
      <c r="M46" s="645"/>
      <c r="N46" s="646"/>
      <c r="O46" s="646" t="s">
        <v>192</v>
      </c>
      <c r="P46" s="646"/>
      <c r="Q46" s="646" t="s">
        <v>192</v>
      </c>
      <c r="R46" s="646" t="s">
        <v>192</v>
      </c>
      <c r="S46" s="646" t="s">
        <v>192</v>
      </c>
      <c r="T46" s="646" t="s">
        <v>192</v>
      </c>
      <c r="U46" s="646"/>
      <c r="V46" s="646" t="s">
        <v>192</v>
      </c>
      <c r="W46" s="646"/>
      <c r="X46" s="646" t="s">
        <v>192</v>
      </c>
      <c r="Y46" s="646" t="s">
        <v>192</v>
      </c>
      <c r="Z46" s="646" t="s">
        <v>192</v>
      </c>
      <c r="AA46" s="646" t="s">
        <v>192</v>
      </c>
      <c r="AB46" s="646"/>
      <c r="AC46" s="646" t="s">
        <v>192</v>
      </c>
      <c r="AD46" s="646" t="s">
        <v>192</v>
      </c>
      <c r="AE46" s="646"/>
      <c r="AF46" s="646" t="s">
        <v>192</v>
      </c>
      <c r="AG46" s="646" t="s">
        <v>192</v>
      </c>
      <c r="AH46" s="646" t="s">
        <v>192</v>
      </c>
      <c r="AI46" s="646"/>
      <c r="AJ46" s="646" t="s">
        <v>192</v>
      </c>
      <c r="AK46" s="646"/>
      <c r="AL46" s="646" t="s">
        <v>192</v>
      </c>
      <c r="AM46" s="646" t="s">
        <v>192</v>
      </c>
      <c r="AN46" s="646" t="s">
        <v>192</v>
      </c>
      <c r="AO46" s="646" t="s">
        <v>192</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3"/>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468</v>
      </c>
      <c r="L47" s="639" t="s">
        <v>467</v>
      </c>
      <c r="M47" s="645"/>
      <c r="N47" s="646"/>
      <c r="O47" s="646" t="s">
        <v>192</v>
      </c>
      <c r="P47" s="646" t="s">
        <v>192</v>
      </c>
      <c r="Q47" s="646" t="s">
        <v>192</v>
      </c>
      <c r="R47" s="646" t="s">
        <v>192</v>
      </c>
      <c r="S47" s="646" t="s">
        <v>192</v>
      </c>
      <c r="T47" s="646"/>
      <c r="U47" s="646"/>
      <c r="V47" s="646" t="s">
        <v>192</v>
      </c>
      <c r="W47" s="646" t="s">
        <v>192</v>
      </c>
      <c r="X47" s="646"/>
      <c r="Y47" s="646" t="s">
        <v>192</v>
      </c>
      <c r="Z47" s="646" t="s">
        <v>192</v>
      </c>
      <c r="AA47" s="646" t="s">
        <v>192</v>
      </c>
      <c r="AB47" s="646"/>
      <c r="AC47" s="646"/>
      <c r="AD47" s="646"/>
      <c r="AE47" s="646" t="s">
        <v>192</v>
      </c>
      <c r="AF47" s="646" t="s">
        <v>192</v>
      </c>
      <c r="AG47" s="646" t="s">
        <v>192</v>
      </c>
      <c r="AH47" s="646" t="s">
        <v>192</v>
      </c>
      <c r="AI47" s="646"/>
      <c r="AJ47" s="646"/>
      <c r="AK47" s="646"/>
      <c r="AL47" s="646" t="s">
        <v>192</v>
      </c>
      <c r="AM47" s="646" t="s">
        <v>192</v>
      </c>
      <c r="AN47" s="646" t="s">
        <v>192</v>
      </c>
      <c r="AO47" s="646" t="s">
        <v>192</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3"/>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467</v>
      </c>
      <c r="M48" s="645"/>
      <c r="N48" s="646" t="s">
        <v>192</v>
      </c>
      <c r="O48" s="646" t="s">
        <v>192</v>
      </c>
      <c r="P48" s="646" t="s">
        <v>192</v>
      </c>
      <c r="Q48" s="646"/>
      <c r="R48" s="646" t="s">
        <v>192</v>
      </c>
      <c r="S48" s="646" t="s">
        <v>192</v>
      </c>
      <c r="T48" s="646" t="s">
        <v>192</v>
      </c>
      <c r="U48" s="646" t="s">
        <v>192</v>
      </c>
      <c r="V48" s="646" t="s">
        <v>192</v>
      </c>
      <c r="W48" s="646" t="s">
        <v>192</v>
      </c>
      <c r="X48" s="646"/>
      <c r="Y48" s="646" t="s">
        <v>192</v>
      </c>
      <c r="Z48" s="646" t="s">
        <v>192</v>
      </c>
      <c r="AA48" s="646" t="s">
        <v>192</v>
      </c>
      <c r="AB48" s="646" t="s">
        <v>192</v>
      </c>
      <c r="AC48" s="646" t="s">
        <v>192</v>
      </c>
      <c r="AD48" s="646" t="s">
        <v>192</v>
      </c>
      <c r="AE48" s="646"/>
      <c r="AF48" s="646" t="s">
        <v>192</v>
      </c>
      <c r="AG48" s="646" t="s">
        <v>192</v>
      </c>
      <c r="AH48" s="646" t="s">
        <v>192</v>
      </c>
      <c r="AI48" s="646" t="s">
        <v>192</v>
      </c>
      <c r="AJ48" s="646" t="s">
        <v>192</v>
      </c>
      <c r="AK48" s="646"/>
      <c r="AL48" s="646" t="s">
        <v>192</v>
      </c>
      <c r="AM48" s="646"/>
      <c r="AN48" s="646" t="s">
        <v>192</v>
      </c>
      <c r="AO48" s="646" t="s">
        <v>192</v>
      </c>
      <c r="AP48" s="646" t="s">
        <v>192</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3"/>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471</v>
      </c>
      <c r="L49" s="639" t="s">
        <v>467</v>
      </c>
      <c r="M49" s="645"/>
      <c r="N49" s="646" t="s">
        <v>192</v>
      </c>
      <c r="O49" s="646" t="s">
        <v>192</v>
      </c>
      <c r="P49" s="646" t="s">
        <v>192</v>
      </c>
      <c r="Q49" s="646" t="s">
        <v>192</v>
      </c>
      <c r="R49" s="646" t="s">
        <v>192</v>
      </c>
      <c r="S49" s="646"/>
      <c r="T49" s="646" t="s">
        <v>192</v>
      </c>
      <c r="U49" s="646" t="s">
        <v>192</v>
      </c>
      <c r="V49" s="646" t="s">
        <v>192</v>
      </c>
      <c r="W49" s="646" t="s">
        <v>192</v>
      </c>
      <c r="X49" s="646" t="s">
        <v>192</v>
      </c>
      <c r="Y49" s="646" t="s">
        <v>192</v>
      </c>
      <c r="Z49" s="646"/>
      <c r="AA49" s="646" t="s">
        <v>192</v>
      </c>
      <c r="AB49" s="646" t="s">
        <v>192</v>
      </c>
      <c r="AC49" s="646" t="s">
        <v>192</v>
      </c>
      <c r="AD49" s="646" t="s">
        <v>192</v>
      </c>
      <c r="AE49" s="646" t="s">
        <v>192</v>
      </c>
      <c r="AF49" s="646" t="s">
        <v>192</v>
      </c>
      <c r="AG49" s="646"/>
      <c r="AH49" s="646"/>
      <c r="AI49" s="646" t="s">
        <v>192</v>
      </c>
      <c r="AJ49" s="646" t="s">
        <v>192</v>
      </c>
      <c r="AK49" s="646"/>
      <c r="AL49" s="646" t="s">
        <v>192</v>
      </c>
      <c r="AM49" s="646" t="s">
        <v>192</v>
      </c>
      <c r="AN49" s="646" t="s">
        <v>192</v>
      </c>
      <c r="AO49" s="646"/>
      <c r="AP49" s="646" t="s">
        <v>192</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3"/>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470</v>
      </c>
      <c r="L50" s="639" t="s">
        <v>467</v>
      </c>
      <c r="M50" s="645"/>
      <c r="N50" s="646" t="s">
        <v>192</v>
      </c>
      <c r="O50" s="641"/>
      <c r="P50" s="641"/>
      <c r="Q50" s="646" t="s">
        <v>192</v>
      </c>
      <c r="R50" s="646" t="s">
        <v>192</v>
      </c>
      <c r="S50" s="646" t="s">
        <v>192</v>
      </c>
      <c r="T50" s="646" t="s">
        <v>192</v>
      </c>
      <c r="U50" s="646" t="s">
        <v>192</v>
      </c>
      <c r="V50" s="641"/>
      <c r="W50" s="641"/>
      <c r="X50" s="646" t="s">
        <v>192</v>
      </c>
      <c r="Y50" s="646" t="s">
        <v>192</v>
      </c>
      <c r="Z50" s="646" t="s">
        <v>192</v>
      </c>
      <c r="AA50" s="646" t="s">
        <v>192</v>
      </c>
      <c r="AB50" s="646" t="s">
        <v>192</v>
      </c>
      <c r="AC50" s="641"/>
      <c r="AD50" s="641"/>
      <c r="AE50" s="646" t="s">
        <v>192</v>
      </c>
      <c r="AF50" s="646" t="s">
        <v>192</v>
      </c>
      <c r="AG50" s="646" t="s">
        <v>192</v>
      </c>
      <c r="AH50" s="646" t="s">
        <v>192</v>
      </c>
      <c r="AI50" s="646" t="s">
        <v>192</v>
      </c>
      <c r="AJ50" s="646" t="s">
        <v>192</v>
      </c>
      <c r="AK50" s="646"/>
      <c r="AL50" s="641"/>
      <c r="AM50" s="646" t="s">
        <v>192</v>
      </c>
      <c r="AN50" s="646" t="s">
        <v>192</v>
      </c>
      <c r="AO50" s="646" t="s">
        <v>192</v>
      </c>
      <c r="AP50" s="646" t="s">
        <v>192</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3"/>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476</v>
      </c>
      <c r="L51" s="639" t="s">
        <v>467</v>
      </c>
      <c r="M51" s="645"/>
      <c r="N51" s="646"/>
      <c r="O51" s="646" t="s">
        <v>192</v>
      </c>
      <c r="P51" s="646" t="s">
        <v>192</v>
      </c>
      <c r="Q51" s="646" t="s">
        <v>192</v>
      </c>
      <c r="R51" s="646" t="s">
        <v>192</v>
      </c>
      <c r="S51" s="646"/>
      <c r="T51" s="646"/>
      <c r="U51" s="646"/>
      <c r="V51" s="646" t="s">
        <v>192</v>
      </c>
      <c r="W51" s="646" t="s">
        <v>192</v>
      </c>
      <c r="X51" s="646" t="s">
        <v>192</v>
      </c>
      <c r="Y51" s="646" t="s">
        <v>192</v>
      </c>
      <c r="Z51" s="646"/>
      <c r="AA51" s="646"/>
      <c r="AB51" s="646"/>
      <c r="AC51" s="646" t="s">
        <v>192</v>
      </c>
      <c r="AD51" s="646" t="s">
        <v>192</v>
      </c>
      <c r="AE51" s="646" t="s">
        <v>192</v>
      </c>
      <c r="AF51" s="646" t="s">
        <v>192</v>
      </c>
      <c r="AG51" s="646"/>
      <c r="AH51" s="646"/>
      <c r="AI51" s="646"/>
      <c r="AJ51" s="646" t="s">
        <v>192</v>
      </c>
      <c r="AK51" s="646"/>
      <c r="AL51" s="646" t="s">
        <v>192</v>
      </c>
      <c r="AM51" s="646" t="s">
        <v>192</v>
      </c>
      <c r="AN51" s="646" t="s">
        <v>192</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3"/>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483</v>
      </c>
      <c r="L52" s="639" t="s">
        <v>474</v>
      </c>
      <c r="M52" s="640"/>
      <c r="N52" s="646" t="s">
        <v>192</v>
      </c>
      <c r="O52" s="646"/>
      <c r="P52" s="646"/>
      <c r="Q52" s="646"/>
      <c r="R52" s="646"/>
      <c r="S52" s="646"/>
      <c r="T52" s="646"/>
      <c r="U52" s="646" t="s">
        <v>192</v>
      </c>
      <c r="V52" s="646"/>
      <c r="W52" s="646"/>
      <c r="X52" s="646" t="s">
        <v>192</v>
      </c>
      <c r="Y52" s="646"/>
      <c r="Z52" s="646"/>
      <c r="AA52" s="646"/>
      <c r="AB52" s="646" t="s">
        <v>192</v>
      </c>
      <c r="AC52" s="646"/>
      <c r="AD52" s="646"/>
      <c r="AE52" s="646"/>
      <c r="AF52" s="646"/>
      <c r="AG52" s="646"/>
      <c r="AH52" s="646"/>
      <c r="AI52" s="646" t="s">
        <v>192</v>
      </c>
      <c r="AJ52" s="646" t="s">
        <v>192</v>
      </c>
      <c r="AK52" s="646"/>
      <c r="AL52" s="646"/>
      <c r="AM52" s="646"/>
      <c r="AN52" s="646"/>
      <c r="AO52" s="646"/>
      <c r="AP52" s="646" t="s">
        <v>192</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3"/>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478</v>
      </c>
      <c r="L53" s="639" t="s">
        <v>467</v>
      </c>
      <c r="M53" s="640"/>
      <c r="N53" s="646" t="s">
        <v>192</v>
      </c>
      <c r="O53" s="646" t="s">
        <v>192</v>
      </c>
      <c r="P53" s="646" t="s">
        <v>192</v>
      </c>
      <c r="Q53" s="646"/>
      <c r="R53" s="646"/>
      <c r="S53" s="646"/>
      <c r="T53" s="646"/>
      <c r="U53" s="646" t="s">
        <v>192</v>
      </c>
      <c r="V53" s="646" t="s">
        <v>192</v>
      </c>
      <c r="W53" s="646" t="s">
        <v>192</v>
      </c>
      <c r="X53" s="646"/>
      <c r="Y53" s="646"/>
      <c r="Z53" s="646"/>
      <c r="AA53" s="646"/>
      <c r="AB53" s="646" t="s">
        <v>192</v>
      </c>
      <c r="AC53" s="646" t="s">
        <v>192</v>
      </c>
      <c r="AD53" s="646" t="s">
        <v>192</v>
      </c>
      <c r="AE53" s="646"/>
      <c r="AF53" s="646"/>
      <c r="AG53" s="646"/>
      <c r="AH53" s="646"/>
      <c r="AI53" s="646" t="s">
        <v>192</v>
      </c>
      <c r="AJ53" s="646" t="s">
        <v>192</v>
      </c>
      <c r="AK53" s="646"/>
      <c r="AL53" s="646" t="s">
        <v>192</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3"/>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474</v>
      </c>
      <c r="M54" s="645"/>
      <c r="N54" s="646" t="s">
        <v>192</v>
      </c>
      <c r="O54" s="646"/>
      <c r="P54" s="646" t="s">
        <v>192</v>
      </c>
      <c r="Q54" s="646" t="s">
        <v>192</v>
      </c>
      <c r="R54" s="646"/>
      <c r="S54" s="646"/>
      <c r="T54" s="646" t="s">
        <v>192</v>
      </c>
      <c r="U54" s="646" t="s">
        <v>192</v>
      </c>
      <c r="V54" s="646"/>
      <c r="W54" s="646" t="s">
        <v>192</v>
      </c>
      <c r="X54" s="646" t="s">
        <v>192</v>
      </c>
      <c r="Y54" s="646"/>
      <c r="Z54" s="646"/>
      <c r="AA54" s="646" t="s">
        <v>192</v>
      </c>
      <c r="AB54" s="646" t="s">
        <v>192</v>
      </c>
      <c r="AC54" s="646"/>
      <c r="AD54" s="646" t="s">
        <v>192</v>
      </c>
      <c r="AE54" s="646" t="s">
        <v>192</v>
      </c>
      <c r="AF54" s="646"/>
      <c r="AG54" s="646"/>
      <c r="AH54" s="646" t="s">
        <v>192</v>
      </c>
      <c r="AI54" s="646" t="s">
        <v>192</v>
      </c>
      <c r="AJ54" s="646"/>
      <c r="AK54" s="646"/>
      <c r="AL54" s="646" t="s">
        <v>192</v>
      </c>
      <c r="AM54" s="646" t="s">
        <v>192</v>
      </c>
      <c r="AN54" s="646"/>
      <c r="AO54" s="646"/>
      <c r="AP54" s="646" t="s">
        <v>192</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3"/>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473</v>
      </c>
      <c r="L55" s="639" t="s">
        <v>474</v>
      </c>
      <c r="M55" s="645"/>
      <c r="N55" s="646"/>
      <c r="O55" s="646"/>
      <c r="P55" s="646"/>
      <c r="Q55" s="646" t="s">
        <v>192</v>
      </c>
      <c r="R55" s="646" t="s">
        <v>192</v>
      </c>
      <c r="S55" s="646" t="s">
        <v>192</v>
      </c>
      <c r="T55" s="646"/>
      <c r="U55" s="646"/>
      <c r="V55" s="646"/>
      <c r="W55" s="646"/>
      <c r="X55" s="646" t="s">
        <v>192</v>
      </c>
      <c r="Y55" s="646" t="s">
        <v>192</v>
      </c>
      <c r="Z55" s="646" t="s">
        <v>192</v>
      </c>
      <c r="AA55" s="646"/>
      <c r="AB55" s="646"/>
      <c r="AC55" s="646"/>
      <c r="AD55" s="646"/>
      <c r="AE55" s="646" t="s">
        <v>192</v>
      </c>
      <c r="AF55" s="646" t="s">
        <v>192</v>
      </c>
      <c r="AG55" s="646" t="s">
        <v>192</v>
      </c>
      <c r="AH55" s="646"/>
      <c r="AI55" s="646"/>
      <c r="AJ55" s="646"/>
      <c r="AK55" s="646"/>
      <c r="AL55" s="646"/>
      <c r="AM55" s="646" t="s">
        <v>192</v>
      </c>
      <c r="AN55" s="646" t="s">
        <v>192</v>
      </c>
      <c r="AO55" s="646" t="s">
        <v>192</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3"/>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474</v>
      </c>
      <c r="M56" s="645"/>
      <c r="N56" s="646"/>
      <c r="O56" s="646"/>
      <c r="P56" s="646" t="s">
        <v>192</v>
      </c>
      <c r="Q56" s="646" t="s">
        <v>192</v>
      </c>
      <c r="R56" s="646" t="s">
        <v>192</v>
      </c>
      <c r="S56" s="646"/>
      <c r="T56" s="646" t="s">
        <v>192</v>
      </c>
      <c r="U56" s="646"/>
      <c r="V56" s="646"/>
      <c r="W56" s="646" t="s">
        <v>192</v>
      </c>
      <c r="X56" s="646" t="s">
        <v>192</v>
      </c>
      <c r="Y56" s="646" t="s">
        <v>192</v>
      </c>
      <c r="Z56" s="646" t="s">
        <v>192</v>
      </c>
      <c r="AA56" s="646" t="s">
        <v>192</v>
      </c>
      <c r="AB56" s="646"/>
      <c r="AC56" s="646"/>
      <c r="AD56" s="646" t="s">
        <v>192</v>
      </c>
      <c r="AE56" s="646" t="s">
        <v>192</v>
      </c>
      <c r="AF56" s="646" t="s">
        <v>416</v>
      </c>
      <c r="AG56" s="646" t="s">
        <v>192</v>
      </c>
      <c r="AH56" s="646" t="s">
        <v>192</v>
      </c>
      <c r="AI56" s="646"/>
      <c r="AJ56" s="646"/>
      <c r="AK56" s="646"/>
      <c r="AL56" s="646"/>
      <c r="AM56" s="646" t="s">
        <v>192</v>
      </c>
      <c r="AN56" s="646" t="s">
        <v>192</v>
      </c>
      <c r="AO56" s="646" t="s">
        <v>192</v>
      </c>
      <c r="AP56" s="646" t="s">
        <v>192</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3"/>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480</v>
      </c>
      <c r="L57" s="639" t="s">
        <v>474</v>
      </c>
      <c r="M57" s="645"/>
      <c r="N57" s="646" t="s">
        <v>192</v>
      </c>
      <c r="O57" s="646"/>
      <c r="P57" s="646" t="s">
        <v>192</v>
      </c>
      <c r="Q57" s="646" t="s">
        <v>192</v>
      </c>
      <c r="R57" s="646" t="s">
        <v>192</v>
      </c>
      <c r="S57" s="646" t="s">
        <v>192</v>
      </c>
      <c r="T57" s="646"/>
      <c r="U57" s="646" t="s">
        <v>192</v>
      </c>
      <c r="V57" s="646"/>
      <c r="W57" s="646" t="s">
        <v>192</v>
      </c>
      <c r="X57" s="646" t="s">
        <v>192</v>
      </c>
      <c r="Y57" s="646" t="s">
        <v>192</v>
      </c>
      <c r="Z57" s="646" t="s">
        <v>192</v>
      </c>
      <c r="AA57" s="646"/>
      <c r="AB57" s="646" t="s">
        <v>192</v>
      </c>
      <c r="AC57" s="646"/>
      <c r="AD57" s="646" t="s">
        <v>192</v>
      </c>
      <c r="AE57" s="646" t="s">
        <v>192</v>
      </c>
      <c r="AF57" s="646" t="s">
        <v>192</v>
      </c>
      <c r="AG57" s="646"/>
      <c r="AH57" s="646" t="s">
        <v>192</v>
      </c>
      <c r="AI57" s="646" t="s">
        <v>192</v>
      </c>
      <c r="AJ57" s="646"/>
      <c r="AK57" s="646"/>
      <c r="AL57" s="646" t="s">
        <v>192</v>
      </c>
      <c r="AM57" s="646" t="s">
        <v>192</v>
      </c>
      <c r="AN57" s="646" t="s">
        <v>192</v>
      </c>
      <c r="AO57" s="646" t="s">
        <v>192</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3"/>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467</v>
      </c>
      <c r="M58" s="645"/>
      <c r="N58" s="646" t="s">
        <v>192</v>
      </c>
      <c r="O58" s="641"/>
      <c r="P58" s="646"/>
      <c r="Q58" s="646"/>
      <c r="R58" s="646"/>
      <c r="S58" s="646"/>
      <c r="T58" s="646" t="s">
        <v>192</v>
      </c>
      <c r="U58" s="646" t="s">
        <v>192</v>
      </c>
      <c r="V58" s="641"/>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c r="AP58" s="646" t="s">
        <v>192</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3"/>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474</v>
      </c>
      <c r="M59" s="645"/>
      <c r="N59" s="646" t="s">
        <v>192</v>
      </c>
      <c r="O59" s="646"/>
      <c r="P59" s="646"/>
      <c r="Q59" s="646"/>
      <c r="R59" s="641"/>
      <c r="S59" s="646" t="s">
        <v>192</v>
      </c>
      <c r="T59" s="646" t="s">
        <v>192</v>
      </c>
      <c r="U59" s="646" t="s">
        <v>192</v>
      </c>
      <c r="V59" s="646" t="s">
        <v>192</v>
      </c>
      <c r="W59" s="646" t="s">
        <v>192</v>
      </c>
      <c r="X59" s="646"/>
      <c r="Y59" s="641"/>
      <c r="Z59" s="646" t="s">
        <v>192</v>
      </c>
      <c r="AA59" s="646" t="s">
        <v>192</v>
      </c>
      <c r="AB59" s="646" t="s">
        <v>192</v>
      </c>
      <c r="AC59" s="646" t="s">
        <v>192</v>
      </c>
      <c r="AD59" s="646"/>
      <c r="AE59" s="646"/>
      <c r="AF59" s="641"/>
      <c r="AG59" s="646" t="s">
        <v>192</v>
      </c>
      <c r="AH59" s="646" t="s">
        <v>192</v>
      </c>
      <c r="AI59" s="646" t="s">
        <v>192</v>
      </c>
      <c r="AJ59" s="646" t="s">
        <v>192</v>
      </c>
      <c r="AK59" s="646"/>
      <c r="AL59" s="646" t="s">
        <v>192</v>
      </c>
      <c r="AM59" s="646"/>
      <c r="AN59" s="641"/>
      <c r="AO59" s="646" t="s">
        <v>192</v>
      </c>
      <c r="AP59" s="646" t="s">
        <v>192</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3"/>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521</v>
      </c>
      <c r="L60" s="639" t="s">
        <v>474</v>
      </c>
      <c r="M60" s="645"/>
      <c r="N60" s="646"/>
      <c r="O60" s="646"/>
      <c r="P60" s="646" t="s">
        <v>192</v>
      </c>
      <c r="Q60" s="646"/>
      <c r="R60" s="646"/>
      <c r="S60" s="646" t="s">
        <v>192</v>
      </c>
      <c r="T60" s="646"/>
      <c r="U60" s="646"/>
      <c r="V60" s="646" t="s">
        <v>192</v>
      </c>
      <c r="W60" s="646" t="s">
        <v>192</v>
      </c>
      <c r="X60" s="646"/>
      <c r="Y60" s="646" t="s">
        <v>192</v>
      </c>
      <c r="Z60" s="646" t="s">
        <v>192</v>
      </c>
      <c r="AA60" s="646" t="s">
        <v>192</v>
      </c>
      <c r="AB60" s="646"/>
      <c r="AC60" s="646"/>
      <c r="AD60" s="646"/>
      <c r="AE60" s="646"/>
      <c r="AF60" s="646" t="s">
        <v>192</v>
      </c>
      <c r="AG60" s="646" t="s">
        <v>192</v>
      </c>
      <c r="AH60" s="646" t="s">
        <v>192</v>
      </c>
      <c r="AI60" s="646"/>
      <c r="AJ60" s="646"/>
      <c r="AK60" s="646"/>
      <c r="AL60" s="646"/>
      <c r="AM60" s="646"/>
      <c r="AN60" s="646" t="s">
        <v>192</v>
      </c>
      <c r="AO60" s="646" t="s">
        <v>192</v>
      </c>
      <c r="AP60" s="646" t="s">
        <v>192</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3"/>
      <c r="BN60" s="200"/>
      <c r="BO60" s="200"/>
      <c r="BP60" s="200"/>
      <c r="BQ60" s="200"/>
      <c r="BR60" s="200"/>
      <c r="BS60" s="200"/>
      <c r="BT60" s="200"/>
      <c r="BU60" s="200"/>
      <c r="BV60" s="200"/>
      <c r="BW60" s="200"/>
      <c r="BX60" s="200"/>
      <c r="BY60" s="200"/>
    </row>
    <row r="61">
      <c r="A61" s="200"/>
      <c r="B61" s="636" t="s">
        <v>737</v>
      </c>
      <c r="C61" s="637"/>
      <c r="D61" s="200"/>
      <c r="E61" s="636" t="s">
        <v>737</v>
      </c>
      <c r="F61" s="637"/>
      <c r="G61" s="200"/>
      <c r="H61" s="200"/>
      <c r="I61" s="172" t="b">
        <v>0</v>
      </c>
      <c r="J61" s="618">
        <v>4.0</v>
      </c>
      <c r="K61" s="638" t="s">
        <v>737</v>
      </c>
      <c r="L61" s="639" t="s">
        <v>474</v>
      </c>
      <c r="M61" s="645"/>
      <c r="N61" s="646"/>
      <c r="O61" s="646" t="s">
        <v>192</v>
      </c>
      <c r="P61" s="646"/>
      <c r="Q61" s="646"/>
      <c r="R61" s="646"/>
      <c r="S61" s="646"/>
      <c r="T61" s="646" t="s">
        <v>192</v>
      </c>
      <c r="U61" s="646" t="s">
        <v>192</v>
      </c>
      <c r="V61" s="646" t="s">
        <v>192</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3"/>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516</v>
      </c>
      <c r="L62" s="639"/>
      <c r="M62" s="645"/>
      <c r="N62" s="646" t="s">
        <v>738</v>
      </c>
      <c r="O62" s="646"/>
      <c r="P62" s="646"/>
      <c r="Q62" s="646"/>
      <c r="R62" s="646"/>
      <c r="S62" s="646"/>
      <c r="T62" s="646" t="s">
        <v>738</v>
      </c>
      <c r="U62" s="646" t="s">
        <v>738</v>
      </c>
      <c r="V62" s="646"/>
      <c r="W62" s="646"/>
      <c r="X62" s="646" t="s">
        <v>596</v>
      </c>
      <c r="Y62" s="646"/>
      <c r="Z62" s="646"/>
      <c r="AA62" s="646" t="s">
        <v>738</v>
      </c>
      <c r="AB62" s="646" t="s">
        <v>738</v>
      </c>
      <c r="AC62" s="646"/>
      <c r="AD62" s="646"/>
      <c r="AE62" s="646"/>
      <c r="AF62" s="646"/>
      <c r="AG62" s="646"/>
      <c r="AH62" s="646" t="s">
        <v>738</v>
      </c>
      <c r="AI62" s="646" t="s">
        <v>738</v>
      </c>
      <c r="AJ62" s="646" t="s">
        <v>738</v>
      </c>
      <c r="AK62" s="646"/>
      <c r="AL62" s="646"/>
      <c r="AM62" s="646"/>
      <c r="AN62" s="646"/>
      <c r="AO62" s="646"/>
      <c r="AP62" s="646" t="s">
        <v>738</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3"/>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486</v>
      </c>
      <c r="L63" s="639"/>
      <c r="M63" s="645"/>
      <c r="N63" s="646" t="s">
        <v>739</v>
      </c>
      <c r="O63" s="646" t="s">
        <v>739</v>
      </c>
      <c r="P63" s="646"/>
      <c r="Q63" s="646"/>
      <c r="R63" s="646" t="s">
        <v>739</v>
      </c>
      <c r="S63" s="646" t="s">
        <v>739</v>
      </c>
      <c r="T63" s="646"/>
      <c r="U63" s="646" t="s">
        <v>739</v>
      </c>
      <c r="V63" s="646" t="s">
        <v>739</v>
      </c>
      <c r="W63" s="646"/>
      <c r="X63" s="646"/>
      <c r="Y63" s="646" t="s">
        <v>739</v>
      </c>
      <c r="Z63" s="646" t="s">
        <v>739</v>
      </c>
      <c r="AA63" s="646"/>
      <c r="AB63" s="646" t="s">
        <v>739</v>
      </c>
      <c r="AC63" s="646" t="s">
        <v>739</v>
      </c>
      <c r="AD63" s="646"/>
      <c r="AE63" s="646"/>
      <c r="AF63" s="646" t="s">
        <v>739</v>
      </c>
      <c r="AG63" s="646" t="s">
        <v>739</v>
      </c>
      <c r="AH63" s="646"/>
      <c r="AI63" s="646" t="s">
        <v>739</v>
      </c>
      <c r="AJ63" s="646" t="s">
        <v>739</v>
      </c>
      <c r="AK63" s="646"/>
      <c r="AL63" s="646"/>
      <c r="AM63" s="646"/>
      <c r="AN63" s="646" t="s">
        <v>739</v>
      </c>
      <c r="AO63" s="646" t="s">
        <v>739</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3"/>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488</v>
      </c>
      <c r="L64" s="639"/>
      <c r="M64" s="645"/>
      <c r="N64" s="646"/>
      <c r="O64" s="646"/>
      <c r="P64" s="646" t="s">
        <v>739</v>
      </c>
      <c r="Q64" s="646" t="s">
        <v>739</v>
      </c>
      <c r="R64" s="646"/>
      <c r="S64" s="646"/>
      <c r="T64" s="646"/>
      <c r="U64" s="646"/>
      <c r="V64" s="646"/>
      <c r="W64" s="646" t="s">
        <v>739</v>
      </c>
      <c r="X64" s="646" t="s">
        <v>739</v>
      </c>
      <c r="Y64" s="646"/>
      <c r="Z64" s="646"/>
      <c r="AA64" s="646"/>
      <c r="AB64" s="646"/>
      <c r="AC64" s="646"/>
      <c r="AD64" s="646" t="s">
        <v>739</v>
      </c>
      <c r="AE64" s="646" t="s">
        <v>739</v>
      </c>
      <c r="AF64" s="646"/>
      <c r="AG64" s="646"/>
      <c r="AH64" s="646"/>
      <c r="AI64" s="646"/>
      <c r="AJ64" s="646"/>
      <c r="AK64" s="646"/>
      <c r="AL64" s="646" t="s">
        <v>739</v>
      </c>
      <c r="AM64" s="646" t="s">
        <v>739</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3"/>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3"/>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3"/>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3"/>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3"/>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3"/>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3"/>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3"/>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3"/>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3"/>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3"/>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3"/>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3"/>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3"/>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3"/>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3"/>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3"/>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3"/>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3"/>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3"/>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3"/>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3"/>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3"/>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3"/>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3"/>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3"/>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3"/>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3"/>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3"/>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3"/>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3"/>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3"/>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3"/>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3"/>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3"/>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3"/>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3"/>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3"/>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3"/>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3"/>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3"/>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3"/>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3"/>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3"/>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3"/>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3"/>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3"/>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3"/>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3"/>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3"/>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3"/>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3"/>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3"/>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3"/>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3"/>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3"/>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3"/>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3"/>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3"/>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3"/>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3"/>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3"/>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3"/>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3"/>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3"/>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3"/>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3"/>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3"/>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3"/>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3"/>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3"/>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3"/>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3"/>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3"/>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3"/>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3"/>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3"/>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3"/>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3"/>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3"/>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3"/>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3"/>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3"/>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3"/>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3"/>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3"/>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3"/>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3"/>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3"/>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3"/>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3"/>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3"/>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3"/>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3"/>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3"/>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3"/>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3"/>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3"/>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3"/>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3"/>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3"/>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3"/>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3"/>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3"/>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3"/>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3"/>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3"/>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3"/>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490</v>
      </c>
      <c r="C2" s="531"/>
      <c r="D2" s="531"/>
      <c r="E2" s="531"/>
      <c r="F2" s="666" t="s">
        <v>491</v>
      </c>
      <c r="G2" s="667"/>
      <c r="H2" s="232"/>
      <c r="I2" s="232"/>
      <c r="J2" s="232"/>
      <c r="K2" s="232"/>
      <c r="L2" s="232"/>
      <c r="M2" s="232"/>
      <c r="N2" s="232"/>
      <c r="O2" s="232"/>
      <c r="P2" s="232"/>
      <c r="Q2" s="3"/>
      <c r="R2" s="668" t="s">
        <v>493</v>
      </c>
      <c r="S2" s="661"/>
      <c r="T2" s="663"/>
      <c r="U2" s="669"/>
      <c r="V2" s="665"/>
      <c r="W2" s="661"/>
      <c r="X2" s="661"/>
      <c r="Y2" s="661"/>
      <c r="Z2" s="661"/>
    </row>
    <row r="3" ht="33.0" customHeight="1">
      <c r="A3" s="661"/>
      <c r="B3" s="670" t="s">
        <v>494</v>
      </c>
      <c r="C3" s="531"/>
      <c r="D3" s="531"/>
      <c r="E3" s="531"/>
      <c r="F3" s="671" t="s">
        <v>495</v>
      </c>
      <c r="G3" s="672" t="s">
        <v>740</v>
      </c>
      <c r="H3" s="232"/>
      <c r="I3" s="232"/>
      <c r="J3" s="232"/>
      <c r="K3" s="232"/>
      <c r="L3" s="232"/>
      <c r="M3" s="232"/>
      <c r="N3" s="232"/>
      <c r="O3" s="232"/>
      <c r="P3" s="232"/>
      <c r="Q3" s="3"/>
      <c r="R3" s="673" t="s">
        <v>493</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497</v>
      </c>
      <c r="G5" s="678" t="s">
        <v>498</v>
      </c>
      <c r="H5" s="679"/>
      <c r="I5" s="679"/>
      <c r="J5" s="679"/>
      <c r="K5" s="679"/>
      <c r="L5" s="679"/>
      <c r="M5" s="679"/>
      <c r="N5" s="679"/>
      <c r="O5" s="679"/>
      <c r="P5" s="679"/>
      <c r="Q5" s="118"/>
      <c r="R5" s="680"/>
      <c r="S5" s="661"/>
      <c r="T5" s="663"/>
      <c r="U5" s="664"/>
      <c r="V5" s="681" t="s">
        <v>499</v>
      </c>
      <c r="W5" s="661"/>
      <c r="X5" s="661"/>
      <c r="Y5" s="661"/>
      <c r="Z5" s="661"/>
    </row>
    <row r="6">
      <c r="A6" s="661"/>
      <c r="B6" s="682" t="s">
        <v>500</v>
      </c>
      <c r="C6" s="683" t="s">
        <v>253</v>
      </c>
      <c r="D6" s="683" t="s">
        <v>292</v>
      </c>
      <c r="E6" s="683" t="s">
        <v>501</v>
      </c>
      <c r="F6" s="683" t="s">
        <v>84</v>
      </c>
      <c r="G6" s="684" t="s">
        <v>502</v>
      </c>
      <c r="H6" s="685" t="s">
        <v>37</v>
      </c>
      <c r="I6" s="686" t="s">
        <v>503</v>
      </c>
      <c r="J6" s="686" t="s">
        <v>504</v>
      </c>
      <c r="K6" s="686" t="s">
        <v>505</v>
      </c>
      <c r="L6" s="687" t="s">
        <v>506</v>
      </c>
      <c r="M6" s="688"/>
      <c r="N6" s="689" t="s">
        <v>507</v>
      </c>
      <c r="O6" s="690" t="s">
        <v>508</v>
      </c>
      <c r="P6" s="679"/>
      <c r="Q6" s="118"/>
      <c r="R6" s="691"/>
      <c r="S6" s="692" t="s">
        <v>96</v>
      </c>
      <c r="T6" s="692" t="s">
        <v>97</v>
      </c>
      <c r="U6" s="664"/>
      <c r="V6" s="693" t="s">
        <v>509</v>
      </c>
      <c r="W6" s="694"/>
      <c r="X6" s="695" t="s">
        <v>268</v>
      </c>
      <c r="Y6" s="661"/>
      <c r="Z6" s="661"/>
    </row>
    <row r="7">
      <c r="A7" s="661"/>
      <c r="B7" s="696"/>
      <c r="C7" s="697"/>
      <c r="D7" s="697"/>
      <c r="E7" s="697"/>
      <c r="F7" s="697"/>
      <c r="G7" s="698"/>
      <c r="H7" s="697"/>
      <c r="I7" s="697"/>
      <c r="J7" s="697"/>
      <c r="K7" s="697"/>
      <c r="L7" s="699" t="s">
        <v>510</v>
      </c>
      <c r="M7" s="699" t="s">
        <v>511</v>
      </c>
      <c r="N7" s="697"/>
      <c r="O7" s="700"/>
      <c r="P7" s="701"/>
      <c r="Q7" s="702"/>
      <c r="R7" s="691"/>
      <c r="S7" s="222"/>
      <c r="T7" s="222"/>
      <c r="V7" s="703">
        <f>month(D5)</f>
        <v>2</v>
      </c>
      <c r="W7" s="704"/>
      <c r="X7" s="695" t="s">
        <v>512</v>
      </c>
      <c r="Y7" s="661"/>
      <c r="Z7" s="661"/>
    </row>
    <row r="8" ht="17.25" customHeight="1" collapsed="1">
      <c r="A8" s="661"/>
      <c r="B8" s="705" t="s">
        <v>513</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518</v>
      </c>
      <c r="G9" s="723"/>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446</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516</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456</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459</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468</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515</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466</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450</v>
      </c>
      <c r="W18" s="716"/>
      <c r="X18" s="717">
        <v>46357.0</v>
      </c>
      <c r="Y18" s="661"/>
      <c r="Z18" s="661"/>
    </row>
    <row r="19" hidden="1" outlineLevel="1">
      <c r="B19" s="738"/>
      <c r="C19" s="697"/>
      <c r="D19" s="697"/>
      <c r="E19" s="697"/>
      <c r="F19" s="739" t="s">
        <v>517</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452</v>
      </c>
      <c r="W19" s="716"/>
      <c r="X19" s="717">
        <v>46388.0</v>
      </c>
      <c r="Y19" s="661"/>
      <c r="Z19" s="661"/>
    </row>
    <row r="20" ht="19.5" hidden="1" customHeight="1" outlineLevel="1">
      <c r="A20" s="661"/>
      <c r="B20" s="743"/>
      <c r="C20" s="744">
        <f>IF(C9="","",IF(DAY(C9+1)=1,"",C9+1))</f>
        <v>46055</v>
      </c>
      <c r="D20" s="745" t="str">
        <f>TEXT(C20,"ddd")</f>
        <v>月</v>
      </c>
      <c r="E20" s="746"/>
      <c r="F20" s="747" t="s">
        <v>142</v>
      </c>
      <c r="G20" s="748" t="s">
        <v>741</v>
      </c>
      <c r="H20" s="749"/>
      <c r="I20" s="749" t="s">
        <v>742</v>
      </c>
      <c r="J20" s="749" t="s">
        <v>743</v>
      </c>
      <c r="K20" s="749" t="s">
        <v>610</v>
      </c>
      <c r="L20" s="752"/>
      <c r="M20" s="752"/>
      <c r="N20" s="747"/>
      <c r="O20" s="753"/>
      <c r="Q20" s="728"/>
      <c r="R20" s="661"/>
      <c r="S20" s="228" t="str">
        <f t="array" ref="S20">IFERROR(INDEX('💻シート作成'!$D$6:$D1001, MATCH(T20, '💻シート作成'!$E$6:$E1001, 0)), "")</f>
        <v>11月</v>
      </c>
      <c r="T20" s="172" t="str">
        <f>IFERROR(__xludf.DUMMYFUNCTION("""COMPUTED_VALUE"""),"①R8_11集計")</f>
        <v>①R8_11集計</v>
      </c>
      <c r="U20" s="754"/>
      <c r="V20" s="715" t="s">
        <v>488</v>
      </c>
      <c r="W20" s="716"/>
      <c r="X20" s="717"/>
      <c r="Y20" s="661"/>
      <c r="Z20" s="661"/>
    </row>
    <row r="21" ht="19.5" hidden="1" customHeight="1" outlineLevel="1">
      <c r="A21" s="661"/>
      <c r="B21" s="729"/>
      <c r="C21" s="730"/>
      <c r="D21" s="730"/>
      <c r="E21" s="730"/>
      <c r="F21" s="730"/>
      <c r="G21" s="731"/>
      <c r="H21" s="730"/>
      <c r="I21" s="730"/>
      <c r="J21" s="730"/>
      <c r="K21" s="730"/>
      <c r="L21" s="755"/>
      <c r="M21" s="755"/>
      <c r="N21" s="730"/>
      <c r="O21" s="733"/>
      <c r="Q21" s="728"/>
      <c r="R21" s="661"/>
      <c r="S21" s="228" t="str">
        <f t="array" ref="S21">IFERROR(INDEX('💻シート作成'!$D$6:$D1001, MATCH(T21, '💻シート作成'!$E$6:$E1001, 0)), "")</f>
        <v>11月</v>
      </c>
      <c r="T21" s="172" t="str">
        <f>IFERROR(__xludf.DUMMYFUNCTION("""COMPUTED_VALUE"""),"②R8_11シフト")</f>
        <v>②R8_11シフト</v>
      </c>
      <c r="U21" s="754"/>
      <c r="V21" s="715" t="s">
        <v>520</v>
      </c>
      <c r="W21" s="716"/>
      <c r="X21" s="717"/>
      <c r="Y21" s="661"/>
      <c r="Z21" s="661"/>
    </row>
    <row r="22" ht="19.5" hidden="1" customHeight="1" outlineLevel="1">
      <c r="A22" s="661"/>
      <c r="B22" s="729"/>
      <c r="C22" s="730"/>
      <c r="D22" s="730"/>
      <c r="E22" s="730"/>
      <c r="F22" s="730"/>
      <c r="G22" s="731"/>
      <c r="H22" s="730"/>
      <c r="I22" s="730"/>
      <c r="J22" s="730"/>
      <c r="K22" s="730"/>
      <c r="L22" s="755"/>
      <c r="M22" s="755"/>
      <c r="N22" s="730"/>
      <c r="O22" s="733"/>
      <c r="Q22" s="728"/>
      <c r="R22" s="661"/>
      <c r="S22" s="228" t="str">
        <f t="array" ref="S22">IFERROR(INDEX('💻シート作成'!$D$6:$D1001, MATCH(T22, '💻シート作成'!$E$6:$E1001, 0)), "")</f>
        <v>11月</v>
      </c>
      <c r="T22" s="172" t="str">
        <f>IFERROR(__xludf.DUMMYFUNCTION("""COMPUTED_VALUE"""),"③R8_11日報")</f>
        <v>③R8_11日報</v>
      </c>
      <c r="U22" s="754"/>
      <c r="V22" s="715" t="s">
        <v>120</v>
      </c>
      <c r="W22" s="716"/>
      <c r="X22" s="717"/>
      <c r="Y22" s="661"/>
      <c r="Z22" s="661"/>
    </row>
    <row r="23" ht="19.5" hidden="1" customHeight="1" outlineLevel="1">
      <c r="A23" s="661"/>
      <c r="B23" s="729"/>
      <c r="C23" s="730"/>
      <c r="D23" s="730"/>
      <c r="E23" s="730"/>
      <c r="F23" s="730"/>
      <c r="G23" s="731"/>
      <c r="H23" s="730"/>
      <c r="I23" s="730"/>
      <c r="J23" s="730"/>
      <c r="K23" s="730"/>
      <c r="L23" s="756"/>
      <c r="M23" s="755"/>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478</v>
      </c>
      <c r="W23" s="661"/>
      <c r="X23" s="757"/>
      <c r="Y23" s="661"/>
      <c r="Z23" s="661"/>
    </row>
    <row r="24" ht="19.5" hidden="1" customHeight="1" outlineLevel="1">
      <c r="A24" s="661"/>
      <c r="B24" s="729"/>
      <c r="C24" s="730"/>
      <c r="D24" s="730"/>
      <c r="E24" s="730"/>
      <c r="F24" s="730"/>
      <c r="G24" s="731"/>
      <c r="H24" s="730"/>
      <c r="I24" s="730"/>
      <c r="J24" s="730"/>
      <c r="K24" s="730"/>
      <c r="L24" s="756"/>
      <c r="M24" s="755"/>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744</v>
      </c>
      <c r="W24" s="661"/>
      <c r="X24" s="757"/>
      <c r="Y24" s="661"/>
      <c r="Z24" s="661"/>
    </row>
    <row r="25" ht="19.5" hidden="1" customHeight="1" outlineLevel="1">
      <c r="A25" s="661"/>
      <c r="B25" s="729"/>
      <c r="C25" s="730"/>
      <c r="D25" s="730"/>
      <c r="E25" s="730"/>
      <c r="F25" s="730"/>
      <c r="G25" s="731"/>
      <c r="H25" s="730"/>
      <c r="I25" s="730"/>
      <c r="J25" s="730"/>
      <c r="K25" s="730"/>
      <c r="L25" s="756"/>
      <c r="M25" s="755"/>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473</v>
      </c>
      <c r="W25" s="661"/>
      <c r="X25" s="757"/>
      <c r="Y25" s="661"/>
      <c r="Z25" s="661"/>
    </row>
    <row r="26" ht="19.5" hidden="1" customHeight="1" outlineLevel="1">
      <c r="A26" s="661"/>
      <c r="B26" s="729"/>
      <c r="C26" s="730"/>
      <c r="D26" s="730"/>
      <c r="E26" s="730"/>
      <c r="F26" s="730"/>
      <c r="G26" s="731"/>
      <c r="H26" s="730"/>
      <c r="I26" s="730"/>
      <c r="J26" s="730"/>
      <c r="K26" s="730"/>
      <c r="L26" s="756"/>
      <c r="M26" s="755"/>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471</v>
      </c>
      <c r="W26" s="661"/>
      <c r="X26" s="757"/>
      <c r="Y26" s="661"/>
      <c r="Z26" s="661"/>
    </row>
    <row r="27" ht="19.5" hidden="1" customHeight="1" outlineLevel="1">
      <c r="A27" s="661"/>
      <c r="B27" s="729"/>
      <c r="C27" s="730"/>
      <c r="D27" s="730"/>
      <c r="E27" s="730"/>
      <c r="F27" s="730"/>
      <c r="G27" s="731"/>
      <c r="H27" s="730"/>
      <c r="I27" s="730"/>
      <c r="J27" s="730"/>
      <c r="K27" s="730"/>
      <c r="L27" s="756"/>
      <c r="M27" s="755"/>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470</v>
      </c>
      <c r="W27" s="661"/>
      <c r="X27" s="757"/>
      <c r="Y27" s="661"/>
      <c r="Z27" s="661"/>
    </row>
    <row r="28" ht="19.5" hidden="1" customHeight="1" outlineLevel="1">
      <c r="A28" s="661"/>
      <c r="B28" s="729"/>
      <c r="C28" s="730"/>
      <c r="D28" s="730"/>
      <c r="E28" s="730"/>
      <c r="F28" s="730"/>
      <c r="G28" s="731"/>
      <c r="H28" s="730"/>
      <c r="I28" s="730"/>
      <c r="J28" s="730"/>
      <c r="K28" s="730"/>
      <c r="L28" s="756"/>
      <c r="M28" s="755"/>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7"/>
      <c r="Y28" s="661"/>
      <c r="Z28" s="661"/>
    </row>
    <row r="29" ht="19.5" hidden="1" customHeight="1" outlineLevel="1">
      <c r="A29" s="661"/>
      <c r="B29" s="729"/>
      <c r="C29" s="730"/>
      <c r="D29" s="730"/>
      <c r="E29" s="730"/>
      <c r="F29" s="697"/>
      <c r="G29" s="698"/>
      <c r="H29" s="697"/>
      <c r="I29" s="697"/>
      <c r="J29" s="697"/>
      <c r="K29" s="697"/>
      <c r="L29" s="756"/>
      <c r="M29" s="755"/>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476</v>
      </c>
      <c r="W29" s="661"/>
      <c r="X29" s="757"/>
      <c r="Y29" s="661"/>
      <c r="Z29" s="661"/>
    </row>
    <row r="30" ht="18.0" hidden="1" customHeight="1" outlineLevel="1">
      <c r="A30" s="661"/>
      <c r="B30" s="738"/>
      <c r="C30" s="697"/>
      <c r="D30" s="697"/>
      <c r="E30" s="697"/>
      <c r="F30" s="758" t="s">
        <v>517</v>
      </c>
      <c r="G30" s="759" t="s">
        <v>745</v>
      </c>
      <c r="H30" s="741"/>
      <c r="I30" s="741"/>
      <c r="J30" s="741"/>
      <c r="K30" s="741"/>
      <c r="L30" s="759"/>
      <c r="M30" s="759"/>
      <c r="N30" s="759"/>
      <c r="O30" s="759"/>
      <c r="P30" s="759"/>
      <c r="Q30" s="760"/>
      <c r="R30" s="661"/>
      <c r="S30" s="228" t="str">
        <f t="array" ref="S30">IFERROR(INDEX('💻シート作成'!$D$6:$D1001, MATCH(T30, '💻シート作成'!$E$6:$E1001, 0)), "")</f>
        <v>9月</v>
      </c>
      <c r="T30" s="172" t="str">
        <f>IFERROR(__xludf.DUMMYFUNCTION("""COMPUTED_VALUE"""),"③R8_9日報")</f>
        <v>③R8_9日報</v>
      </c>
      <c r="U30" s="664"/>
      <c r="V30" s="715" t="s">
        <v>483</v>
      </c>
      <c r="W30" s="661"/>
      <c r="X30" s="757"/>
      <c r="Y30" s="661"/>
      <c r="Z30" s="661"/>
    </row>
    <row r="31" hidden="1" outlineLevel="1">
      <c r="A31" s="661"/>
      <c r="B31" s="761"/>
      <c r="C31" s="762">
        <f>IF(C20="","",IF(DAY(C20+1)=1,"",C20+1))</f>
        <v>46056</v>
      </c>
      <c r="D31" s="763" t="str">
        <f>TEXT(C31,"ddd")</f>
        <v>火</v>
      </c>
      <c r="E31" s="764"/>
      <c r="F31" s="765" t="s">
        <v>142</v>
      </c>
      <c r="G31" s="766" t="s">
        <v>746</v>
      </c>
      <c r="H31" s="767"/>
      <c r="I31" s="767" t="s">
        <v>742</v>
      </c>
      <c r="J31" s="763"/>
      <c r="K31" s="763"/>
      <c r="L31" s="769"/>
      <c r="M31" s="769"/>
      <c r="N31" s="765"/>
      <c r="O31" s="770"/>
      <c r="P31" s="771"/>
      <c r="Q31" s="772"/>
      <c r="R31" s="661"/>
      <c r="S31" s="228" t="str">
        <f t="array" ref="S31">IFERROR(INDEX('💻シート作成'!$D$6:$D1001, MATCH(T31, '💻シート作成'!$E$6:$E1001, 0)), "")</f>
        <v>9月</v>
      </c>
      <c r="T31" s="172" t="str">
        <f>IFERROR(__xludf.DUMMYFUNCTION("""COMPUTED_VALUE"""),"④R8_9月報")</f>
        <v>④R8_9月報</v>
      </c>
      <c r="U31" s="664"/>
      <c r="V31" s="715" t="s">
        <v>165</v>
      </c>
      <c r="W31" s="661"/>
      <c r="X31" s="757"/>
      <c r="Y31" s="661"/>
      <c r="Z31" s="661"/>
    </row>
    <row r="32" hidden="1" outlineLevel="1">
      <c r="A32" s="661"/>
      <c r="B32" s="729"/>
      <c r="C32" s="730"/>
      <c r="D32" s="730"/>
      <c r="E32" s="730"/>
      <c r="F32" s="730"/>
      <c r="G32" s="731"/>
      <c r="H32" s="730"/>
      <c r="I32" s="730"/>
      <c r="J32" s="730"/>
      <c r="K32" s="730"/>
      <c r="L32" s="769"/>
      <c r="M32" s="769"/>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7"/>
      <c r="Y32" s="661"/>
      <c r="Z32" s="661"/>
    </row>
    <row r="33" hidden="1" outlineLevel="1">
      <c r="A33" s="661"/>
      <c r="B33" s="729"/>
      <c r="C33" s="730"/>
      <c r="D33" s="730"/>
      <c r="E33" s="730"/>
      <c r="F33" s="730"/>
      <c r="G33" s="731"/>
      <c r="H33" s="730"/>
      <c r="I33" s="730"/>
      <c r="J33" s="730"/>
      <c r="K33" s="730"/>
      <c r="L33" s="769"/>
      <c r="M33" s="769"/>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480</v>
      </c>
      <c r="W33" s="661"/>
      <c r="X33" s="757"/>
      <c r="Y33" s="661"/>
      <c r="Z33" s="661"/>
    </row>
    <row r="34" hidden="1" outlineLevel="1">
      <c r="A34" s="661"/>
      <c r="B34" s="729"/>
      <c r="C34" s="730"/>
      <c r="D34" s="730"/>
      <c r="E34" s="730"/>
      <c r="F34" s="730"/>
      <c r="G34" s="731"/>
      <c r="H34" s="730"/>
      <c r="I34" s="730"/>
      <c r="J34" s="730"/>
      <c r="K34" s="730"/>
      <c r="L34" s="773"/>
      <c r="M34" s="769"/>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7"/>
      <c r="Y34" s="661"/>
      <c r="Z34" s="661"/>
    </row>
    <row r="35" hidden="1" outlineLevel="1">
      <c r="A35" s="661"/>
      <c r="B35" s="729"/>
      <c r="C35" s="730"/>
      <c r="D35" s="730"/>
      <c r="E35" s="730"/>
      <c r="F35" s="730"/>
      <c r="G35" s="731"/>
      <c r="H35" s="730"/>
      <c r="I35" s="730"/>
      <c r="J35" s="730"/>
      <c r="K35" s="730"/>
      <c r="L35" s="773"/>
      <c r="M35" s="769"/>
      <c r="N35" s="730"/>
      <c r="O35" s="733"/>
      <c r="Q35" s="728"/>
      <c r="R35" s="661"/>
      <c r="S35" s="228" t="str">
        <f t="array" ref="S35">IFERROR(INDEX('💻シート作成'!$D$6:$D1001, MATCH(T35, '💻シート作成'!$E$6:$E1001, 0)), "")</f>
        <v>8月</v>
      </c>
      <c r="T35" s="172" t="str">
        <f>IFERROR(__xludf.DUMMYFUNCTION("""COMPUTED_VALUE"""),"④R8_8月報")</f>
        <v>④R8_8月報</v>
      </c>
      <c r="U35" s="664"/>
      <c r="V35" s="774" t="s">
        <v>521</v>
      </c>
      <c r="W35" s="661"/>
      <c r="X35" s="757"/>
      <c r="Y35" s="661"/>
      <c r="Z35" s="661"/>
    </row>
    <row r="36" hidden="1" outlineLevel="1">
      <c r="A36" s="661"/>
      <c r="B36" s="729"/>
      <c r="C36" s="730"/>
      <c r="D36" s="730"/>
      <c r="E36" s="730"/>
      <c r="F36" s="730"/>
      <c r="G36" s="731"/>
      <c r="H36" s="730"/>
      <c r="I36" s="730"/>
      <c r="J36" s="730"/>
      <c r="K36" s="730"/>
      <c r="L36" s="773"/>
      <c r="M36" s="769"/>
      <c r="N36" s="730"/>
      <c r="O36" s="733"/>
      <c r="Q36" s="728"/>
      <c r="R36" s="661"/>
      <c r="S36" s="228" t="str">
        <f t="array" ref="S36">IFERROR(INDEX('💻シート作成'!$D$6:$D1001, MATCH(T36, '💻シート作成'!$E$6:$E1001, 0)), "")</f>
        <v>7月</v>
      </c>
      <c r="T36" s="172" t="str">
        <f>IFERROR(__xludf.DUMMYFUNCTION("""COMPUTED_VALUE"""),"①R8_7集計")</f>
        <v>①R8_7集計</v>
      </c>
      <c r="U36" s="664"/>
      <c r="V36" s="774" t="s">
        <v>454</v>
      </c>
      <c r="W36" s="661"/>
      <c r="X36" s="757"/>
      <c r="Y36" s="661"/>
      <c r="Z36" s="661"/>
    </row>
    <row r="37" hidden="1" outlineLevel="1">
      <c r="A37" s="661"/>
      <c r="B37" s="729"/>
      <c r="C37" s="730"/>
      <c r="D37" s="730"/>
      <c r="E37" s="730"/>
      <c r="F37" s="730"/>
      <c r="G37" s="731"/>
      <c r="H37" s="730"/>
      <c r="I37" s="730"/>
      <c r="J37" s="730"/>
      <c r="K37" s="730"/>
      <c r="L37" s="773"/>
      <c r="M37" s="769"/>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747</v>
      </c>
      <c r="W37" s="661"/>
      <c r="X37" s="757"/>
      <c r="Y37" s="661"/>
      <c r="Z37" s="661"/>
    </row>
    <row r="38" hidden="1" outlineLevel="1">
      <c r="A38" s="661"/>
      <c r="B38" s="729"/>
      <c r="C38" s="730"/>
      <c r="D38" s="730"/>
      <c r="E38" s="730"/>
      <c r="F38" s="730"/>
      <c r="G38" s="731"/>
      <c r="H38" s="730"/>
      <c r="I38" s="730"/>
      <c r="J38" s="730"/>
      <c r="K38" s="730"/>
      <c r="L38" s="773"/>
      <c r="M38" s="769"/>
      <c r="N38" s="730"/>
      <c r="O38" s="733"/>
      <c r="Q38" s="728"/>
      <c r="R38" s="661"/>
      <c r="S38" s="228" t="str">
        <f t="array" ref="S38">IFERROR(INDEX('💻シート作成'!$D$6:$D1001, MATCH(T38, '💻シート作成'!$E$6:$E1001, 0)), "")</f>
        <v>7月</v>
      </c>
      <c r="T38" s="172" t="str">
        <f>IFERROR(__xludf.DUMMYFUNCTION("""COMPUTED_VALUE"""),"③R8_7日報")</f>
        <v>③R8_7日報</v>
      </c>
      <c r="U38" s="664"/>
      <c r="V38" s="774" t="s">
        <v>132</v>
      </c>
      <c r="W38" s="661"/>
      <c r="X38" s="757"/>
      <c r="Y38" s="661"/>
      <c r="Z38" s="661"/>
    </row>
    <row r="39" hidden="1" outlineLevel="1">
      <c r="A39" s="661"/>
      <c r="B39" s="729"/>
      <c r="C39" s="730"/>
      <c r="D39" s="730"/>
      <c r="E39" s="730"/>
      <c r="F39" s="730"/>
      <c r="G39" s="731"/>
      <c r="H39" s="730"/>
      <c r="I39" s="730"/>
      <c r="J39" s="730"/>
      <c r="K39" s="730"/>
      <c r="L39" s="773"/>
      <c r="M39" s="769"/>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748</v>
      </c>
      <c r="W39" s="661"/>
      <c r="X39" s="757"/>
      <c r="Y39" s="661"/>
      <c r="Z39" s="661"/>
    </row>
    <row r="40" hidden="1" outlineLevel="1">
      <c r="A40" s="661"/>
      <c r="B40" s="729"/>
      <c r="C40" s="730"/>
      <c r="D40" s="730"/>
      <c r="E40" s="730"/>
      <c r="F40" s="697"/>
      <c r="G40" s="698"/>
      <c r="H40" s="697"/>
      <c r="I40" s="697"/>
      <c r="J40" s="697"/>
      <c r="K40" s="697"/>
      <c r="L40" s="773"/>
      <c r="M40" s="769"/>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749</v>
      </c>
      <c r="W40" s="661"/>
      <c r="X40" s="757"/>
      <c r="Y40" s="661"/>
      <c r="Z40" s="661"/>
    </row>
    <row r="41" ht="18.0" hidden="1" customHeight="1" outlineLevel="1">
      <c r="A41" s="661"/>
      <c r="B41" s="738"/>
      <c r="C41" s="697"/>
      <c r="D41" s="697"/>
      <c r="E41" s="697"/>
      <c r="F41" s="739" t="s">
        <v>517</v>
      </c>
      <c r="G41" s="740" t="s">
        <v>750</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751</v>
      </c>
      <c r="W41" s="661"/>
      <c r="X41" s="757"/>
      <c r="Y41" s="661"/>
      <c r="Z41" s="661"/>
    </row>
    <row r="42" hidden="1" outlineLevel="1">
      <c r="A42" s="661"/>
      <c r="B42" s="743"/>
      <c r="C42" s="744">
        <f>IF(C31="","",IF(DAY(C31+1)=1,"",C31+1))</f>
        <v>46057</v>
      </c>
      <c r="D42" s="745" t="str">
        <f>TEXT(C42,"ddd")</f>
        <v>水</v>
      </c>
      <c r="E42" s="746"/>
      <c r="F42" s="775" t="s">
        <v>142</v>
      </c>
      <c r="G42" s="776" t="s">
        <v>752</v>
      </c>
      <c r="H42" s="777"/>
      <c r="I42" s="777" t="s">
        <v>742</v>
      </c>
      <c r="J42" s="777" t="s">
        <v>609</v>
      </c>
      <c r="K42" s="777" t="s">
        <v>610</v>
      </c>
      <c r="L42" s="755"/>
      <c r="M42" s="755"/>
      <c r="N42" s="775"/>
      <c r="O42" s="779"/>
      <c r="P42" s="771"/>
      <c r="Q42" s="772"/>
      <c r="R42" s="661"/>
      <c r="S42" s="228" t="str">
        <f t="array" ref="S42">IFERROR(INDEX('💻シート作成'!$D$6:$D1001, MATCH(T42, '💻シート作成'!$E$6:$E1001, 0)), "")</f>
        <v>6月</v>
      </c>
      <c r="T42" s="172" t="str">
        <f>IFERROR(__xludf.DUMMYFUNCTION("""COMPUTED_VALUE"""),"③R8_6日報")</f>
        <v>③R8_6日報</v>
      </c>
      <c r="U42" s="664"/>
      <c r="V42" s="715" t="s">
        <v>611</v>
      </c>
      <c r="W42" s="661"/>
      <c r="X42" s="757"/>
      <c r="Y42" s="661"/>
      <c r="Z42" s="661"/>
    </row>
    <row r="43" hidden="1" outlineLevel="1">
      <c r="A43" s="661"/>
      <c r="B43" s="729"/>
      <c r="C43" s="730"/>
      <c r="D43" s="730"/>
      <c r="E43" s="730"/>
      <c r="F43" s="730"/>
      <c r="G43" s="731"/>
      <c r="H43" s="730"/>
      <c r="I43" s="730"/>
      <c r="J43" s="730"/>
      <c r="K43" s="730"/>
      <c r="L43" s="755"/>
      <c r="M43" s="755"/>
      <c r="N43" s="730"/>
      <c r="O43" s="733"/>
      <c r="Q43" s="728"/>
      <c r="R43" s="661"/>
      <c r="S43" s="228" t="str">
        <f t="array" ref="S43">IFERROR(INDEX('💻シート作成'!$D$6:$D1001, MATCH(T43, '💻シート作成'!$E$6:$E1001, 0)), "")</f>
        <v>6月</v>
      </c>
      <c r="T43" s="172" t="str">
        <f>IFERROR(__xludf.DUMMYFUNCTION("""COMPUTED_VALUE"""),"④R8_6月報")</f>
        <v>④R8_6月報</v>
      </c>
      <c r="U43" s="664"/>
      <c r="V43" s="774" t="s">
        <v>753</v>
      </c>
      <c r="W43" s="661"/>
      <c r="X43" s="757"/>
      <c r="Y43" s="661"/>
      <c r="Z43" s="661"/>
    </row>
    <row r="44" hidden="1" outlineLevel="1">
      <c r="A44" s="661"/>
      <c r="B44" s="729"/>
      <c r="C44" s="730"/>
      <c r="D44" s="730"/>
      <c r="E44" s="730"/>
      <c r="F44" s="730"/>
      <c r="G44" s="731"/>
      <c r="H44" s="730"/>
      <c r="I44" s="730"/>
      <c r="J44" s="730"/>
      <c r="K44" s="730"/>
      <c r="L44" s="755"/>
      <c r="M44" s="755"/>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754</v>
      </c>
      <c r="W44" s="661"/>
      <c r="X44" s="757"/>
      <c r="Y44" s="661"/>
      <c r="Z44" s="661"/>
    </row>
    <row r="45" hidden="1" outlineLevel="1">
      <c r="A45" s="661"/>
      <c r="B45" s="729"/>
      <c r="C45" s="730"/>
      <c r="D45" s="730"/>
      <c r="E45" s="730"/>
      <c r="F45" s="730"/>
      <c r="G45" s="731"/>
      <c r="H45" s="730"/>
      <c r="I45" s="730"/>
      <c r="J45" s="730"/>
      <c r="K45" s="730"/>
      <c r="L45" s="756"/>
      <c r="M45" s="755"/>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4"/>
      <c r="W45" s="661"/>
      <c r="X45" s="757"/>
      <c r="Y45" s="661"/>
      <c r="Z45" s="661"/>
    </row>
    <row r="46" hidden="1" outlineLevel="1">
      <c r="A46" s="661"/>
      <c r="B46" s="729"/>
      <c r="C46" s="730"/>
      <c r="D46" s="730"/>
      <c r="E46" s="730"/>
      <c r="F46" s="730"/>
      <c r="G46" s="731"/>
      <c r="H46" s="730"/>
      <c r="I46" s="730"/>
      <c r="J46" s="730"/>
      <c r="K46" s="730"/>
      <c r="L46" s="756"/>
      <c r="M46" s="755"/>
      <c r="N46" s="730"/>
      <c r="O46" s="733"/>
      <c r="Q46" s="728"/>
      <c r="R46" s="661"/>
      <c r="S46" s="228" t="str">
        <f t="array" ref="S46">IFERROR(INDEX('💻シート作成'!$D$6:$D1001, MATCH(T46, '💻シート作成'!$E$6:$E1001, 0)), "")</f>
        <v>5月</v>
      </c>
      <c r="T46" s="172" t="str">
        <f>IFERROR(__xludf.DUMMYFUNCTION("""COMPUTED_VALUE"""),"③R8_5日報")</f>
        <v>③R8_5日報</v>
      </c>
      <c r="U46" s="664"/>
      <c r="V46" s="774"/>
      <c r="W46" s="661"/>
      <c r="X46" s="757"/>
      <c r="Y46" s="661"/>
      <c r="Z46" s="661"/>
    </row>
    <row r="47" hidden="1" outlineLevel="1">
      <c r="A47" s="661"/>
      <c r="B47" s="729"/>
      <c r="C47" s="730"/>
      <c r="D47" s="730"/>
      <c r="E47" s="730"/>
      <c r="F47" s="730"/>
      <c r="G47" s="731"/>
      <c r="H47" s="730"/>
      <c r="I47" s="730"/>
      <c r="J47" s="730"/>
      <c r="K47" s="730"/>
      <c r="L47" s="756"/>
      <c r="M47" s="755"/>
      <c r="N47" s="730"/>
      <c r="O47" s="733"/>
      <c r="Q47" s="728"/>
      <c r="R47" s="661"/>
      <c r="S47" s="228" t="str">
        <f t="array" ref="S47">IFERROR(INDEX('💻シート作成'!$D$6:$D1001, MATCH(T47, '💻シート作成'!$E$6:$E1001, 0)), "")</f>
        <v>5月</v>
      </c>
      <c r="T47" s="172" t="str">
        <f>IFERROR(__xludf.DUMMYFUNCTION("""COMPUTED_VALUE"""),"④R8_5月報")</f>
        <v>④R8_5月報</v>
      </c>
      <c r="U47" s="664"/>
      <c r="V47" s="774"/>
      <c r="W47" s="661"/>
      <c r="X47" s="757"/>
      <c r="Y47" s="661"/>
      <c r="Z47" s="661"/>
    </row>
    <row r="48" hidden="1" outlineLevel="1">
      <c r="A48" s="661"/>
      <c r="B48" s="729"/>
      <c r="C48" s="730"/>
      <c r="D48" s="730"/>
      <c r="E48" s="730"/>
      <c r="F48" s="730"/>
      <c r="G48" s="731"/>
      <c r="H48" s="730"/>
      <c r="I48" s="730"/>
      <c r="J48" s="730"/>
      <c r="K48" s="730"/>
      <c r="L48" s="756"/>
      <c r="M48" s="755"/>
      <c r="N48" s="730"/>
      <c r="O48" s="733"/>
      <c r="Q48" s="728"/>
      <c r="R48" s="661"/>
      <c r="S48" s="228" t="str">
        <f t="array" ref="S48">IFERROR(INDEX('💻シート作成'!$D$6:$D1001, MATCH(T48, '💻シート作成'!$E$6:$E1001, 0)), "")</f>
        <v>4月</v>
      </c>
      <c r="T48" s="171" t="str">
        <f>IFERROR(__xludf.DUMMYFUNCTION("""COMPUTED_VALUE"""),"①R8_4集計")</f>
        <v>①R8_4集計</v>
      </c>
      <c r="U48" s="664"/>
      <c r="V48" s="774"/>
      <c r="W48" s="661"/>
      <c r="X48" s="757"/>
      <c r="Y48" s="661"/>
      <c r="Z48" s="661"/>
    </row>
    <row r="49" hidden="1" outlineLevel="1">
      <c r="A49" s="661"/>
      <c r="B49" s="729"/>
      <c r="C49" s="730"/>
      <c r="D49" s="730"/>
      <c r="E49" s="730"/>
      <c r="F49" s="730"/>
      <c r="G49" s="731"/>
      <c r="H49" s="730"/>
      <c r="I49" s="730"/>
      <c r="J49" s="730"/>
      <c r="K49" s="730"/>
      <c r="L49" s="756"/>
      <c r="M49" s="755"/>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4"/>
      <c r="W49" s="661"/>
      <c r="X49" s="757"/>
      <c r="Y49" s="661"/>
      <c r="Z49" s="661"/>
    </row>
    <row r="50" hidden="1" outlineLevel="1">
      <c r="A50" s="661"/>
      <c r="B50" s="729"/>
      <c r="C50" s="730"/>
      <c r="D50" s="730"/>
      <c r="E50" s="730"/>
      <c r="F50" s="730"/>
      <c r="G50" s="731"/>
      <c r="H50" s="730"/>
      <c r="I50" s="730"/>
      <c r="J50" s="730"/>
      <c r="K50" s="730"/>
      <c r="L50" s="756"/>
      <c r="M50" s="755"/>
      <c r="N50" s="730"/>
      <c r="O50" s="733"/>
      <c r="Q50" s="728"/>
      <c r="R50" s="661"/>
      <c r="S50" s="228" t="str">
        <f t="array" ref="S50">IFERROR(INDEX('💻シート作成'!$D$6:$D1001, MATCH(T50, '💻シート作成'!$E$6:$E1001, 0)), "")</f>
        <v>4月</v>
      </c>
      <c r="T50" s="171" t="str">
        <f>IFERROR(__xludf.DUMMYFUNCTION("""COMPUTED_VALUE"""),"③R8_4日報")</f>
        <v>③R8_4日報</v>
      </c>
      <c r="U50" s="664"/>
      <c r="V50" s="774"/>
      <c r="W50" s="661"/>
      <c r="X50" s="757"/>
      <c r="Y50" s="661"/>
      <c r="Z50" s="661"/>
    </row>
    <row r="51" hidden="1" outlineLevel="1">
      <c r="A51" s="661"/>
      <c r="B51" s="729"/>
      <c r="C51" s="730"/>
      <c r="D51" s="730"/>
      <c r="E51" s="730"/>
      <c r="F51" s="697"/>
      <c r="G51" s="698"/>
      <c r="H51" s="697"/>
      <c r="I51" s="697"/>
      <c r="J51" s="697"/>
      <c r="K51" s="697"/>
      <c r="L51" s="756"/>
      <c r="M51" s="755"/>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4"/>
      <c r="W51" s="661"/>
      <c r="X51" s="757"/>
      <c r="Y51" s="661"/>
      <c r="Z51" s="661"/>
    </row>
    <row r="52" ht="18.0" hidden="1" customHeight="1" outlineLevel="1">
      <c r="A52" s="661"/>
      <c r="B52" s="738"/>
      <c r="C52" s="697"/>
      <c r="D52" s="697"/>
      <c r="E52" s="697"/>
      <c r="F52" s="758" t="s">
        <v>517</v>
      </c>
      <c r="G52" s="759" t="s">
        <v>755</v>
      </c>
      <c r="H52" s="741"/>
      <c r="I52" s="741"/>
      <c r="J52" s="741"/>
      <c r="K52" s="741"/>
      <c r="L52" s="759"/>
      <c r="M52" s="759"/>
      <c r="N52" s="759"/>
      <c r="O52" s="759"/>
      <c r="P52" s="759"/>
      <c r="Q52" s="760"/>
      <c r="R52" s="661"/>
      <c r="S52" s="228" t="str">
        <f t="array" ref="S52">IFERROR(INDEX('💻シート作成'!$D$6:$D1001, MATCH(T52, '💻シート作成'!$E$6:$E1001, 0)), "")</f>
        <v>3月</v>
      </c>
      <c r="T52" s="171" t="str">
        <f>IFERROR(__xludf.DUMMYFUNCTION("""COMPUTED_VALUE"""),"①R8_3集計")</f>
        <v>①R8_3集計</v>
      </c>
      <c r="U52" s="664"/>
      <c r="V52" s="774"/>
      <c r="W52" s="661"/>
      <c r="X52" s="757"/>
      <c r="Y52" s="661"/>
      <c r="Z52" s="661"/>
    </row>
    <row r="53" hidden="1" outlineLevel="1">
      <c r="A53" s="661"/>
      <c r="B53" s="761"/>
      <c r="C53" s="762">
        <f>IF(C42="","",IF(DAY(C42+1)=1,"",C42+1))</f>
        <v>46058</v>
      </c>
      <c r="D53" s="763" t="str">
        <f>TEXT(C53,"ddd")</f>
        <v>木</v>
      </c>
      <c r="E53" s="764"/>
      <c r="F53" s="765" t="s">
        <v>100</v>
      </c>
      <c r="G53" s="766" t="s">
        <v>756</v>
      </c>
      <c r="H53" s="767"/>
      <c r="I53" s="767">
        <v>2.0</v>
      </c>
      <c r="J53" s="767">
        <v>10.0</v>
      </c>
      <c r="K53" s="767">
        <v>3.0</v>
      </c>
      <c r="L53" s="769"/>
      <c r="M53" s="769"/>
      <c r="N53" s="765"/>
      <c r="O53" s="770"/>
      <c r="P53" s="771"/>
      <c r="Q53" s="772"/>
      <c r="R53" s="661"/>
      <c r="S53" s="228" t="str">
        <f t="array" ref="S53">IFERROR(INDEX('💻シート作成'!$D$6:$D1001, MATCH(T53, '💻シート作成'!$E$6:$E1001, 0)), "")</f>
        <v>3月</v>
      </c>
      <c r="T53" s="171" t="str">
        <f>IFERROR(__xludf.DUMMYFUNCTION("""COMPUTED_VALUE"""),"②R8_3シフト")</f>
        <v>②R8_3シフト</v>
      </c>
      <c r="U53" s="664"/>
      <c r="V53" s="774"/>
      <c r="W53" s="661"/>
      <c r="X53" s="757"/>
      <c r="Y53" s="661"/>
      <c r="Z53" s="661"/>
    </row>
    <row r="54" hidden="1" outlineLevel="1">
      <c r="A54" s="661"/>
      <c r="B54" s="729"/>
      <c r="C54" s="730"/>
      <c r="D54" s="730"/>
      <c r="E54" s="730"/>
      <c r="F54" s="730"/>
      <c r="G54" s="944"/>
      <c r="H54" s="730"/>
      <c r="I54" s="730"/>
      <c r="J54" s="730"/>
      <c r="K54" s="730"/>
      <c r="L54" s="769"/>
      <c r="M54" s="769"/>
      <c r="N54" s="730"/>
      <c r="O54" s="733"/>
      <c r="Q54" s="728"/>
      <c r="R54" s="661"/>
      <c r="S54" s="228" t="str">
        <f t="array" ref="S54">IFERROR(INDEX('💻シート作成'!$D$6:$D1001, MATCH(T54, '💻シート作成'!$E$6:$E1001, 0)), "")</f>
        <v>3月</v>
      </c>
      <c r="T54" s="171" t="str">
        <f>IFERROR(__xludf.DUMMYFUNCTION("""COMPUTED_VALUE"""),"③R8_3日報")</f>
        <v>③R8_3日報</v>
      </c>
      <c r="U54" s="664"/>
      <c r="V54" s="774"/>
      <c r="W54" s="661"/>
      <c r="X54" s="757"/>
      <c r="Y54" s="661"/>
      <c r="Z54" s="661"/>
    </row>
    <row r="55" hidden="1" outlineLevel="1">
      <c r="A55" s="661"/>
      <c r="B55" s="729"/>
      <c r="C55" s="730"/>
      <c r="D55" s="730"/>
      <c r="E55" s="730"/>
      <c r="F55" s="730"/>
      <c r="G55" s="944" t="s">
        <v>757</v>
      </c>
      <c r="H55" s="730"/>
      <c r="I55" s="730"/>
      <c r="J55" s="730"/>
      <c r="K55" s="730"/>
      <c r="L55" s="769"/>
      <c r="M55" s="769"/>
      <c r="N55" s="730"/>
      <c r="O55" s="733"/>
      <c r="Q55" s="728"/>
      <c r="R55" s="661"/>
      <c r="S55" s="228" t="str">
        <f t="array" ref="S55">IFERROR(INDEX('💻シート作成'!$D$6:$D1001, MATCH(T55, '💻シート作成'!$E$6:$E1001, 0)), "")</f>
        <v>3月</v>
      </c>
      <c r="T55" s="171" t="str">
        <f>IFERROR(__xludf.DUMMYFUNCTION("""COMPUTED_VALUE"""),"④R8_3月報")</f>
        <v>④R8_3月報</v>
      </c>
      <c r="U55" s="664"/>
      <c r="V55" s="774"/>
      <c r="W55" s="661"/>
      <c r="X55" s="757"/>
      <c r="Y55" s="661"/>
      <c r="Z55" s="661"/>
    </row>
    <row r="56" hidden="1" outlineLevel="1">
      <c r="A56" s="661"/>
      <c r="B56" s="729"/>
      <c r="C56" s="730"/>
      <c r="D56" s="730"/>
      <c r="E56" s="730"/>
      <c r="F56" s="730"/>
      <c r="G56" s="944"/>
      <c r="H56" s="730"/>
      <c r="I56" s="730"/>
      <c r="J56" s="730"/>
      <c r="K56" s="730"/>
      <c r="L56" s="773"/>
      <c r="M56" s="769"/>
      <c r="N56" s="730"/>
      <c r="O56" s="733"/>
      <c r="Q56" s="728"/>
      <c r="R56" s="661"/>
      <c r="S56" s="228" t="str">
        <f t="array" ref="S56">IFERROR(INDEX('💻シート作成'!$D$6:$D1001, MATCH(T56, '💻シート作成'!$E$6:$E1001, 0)), "")</f>
        <v>2月</v>
      </c>
      <c r="T56" s="171" t="str">
        <f>IFERROR(__xludf.DUMMYFUNCTION("""COMPUTED_VALUE"""),"①R8_2集計")</f>
        <v>①R8_2集計</v>
      </c>
      <c r="U56" s="664"/>
      <c r="V56" s="774"/>
      <c r="W56" s="661"/>
      <c r="X56" s="757"/>
      <c r="Y56" s="661"/>
      <c r="Z56" s="661"/>
    </row>
    <row r="57" hidden="1" outlineLevel="1">
      <c r="A57" s="661"/>
      <c r="B57" s="729"/>
      <c r="C57" s="730"/>
      <c r="D57" s="730"/>
      <c r="E57" s="730"/>
      <c r="F57" s="730"/>
      <c r="G57" s="944" t="s">
        <v>758</v>
      </c>
      <c r="H57" s="730"/>
      <c r="I57" s="730"/>
      <c r="J57" s="730"/>
      <c r="K57" s="730"/>
      <c r="L57" s="773"/>
      <c r="M57" s="769"/>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4"/>
      <c r="W57" s="661"/>
      <c r="X57" s="757"/>
      <c r="Y57" s="661"/>
      <c r="Z57" s="661"/>
    </row>
    <row r="58" hidden="1" outlineLevel="1">
      <c r="A58" s="661"/>
      <c r="B58" s="729"/>
      <c r="C58" s="730"/>
      <c r="D58" s="730"/>
      <c r="E58" s="730"/>
      <c r="F58" s="730"/>
      <c r="G58" s="944"/>
      <c r="H58" s="730"/>
      <c r="I58" s="730"/>
      <c r="J58" s="730"/>
      <c r="K58" s="730"/>
      <c r="L58" s="773"/>
      <c r="M58" s="769"/>
      <c r="N58" s="730"/>
      <c r="O58" s="733"/>
      <c r="Q58" s="728"/>
      <c r="R58" s="661"/>
      <c r="S58" s="228" t="str">
        <f t="array" ref="S58">IFERROR(INDEX('💻シート作成'!$D$6:$D1001, MATCH(T58, '💻シート作成'!$E$6:$E1001, 0)), "")</f>
        <v>2月</v>
      </c>
      <c r="T58" s="171" t="str">
        <f>IFERROR(__xludf.DUMMYFUNCTION("""COMPUTED_VALUE"""),"③R8_2日報")</f>
        <v>③R8_2日報</v>
      </c>
      <c r="U58" s="664"/>
      <c r="V58" s="774"/>
      <c r="W58" s="661"/>
      <c r="X58" s="757"/>
      <c r="Y58" s="661"/>
      <c r="Z58" s="661"/>
    </row>
    <row r="59" hidden="1" outlineLevel="1">
      <c r="A59" s="661"/>
      <c r="B59" s="729"/>
      <c r="C59" s="730"/>
      <c r="D59" s="730"/>
      <c r="E59" s="730"/>
      <c r="F59" s="730"/>
      <c r="G59" s="944" t="s">
        <v>759</v>
      </c>
      <c r="H59" s="730"/>
      <c r="I59" s="730"/>
      <c r="J59" s="730"/>
      <c r="K59" s="730"/>
      <c r="L59" s="773"/>
      <c r="M59" s="769"/>
      <c r="N59" s="730"/>
      <c r="O59" s="733"/>
      <c r="Q59" s="728"/>
      <c r="R59" s="661"/>
      <c r="S59" s="228" t="str">
        <f t="array" ref="S59">IFERROR(INDEX('💻シート作成'!$D$6:$D1001, MATCH(T59, '💻シート作成'!$E$6:$E1001, 0)), "")</f>
        <v>2月</v>
      </c>
      <c r="T59" s="171" t="str">
        <f>IFERROR(__xludf.DUMMYFUNCTION("""COMPUTED_VALUE"""),"④R8_2月報")</f>
        <v>④R8_2月報</v>
      </c>
      <c r="U59" s="664"/>
      <c r="V59" s="774"/>
      <c r="W59" s="661"/>
      <c r="X59" s="757"/>
      <c r="Y59" s="661"/>
      <c r="Z59" s="661"/>
    </row>
    <row r="60" hidden="1" outlineLevel="1">
      <c r="A60" s="661"/>
      <c r="B60" s="729"/>
      <c r="C60" s="730"/>
      <c r="D60" s="730"/>
      <c r="E60" s="730"/>
      <c r="F60" s="730"/>
      <c r="G60" s="944"/>
      <c r="H60" s="730"/>
      <c r="I60" s="730"/>
      <c r="J60" s="730"/>
      <c r="K60" s="730"/>
      <c r="L60" s="773"/>
      <c r="M60" s="769"/>
      <c r="N60" s="730"/>
      <c r="O60" s="733"/>
      <c r="Q60" s="728"/>
      <c r="R60" s="661"/>
      <c r="S60" s="228" t="str">
        <f t="array" ref="S60">IFERROR(INDEX('💻シート作成'!$D$6:$D1001, MATCH(T60, '💻シート作成'!$E$6:$E1001, 0)), "")</f>
        <v/>
      </c>
      <c r="T60" s="171" t="str">
        <f>IFERROR(__xludf.DUMMYFUNCTION("""COMPUTED_VALUE"""),"💻シート作成")</f>
        <v>💻シート作成</v>
      </c>
      <c r="U60" s="664"/>
      <c r="V60" s="774"/>
      <c r="W60" s="661"/>
      <c r="X60" s="757"/>
      <c r="Y60" s="661"/>
      <c r="Z60" s="661"/>
    </row>
    <row r="61" hidden="1" outlineLevel="1">
      <c r="A61" s="661"/>
      <c r="B61" s="729"/>
      <c r="C61" s="730"/>
      <c r="D61" s="730"/>
      <c r="E61" s="730"/>
      <c r="F61" s="730"/>
      <c r="G61" s="944" t="s">
        <v>760</v>
      </c>
      <c r="H61" s="730"/>
      <c r="I61" s="730"/>
      <c r="J61" s="730"/>
      <c r="K61" s="730"/>
      <c r="L61" s="773"/>
      <c r="M61" s="769"/>
      <c r="N61" s="730"/>
      <c r="O61" s="733"/>
      <c r="Q61" s="728"/>
      <c r="R61" s="661"/>
      <c r="S61" s="228" t="str">
        <f t="array" ref="S61">IFERROR(INDEX('💻シート作成'!$D$6:$D1001, MATCH(T61, '💻シート作成'!$E$6:$E1001, 0)), "")</f>
        <v/>
      </c>
      <c r="T61" s="171" t="str">
        <f>IFERROR(__xludf.DUMMYFUNCTION("""COMPUTED_VALUE"""),"🌟目標数値")</f>
        <v>🌟目標数値</v>
      </c>
      <c r="U61" s="664"/>
      <c r="V61" s="774"/>
      <c r="W61" s="661"/>
      <c r="X61" s="757"/>
      <c r="Y61" s="661"/>
      <c r="Z61" s="661"/>
    </row>
    <row r="62" ht="72.0" hidden="1" customHeight="1" outlineLevel="1">
      <c r="A62" s="661"/>
      <c r="B62" s="729"/>
      <c r="C62" s="730"/>
      <c r="D62" s="730"/>
      <c r="E62" s="730"/>
      <c r="F62" s="697"/>
      <c r="G62" s="945" t="s">
        <v>761</v>
      </c>
      <c r="H62" s="697"/>
      <c r="I62" s="697"/>
      <c r="J62" s="697"/>
      <c r="K62" s="697"/>
      <c r="L62" s="773"/>
      <c r="M62" s="769"/>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4"/>
      <c r="W62" s="661"/>
      <c r="X62" s="757"/>
      <c r="Y62" s="661"/>
      <c r="Z62" s="661"/>
    </row>
    <row r="63" ht="18.0" hidden="1" customHeight="1" outlineLevel="1">
      <c r="A63" s="661"/>
      <c r="B63" s="738"/>
      <c r="C63" s="697"/>
      <c r="D63" s="697"/>
      <c r="E63" s="697"/>
      <c r="F63" s="739" t="s">
        <v>517</v>
      </c>
      <c r="G63" s="740" t="s">
        <v>762</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4"/>
      <c r="W63" s="661"/>
      <c r="X63" s="757"/>
      <c r="Y63" s="661"/>
      <c r="Z63" s="661"/>
    </row>
    <row r="64" collapsed="1">
      <c r="A64" s="661"/>
      <c r="B64" s="780" t="s">
        <v>522</v>
      </c>
      <c r="C64" s="781"/>
      <c r="D64" s="781"/>
      <c r="E64" s="781"/>
      <c r="F64" s="782"/>
      <c r="G64" s="783"/>
      <c r="H64" s="784"/>
      <c r="I64" s="784"/>
      <c r="J64" s="785"/>
      <c r="K64" s="785"/>
      <c r="L64" s="783"/>
      <c r="M64" s="783"/>
      <c r="N64" s="786"/>
      <c r="O64" s="787"/>
      <c r="P64" s="787"/>
      <c r="Q64" s="788"/>
      <c r="R64" s="661"/>
      <c r="S64" s="228" t="str">
        <f t="array" ref="S64">IFERROR(INDEX('💻シート作成'!$D$6:$D1001, MATCH(T64, '💻シート作成'!$E$6:$E1001, 0)), "")</f>
        <v/>
      </c>
      <c r="T64" s="171" t="str">
        <f>IFERROR(__xludf.DUMMYFUNCTION("""COMPUTED_VALUE"""),"①集計_原本")</f>
        <v>①集計_原本</v>
      </c>
      <c r="U64" s="664"/>
      <c r="V64" s="774"/>
      <c r="W64" s="661"/>
      <c r="X64" s="757"/>
      <c r="Y64" s="661"/>
      <c r="Z64" s="661"/>
    </row>
    <row r="65" hidden="1" outlineLevel="1">
      <c r="A65" s="661"/>
      <c r="B65" s="743"/>
      <c r="C65" s="744">
        <f>IF(C53="","",IF(DAY(C53+1)=1,"",C53+1))</f>
        <v>46059</v>
      </c>
      <c r="D65" s="745" t="str">
        <f>TEXT(C65,"ddd")</f>
        <v>金</v>
      </c>
      <c r="E65" s="746"/>
      <c r="F65" s="775" t="s">
        <v>142</v>
      </c>
      <c r="G65" s="776" t="s">
        <v>763</v>
      </c>
      <c r="H65" s="777"/>
      <c r="I65" s="777" t="s">
        <v>670</v>
      </c>
      <c r="J65" s="777">
        <v>8.0</v>
      </c>
      <c r="K65" s="777" t="s">
        <v>604</v>
      </c>
      <c r="L65" s="755"/>
      <c r="M65" s="755"/>
      <c r="N65" s="775"/>
      <c r="O65" s="779"/>
      <c r="P65" s="771"/>
      <c r="Q65" s="772"/>
      <c r="R65" s="661"/>
      <c r="S65" s="228" t="str">
        <f t="array" ref="S65">IFERROR(INDEX('💻シート作成'!$D$6:$D1001, MATCH(T65, '💻シート作成'!$E$6:$E1001, 0)), "")</f>
        <v/>
      </c>
      <c r="T65" s="171" t="str">
        <f>IFERROR(__xludf.DUMMYFUNCTION("""COMPUTED_VALUE"""),"②シフト_原本")</f>
        <v>②シフト_原本</v>
      </c>
      <c r="U65" s="664"/>
      <c r="V65" s="774"/>
      <c r="W65" s="661"/>
      <c r="X65" s="757"/>
      <c r="Y65" s="661"/>
      <c r="Z65" s="661"/>
    </row>
    <row r="66" hidden="1" outlineLevel="1">
      <c r="A66" s="661"/>
      <c r="B66" s="729"/>
      <c r="C66" s="730"/>
      <c r="D66" s="730"/>
      <c r="E66" s="730"/>
      <c r="F66" s="730"/>
      <c r="G66" s="731"/>
      <c r="H66" s="730"/>
      <c r="I66" s="730"/>
      <c r="J66" s="730"/>
      <c r="K66" s="730"/>
      <c r="L66" s="755"/>
      <c r="M66" s="755"/>
      <c r="N66" s="730"/>
      <c r="O66" s="733"/>
      <c r="Q66" s="728"/>
      <c r="R66" s="661"/>
      <c r="S66" s="228" t="str">
        <f t="array" ref="S66">IFERROR(INDEX('💻シート作成'!$D$6:$D1001, MATCH(T66, '💻シート作成'!$E$6:$E1001, 0)), "")</f>
        <v/>
      </c>
      <c r="T66" s="171" t="str">
        <f>IFERROR(__xludf.DUMMYFUNCTION("""COMPUTED_VALUE"""),"③日報_原本")</f>
        <v>③日報_原本</v>
      </c>
      <c r="U66" s="664"/>
      <c r="V66" s="774"/>
      <c r="W66" s="661"/>
      <c r="X66" s="757"/>
      <c r="Y66" s="661"/>
      <c r="Z66" s="661"/>
    </row>
    <row r="67" hidden="1" outlineLevel="1">
      <c r="A67" s="661"/>
      <c r="B67" s="729"/>
      <c r="C67" s="730"/>
      <c r="D67" s="730"/>
      <c r="E67" s="730"/>
      <c r="F67" s="730"/>
      <c r="G67" s="731"/>
      <c r="H67" s="730"/>
      <c r="I67" s="730"/>
      <c r="J67" s="730"/>
      <c r="K67" s="730"/>
      <c r="L67" s="755"/>
      <c r="M67" s="755"/>
      <c r="N67" s="730"/>
      <c r="O67" s="733"/>
      <c r="Q67" s="728"/>
      <c r="R67" s="661"/>
      <c r="S67" s="228" t="str">
        <f t="array" ref="S67">IFERROR(INDEX('💻シート作成'!$D$6:$D1001, MATCH(T67, '💻シート作成'!$E$6:$E1001, 0)), "")</f>
        <v/>
      </c>
      <c r="T67" s="171" t="str">
        <f>IFERROR(__xludf.DUMMYFUNCTION("""COMPUTED_VALUE"""),"④月報_原本")</f>
        <v>④月報_原本</v>
      </c>
      <c r="U67" s="664"/>
      <c r="V67" s="774"/>
      <c r="W67" s="661"/>
      <c r="X67" s="757"/>
      <c r="Y67" s="661"/>
      <c r="Z67" s="661"/>
    </row>
    <row r="68" hidden="1" outlineLevel="1">
      <c r="A68" s="661"/>
      <c r="B68" s="729"/>
      <c r="C68" s="730"/>
      <c r="D68" s="730"/>
      <c r="E68" s="730"/>
      <c r="F68" s="730"/>
      <c r="G68" s="731"/>
      <c r="H68" s="730"/>
      <c r="I68" s="730"/>
      <c r="J68" s="730"/>
      <c r="K68" s="730"/>
      <c r="L68" s="756"/>
      <c r="M68" s="755"/>
      <c r="N68" s="730"/>
      <c r="O68" s="733"/>
      <c r="Q68" s="728"/>
      <c r="R68" s="661"/>
      <c r="S68" s="228" t="str">
        <f t="array" ref="S68">IFERROR(INDEX('💻シート作成'!$D$6:$D1001, MATCH(T68, '💻シート作成'!$E$6:$E1001, 0)), "")</f>
        <v/>
      </c>
      <c r="T68" s="172"/>
      <c r="U68" s="664"/>
      <c r="V68" s="774"/>
      <c r="W68" s="661"/>
      <c r="X68" s="757"/>
      <c r="Y68" s="661"/>
      <c r="Z68" s="661"/>
    </row>
    <row r="69" hidden="1" outlineLevel="1">
      <c r="A69" s="661"/>
      <c r="B69" s="729"/>
      <c r="C69" s="730"/>
      <c r="D69" s="730"/>
      <c r="E69" s="730"/>
      <c r="F69" s="730"/>
      <c r="G69" s="731"/>
      <c r="H69" s="730"/>
      <c r="I69" s="730"/>
      <c r="J69" s="730"/>
      <c r="K69" s="730"/>
      <c r="L69" s="756"/>
      <c r="M69" s="755"/>
      <c r="N69" s="730"/>
      <c r="O69" s="733"/>
      <c r="Q69" s="728"/>
      <c r="R69" s="661"/>
      <c r="S69" s="228" t="str">
        <f t="array" ref="S69">IFERROR(INDEX('💻シート作成'!$D$6:$D1001, MATCH(T69, '💻シート作成'!$E$6:$E1001, 0)), "")</f>
        <v/>
      </c>
      <c r="T69" s="172"/>
      <c r="U69" s="664"/>
      <c r="V69" s="774"/>
      <c r="W69" s="661"/>
      <c r="X69" s="757"/>
      <c r="Y69" s="661"/>
      <c r="Z69" s="661"/>
    </row>
    <row r="70" hidden="1" outlineLevel="1">
      <c r="A70" s="661"/>
      <c r="B70" s="729"/>
      <c r="C70" s="730"/>
      <c r="D70" s="730"/>
      <c r="E70" s="730"/>
      <c r="F70" s="730"/>
      <c r="G70" s="731"/>
      <c r="H70" s="730"/>
      <c r="I70" s="730"/>
      <c r="J70" s="730"/>
      <c r="K70" s="730"/>
      <c r="L70" s="756"/>
      <c r="M70" s="755"/>
      <c r="N70" s="730"/>
      <c r="O70" s="733"/>
      <c r="Q70" s="728"/>
      <c r="R70" s="661"/>
      <c r="S70" s="228" t="str">
        <f t="array" ref="S70">IFERROR(INDEX('💻シート作成'!$D$6:$D1001, MATCH(T70, '💻シート作成'!$E$6:$E1001, 0)), "")</f>
        <v/>
      </c>
      <c r="T70" s="172"/>
      <c r="U70" s="664"/>
      <c r="V70" s="774"/>
      <c r="W70" s="661"/>
      <c r="X70" s="757"/>
      <c r="Y70" s="661"/>
      <c r="Z70" s="661"/>
    </row>
    <row r="71" hidden="1" outlineLevel="1">
      <c r="A71" s="661"/>
      <c r="B71" s="729"/>
      <c r="C71" s="730"/>
      <c r="D71" s="730"/>
      <c r="E71" s="730"/>
      <c r="F71" s="730"/>
      <c r="G71" s="731"/>
      <c r="H71" s="730"/>
      <c r="I71" s="730"/>
      <c r="J71" s="730"/>
      <c r="K71" s="730"/>
      <c r="L71" s="756"/>
      <c r="M71" s="755"/>
      <c r="N71" s="730"/>
      <c r="O71" s="733"/>
      <c r="Q71" s="728"/>
      <c r="R71" s="661"/>
      <c r="S71" s="228" t="str">
        <f t="array" ref="S71">IFERROR(INDEX('💻シート作成'!$D$6:$D1001, MATCH(T71, '💻シート作成'!$E$6:$E1001, 0)), "")</f>
        <v/>
      </c>
      <c r="T71" s="172"/>
      <c r="U71" s="664"/>
      <c r="V71" s="774"/>
      <c r="W71" s="661"/>
      <c r="X71" s="757"/>
      <c r="Y71" s="661"/>
      <c r="Z71" s="661"/>
    </row>
    <row r="72" hidden="1" outlineLevel="1">
      <c r="A72" s="661"/>
      <c r="B72" s="729"/>
      <c r="C72" s="730"/>
      <c r="D72" s="730"/>
      <c r="E72" s="730"/>
      <c r="F72" s="730"/>
      <c r="G72" s="731"/>
      <c r="H72" s="730"/>
      <c r="I72" s="730"/>
      <c r="J72" s="730"/>
      <c r="K72" s="730"/>
      <c r="L72" s="756"/>
      <c r="M72" s="755"/>
      <c r="N72" s="730"/>
      <c r="O72" s="733"/>
      <c r="Q72" s="728"/>
      <c r="R72" s="661"/>
      <c r="S72" s="228" t="str">
        <f t="array" ref="S72">IFERROR(INDEX('💻シート作成'!$D$6:$D1001, MATCH(T72, '💻シート作成'!$E$6:$E1001, 0)), "")</f>
        <v/>
      </c>
      <c r="T72" s="172"/>
      <c r="U72" s="664"/>
      <c r="V72" s="774"/>
      <c r="W72" s="661"/>
      <c r="X72" s="757"/>
      <c r="Y72" s="661"/>
      <c r="Z72" s="661"/>
    </row>
    <row r="73" hidden="1" outlineLevel="1">
      <c r="A73" s="661"/>
      <c r="B73" s="729"/>
      <c r="C73" s="730"/>
      <c r="D73" s="730"/>
      <c r="E73" s="730"/>
      <c r="F73" s="730"/>
      <c r="G73" s="731"/>
      <c r="H73" s="730"/>
      <c r="I73" s="730"/>
      <c r="J73" s="730"/>
      <c r="K73" s="730"/>
      <c r="L73" s="756"/>
      <c r="M73" s="755"/>
      <c r="N73" s="730"/>
      <c r="O73" s="733"/>
      <c r="Q73" s="728"/>
      <c r="R73" s="661"/>
      <c r="S73" s="228" t="str">
        <f t="array" ref="S73">IFERROR(INDEX('💻シート作成'!$D$6:$D1001, MATCH(T73, '💻シート作成'!$E$6:$E1001, 0)), "")</f>
        <v/>
      </c>
      <c r="T73" s="172"/>
      <c r="U73" s="664"/>
      <c r="V73" s="774"/>
      <c r="W73" s="661"/>
      <c r="X73" s="757"/>
      <c r="Y73" s="661"/>
      <c r="Z73" s="661"/>
    </row>
    <row r="74" hidden="1" outlineLevel="1">
      <c r="A74" s="661"/>
      <c r="B74" s="729"/>
      <c r="C74" s="730"/>
      <c r="D74" s="730"/>
      <c r="E74" s="730"/>
      <c r="F74" s="697"/>
      <c r="G74" s="698"/>
      <c r="H74" s="697"/>
      <c r="I74" s="697"/>
      <c r="J74" s="697"/>
      <c r="K74" s="697"/>
      <c r="L74" s="756"/>
      <c r="M74" s="755"/>
      <c r="N74" s="697"/>
      <c r="O74" s="700"/>
      <c r="P74" s="701"/>
      <c r="Q74" s="737"/>
      <c r="R74" s="661"/>
      <c r="S74" s="228" t="str">
        <f t="array" ref="S74">IFERROR(INDEX('💻シート作成'!$D$6:$D1001, MATCH(T74, '💻シート作成'!$E$6:$E1001, 0)), "")</f>
        <v/>
      </c>
      <c r="T74" s="172"/>
      <c r="U74" s="664"/>
      <c r="V74" s="774"/>
      <c r="W74" s="661"/>
      <c r="X74" s="757"/>
      <c r="Y74" s="661"/>
      <c r="Z74" s="661"/>
    </row>
    <row r="75" ht="18.0" hidden="1" customHeight="1" outlineLevel="1">
      <c r="A75" s="661"/>
      <c r="B75" s="738"/>
      <c r="C75" s="697"/>
      <c r="D75" s="697"/>
      <c r="E75" s="697"/>
      <c r="F75" s="758" t="s">
        <v>517</v>
      </c>
      <c r="G75" s="759" t="s">
        <v>764</v>
      </c>
      <c r="H75" s="741"/>
      <c r="I75" s="741"/>
      <c r="J75" s="741"/>
      <c r="K75" s="741"/>
      <c r="L75" s="759"/>
      <c r="M75" s="759"/>
      <c r="N75" s="759"/>
      <c r="O75" s="759"/>
      <c r="P75" s="759"/>
      <c r="Q75" s="760"/>
      <c r="R75" s="661"/>
      <c r="S75" s="228" t="str">
        <f t="array" ref="S75">IFERROR(INDEX('💻シート作成'!$D$6:$D1001, MATCH(T75, '💻シート作成'!$E$6:$E1001, 0)), "")</f>
        <v/>
      </c>
      <c r="T75" s="172"/>
      <c r="U75" s="664"/>
      <c r="V75" s="774"/>
      <c r="W75" s="661"/>
      <c r="X75" s="757"/>
      <c r="Y75" s="661"/>
      <c r="Z75" s="661"/>
    </row>
    <row r="76" ht="33.0" hidden="1" customHeight="1" outlineLevel="1">
      <c r="A76" s="661"/>
      <c r="B76" s="761"/>
      <c r="C76" s="762">
        <f>IF(C65="","",IF(DAY(C65+1)=1,"",C65+1))</f>
        <v>46060</v>
      </c>
      <c r="D76" s="763" t="str">
        <f>TEXT(C76,"ddd")</f>
        <v>土</v>
      </c>
      <c r="E76" s="764"/>
      <c r="F76" s="765" t="s">
        <v>100</v>
      </c>
      <c r="G76" s="766" t="s">
        <v>765</v>
      </c>
      <c r="H76" s="767">
        <v>1.0</v>
      </c>
      <c r="I76" s="767" t="s">
        <v>766</v>
      </c>
      <c r="J76" s="767">
        <v>8.0</v>
      </c>
      <c r="K76" s="767">
        <v>2.0</v>
      </c>
      <c r="L76" s="769" t="s">
        <v>159</v>
      </c>
      <c r="M76" s="769" t="s">
        <v>767</v>
      </c>
      <c r="N76" s="765"/>
      <c r="O76" s="770"/>
      <c r="P76" s="771"/>
      <c r="Q76" s="772"/>
      <c r="R76" s="661"/>
      <c r="S76" s="228" t="str">
        <f t="array" ref="S76">IFERROR(INDEX('💻シート作成'!$D$6:$D1001, MATCH(T76, '💻シート作成'!$E$6:$E1001, 0)), "")</f>
        <v/>
      </c>
      <c r="T76" s="172"/>
      <c r="U76" s="664"/>
      <c r="V76" s="774"/>
      <c r="W76" s="661"/>
      <c r="X76" s="757"/>
      <c r="Y76" s="661"/>
      <c r="Z76" s="661"/>
    </row>
    <row r="77" ht="33.0" hidden="1" customHeight="1" outlineLevel="1">
      <c r="A77" s="661"/>
      <c r="B77" s="729"/>
      <c r="C77" s="730"/>
      <c r="D77" s="730"/>
      <c r="E77" s="730"/>
      <c r="F77" s="730"/>
      <c r="G77" s="731"/>
      <c r="H77" s="730"/>
      <c r="I77" s="730"/>
      <c r="J77" s="730"/>
      <c r="K77" s="730"/>
      <c r="L77" s="769" t="s">
        <v>737</v>
      </c>
      <c r="M77" s="769" t="s">
        <v>768</v>
      </c>
      <c r="N77" s="730"/>
      <c r="O77" s="733"/>
      <c r="Q77" s="728"/>
      <c r="R77" s="661"/>
      <c r="S77" s="228" t="str">
        <f t="array" ref="S77">IFERROR(INDEX('💻シート作成'!$D$6:$D1001, MATCH(T77, '💻シート作成'!$E$6:$E1001, 0)), "")</f>
        <v/>
      </c>
      <c r="T77" s="172"/>
      <c r="U77" s="664"/>
      <c r="V77" s="774"/>
      <c r="W77" s="661"/>
      <c r="X77" s="757"/>
      <c r="Y77" s="661"/>
      <c r="Z77" s="661"/>
    </row>
    <row r="78" ht="33.0" hidden="1" customHeight="1" outlineLevel="1">
      <c r="A78" s="661"/>
      <c r="B78" s="729"/>
      <c r="C78" s="730"/>
      <c r="D78" s="730"/>
      <c r="E78" s="730"/>
      <c r="F78" s="730"/>
      <c r="G78" s="731"/>
      <c r="H78" s="730"/>
      <c r="I78" s="730"/>
      <c r="J78" s="730"/>
      <c r="K78" s="730"/>
      <c r="L78" s="769"/>
      <c r="M78" s="769"/>
      <c r="N78" s="730"/>
      <c r="O78" s="733"/>
      <c r="Q78" s="728"/>
      <c r="R78" s="661"/>
      <c r="S78" s="228" t="str">
        <f t="array" ref="S78">IFERROR(INDEX('💻シート作成'!$D$6:$D1001, MATCH(T78, '💻シート作成'!$E$6:$E1001, 0)), "")</f>
        <v/>
      </c>
      <c r="T78" s="172"/>
      <c r="U78" s="664"/>
      <c r="V78" s="774"/>
      <c r="W78" s="661"/>
      <c r="X78" s="757"/>
      <c r="Y78" s="661"/>
      <c r="Z78" s="661"/>
    </row>
    <row r="79" ht="33.0" hidden="1" customHeight="1" outlineLevel="1">
      <c r="A79" s="661"/>
      <c r="B79" s="729"/>
      <c r="C79" s="730"/>
      <c r="D79" s="730"/>
      <c r="E79" s="730"/>
      <c r="F79" s="730"/>
      <c r="G79" s="731"/>
      <c r="H79" s="730"/>
      <c r="I79" s="730"/>
      <c r="J79" s="730"/>
      <c r="K79" s="730"/>
      <c r="L79" s="773"/>
      <c r="M79" s="769"/>
      <c r="N79" s="730"/>
      <c r="O79" s="733"/>
      <c r="Q79" s="728"/>
      <c r="R79" s="661"/>
      <c r="S79" s="228" t="str">
        <f t="array" ref="S79">IFERROR(INDEX('💻シート作成'!$D$6:$D1001, MATCH(T79, '💻シート作成'!$E$6:$E1001, 0)), "")</f>
        <v/>
      </c>
      <c r="T79" s="172"/>
      <c r="U79" s="664"/>
      <c r="V79" s="774"/>
      <c r="W79" s="661"/>
      <c r="X79" s="757"/>
      <c r="Y79" s="661"/>
      <c r="Z79" s="661"/>
    </row>
    <row r="80" ht="33.0" hidden="1" customHeight="1" outlineLevel="1">
      <c r="A80" s="661"/>
      <c r="B80" s="729"/>
      <c r="C80" s="730"/>
      <c r="D80" s="730"/>
      <c r="E80" s="730"/>
      <c r="F80" s="730"/>
      <c r="G80" s="731"/>
      <c r="H80" s="730"/>
      <c r="I80" s="730"/>
      <c r="J80" s="730"/>
      <c r="K80" s="730"/>
      <c r="L80" s="773"/>
      <c r="M80" s="769"/>
      <c r="N80" s="730"/>
      <c r="O80" s="733"/>
      <c r="Q80" s="728"/>
      <c r="R80" s="661"/>
      <c r="S80" s="228" t="str">
        <f t="array" ref="S80">IFERROR(INDEX('💻シート作成'!$D$6:$D1001, MATCH(T80, '💻シート作成'!$E$6:$E1001, 0)), "")</f>
        <v/>
      </c>
      <c r="T80" s="172"/>
      <c r="U80" s="664"/>
      <c r="V80" s="774"/>
      <c r="W80" s="661"/>
      <c r="X80" s="757"/>
      <c r="Y80" s="661"/>
      <c r="Z80" s="661"/>
    </row>
    <row r="81" ht="33.0" hidden="1" customHeight="1" outlineLevel="1">
      <c r="A81" s="661"/>
      <c r="B81" s="729"/>
      <c r="C81" s="730"/>
      <c r="D81" s="730"/>
      <c r="E81" s="730"/>
      <c r="F81" s="730"/>
      <c r="G81" s="731"/>
      <c r="H81" s="730"/>
      <c r="I81" s="730"/>
      <c r="J81" s="730"/>
      <c r="K81" s="730"/>
      <c r="L81" s="773"/>
      <c r="M81" s="769"/>
      <c r="N81" s="730"/>
      <c r="O81" s="733"/>
      <c r="Q81" s="728"/>
      <c r="R81" s="661"/>
      <c r="S81" s="228" t="str">
        <f t="array" ref="S81">IFERROR(INDEX('💻シート作成'!$D$6:$D1001, MATCH(T81, '💻シート作成'!$E$6:$E1001, 0)), "")</f>
        <v/>
      </c>
      <c r="T81" s="172"/>
      <c r="U81" s="664"/>
      <c r="V81" s="774"/>
      <c r="W81" s="661"/>
      <c r="X81" s="757"/>
      <c r="Y81" s="661"/>
      <c r="Z81" s="661"/>
    </row>
    <row r="82" ht="33.0" hidden="1" customHeight="1" outlineLevel="1">
      <c r="A82" s="661"/>
      <c r="B82" s="729"/>
      <c r="C82" s="730"/>
      <c r="D82" s="730"/>
      <c r="E82" s="730"/>
      <c r="F82" s="730"/>
      <c r="G82" s="731"/>
      <c r="H82" s="730"/>
      <c r="I82" s="730"/>
      <c r="J82" s="730"/>
      <c r="K82" s="730"/>
      <c r="L82" s="773"/>
      <c r="M82" s="769"/>
      <c r="N82" s="730"/>
      <c r="O82" s="733"/>
      <c r="Q82" s="728"/>
      <c r="R82" s="661"/>
      <c r="S82" s="228" t="str">
        <f t="array" ref="S82">IFERROR(INDEX('💻シート作成'!$D$6:$D1001, MATCH(T82, '💻シート作成'!$E$6:$E1001, 0)), "")</f>
        <v/>
      </c>
      <c r="T82" s="172"/>
      <c r="U82" s="664"/>
      <c r="V82" s="774"/>
      <c r="W82" s="661"/>
      <c r="X82" s="757"/>
      <c r="Y82" s="661"/>
      <c r="Z82" s="661"/>
    </row>
    <row r="83" ht="33.0" hidden="1" customHeight="1" outlineLevel="1">
      <c r="A83" s="661"/>
      <c r="B83" s="729"/>
      <c r="C83" s="730"/>
      <c r="D83" s="730"/>
      <c r="E83" s="730"/>
      <c r="F83" s="730"/>
      <c r="G83" s="731"/>
      <c r="H83" s="730"/>
      <c r="I83" s="730"/>
      <c r="J83" s="730"/>
      <c r="K83" s="730"/>
      <c r="L83" s="773"/>
      <c r="M83" s="769"/>
      <c r="N83" s="730"/>
      <c r="O83" s="733"/>
      <c r="Q83" s="728"/>
      <c r="R83" s="661"/>
      <c r="S83" s="228" t="str">
        <f t="array" ref="S83">IFERROR(INDEX('💻シート作成'!$D$6:$D1001, MATCH(T83, '💻シート作成'!$E$6:$E1001, 0)), "")</f>
        <v/>
      </c>
      <c r="T83" s="172"/>
      <c r="U83" s="664"/>
      <c r="V83" s="774"/>
      <c r="W83" s="661"/>
      <c r="X83" s="757"/>
      <c r="Y83" s="661"/>
      <c r="Z83" s="661"/>
    </row>
    <row r="84" ht="33.0" hidden="1" customHeight="1" outlineLevel="1">
      <c r="A84" s="661"/>
      <c r="B84" s="729"/>
      <c r="C84" s="730"/>
      <c r="D84" s="730"/>
      <c r="E84" s="730"/>
      <c r="F84" s="730"/>
      <c r="G84" s="731"/>
      <c r="H84" s="730"/>
      <c r="I84" s="730"/>
      <c r="J84" s="730"/>
      <c r="K84" s="730"/>
      <c r="L84" s="773"/>
      <c r="M84" s="769"/>
      <c r="N84" s="730"/>
      <c r="O84" s="733"/>
      <c r="Q84" s="728"/>
      <c r="R84" s="661"/>
      <c r="S84" s="228" t="str">
        <f t="array" ref="S84">IFERROR(INDEX('💻シート作成'!$D$6:$D1001, MATCH(T84, '💻シート作成'!$E$6:$E1001, 0)), "")</f>
        <v/>
      </c>
      <c r="T84" s="172"/>
      <c r="U84" s="664"/>
      <c r="V84" s="774"/>
      <c r="W84" s="661"/>
      <c r="X84" s="757"/>
      <c r="Y84" s="661"/>
      <c r="Z84" s="661"/>
    </row>
    <row r="85" ht="33.0" hidden="1" customHeight="1" outlineLevel="1">
      <c r="A85" s="661"/>
      <c r="B85" s="729"/>
      <c r="C85" s="730"/>
      <c r="D85" s="730"/>
      <c r="E85" s="730"/>
      <c r="F85" s="697"/>
      <c r="G85" s="698"/>
      <c r="H85" s="697"/>
      <c r="I85" s="697"/>
      <c r="J85" s="697"/>
      <c r="K85" s="697"/>
      <c r="L85" s="773"/>
      <c r="M85" s="769"/>
      <c r="N85" s="697"/>
      <c r="O85" s="700"/>
      <c r="P85" s="701"/>
      <c r="Q85" s="737"/>
      <c r="R85" s="661"/>
      <c r="S85" s="228" t="str">
        <f t="array" ref="S85">IFERROR(INDEX('💻シート作成'!$D$6:$D1001, MATCH(T85, '💻シート作成'!$E$6:$E1001, 0)), "")</f>
        <v/>
      </c>
      <c r="T85" s="172"/>
      <c r="U85" s="664"/>
      <c r="V85" s="774"/>
      <c r="W85" s="661"/>
      <c r="X85" s="757"/>
      <c r="Y85" s="661"/>
      <c r="Z85" s="661"/>
    </row>
    <row r="86" ht="18.0" hidden="1" customHeight="1" outlineLevel="1">
      <c r="A86" s="661"/>
      <c r="B86" s="738"/>
      <c r="C86" s="697"/>
      <c r="D86" s="697"/>
      <c r="E86" s="697"/>
      <c r="F86" s="739" t="s">
        <v>517</v>
      </c>
      <c r="G86" s="740" t="s">
        <v>769</v>
      </c>
      <c r="H86" s="741"/>
      <c r="I86" s="741"/>
      <c r="J86" s="741"/>
      <c r="K86" s="741"/>
      <c r="L86" s="740"/>
      <c r="M86" s="740"/>
      <c r="N86" s="740"/>
      <c r="O86" s="740"/>
      <c r="P86" s="740"/>
      <c r="Q86" s="742"/>
      <c r="R86" s="661"/>
      <c r="S86" s="228" t="str">
        <f t="array" ref="S86">IFERROR(INDEX('💻シート作成'!$D$6:$D1001, MATCH(T86, '💻シート作成'!$E$6:$E1001, 0)), "")</f>
        <v/>
      </c>
      <c r="T86" s="172"/>
      <c r="U86" s="664"/>
      <c r="V86" s="774"/>
      <c r="W86" s="661"/>
      <c r="X86" s="757"/>
      <c r="Y86" s="661"/>
      <c r="Z86" s="661"/>
    </row>
    <row r="87" ht="34.5" hidden="1" customHeight="1" outlineLevel="1">
      <c r="A87" s="661"/>
      <c r="B87" s="743"/>
      <c r="C87" s="744">
        <f>IF(C76="","",IF(DAY(C76+1)=1,"",C76+1))</f>
        <v>46061</v>
      </c>
      <c r="D87" s="745" t="str">
        <f>TEXT(C87,"ddd")</f>
        <v>日</v>
      </c>
      <c r="E87" s="746"/>
      <c r="F87" s="775" t="s">
        <v>100</v>
      </c>
      <c r="G87" s="776" t="s">
        <v>770</v>
      </c>
      <c r="H87" s="777">
        <v>1.0</v>
      </c>
      <c r="I87" s="778">
        <v>0.6875</v>
      </c>
      <c r="J87" s="777">
        <v>9.0</v>
      </c>
      <c r="K87" s="777">
        <v>2.0</v>
      </c>
      <c r="L87" s="755"/>
      <c r="M87" s="755"/>
      <c r="N87" s="775"/>
      <c r="O87" s="779"/>
      <c r="P87" s="771"/>
      <c r="Q87" s="772"/>
      <c r="R87" s="661"/>
      <c r="S87" s="228" t="str">
        <f t="array" ref="S87">IFERROR(INDEX('💻シート作成'!$D$6:$D1001, MATCH(T87, '💻シート作成'!$E$6:$E1001, 0)), "")</f>
        <v/>
      </c>
      <c r="T87" s="172"/>
      <c r="U87" s="664"/>
      <c r="V87" s="774"/>
      <c r="W87" s="661"/>
      <c r="X87" s="757"/>
      <c r="Y87" s="661"/>
      <c r="Z87" s="661"/>
    </row>
    <row r="88" ht="34.5" hidden="1" customHeight="1" outlineLevel="1">
      <c r="A88" s="661"/>
      <c r="B88" s="729"/>
      <c r="C88" s="730"/>
      <c r="D88" s="730"/>
      <c r="E88" s="730"/>
      <c r="F88" s="730"/>
      <c r="G88" s="731"/>
      <c r="H88" s="730"/>
      <c r="I88" s="730"/>
      <c r="J88" s="730"/>
      <c r="K88" s="730"/>
      <c r="L88" s="755"/>
      <c r="M88" s="755"/>
      <c r="N88" s="730"/>
      <c r="O88" s="733"/>
      <c r="Q88" s="728"/>
      <c r="R88" s="661"/>
      <c r="S88" s="228" t="str">
        <f t="array" ref="S88">IFERROR(INDEX('💻シート作成'!$D$6:$D1001, MATCH(T88, '💻シート作成'!$E$6:$E1001, 0)), "")</f>
        <v/>
      </c>
      <c r="T88" s="172"/>
      <c r="U88" s="664"/>
      <c r="V88" s="774"/>
      <c r="W88" s="661"/>
      <c r="X88" s="757"/>
      <c r="Y88" s="661"/>
      <c r="Z88" s="661"/>
    </row>
    <row r="89" ht="34.5" hidden="1" customHeight="1" outlineLevel="1">
      <c r="A89" s="661"/>
      <c r="B89" s="729"/>
      <c r="C89" s="730"/>
      <c r="D89" s="730"/>
      <c r="E89" s="730"/>
      <c r="F89" s="730"/>
      <c r="G89" s="731"/>
      <c r="H89" s="730"/>
      <c r="I89" s="730"/>
      <c r="J89" s="730"/>
      <c r="K89" s="730"/>
      <c r="L89" s="755"/>
      <c r="M89" s="755"/>
      <c r="N89" s="730"/>
      <c r="O89" s="733"/>
      <c r="Q89" s="728"/>
      <c r="R89" s="661"/>
      <c r="S89" s="228" t="str">
        <f t="array" ref="S89">IFERROR(INDEX('💻シート作成'!$D$6:$D1001, MATCH(T89, '💻シート作成'!$E$6:$E1001, 0)), "")</f>
        <v/>
      </c>
      <c r="T89" s="172"/>
      <c r="U89" s="664"/>
      <c r="V89" s="774"/>
      <c r="W89" s="661"/>
      <c r="X89" s="757"/>
      <c r="Y89" s="661"/>
      <c r="Z89" s="661"/>
    </row>
    <row r="90" ht="34.5" hidden="1" customHeight="1" outlineLevel="1">
      <c r="A90" s="661"/>
      <c r="B90" s="729"/>
      <c r="C90" s="730"/>
      <c r="D90" s="730"/>
      <c r="E90" s="730"/>
      <c r="F90" s="730"/>
      <c r="G90" s="731"/>
      <c r="H90" s="730"/>
      <c r="I90" s="730"/>
      <c r="J90" s="730"/>
      <c r="K90" s="730"/>
      <c r="L90" s="756"/>
      <c r="M90" s="755"/>
      <c r="N90" s="730"/>
      <c r="O90" s="733"/>
      <c r="Q90" s="728"/>
      <c r="R90" s="661"/>
      <c r="S90" s="228" t="str">
        <f t="array" ref="S90">IFERROR(INDEX('💻シート作成'!$D$6:$D1001, MATCH(T90, '💻シート作成'!$E$6:$E1001, 0)), "")</f>
        <v/>
      </c>
      <c r="T90" s="172"/>
      <c r="U90" s="664"/>
      <c r="V90" s="774"/>
      <c r="W90" s="661"/>
      <c r="X90" s="757"/>
      <c r="Y90" s="661"/>
      <c r="Z90" s="661"/>
    </row>
    <row r="91" ht="34.5" hidden="1" customHeight="1" outlineLevel="1">
      <c r="A91" s="661"/>
      <c r="B91" s="729"/>
      <c r="C91" s="730"/>
      <c r="D91" s="730"/>
      <c r="E91" s="730"/>
      <c r="F91" s="730"/>
      <c r="G91" s="731"/>
      <c r="H91" s="730"/>
      <c r="I91" s="730"/>
      <c r="J91" s="730"/>
      <c r="K91" s="730"/>
      <c r="L91" s="756"/>
      <c r="M91" s="755"/>
      <c r="N91" s="730"/>
      <c r="O91" s="733"/>
      <c r="Q91" s="728"/>
      <c r="R91" s="661"/>
      <c r="S91" s="228" t="str">
        <f t="array" ref="S91">IFERROR(INDEX('💻シート作成'!$D$6:$D1001, MATCH(T91, '💻シート作成'!$E$6:$E1001, 0)), "")</f>
        <v/>
      </c>
      <c r="T91" s="172"/>
      <c r="U91" s="664"/>
      <c r="V91" s="774"/>
      <c r="W91" s="661"/>
      <c r="X91" s="757"/>
      <c r="Y91" s="661"/>
      <c r="Z91" s="661"/>
    </row>
    <row r="92" ht="34.5" hidden="1" customHeight="1" outlineLevel="1">
      <c r="A92" s="661"/>
      <c r="B92" s="729"/>
      <c r="C92" s="730"/>
      <c r="D92" s="730"/>
      <c r="E92" s="730"/>
      <c r="F92" s="730"/>
      <c r="G92" s="731"/>
      <c r="H92" s="730"/>
      <c r="I92" s="730"/>
      <c r="J92" s="730"/>
      <c r="K92" s="730"/>
      <c r="L92" s="756"/>
      <c r="M92" s="755"/>
      <c r="N92" s="730"/>
      <c r="O92" s="733"/>
      <c r="Q92" s="728"/>
      <c r="R92" s="661"/>
      <c r="S92" s="228" t="str">
        <f t="array" ref="S92">IFERROR(INDEX('💻シート作成'!$D$6:$D1001, MATCH(T92, '💻シート作成'!$E$6:$E1001, 0)), "")</f>
        <v/>
      </c>
      <c r="T92" s="172"/>
      <c r="U92" s="664"/>
      <c r="V92" s="774"/>
      <c r="W92" s="661"/>
      <c r="X92" s="757"/>
      <c r="Y92" s="661"/>
      <c r="Z92" s="661"/>
    </row>
    <row r="93" ht="34.5" hidden="1" customHeight="1" outlineLevel="1">
      <c r="A93" s="661"/>
      <c r="B93" s="729"/>
      <c r="C93" s="730"/>
      <c r="D93" s="730"/>
      <c r="E93" s="730"/>
      <c r="F93" s="730"/>
      <c r="G93" s="731"/>
      <c r="H93" s="730"/>
      <c r="I93" s="730"/>
      <c r="J93" s="730"/>
      <c r="K93" s="730"/>
      <c r="L93" s="756"/>
      <c r="M93" s="755"/>
      <c r="N93" s="730"/>
      <c r="O93" s="733"/>
      <c r="Q93" s="728"/>
      <c r="R93" s="661"/>
      <c r="S93" s="228" t="str">
        <f t="array" ref="S93">IFERROR(INDEX('💻シート作成'!$D$6:$D1001, MATCH(T93, '💻シート作成'!$E$6:$E1001, 0)), "")</f>
        <v/>
      </c>
      <c r="T93" s="172"/>
      <c r="U93" s="664"/>
      <c r="V93" s="774"/>
      <c r="W93" s="661"/>
      <c r="X93" s="757"/>
      <c r="Y93" s="661"/>
      <c r="Z93" s="661"/>
    </row>
    <row r="94" ht="34.5" hidden="1" customHeight="1" outlineLevel="1">
      <c r="A94" s="661"/>
      <c r="B94" s="729"/>
      <c r="C94" s="730"/>
      <c r="D94" s="730"/>
      <c r="E94" s="730"/>
      <c r="F94" s="730"/>
      <c r="G94" s="731"/>
      <c r="H94" s="730"/>
      <c r="I94" s="730"/>
      <c r="J94" s="730"/>
      <c r="K94" s="730"/>
      <c r="L94" s="756"/>
      <c r="M94" s="755"/>
      <c r="N94" s="730"/>
      <c r="O94" s="733"/>
      <c r="Q94" s="728"/>
      <c r="R94" s="661"/>
      <c r="S94" s="228" t="str">
        <f t="array" ref="S94">IFERROR(INDEX('💻シート作成'!$D$6:$D1001, MATCH(T94, '💻シート作成'!$E$6:$E1001, 0)), "")</f>
        <v/>
      </c>
      <c r="T94" s="172"/>
      <c r="U94" s="664"/>
      <c r="V94" s="774"/>
      <c r="W94" s="661"/>
      <c r="X94" s="757"/>
      <c r="Y94" s="661"/>
      <c r="Z94" s="661"/>
    </row>
    <row r="95" ht="34.5" hidden="1" customHeight="1" outlineLevel="1">
      <c r="A95" s="661"/>
      <c r="B95" s="729"/>
      <c r="C95" s="730"/>
      <c r="D95" s="730"/>
      <c r="E95" s="730"/>
      <c r="F95" s="730"/>
      <c r="G95" s="731"/>
      <c r="H95" s="730"/>
      <c r="I95" s="730"/>
      <c r="J95" s="730"/>
      <c r="K95" s="730"/>
      <c r="L95" s="756"/>
      <c r="M95" s="755"/>
      <c r="N95" s="730"/>
      <c r="O95" s="733"/>
      <c r="Q95" s="728"/>
      <c r="R95" s="661"/>
      <c r="S95" s="228" t="str">
        <f t="array" ref="S95">IFERROR(INDEX('💻シート作成'!$D$6:$D1001, MATCH(T95, '💻シート作成'!$E$6:$E1001, 0)), "")</f>
        <v/>
      </c>
      <c r="T95" s="172"/>
      <c r="U95" s="664"/>
      <c r="V95" s="774"/>
      <c r="W95" s="661"/>
      <c r="X95" s="757"/>
      <c r="Y95" s="661"/>
      <c r="Z95" s="661"/>
    </row>
    <row r="96" ht="34.5" hidden="1" customHeight="1" outlineLevel="1">
      <c r="A96" s="661"/>
      <c r="B96" s="729"/>
      <c r="C96" s="730"/>
      <c r="D96" s="730"/>
      <c r="E96" s="730"/>
      <c r="F96" s="697"/>
      <c r="G96" s="698"/>
      <c r="H96" s="697"/>
      <c r="I96" s="697"/>
      <c r="J96" s="697"/>
      <c r="K96" s="697"/>
      <c r="L96" s="756"/>
      <c r="M96" s="755"/>
      <c r="N96" s="697"/>
      <c r="O96" s="700"/>
      <c r="P96" s="701"/>
      <c r="Q96" s="737"/>
      <c r="R96" s="661"/>
      <c r="S96" s="228" t="str">
        <f t="array" ref="S96">IFERROR(INDEX('💻シート作成'!$D$6:$D1001, MATCH(T96, '💻シート作成'!$E$6:$E1001, 0)), "")</f>
        <v/>
      </c>
      <c r="T96" s="172"/>
      <c r="U96" s="664"/>
      <c r="V96" s="774"/>
      <c r="W96" s="661"/>
      <c r="X96" s="757"/>
      <c r="Y96" s="661"/>
      <c r="Z96" s="661"/>
    </row>
    <row r="97" ht="18.0" hidden="1" customHeight="1" outlineLevel="1">
      <c r="A97" s="661"/>
      <c r="B97" s="738"/>
      <c r="C97" s="697"/>
      <c r="D97" s="697"/>
      <c r="E97" s="697"/>
      <c r="F97" s="758" t="s">
        <v>517</v>
      </c>
      <c r="G97" s="759" t="s">
        <v>771</v>
      </c>
      <c r="H97" s="741"/>
      <c r="I97" s="741"/>
      <c r="J97" s="741"/>
      <c r="K97" s="741"/>
      <c r="L97" s="759"/>
      <c r="M97" s="759"/>
      <c r="N97" s="759"/>
      <c r="O97" s="759"/>
      <c r="P97" s="759"/>
      <c r="Q97" s="760"/>
      <c r="R97" s="661"/>
      <c r="S97" s="228" t="str">
        <f t="array" ref="S97">IFERROR(INDEX('💻シート作成'!$D$6:$D1001, MATCH(T97, '💻シート作成'!$E$6:$E1001, 0)), "")</f>
        <v/>
      </c>
      <c r="T97" s="172"/>
      <c r="U97" s="664"/>
      <c r="V97" s="774"/>
      <c r="W97" s="661"/>
      <c r="X97" s="757"/>
      <c r="Y97" s="661"/>
      <c r="Z97" s="661"/>
    </row>
    <row r="98" ht="21.0" hidden="1" customHeight="1" outlineLevel="1">
      <c r="A98" s="661"/>
      <c r="B98" s="761"/>
      <c r="C98" s="762">
        <f>IF(C87="","",IF(DAY(C87+1)=1,"",C87+1))</f>
        <v>46062</v>
      </c>
      <c r="D98" s="763" t="str">
        <f>TEXT(C98,"ddd")</f>
        <v>月</v>
      </c>
      <c r="E98" s="764"/>
      <c r="F98" s="765" t="s">
        <v>142</v>
      </c>
      <c r="G98" s="766" t="s">
        <v>772</v>
      </c>
      <c r="H98" s="767">
        <v>2.0</v>
      </c>
      <c r="I98" s="767" t="s">
        <v>742</v>
      </c>
      <c r="J98" s="767">
        <v>8.0</v>
      </c>
      <c r="K98" s="767">
        <v>4.0</v>
      </c>
      <c r="L98" s="769"/>
      <c r="M98" s="769"/>
      <c r="N98" s="765"/>
      <c r="O98" s="770"/>
      <c r="P98" s="771"/>
      <c r="Q98" s="772"/>
      <c r="R98" s="661"/>
      <c r="S98" s="228" t="str">
        <f t="array" ref="S98">IFERROR(INDEX('💻シート作成'!$D$6:$D1001, MATCH(T98, '💻シート作成'!$E$6:$E1001, 0)), "")</f>
        <v/>
      </c>
      <c r="T98" s="172"/>
      <c r="U98" s="664"/>
      <c r="V98" s="774"/>
      <c r="W98" s="661"/>
      <c r="X98" s="757"/>
      <c r="Y98" s="661"/>
      <c r="Z98" s="661"/>
    </row>
    <row r="99" ht="21.0" hidden="1" customHeight="1" outlineLevel="1">
      <c r="A99" s="661"/>
      <c r="B99" s="729"/>
      <c r="C99" s="730"/>
      <c r="D99" s="730"/>
      <c r="E99" s="730"/>
      <c r="F99" s="730"/>
      <c r="G99" s="731"/>
      <c r="H99" s="730"/>
      <c r="I99" s="730"/>
      <c r="J99" s="730"/>
      <c r="K99" s="730"/>
      <c r="L99" s="769"/>
      <c r="M99" s="769"/>
      <c r="N99" s="730"/>
      <c r="O99" s="733"/>
      <c r="Q99" s="728"/>
      <c r="R99" s="661"/>
      <c r="S99" s="228" t="str">
        <f t="array" ref="S99">IFERROR(INDEX('💻シート作成'!$D$6:$D1001, MATCH(T99, '💻シート作成'!$E$6:$E1001, 0)), "")</f>
        <v/>
      </c>
      <c r="T99" s="172"/>
      <c r="U99" s="664"/>
      <c r="V99" s="774"/>
      <c r="W99" s="661"/>
      <c r="X99" s="757"/>
      <c r="Y99" s="661"/>
      <c r="Z99" s="661"/>
    </row>
    <row r="100" ht="21.0" hidden="1" customHeight="1" outlineLevel="1">
      <c r="A100" s="661"/>
      <c r="B100" s="729"/>
      <c r="C100" s="730"/>
      <c r="D100" s="730"/>
      <c r="E100" s="730"/>
      <c r="F100" s="730"/>
      <c r="G100" s="731"/>
      <c r="H100" s="730"/>
      <c r="I100" s="730"/>
      <c r="J100" s="730"/>
      <c r="K100" s="730"/>
      <c r="L100" s="769"/>
      <c r="M100" s="769"/>
      <c r="N100" s="730"/>
      <c r="O100" s="733"/>
      <c r="Q100" s="728"/>
      <c r="R100" s="661"/>
      <c r="S100" s="228" t="str">
        <f t="array" ref="S100">IFERROR(INDEX('💻シート作成'!$D$6:$D1001, MATCH(T100, '💻シート作成'!$E$6:$E1001, 0)), "")</f>
        <v/>
      </c>
      <c r="T100" s="172"/>
      <c r="U100" s="664"/>
      <c r="V100" s="774"/>
      <c r="W100" s="661"/>
      <c r="X100" s="757"/>
      <c r="Y100" s="661"/>
      <c r="Z100" s="661"/>
    </row>
    <row r="101" ht="21.0" hidden="1" customHeight="1" outlineLevel="1">
      <c r="A101" s="661"/>
      <c r="B101" s="729"/>
      <c r="C101" s="730"/>
      <c r="D101" s="730"/>
      <c r="E101" s="730"/>
      <c r="F101" s="730"/>
      <c r="G101" s="731"/>
      <c r="H101" s="730"/>
      <c r="I101" s="730"/>
      <c r="J101" s="730"/>
      <c r="K101" s="730"/>
      <c r="L101" s="773"/>
      <c r="M101" s="769"/>
      <c r="N101" s="730"/>
      <c r="O101" s="733"/>
      <c r="Q101" s="728"/>
      <c r="R101" s="661"/>
      <c r="S101" s="228" t="str">
        <f t="array" ref="S101">IFERROR(INDEX('💻シート作成'!$D$6:$D1001, MATCH(T101, '💻シート作成'!$E$6:$E1001, 0)), "")</f>
        <v/>
      </c>
      <c r="T101" s="172"/>
      <c r="U101" s="664"/>
      <c r="V101" s="774"/>
      <c r="W101" s="661"/>
      <c r="X101" s="757"/>
      <c r="Y101" s="661"/>
      <c r="Z101" s="661"/>
    </row>
    <row r="102" ht="21.0" hidden="1" customHeight="1" outlineLevel="1">
      <c r="A102" s="661"/>
      <c r="B102" s="729"/>
      <c r="C102" s="730"/>
      <c r="D102" s="730"/>
      <c r="E102" s="730"/>
      <c r="F102" s="730"/>
      <c r="G102" s="731"/>
      <c r="H102" s="730"/>
      <c r="I102" s="730"/>
      <c r="J102" s="730"/>
      <c r="K102" s="730"/>
      <c r="L102" s="773"/>
      <c r="M102" s="769"/>
      <c r="N102" s="730"/>
      <c r="O102" s="733"/>
      <c r="Q102" s="728"/>
      <c r="R102" s="661"/>
      <c r="S102" s="228" t="str">
        <f t="array" ref="S102">IFERROR(INDEX('💻シート作成'!$D$6:$D1001, MATCH(T102, '💻シート作成'!$E$6:$E1001, 0)), "")</f>
        <v/>
      </c>
      <c r="T102" s="172"/>
      <c r="U102" s="664"/>
      <c r="V102" s="774"/>
      <c r="W102" s="661"/>
      <c r="X102" s="757"/>
      <c r="Y102" s="661"/>
      <c r="Z102" s="661"/>
    </row>
    <row r="103" ht="21.0" hidden="1" customHeight="1" outlineLevel="1">
      <c r="A103" s="661"/>
      <c r="B103" s="729"/>
      <c r="C103" s="730"/>
      <c r="D103" s="730"/>
      <c r="E103" s="730"/>
      <c r="F103" s="730"/>
      <c r="G103" s="731"/>
      <c r="H103" s="730"/>
      <c r="I103" s="730"/>
      <c r="J103" s="730"/>
      <c r="K103" s="730"/>
      <c r="L103" s="773"/>
      <c r="M103" s="769"/>
      <c r="N103" s="730"/>
      <c r="O103" s="733"/>
      <c r="Q103" s="728"/>
      <c r="R103" s="661"/>
      <c r="S103" s="228" t="str">
        <f t="array" ref="S103">IFERROR(INDEX('💻シート作成'!$D$6:$D1001, MATCH(T103, '💻シート作成'!$E$6:$E1001, 0)), "")</f>
        <v/>
      </c>
      <c r="T103" s="172"/>
      <c r="U103" s="664"/>
      <c r="V103" s="774"/>
      <c r="W103" s="661"/>
      <c r="X103" s="757"/>
      <c r="Y103" s="661"/>
      <c r="Z103" s="661"/>
    </row>
    <row r="104" ht="21.0" hidden="1" customHeight="1" outlineLevel="1">
      <c r="A104" s="661"/>
      <c r="B104" s="729"/>
      <c r="C104" s="730"/>
      <c r="D104" s="730"/>
      <c r="E104" s="730"/>
      <c r="F104" s="730"/>
      <c r="G104" s="731"/>
      <c r="H104" s="730"/>
      <c r="I104" s="730"/>
      <c r="J104" s="730"/>
      <c r="K104" s="730"/>
      <c r="L104" s="773"/>
      <c r="M104" s="769"/>
      <c r="N104" s="730"/>
      <c r="O104" s="733"/>
      <c r="Q104" s="728"/>
      <c r="R104" s="661"/>
      <c r="S104" s="228" t="str">
        <f t="array" ref="S104">IFERROR(INDEX('💻シート作成'!$D$6:$D1001, MATCH(T104, '💻シート作成'!$E$6:$E1001, 0)), "")</f>
        <v/>
      </c>
      <c r="T104" s="172"/>
      <c r="U104" s="664"/>
      <c r="V104" s="774"/>
      <c r="W104" s="661"/>
      <c r="X104" s="757"/>
      <c r="Y104" s="661"/>
      <c r="Z104" s="661"/>
    </row>
    <row r="105" ht="21.0" hidden="1" customHeight="1" outlineLevel="1">
      <c r="A105" s="661"/>
      <c r="B105" s="729"/>
      <c r="C105" s="730"/>
      <c r="D105" s="730"/>
      <c r="E105" s="730"/>
      <c r="F105" s="730"/>
      <c r="G105" s="731"/>
      <c r="H105" s="730"/>
      <c r="I105" s="730"/>
      <c r="J105" s="730"/>
      <c r="K105" s="730"/>
      <c r="L105" s="773"/>
      <c r="M105" s="769"/>
      <c r="N105" s="730"/>
      <c r="O105" s="733"/>
      <c r="Q105" s="728"/>
      <c r="R105" s="661"/>
      <c r="S105" s="228" t="str">
        <f t="array" ref="S105">IFERROR(INDEX('💻シート作成'!$D$6:$D1001, MATCH(T105, '💻シート作成'!$E$6:$E1001, 0)), "")</f>
        <v/>
      </c>
      <c r="T105" s="172"/>
      <c r="U105" s="664"/>
      <c r="V105" s="774"/>
      <c r="W105" s="661"/>
      <c r="X105" s="757"/>
      <c r="Y105" s="661"/>
      <c r="Z105" s="661"/>
    </row>
    <row r="106" ht="21.0" hidden="1" customHeight="1" outlineLevel="1">
      <c r="A106" s="661"/>
      <c r="B106" s="729"/>
      <c r="C106" s="730"/>
      <c r="D106" s="730"/>
      <c r="E106" s="730"/>
      <c r="F106" s="730"/>
      <c r="G106" s="731"/>
      <c r="H106" s="730"/>
      <c r="I106" s="730"/>
      <c r="J106" s="730"/>
      <c r="K106" s="730"/>
      <c r="L106" s="773"/>
      <c r="M106" s="769"/>
      <c r="N106" s="730"/>
      <c r="O106" s="733"/>
      <c r="Q106" s="728"/>
      <c r="R106" s="661"/>
      <c r="S106" s="228" t="str">
        <f t="array" ref="S106">IFERROR(INDEX('💻シート作成'!$D$6:$D1001, MATCH(T106, '💻シート作成'!$E$6:$E1001, 0)), "")</f>
        <v/>
      </c>
      <c r="T106" s="172"/>
      <c r="U106" s="664"/>
      <c r="V106" s="774"/>
      <c r="W106" s="661"/>
      <c r="X106" s="757"/>
      <c r="Y106" s="661"/>
      <c r="Z106" s="661"/>
    </row>
    <row r="107" ht="21.0" hidden="1" customHeight="1" outlineLevel="1">
      <c r="A107" s="661"/>
      <c r="B107" s="729"/>
      <c r="C107" s="730"/>
      <c r="D107" s="730"/>
      <c r="E107" s="730"/>
      <c r="F107" s="697"/>
      <c r="G107" s="698"/>
      <c r="H107" s="697"/>
      <c r="I107" s="697"/>
      <c r="J107" s="697"/>
      <c r="K107" s="697"/>
      <c r="L107" s="773"/>
      <c r="M107" s="769"/>
      <c r="N107" s="697"/>
      <c r="O107" s="700"/>
      <c r="P107" s="701"/>
      <c r="Q107" s="737"/>
      <c r="R107" s="661"/>
      <c r="S107" s="228" t="str">
        <f t="array" ref="S107">IFERROR(INDEX('💻シート作成'!$D$6:$D1001, MATCH(T107, '💻シート作成'!$E$6:$E1001, 0)), "")</f>
        <v/>
      </c>
      <c r="T107" s="172"/>
      <c r="U107" s="664"/>
      <c r="V107" s="774"/>
      <c r="W107" s="661"/>
      <c r="X107" s="757"/>
      <c r="Y107" s="661"/>
      <c r="Z107" s="661"/>
    </row>
    <row r="108" ht="18.0" hidden="1" customHeight="1" outlineLevel="1">
      <c r="A108" s="661"/>
      <c r="B108" s="738"/>
      <c r="C108" s="697"/>
      <c r="D108" s="697"/>
      <c r="E108" s="697"/>
      <c r="F108" s="739" t="s">
        <v>517</v>
      </c>
      <c r="G108" s="740" t="s">
        <v>773</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4"/>
      <c r="W108" s="661"/>
      <c r="X108" s="757"/>
      <c r="Y108" s="661"/>
      <c r="Z108" s="661"/>
    </row>
    <row r="109" ht="33.0" hidden="1" customHeight="1" outlineLevel="1">
      <c r="A109" s="661"/>
      <c r="B109" s="743"/>
      <c r="C109" s="744">
        <f>IF(C98="","",IF(DAY(C98+1)=1,"",C98+1))</f>
        <v>46063</v>
      </c>
      <c r="D109" s="745" t="str">
        <f>TEXT(C109,"ddd")</f>
        <v>火</v>
      </c>
      <c r="E109" s="746"/>
      <c r="F109" s="775" t="s">
        <v>119</v>
      </c>
      <c r="G109" s="776" t="s">
        <v>774</v>
      </c>
      <c r="H109" s="777"/>
      <c r="I109" s="778">
        <v>0.7083333333333334</v>
      </c>
      <c r="J109" s="777">
        <v>9.0</v>
      </c>
      <c r="K109" s="777">
        <v>3.0</v>
      </c>
      <c r="L109" s="755" t="s">
        <v>159</v>
      </c>
      <c r="M109" s="755" t="s">
        <v>775</v>
      </c>
      <c r="N109" s="775"/>
      <c r="O109" s="779"/>
      <c r="P109" s="771"/>
      <c r="Q109" s="772"/>
      <c r="R109" s="661"/>
      <c r="S109" s="228" t="str">
        <f t="array" ref="S109">IFERROR(INDEX('💻シート作成'!$D$6:$D1001, MATCH(T109, '💻シート作成'!$E$6:$E1001, 0)), "")</f>
        <v/>
      </c>
      <c r="T109" s="172"/>
      <c r="U109" s="664"/>
      <c r="V109" s="774"/>
      <c r="W109" s="661"/>
      <c r="X109" s="757"/>
      <c r="Y109" s="661"/>
      <c r="Z109" s="661"/>
    </row>
    <row r="110" ht="33.0" hidden="1" customHeight="1" outlineLevel="1">
      <c r="A110" s="661"/>
      <c r="B110" s="729"/>
      <c r="C110" s="730"/>
      <c r="D110" s="730"/>
      <c r="E110" s="730"/>
      <c r="F110" s="730"/>
      <c r="G110" s="731"/>
      <c r="H110" s="730"/>
      <c r="I110" s="730"/>
      <c r="J110" s="730"/>
      <c r="K110" s="730"/>
      <c r="L110" s="755"/>
      <c r="M110" s="755"/>
      <c r="N110" s="730"/>
      <c r="O110" s="733"/>
      <c r="Q110" s="728"/>
      <c r="R110" s="661"/>
      <c r="S110" s="228" t="str">
        <f t="array" ref="S110">IFERROR(INDEX('💻シート作成'!$D$6:$D1001, MATCH(T110, '💻シート作成'!$E$6:$E1001, 0)), "")</f>
        <v/>
      </c>
      <c r="T110" s="184"/>
      <c r="U110" s="664"/>
      <c r="V110" s="774"/>
      <c r="W110" s="661"/>
      <c r="X110" s="757"/>
      <c r="Y110" s="661"/>
      <c r="Z110" s="661"/>
    </row>
    <row r="111" ht="33.0" hidden="1" customHeight="1" outlineLevel="1">
      <c r="A111" s="661"/>
      <c r="B111" s="729"/>
      <c r="C111" s="730"/>
      <c r="D111" s="730"/>
      <c r="E111" s="730"/>
      <c r="F111" s="730"/>
      <c r="G111" s="731"/>
      <c r="H111" s="730"/>
      <c r="I111" s="730"/>
      <c r="J111" s="730"/>
      <c r="K111" s="730"/>
      <c r="L111" s="755"/>
      <c r="M111" s="755"/>
      <c r="N111" s="730"/>
      <c r="O111" s="733"/>
      <c r="Q111" s="728"/>
      <c r="R111" s="661"/>
      <c r="S111" s="228" t="str">
        <f t="array" ref="S111">IFERROR(INDEX('💻シート作成'!$D$6:$D1001, MATCH(T111, '💻シート作成'!$E$6:$E1001, 0)), "")</f>
        <v/>
      </c>
      <c r="T111" s="184"/>
      <c r="U111" s="664"/>
      <c r="V111" s="774"/>
      <c r="W111" s="661"/>
      <c r="X111" s="757"/>
      <c r="Y111" s="661"/>
      <c r="Z111" s="661"/>
    </row>
    <row r="112" ht="33.0" hidden="1" customHeight="1" outlineLevel="1">
      <c r="A112" s="661"/>
      <c r="B112" s="729"/>
      <c r="C112" s="730"/>
      <c r="D112" s="730"/>
      <c r="E112" s="730"/>
      <c r="F112" s="730"/>
      <c r="G112" s="731"/>
      <c r="H112" s="730"/>
      <c r="I112" s="730"/>
      <c r="J112" s="730"/>
      <c r="K112" s="730"/>
      <c r="L112" s="756"/>
      <c r="M112" s="755"/>
      <c r="N112" s="730"/>
      <c r="O112" s="733"/>
      <c r="Q112" s="728"/>
      <c r="R112" s="661"/>
      <c r="S112" s="228" t="str">
        <f t="array" ref="S112">IFERROR(INDEX('💻シート作成'!$D$6:$D1001, MATCH(T112, '💻シート作成'!$E$6:$E1001, 0)), "")</f>
        <v/>
      </c>
      <c r="T112" s="184"/>
      <c r="U112" s="664"/>
      <c r="V112" s="774"/>
      <c r="W112" s="661"/>
      <c r="X112" s="757"/>
      <c r="Y112" s="661"/>
      <c r="Z112" s="661"/>
    </row>
    <row r="113" ht="33.0" hidden="1" customHeight="1" outlineLevel="1">
      <c r="A113" s="661"/>
      <c r="B113" s="729"/>
      <c r="C113" s="730"/>
      <c r="D113" s="730"/>
      <c r="E113" s="730"/>
      <c r="F113" s="730"/>
      <c r="G113" s="731"/>
      <c r="H113" s="730"/>
      <c r="I113" s="730"/>
      <c r="J113" s="730"/>
      <c r="K113" s="730"/>
      <c r="L113" s="756"/>
      <c r="M113" s="755"/>
      <c r="N113" s="730"/>
      <c r="O113" s="733"/>
      <c r="Q113" s="728"/>
      <c r="R113" s="661"/>
      <c r="S113" s="228" t="str">
        <f t="array" ref="S113">IFERROR(INDEX('💻シート作成'!$D$6:$D1001, MATCH(T113, '💻シート作成'!$E$6:$E1001, 0)), "")</f>
        <v/>
      </c>
      <c r="T113" s="184"/>
      <c r="U113" s="664"/>
      <c r="V113" s="774"/>
      <c r="W113" s="661"/>
      <c r="X113" s="757"/>
      <c r="Y113" s="661"/>
      <c r="Z113" s="661"/>
    </row>
    <row r="114" ht="33.0" hidden="1" customHeight="1" outlineLevel="1">
      <c r="A114" s="661"/>
      <c r="B114" s="729"/>
      <c r="C114" s="730"/>
      <c r="D114" s="730"/>
      <c r="E114" s="730"/>
      <c r="F114" s="730"/>
      <c r="G114" s="731"/>
      <c r="H114" s="730"/>
      <c r="I114" s="730"/>
      <c r="J114" s="730"/>
      <c r="K114" s="730"/>
      <c r="L114" s="756"/>
      <c r="M114" s="755"/>
      <c r="N114" s="730"/>
      <c r="O114" s="733"/>
      <c r="Q114" s="728"/>
      <c r="R114" s="661"/>
      <c r="S114" s="228" t="str">
        <f t="array" ref="S114">IFERROR(INDEX('💻シート作成'!$D$6:$D1001, MATCH(T114, '💻シート作成'!$E$6:$E1001, 0)), "")</f>
        <v/>
      </c>
      <c r="T114" s="184"/>
      <c r="U114" s="664"/>
      <c r="V114" s="774"/>
      <c r="W114" s="661"/>
      <c r="X114" s="757"/>
      <c r="Y114" s="661"/>
      <c r="Z114" s="661"/>
    </row>
    <row r="115" ht="33.0" hidden="1" customHeight="1" outlineLevel="1">
      <c r="A115" s="661"/>
      <c r="B115" s="729"/>
      <c r="C115" s="730"/>
      <c r="D115" s="730"/>
      <c r="E115" s="730"/>
      <c r="F115" s="730"/>
      <c r="G115" s="731"/>
      <c r="H115" s="730"/>
      <c r="I115" s="730"/>
      <c r="J115" s="730"/>
      <c r="K115" s="730"/>
      <c r="L115" s="756"/>
      <c r="M115" s="755"/>
      <c r="N115" s="730"/>
      <c r="O115" s="733"/>
      <c r="Q115" s="728"/>
      <c r="R115" s="661"/>
      <c r="S115" s="228" t="str">
        <f t="array" ref="S115">IFERROR(INDEX('💻シート作成'!$D$6:$D1001, MATCH(T115, '💻シート作成'!$E$6:$E1001, 0)), "")</f>
        <v/>
      </c>
      <c r="T115" s="184"/>
      <c r="U115" s="664"/>
      <c r="V115" s="774"/>
      <c r="W115" s="661"/>
      <c r="X115" s="757"/>
      <c r="Y115" s="661"/>
      <c r="Z115" s="661"/>
    </row>
    <row r="116" ht="33.0" hidden="1" customHeight="1" outlineLevel="1">
      <c r="A116" s="661"/>
      <c r="B116" s="729"/>
      <c r="C116" s="730"/>
      <c r="D116" s="730"/>
      <c r="E116" s="730"/>
      <c r="F116" s="730"/>
      <c r="G116" s="731"/>
      <c r="H116" s="730"/>
      <c r="I116" s="730"/>
      <c r="J116" s="730"/>
      <c r="K116" s="730"/>
      <c r="L116" s="756"/>
      <c r="M116" s="755"/>
      <c r="N116" s="730"/>
      <c r="O116" s="733"/>
      <c r="Q116" s="728"/>
      <c r="R116" s="661"/>
      <c r="S116" s="228" t="str">
        <f t="array" ref="S116">IFERROR(INDEX('💻シート作成'!$D$6:$D1001, MATCH(T116, '💻シート作成'!$E$6:$E1001, 0)), "")</f>
        <v/>
      </c>
      <c r="T116" s="184"/>
      <c r="U116" s="664"/>
      <c r="V116" s="774"/>
      <c r="W116" s="661"/>
      <c r="X116" s="757"/>
      <c r="Y116" s="661"/>
      <c r="Z116" s="661"/>
    </row>
    <row r="117" ht="33.0" hidden="1" customHeight="1" outlineLevel="1">
      <c r="A117" s="661"/>
      <c r="B117" s="729"/>
      <c r="C117" s="730"/>
      <c r="D117" s="730"/>
      <c r="E117" s="730"/>
      <c r="F117" s="730"/>
      <c r="G117" s="731"/>
      <c r="H117" s="730"/>
      <c r="I117" s="730"/>
      <c r="J117" s="730"/>
      <c r="K117" s="730"/>
      <c r="L117" s="756"/>
      <c r="M117" s="755"/>
      <c r="N117" s="730"/>
      <c r="O117" s="733"/>
      <c r="Q117" s="728"/>
      <c r="R117" s="661"/>
      <c r="S117" s="228" t="str">
        <f t="array" ref="S117">IFERROR(INDEX('💻シート作成'!$D$6:$D1001, MATCH(T117, '💻シート作成'!$E$6:$E1001, 0)), "")</f>
        <v/>
      </c>
      <c r="T117" s="184"/>
      <c r="U117" s="664"/>
      <c r="V117" s="774"/>
      <c r="W117" s="661"/>
      <c r="X117" s="757"/>
      <c r="Y117" s="661"/>
      <c r="Z117" s="661"/>
    </row>
    <row r="118" ht="33.0" hidden="1" customHeight="1" outlineLevel="1">
      <c r="A118" s="661"/>
      <c r="B118" s="729"/>
      <c r="C118" s="730"/>
      <c r="D118" s="730"/>
      <c r="E118" s="730"/>
      <c r="F118" s="697"/>
      <c r="G118" s="698"/>
      <c r="H118" s="697"/>
      <c r="I118" s="697"/>
      <c r="J118" s="697"/>
      <c r="K118" s="697"/>
      <c r="L118" s="756"/>
      <c r="M118" s="755"/>
      <c r="N118" s="697"/>
      <c r="O118" s="700"/>
      <c r="P118" s="701"/>
      <c r="Q118" s="737"/>
      <c r="R118" s="661"/>
      <c r="S118" s="228" t="str">
        <f t="array" ref="S118">IFERROR(INDEX('💻シート作成'!$D$6:$D1001, MATCH(T118, '💻シート作成'!$E$6:$E1001, 0)), "")</f>
        <v/>
      </c>
      <c r="T118" s="184"/>
      <c r="U118" s="664"/>
      <c r="V118" s="774"/>
      <c r="W118" s="661"/>
      <c r="X118" s="757"/>
      <c r="Y118" s="661"/>
      <c r="Z118" s="661"/>
    </row>
    <row r="119" ht="18.0" hidden="1" customHeight="1" outlineLevel="1">
      <c r="A119" s="661"/>
      <c r="B119" s="738"/>
      <c r="C119" s="697"/>
      <c r="D119" s="697"/>
      <c r="E119" s="697"/>
      <c r="F119" s="758" t="s">
        <v>517</v>
      </c>
      <c r="G119" s="759" t="s">
        <v>776</v>
      </c>
      <c r="H119" s="741"/>
      <c r="I119" s="741"/>
      <c r="J119" s="741"/>
      <c r="K119" s="741"/>
      <c r="L119" s="759"/>
      <c r="M119" s="759"/>
      <c r="N119" s="759"/>
      <c r="O119" s="759"/>
      <c r="P119" s="759"/>
      <c r="Q119" s="760"/>
      <c r="R119" s="661"/>
      <c r="S119" s="228" t="str">
        <f t="array" ref="S119">IFERROR(INDEX('💻シート作成'!$D$6:$D1001, MATCH(T119, '💻シート作成'!$E$6:$E1001, 0)), "")</f>
        <v/>
      </c>
      <c r="T119" s="184"/>
      <c r="U119" s="664"/>
      <c r="V119" s="774"/>
      <c r="W119" s="661"/>
      <c r="X119" s="757"/>
      <c r="Y119" s="661"/>
      <c r="Z119" s="661"/>
    </row>
    <row r="120" collapsed="1">
      <c r="A120" s="661"/>
      <c r="B120" s="780" t="s">
        <v>523</v>
      </c>
      <c r="C120" s="781"/>
      <c r="D120" s="781"/>
      <c r="E120" s="781"/>
      <c r="F120" s="782"/>
      <c r="G120" s="783"/>
      <c r="H120" s="784"/>
      <c r="I120" s="784"/>
      <c r="J120" s="785"/>
      <c r="K120" s="785"/>
      <c r="L120" s="783"/>
      <c r="M120" s="783"/>
      <c r="N120" s="786"/>
      <c r="O120" s="787"/>
      <c r="P120" s="787"/>
      <c r="Q120" s="788"/>
      <c r="R120" s="661"/>
      <c r="S120" s="228" t="str">
        <f t="array" ref="S120">IFERROR(INDEX('💻シート作成'!$D$6:$D1001, MATCH(T120, '💻シート作成'!$E$6:$E1001, 0)), "")</f>
        <v/>
      </c>
      <c r="T120" s="184"/>
      <c r="U120" s="664"/>
      <c r="V120" s="774"/>
      <c r="W120" s="661"/>
      <c r="X120" s="757"/>
      <c r="Y120" s="661"/>
      <c r="Z120" s="661"/>
    </row>
    <row r="121" ht="27.75" hidden="1" customHeight="1" outlineLevel="1">
      <c r="A121" s="661"/>
      <c r="B121" s="761"/>
      <c r="C121" s="762">
        <f>IF(C109="","",IF(DAY(C109+1)=1,"",C109+1))</f>
        <v>46064</v>
      </c>
      <c r="D121" s="763" t="str">
        <f>TEXT(C121,"ddd")</f>
        <v>水</v>
      </c>
      <c r="E121" s="764"/>
      <c r="F121" s="765" t="s">
        <v>142</v>
      </c>
      <c r="G121" s="766" t="s">
        <v>777</v>
      </c>
      <c r="H121" s="767"/>
      <c r="I121" s="768">
        <v>0.625</v>
      </c>
      <c r="J121" s="767" t="s">
        <v>609</v>
      </c>
      <c r="K121" s="763"/>
      <c r="L121" s="769"/>
      <c r="M121" s="769"/>
      <c r="N121" s="765"/>
      <c r="O121" s="770"/>
      <c r="P121" s="771"/>
      <c r="Q121" s="772"/>
      <c r="R121" s="661"/>
      <c r="S121" s="228" t="str">
        <f t="array" ref="S121">IFERROR(INDEX('💻シート作成'!$D$6:$D1001, MATCH(T121, '💻シート作成'!$E$6:$E1001, 0)), "")</f>
        <v/>
      </c>
      <c r="T121" s="184"/>
      <c r="U121" s="664"/>
      <c r="V121" s="774"/>
      <c r="W121" s="661"/>
      <c r="X121" s="757"/>
      <c r="Y121" s="661"/>
      <c r="Z121" s="661"/>
    </row>
    <row r="122" ht="27.75" hidden="1" customHeight="1" outlineLevel="1">
      <c r="A122" s="661"/>
      <c r="B122" s="729"/>
      <c r="C122" s="730"/>
      <c r="D122" s="730"/>
      <c r="E122" s="730"/>
      <c r="F122" s="730"/>
      <c r="G122" s="731"/>
      <c r="H122" s="730"/>
      <c r="I122" s="730"/>
      <c r="J122" s="730"/>
      <c r="K122" s="730"/>
      <c r="L122" s="769"/>
      <c r="M122" s="769"/>
      <c r="N122" s="730"/>
      <c r="O122" s="733"/>
      <c r="Q122" s="728"/>
      <c r="R122" s="661"/>
      <c r="S122" s="228" t="str">
        <f t="array" ref="S122">IFERROR(INDEX('💻シート作成'!$D$6:$D1001, MATCH(T122, '💻シート作成'!$E$6:$E1001, 0)), "")</f>
        <v/>
      </c>
      <c r="T122" s="184"/>
      <c r="U122" s="664"/>
      <c r="V122" s="774"/>
      <c r="W122" s="661"/>
      <c r="X122" s="757"/>
      <c r="Y122" s="661"/>
      <c r="Z122" s="661"/>
    </row>
    <row r="123" ht="27.75" hidden="1" customHeight="1" outlineLevel="1">
      <c r="A123" s="661"/>
      <c r="B123" s="729"/>
      <c r="C123" s="730"/>
      <c r="D123" s="730"/>
      <c r="E123" s="730"/>
      <c r="F123" s="730"/>
      <c r="G123" s="731"/>
      <c r="H123" s="730"/>
      <c r="I123" s="730"/>
      <c r="J123" s="730"/>
      <c r="K123" s="730"/>
      <c r="L123" s="769"/>
      <c r="M123" s="769"/>
      <c r="N123" s="730"/>
      <c r="O123" s="733"/>
      <c r="Q123" s="728"/>
      <c r="R123" s="661"/>
      <c r="S123" s="228" t="str">
        <f t="array" ref="S123">IFERROR(INDEX('💻シート作成'!$D$6:$D1001, MATCH(T123, '💻シート作成'!$E$6:$E1001, 0)), "")</f>
        <v/>
      </c>
      <c r="T123" s="184"/>
      <c r="U123" s="664"/>
      <c r="V123" s="774"/>
      <c r="W123" s="661"/>
      <c r="X123" s="757"/>
      <c r="Y123" s="661"/>
      <c r="Z123" s="661"/>
    </row>
    <row r="124" ht="27.75" hidden="1" customHeight="1" outlineLevel="1">
      <c r="A124" s="661"/>
      <c r="B124" s="729"/>
      <c r="C124" s="730"/>
      <c r="D124" s="730"/>
      <c r="E124" s="730"/>
      <c r="F124" s="730"/>
      <c r="G124" s="731"/>
      <c r="H124" s="730"/>
      <c r="I124" s="730"/>
      <c r="J124" s="730"/>
      <c r="K124" s="730"/>
      <c r="L124" s="773"/>
      <c r="M124" s="769"/>
      <c r="N124" s="730"/>
      <c r="O124" s="733"/>
      <c r="Q124" s="728"/>
      <c r="R124" s="661"/>
      <c r="S124" s="228" t="str">
        <f t="array" ref="S124">IFERROR(INDEX('💻シート作成'!$D$6:$D1001, MATCH(T124, '💻シート作成'!$E$6:$E1001, 0)), "")</f>
        <v/>
      </c>
      <c r="T124" s="184"/>
      <c r="U124" s="664"/>
      <c r="V124" s="774"/>
      <c r="W124" s="661"/>
      <c r="X124" s="757"/>
      <c r="Y124" s="661"/>
      <c r="Z124" s="661"/>
    </row>
    <row r="125" ht="27.75" hidden="1" customHeight="1" outlineLevel="1">
      <c r="A125" s="661"/>
      <c r="B125" s="729"/>
      <c r="C125" s="730"/>
      <c r="D125" s="730"/>
      <c r="E125" s="730"/>
      <c r="F125" s="730"/>
      <c r="G125" s="731"/>
      <c r="H125" s="730"/>
      <c r="I125" s="730"/>
      <c r="J125" s="730"/>
      <c r="K125" s="730"/>
      <c r="L125" s="773"/>
      <c r="M125" s="769"/>
      <c r="N125" s="730"/>
      <c r="O125" s="733"/>
      <c r="Q125" s="728"/>
      <c r="R125" s="661"/>
      <c r="S125" s="228" t="str">
        <f t="array" ref="S125">IFERROR(INDEX('💻シート作成'!$D$6:$D1001, MATCH(T125, '💻シート作成'!$E$6:$E1001, 0)), "")</f>
        <v/>
      </c>
      <c r="T125" s="184"/>
      <c r="U125" s="664"/>
      <c r="V125" s="774"/>
      <c r="W125" s="661"/>
      <c r="X125" s="757"/>
      <c r="Y125" s="661"/>
      <c r="Z125" s="661"/>
    </row>
    <row r="126" ht="27.75" hidden="1" customHeight="1" outlineLevel="1">
      <c r="A126" s="661"/>
      <c r="B126" s="729"/>
      <c r="C126" s="730"/>
      <c r="D126" s="730"/>
      <c r="E126" s="730"/>
      <c r="F126" s="730"/>
      <c r="G126" s="731"/>
      <c r="H126" s="730"/>
      <c r="I126" s="730"/>
      <c r="J126" s="730"/>
      <c r="K126" s="730"/>
      <c r="L126" s="773"/>
      <c r="M126" s="769"/>
      <c r="N126" s="730"/>
      <c r="O126" s="733"/>
      <c r="Q126" s="728"/>
      <c r="R126" s="661"/>
      <c r="S126" s="228" t="str">
        <f t="array" ref="S126">IFERROR(INDEX('💻シート作成'!$D$6:$D1001, MATCH(T126, '💻シート作成'!$E$6:$E1001, 0)), "")</f>
        <v/>
      </c>
      <c r="T126" s="184"/>
      <c r="U126" s="664"/>
      <c r="V126" s="774"/>
      <c r="W126" s="661"/>
      <c r="X126" s="757"/>
      <c r="Y126" s="661"/>
      <c r="Z126" s="661"/>
    </row>
    <row r="127" ht="27.75" hidden="1" customHeight="1" outlineLevel="1">
      <c r="A127" s="661"/>
      <c r="B127" s="729"/>
      <c r="C127" s="730"/>
      <c r="D127" s="730"/>
      <c r="E127" s="730"/>
      <c r="F127" s="730"/>
      <c r="G127" s="731"/>
      <c r="H127" s="730"/>
      <c r="I127" s="730"/>
      <c r="J127" s="730"/>
      <c r="K127" s="730"/>
      <c r="L127" s="773"/>
      <c r="M127" s="769"/>
      <c r="N127" s="730"/>
      <c r="O127" s="733"/>
      <c r="Q127" s="728"/>
      <c r="R127" s="661"/>
      <c r="S127" s="228" t="str">
        <f t="array" ref="S127">IFERROR(INDEX('💻シート作成'!$D$6:$D1001, MATCH(T127, '💻シート作成'!$E$6:$E1001, 0)), "")</f>
        <v/>
      </c>
      <c r="T127" s="184"/>
      <c r="U127" s="664"/>
      <c r="V127" s="774"/>
      <c r="W127" s="661"/>
      <c r="X127" s="757"/>
      <c r="Y127" s="661"/>
      <c r="Z127" s="661"/>
    </row>
    <row r="128" ht="27.75" hidden="1" customHeight="1" outlineLevel="1">
      <c r="A128" s="661"/>
      <c r="B128" s="729"/>
      <c r="C128" s="730"/>
      <c r="D128" s="730"/>
      <c r="E128" s="730"/>
      <c r="F128" s="730"/>
      <c r="G128" s="731"/>
      <c r="H128" s="730"/>
      <c r="I128" s="730"/>
      <c r="J128" s="730"/>
      <c r="K128" s="730"/>
      <c r="L128" s="773"/>
      <c r="M128" s="769"/>
      <c r="N128" s="730"/>
      <c r="O128" s="733"/>
      <c r="Q128" s="728"/>
      <c r="R128" s="661"/>
      <c r="S128" s="228" t="str">
        <f t="array" ref="S128">IFERROR(INDEX('💻シート作成'!$D$6:$D1001, MATCH(T128, '💻シート作成'!$E$6:$E1001, 0)), "")</f>
        <v/>
      </c>
      <c r="T128" s="184"/>
      <c r="U128" s="664"/>
      <c r="V128" s="774"/>
      <c r="W128" s="661"/>
      <c r="X128" s="757"/>
      <c r="Y128" s="661"/>
      <c r="Z128" s="661"/>
    </row>
    <row r="129" ht="27.75" hidden="1" customHeight="1" outlineLevel="1">
      <c r="A129" s="661"/>
      <c r="B129" s="729"/>
      <c r="C129" s="730"/>
      <c r="D129" s="730"/>
      <c r="E129" s="730"/>
      <c r="F129" s="730"/>
      <c r="G129" s="731"/>
      <c r="H129" s="730"/>
      <c r="I129" s="730"/>
      <c r="J129" s="730"/>
      <c r="K129" s="730"/>
      <c r="L129" s="773"/>
      <c r="M129" s="769"/>
      <c r="N129" s="730"/>
      <c r="O129" s="733"/>
      <c r="Q129" s="728"/>
      <c r="R129" s="661"/>
      <c r="S129" s="228" t="str">
        <f t="array" ref="S129">IFERROR(INDEX('💻シート作成'!$D$6:$D1001, MATCH(T129, '💻シート作成'!$E$6:$E1001, 0)), "")</f>
        <v/>
      </c>
      <c r="T129" s="184"/>
      <c r="U129" s="664"/>
      <c r="V129" s="774"/>
      <c r="W129" s="661"/>
      <c r="X129" s="757"/>
      <c r="Y129" s="661"/>
      <c r="Z129" s="661"/>
    </row>
    <row r="130" ht="27.75" hidden="1" customHeight="1" outlineLevel="1">
      <c r="A130" s="661"/>
      <c r="B130" s="729"/>
      <c r="C130" s="730"/>
      <c r="D130" s="730"/>
      <c r="E130" s="730"/>
      <c r="F130" s="697"/>
      <c r="G130" s="698"/>
      <c r="H130" s="697"/>
      <c r="I130" s="697"/>
      <c r="J130" s="697"/>
      <c r="K130" s="697"/>
      <c r="L130" s="773"/>
      <c r="M130" s="769"/>
      <c r="N130" s="697"/>
      <c r="O130" s="700"/>
      <c r="P130" s="701"/>
      <c r="Q130" s="737"/>
      <c r="R130" s="661"/>
      <c r="S130" s="228" t="str">
        <f t="array" ref="S130">IFERROR(INDEX('💻シート作成'!$D$6:$D1001, MATCH(T130, '💻シート作成'!$E$6:$E1001, 0)), "")</f>
        <v/>
      </c>
      <c r="T130" s="184"/>
      <c r="U130" s="664"/>
      <c r="V130" s="774"/>
      <c r="W130" s="661"/>
      <c r="X130" s="757"/>
      <c r="Y130" s="661"/>
      <c r="Z130" s="661"/>
    </row>
    <row r="131" ht="18.0" hidden="1" customHeight="1" outlineLevel="1">
      <c r="A131" s="661"/>
      <c r="B131" s="738"/>
      <c r="C131" s="697"/>
      <c r="D131" s="697"/>
      <c r="E131" s="697"/>
      <c r="F131" s="739" t="s">
        <v>517</v>
      </c>
      <c r="G131" s="740" t="s">
        <v>778</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4"/>
      <c r="W131" s="661"/>
      <c r="X131" s="757"/>
      <c r="Y131" s="661"/>
      <c r="Z131" s="661"/>
    </row>
    <row r="132" ht="27.75" hidden="1" customHeight="1" outlineLevel="1">
      <c r="A132" s="661"/>
      <c r="B132" s="743"/>
      <c r="C132" s="744">
        <f>IF(C121="","",IF(DAY(C121+1)=1,"",C121+1))</f>
        <v>46065</v>
      </c>
      <c r="D132" s="745" t="str">
        <f>TEXT(C132,"ddd")</f>
        <v>木</v>
      </c>
      <c r="E132" s="746"/>
      <c r="F132" s="775" t="s">
        <v>100</v>
      </c>
      <c r="G132" s="776" t="s">
        <v>779</v>
      </c>
      <c r="H132" s="777"/>
      <c r="I132" s="778">
        <v>0.6666666666666666</v>
      </c>
      <c r="J132" s="777">
        <v>8.0</v>
      </c>
      <c r="K132" s="777">
        <v>3.0</v>
      </c>
      <c r="L132" s="755"/>
      <c r="M132" s="755"/>
      <c r="N132" s="775"/>
      <c r="O132" s="779"/>
      <c r="P132" s="771"/>
      <c r="Q132" s="772"/>
      <c r="R132" s="661"/>
      <c r="S132" s="228" t="str">
        <f t="array" ref="S132">IFERROR(INDEX('💻シート作成'!$D$6:$D1001, MATCH(T132, '💻シート作成'!$E$6:$E1001, 0)), "")</f>
        <v/>
      </c>
      <c r="T132" s="184"/>
      <c r="U132" s="664"/>
      <c r="V132" s="774"/>
      <c r="W132" s="661"/>
      <c r="X132" s="757"/>
      <c r="Y132" s="661"/>
      <c r="Z132" s="661"/>
    </row>
    <row r="133" ht="27.75" hidden="1" customHeight="1" outlineLevel="1">
      <c r="A133" s="661"/>
      <c r="B133" s="729"/>
      <c r="C133" s="730"/>
      <c r="D133" s="730"/>
      <c r="E133" s="730"/>
      <c r="F133" s="730"/>
      <c r="G133" s="731"/>
      <c r="H133" s="730"/>
      <c r="I133" s="730"/>
      <c r="J133" s="730"/>
      <c r="K133" s="730"/>
      <c r="L133" s="755"/>
      <c r="M133" s="755"/>
      <c r="N133" s="730"/>
      <c r="O133" s="733"/>
      <c r="Q133" s="728"/>
      <c r="R133" s="661"/>
      <c r="S133" s="228" t="str">
        <f t="array" ref="S133">IFERROR(INDEX('💻シート作成'!$D$6:$D1001, MATCH(T133, '💻シート作成'!$E$6:$E1001, 0)), "")</f>
        <v/>
      </c>
      <c r="T133" s="184"/>
      <c r="U133" s="664"/>
      <c r="V133" s="774"/>
      <c r="W133" s="661"/>
      <c r="X133" s="757"/>
      <c r="Y133" s="661"/>
      <c r="Z133" s="661"/>
    </row>
    <row r="134" ht="27.75" hidden="1" customHeight="1" outlineLevel="1">
      <c r="A134" s="661"/>
      <c r="B134" s="729"/>
      <c r="C134" s="730"/>
      <c r="D134" s="730"/>
      <c r="E134" s="730"/>
      <c r="F134" s="730"/>
      <c r="G134" s="731"/>
      <c r="H134" s="730"/>
      <c r="I134" s="730"/>
      <c r="J134" s="730"/>
      <c r="K134" s="730"/>
      <c r="L134" s="755"/>
      <c r="M134" s="755"/>
      <c r="N134" s="730"/>
      <c r="O134" s="733"/>
      <c r="Q134" s="728"/>
      <c r="R134" s="661"/>
      <c r="S134" s="228" t="str">
        <f t="array" ref="S134">IFERROR(INDEX('💻シート作成'!$D$6:$D1001, MATCH(T134, '💻シート作成'!$E$6:$E1001, 0)), "")</f>
        <v/>
      </c>
      <c r="T134" s="184"/>
      <c r="U134" s="664"/>
      <c r="V134" s="774"/>
      <c r="W134" s="661"/>
      <c r="X134" s="757"/>
      <c r="Y134" s="661"/>
      <c r="Z134" s="661"/>
    </row>
    <row r="135" ht="27.75" hidden="1" customHeight="1" outlineLevel="1">
      <c r="A135" s="661"/>
      <c r="B135" s="729"/>
      <c r="C135" s="730"/>
      <c r="D135" s="730"/>
      <c r="E135" s="730"/>
      <c r="F135" s="730"/>
      <c r="G135" s="731"/>
      <c r="H135" s="730"/>
      <c r="I135" s="730"/>
      <c r="J135" s="730"/>
      <c r="K135" s="730"/>
      <c r="L135" s="756"/>
      <c r="M135" s="755"/>
      <c r="N135" s="730"/>
      <c r="O135" s="733"/>
      <c r="Q135" s="728"/>
      <c r="R135" s="661"/>
      <c r="S135" s="228" t="str">
        <f t="array" ref="S135">IFERROR(INDEX('💻シート作成'!$D$6:$D1001, MATCH(T135, '💻シート作成'!$E$6:$E1001, 0)), "")</f>
        <v/>
      </c>
      <c r="T135" s="184"/>
      <c r="U135" s="664"/>
      <c r="V135" s="774"/>
      <c r="W135" s="661"/>
      <c r="X135" s="757"/>
      <c r="Y135" s="661"/>
      <c r="Z135" s="661"/>
    </row>
    <row r="136" ht="27.75" hidden="1" customHeight="1" outlineLevel="1">
      <c r="A136" s="661"/>
      <c r="B136" s="729"/>
      <c r="C136" s="730"/>
      <c r="D136" s="730"/>
      <c r="E136" s="730"/>
      <c r="F136" s="730"/>
      <c r="G136" s="731"/>
      <c r="H136" s="730"/>
      <c r="I136" s="730"/>
      <c r="J136" s="730"/>
      <c r="K136" s="730"/>
      <c r="L136" s="756"/>
      <c r="M136" s="755"/>
      <c r="N136" s="730"/>
      <c r="O136" s="733"/>
      <c r="Q136" s="728"/>
      <c r="R136" s="661"/>
      <c r="S136" s="228" t="str">
        <f t="array" ref="S136">IFERROR(INDEX('💻シート作成'!$D$6:$D1001, MATCH(T136, '💻シート作成'!$E$6:$E1001, 0)), "")</f>
        <v/>
      </c>
      <c r="T136" s="184"/>
      <c r="U136" s="664"/>
      <c r="V136" s="774"/>
      <c r="W136" s="661"/>
      <c r="X136" s="757"/>
      <c r="Y136" s="661"/>
      <c r="Z136" s="661"/>
    </row>
    <row r="137" ht="27.75" hidden="1" customHeight="1" outlineLevel="1">
      <c r="A137" s="661"/>
      <c r="B137" s="729"/>
      <c r="C137" s="730"/>
      <c r="D137" s="730"/>
      <c r="E137" s="730"/>
      <c r="F137" s="730"/>
      <c r="G137" s="731"/>
      <c r="H137" s="730"/>
      <c r="I137" s="730"/>
      <c r="J137" s="730"/>
      <c r="K137" s="730"/>
      <c r="L137" s="756"/>
      <c r="M137" s="755"/>
      <c r="N137" s="730"/>
      <c r="O137" s="733"/>
      <c r="Q137" s="728"/>
      <c r="R137" s="661"/>
      <c r="S137" s="228" t="str">
        <f t="array" ref="S137">IFERROR(INDEX('💻シート作成'!$D$6:$D1001, MATCH(T137, '💻シート作成'!$E$6:$E1001, 0)), "")</f>
        <v/>
      </c>
      <c r="T137" s="184"/>
      <c r="U137" s="664"/>
      <c r="V137" s="774"/>
      <c r="W137" s="661"/>
      <c r="X137" s="757"/>
      <c r="Y137" s="661"/>
      <c r="Z137" s="661"/>
    </row>
    <row r="138" ht="27.75" hidden="1" customHeight="1" outlineLevel="1">
      <c r="A138" s="661"/>
      <c r="B138" s="729"/>
      <c r="C138" s="730"/>
      <c r="D138" s="730"/>
      <c r="E138" s="730"/>
      <c r="F138" s="730"/>
      <c r="G138" s="731"/>
      <c r="H138" s="730"/>
      <c r="I138" s="730"/>
      <c r="J138" s="730"/>
      <c r="K138" s="730"/>
      <c r="L138" s="756"/>
      <c r="M138" s="755"/>
      <c r="N138" s="730"/>
      <c r="O138" s="733"/>
      <c r="Q138" s="728"/>
      <c r="R138" s="661"/>
      <c r="S138" s="228" t="str">
        <f t="array" ref="S138">IFERROR(INDEX('💻シート作成'!$D$6:$D1001, MATCH(T138, '💻シート作成'!$E$6:$E1001, 0)), "")</f>
        <v/>
      </c>
      <c r="T138" s="184"/>
      <c r="U138" s="664"/>
      <c r="V138" s="774"/>
      <c r="W138" s="661"/>
      <c r="X138" s="757"/>
      <c r="Y138" s="661"/>
      <c r="Z138" s="661"/>
    </row>
    <row r="139" ht="27.75" hidden="1" customHeight="1" outlineLevel="1">
      <c r="A139" s="661"/>
      <c r="B139" s="729"/>
      <c r="C139" s="730"/>
      <c r="D139" s="730"/>
      <c r="E139" s="730"/>
      <c r="F139" s="730"/>
      <c r="G139" s="731"/>
      <c r="H139" s="730"/>
      <c r="I139" s="730"/>
      <c r="J139" s="730"/>
      <c r="K139" s="730"/>
      <c r="L139" s="756"/>
      <c r="M139" s="755"/>
      <c r="N139" s="730"/>
      <c r="O139" s="733"/>
      <c r="Q139" s="728"/>
      <c r="R139" s="661"/>
      <c r="S139" s="228" t="str">
        <f t="array" ref="S139">IFERROR(INDEX('💻シート作成'!$D$6:$D1001, MATCH(T139, '💻シート作成'!$E$6:$E1001, 0)), "")</f>
        <v/>
      </c>
      <c r="T139" s="184"/>
      <c r="U139" s="664"/>
      <c r="V139" s="774"/>
      <c r="W139" s="661"/>
      <c r="X139" s="757"/>
      <c r="Y139" s="661"/>
      <c r="Z139" s="661"/>
    </row>
    <row r="140" ht="27.75" hidden="1" customHeight="1" outlineLevel="1">
      <c r="A140" s="661"/>
      <c r="B140" s="729"/>
      <c r="C140" s="730"/>
      <c r="D140" s="730"/>
      <c r="E140" s="730"/>
      <c r="F140" s="730"/>
      <c r="G140" s="731"/>
      <c r="H140" s="730"/>
      <c r="I140" s="730"/>
      <c r="J140" s="730"/>
      <c r="K140" s="730"/>
      <c r="L140" s="756"/>
      <c r="M140" s="755"/>
      <c r="N140" s="730"/>
      <c r="O140" s="733"/>
      <c r="Q140" s="728"/>
      <c r="R140" s="661"/>
      <c r="S140" s="228" t="str">
        <f t="array" ref="S140">IFERROR(INDEX('💻シート作成'!$D$6:$D1001, MATCH(T140, '💻シート作成'!$E$6:$E1001, 0)), "")</f>
        <v/>
      </c>
      <c r="T140" s="184"/>
      <c r="U140" s="664"/>
      <c r="V140" s="774"/>
      <c r="W140" s="661"/>
      <c r="X140" s="757"/>
      <c r="Y140" s="661"/>
      <c r="Z140" s="661"/>
    </row>
    <row r="141" ht="27.75" hidden="1" customHeight="1" outlineLevel="1">
      <c r="A141" s="661"/>
      <c r="B141" s="729"/>
      <c r="C141" s="730"/>
      <c r="D141" s="730"/>
      <c r="E141" s="730"/>
      <c r="F141" s="697"/>
      <c r="G141" s="698"/>
      <c r="H141" s="697"/>
      <c r="I141" s="697"/>
      <c r="J141" s="697"/>
      <c r="K141" s="697"/>
      <c r="L141" s="756"/>
      <c r="M141" s="755"/>
      <c r="N141" s="697"/>
      <c r="O141" s="700"/>
      <c r="P141" s="701"/>
      <c r="Q141" s="737"/>
      <c r="R141" s="661"/>
      <c r="S141" s="228" t="str">
        <f t="array" ref="S141">IFERROR(INDEX('💻シート作成'!$D$6:$D1001, MATCH(T141, '💻シート作成'!$E$6:$E1001, 0)), "")</f>
        <v/>
      </c>
      <c r="T141" s="184"/>
      <c r="U141" s="664"/>
      <c r="V141" s="774"/>
      <c r="W141" s="661"/>
      <c r="X141" s="757"/>
      <c r="Y141" s="661"/>
      <c r="Z141" s="661"/>
    </row>
    <row r="142" ht="18.0" hidden="1" customHeight="1" outlineLevel="1">
      <c r="A142" s="661"/>
      <c r="B142" s="738"/>
      <c r="C142" s="697"/>
      <c r="D142" s="697"/>
      <c r="E142" s="697"/>
      <c r="F142" s="758" t="s">
        <v>517</v>
      </c>
      <c r="G142" s="759" t="s">
        <v>780</v>
      </c>
      <c r="H142" s="741"/>
      <c r="I142" s="741"/>
      <c r="J142" s="741"/>
      <c r="K142" s="741"/>
      <c r="L142" s="759"/>
      <c r="M142" s="759"/>
      <c r="N142" s="759"/>
      <c r="O142" s="759"/>
      <c r="P142" s="759"/>
      <c r="Q142" s="760"/>
      <c r="R142" s="661"/>
      <c r="S142" s="228" t="str">
        <f t="array" ref="S142">IFERROR(INDEX('💻シート作成'!$D$6:$D1001, MATCH(T142, '💻シート作成'!$E$6:$E1001, 0)), "")</f>
        <v/>
      </c>
      <c r="T142" s="184"/>
      <c r="U142" s="664"/>
      <c r="V142" s="774"/>
      <c r="W142" s="661"/>
      <c r="X142" s="757"/>
      <c r="Y142" s="661"/>
      <c r="Z142" s="661"/>
    </row>
    <row r="143" ht="22.5" hidden="1" customHeight="1" outlineLevel="1">
      <c r="A143" s="661"/>
      <c r="B143" s="761"/>
      <c r="C143" s="762">
        <f>IF(C132="","",IF(DAY(C132+1)=1,"",C132+1))</f>
        <v>46066</v>
      </c>
      <c r="D143" s="763" t="str">
        <f>TEXT(C143,"ddd")</f>
        <v>金</v>
      </c>
      <c r="E143" s="764"/>
      <c r="F143" s="765" t="s">
        <v>142</v>
      </c>
      <c r="G143" s="766" t="s">
        <v>781</v>
      </c>
      <c r="H143" s="767"/>
      <c r="I143" s="767" t="s">
        <v>782</v>
      </c>
      <c r="J143" s="767" t="s">
        <v>609</v>
      </c>
      <c r="K143" s="767" t="s">
        <v>604</v>
      </c>
      <c r="L143" s="769"/>
      <c r="M143" s="769"/>
      <c r="N143" s="765"/>
      <c r="O143" s="770"/>
      <c r="P143" s="771"/>
      <c r="Q143" s="772"/>
      <c r="R143" s="661"/>
      <c r="S143" s="228" t="str">
        <f t="array" ref="S143">IFERROR(INDEX('💻シート作成'!$D$6:$D1001, MATCH(T143, '💻シート作成'!$E$6:$E1001, 0)), "")</f>
        <v/>
      </c>
      <c r="T143" s="184"/>
      <c r="U143" s="664"/>
      <c r="V143" s="774"/>
      <c r="W143" s="661"/>
      <c r="X143" s="757"/>
      <c r="Y143" s="661"/>
      <c r="Z143" s="661"/>
    </row>
    <row r="144" ht="22.5" hidden="1" customHeight="1" outlineLevel="1">
      <c r="A144" s="661"/>
      <c r="B144" s="729"/>
      <c r="C144" s="730"/>
      <c r="D144" s="730"/>
      <c r="E144" s="730"/>
      <c r="F144" s="730"/>
      <c r="G144" s="731"/>
      <c r="H144" s="730"/>
      <c r="I144" s="730"/>
      <c r="J144" s="730"/>
      <c r="K144" s="730"/>
      <c r="L144" s="769"/>
      <c r="M144" s="769"/>
      <c r="N144" s="730"/>
      <c r="O144" s="733"/>
      <c r="Q144" s="728"/>
      <c r="R144" s="661"/>
      <c r="S144" s="228" t="str">
        <f t="array" ref="S144">IFERROR(INDEX('💻シート作成'!$D$6:$D1001, MATCH(T144, '💻シート作成'!$E$6:$E1001, 0)), "")</f>
        <v/>
      </c>
      <c r="T144" s="184"/>
      <c r="U144" s="664"/>
      <c r="V144" s="774"/>
      <c r="W144" s="661"/>
      <c r="X144" s="757"/>
      <c r="Y144" s="661"/>
      <c r="Z144" s="661"/>
    </row>
    <row r="145" ht="22.5" hidden="1" customHeight="1" outlineLevel="1">
      <c r="A145" s="661"/>
      <c r="B145" s="729"/>
      <c r="C145" s="730"/>
      <c r="D145" s="730"/>
      <c r="E145" s="730"/>
      <c r="F145" s="730"/>
      <c r="G145" s="731"/>
      <c r="H145" s="730"/>
      <c r="I145" s="730"/>
      <c r="J145" s="730"/>
      <c r="K145" s="730"/>
      <c r="L145" s="769"/>
      <c r="M145" s="769"/>
      <c r="N145" s="730"/>
      <c r="O145" s="733"/>
      <c r="Q145" s="728"/>
      <c r="R145" s="661"/>
      <c r="S145" s="228" t="str">
        <f t="array" ref="S145">IFERROR(INDEX('💻シート作成'!$D$6:$D1001, MATCH(T145, '💻シート作成'!$E$6:$E1001, 0)), "")</f>
        <v/>
      </c>
      <c r="T145" s="184"/>
      <c r="U145" s="664"/>
      <c r="V145" s="774"/>
      <c r="W145" s="661"/>
      <c r="X145" s="757"/>
      <c r="Y145" s="661"/>
      <c r="Z145" s="661"/>
    </row>
    <row r="146" ht="22.5" hidden="1" customHeight="1" outlineLevel="1">
      <c r="A146" s="661"/>
      <c r="B146" s="729"/>
      <c r="C146" s="730"/>
      <c r="D146" s="730"/>
      <c r="E146" s="730"/>
      <c r="F146" s="730"/>
      <c r="G146" s="731"/>
      <c r="H146" s="730"/>
      <c r="I146" s="730"/>
      <c r="J146" s="730"/>
      <c r="K146" s="730"/>
      <c r="L146" s="773"/>
      <c r="M146" s="769"/>
      <c r="N146" s="730"/>
      <c r="O146" s="733"/>
      <c r="Q146" s="728"/>
      <c r="R146" s="661"/>
      <c r="S146" s="228" t="str">
        <f t="array" ref="S146">IFERROR(INDEX('💻シート作成'!$D$6:$D1001, MATCH(T146, '💻シート作成'!$E$6:$E1001, 0)), "")</f>
        <v/>
      </c>
      <c r="T146" s="184"/>
      <c r="U146" s="664"/>
      <c r="V146" s="774"/>
      <c r="W146" s="661"/>
      <c r="X146" s="757"/>
      <c r="Y146" s="661"/>
      <c r="Z146" s="661"/>
    </row>
    <row r="147" ht="22.5" hidden="1" customHeight="1" outlineLevel="1">
      <c r="A147" s="661"/>
      <c r="B147" s="729"/>
      <c r="C147" s="730"/>
      <c r="D147" s="730"/>
      <c r="E147" s="730"/>
      <c r="F147" s="730"/>
      <c r="G147" s="731"/>
      <c r="H147" s="730"/>
      <c r="I147" s="730"/>
      <c r="J147" s="730"/>
      <c r="K147" s="730"/>
      <c r="L147" s="773"/>
      <c r="M147" s="769"/>
      <c r="N147" s="730"/>
      <c r="O147" s="733"/>
      <c r="Q147" s="728"/>
      <c r="R147" s="661"/>
      <c r="S147" s="228" t="str">
        <f t="array" ref="S147">IFERROR(INDEX('💻シート作成'!$D$6:$D1001, MATCH(T147, '💻シート作成'!$E$6:$E1001, 0)), "")</f>
        <v/>
      </c>
      <c r="T147" s="184"/>
      <c r="U147" s="664"/>
      <c r="V147" s="774"/>
      <c r="W147" s="661"/>
      <c r="X147" s="757"/>
      <c r="Y147" s="661"/>
      <c r="Z147" s="661"/>
    </row>
    <row r="148" ht="22.5" hidden="1" customHeight="1" outlineLevel="1">
      <c r="A148" s="661"/>
      <c r="B148" s="729"/>
      <c r="C148" s="730"/>
      <c r="D148" s="730"/>
      <c r="E148" s="730"/>
      <c r="F148" s="730"/>
      <c r="G148" s="731"/>
      <c r="H148" s="730"/>
      <c r="I148" s="730"/>
      <c r="J148" s="730"/>
      <c r="K148" s="730"/>
      <c r="L148" s="773"/>
      <c r="M148" s="769"/>
      <c r="N148" s="730"/>
      <c r="O148" s="733"/>
      <c r="Q148" s="728"/>
      <c r="R148" s="661"/>
      <c r="S148" s="228" t="str">
        <f t="array" ref="S148">IFERROR(INDEX('💻シート作成'!$D$6:$D1001, MATCH(T148, '💻シート作成'!$E$6:$E1001, 0)), "")</f>
        <v/>
      </c>
      <c r="T148" s="184"/>
      <c r="U148" s="664"/>
      <c r="V148" s="774"/>
      <c r="W148" s="661"/>
      <c r="X148" s="757"/>
      <c r="Y148" s="661"/>
      <c r="Z148" s="661"/>
    </row>
    <row r="149" ht="22.5" hidden="1" customHeight="1" outlineLevel="1">
      <c r="A149" s="661"/>
      <c r="B149" s="729"/>
      <c r="C149" s="730"/>
      <c r="D149" s="730"/>
      <c r="E149" s="730"/>
      <c r="F149" s="730"/>
      <c r="G149" s="731"/>
      <c r="H149" s="730"/>
      <c r="I149" s="730"/>
      <c r="J149" s="730"/>
      <c r="K149" s="730"/>
      <c r="L149" s="773"/>
      <c r="M149" s="769"/>
      <c r="N149" s="730"/>
      <c r="O149" s="733"/>
      <c r="Q149" s="728"/>
      <c r="R149" s="661"/>
      <c r="S149" s="228" t="str">
        <f t="array" ref="S149">IFERROR(INDEX('💻シート作成'!$D$6:$D1001, MATCH(T149, '💻シート作成'!$E$6:$E1001, 0)), "")</f>
        <v/>
      </c>
      <c r="T149" s="184"/>
      <c r="U149" s="664"/>
      <c r="V149" s="774"/>
      <c r="W149" s="661"/>
      <c r="X149" s="757"/>
      <c r="Y149" s="661"/>
      <c r="Z149" s="661"/>
    </row>
    <row r="150" ht="22.5" hidden="1" customHeight="1" outlineLevel="1">
      <c r="A150" s="661"/>
      <c r="B150" s="729"/>
      <c r="C150" s="730"/>
      <c r="D150" s="730"/>
      <c r="E150" s="730"/>
      <c r="F150" s="730"/>
      <c r="G150" s="731"/>
      <c r="H150" s="730"/>
      <c r="I150" s="730"/>
      <c r="J150" s="730"/>
      <c r="K150" s="730"/>
      <c r="L150" s="773"/>
      <c r="M150" s="769"/>
      <c r="N150" s="730"/>
      <c r="O150" s="733"/>
      <c r="Q150" s="728"/>
      <c r="R150" s="661"/>
      <c r="S150" s="228" t="str">
        <f t="array" ref="S150">IFERROR(INDEX('💻シート作成'!$D$6:$D1001, MATCH(T150, '💻シート作成'!$E$6:$E1001, 0)), "")</f>
        <v/>
      </c>
      <c r="T150" s="184"/>
      <c r="U150" s="664"/>
      <c r="V150" s="774"/>
      <c r="W150" s="661"/>
      <c r="X150" s="757"/>
      <c r="Y150" s="661"/>
      <c r="Z150" s="661"/>
    </row>
    <row r="151" ht="22.5" hidden="1" customHeight="1" outlineLevel="1">
      <c r="A151" s="661"/>
      <c r="B151" s="729"/>
      <c r="C151" s="730"/>
      <c r="D151" s="730"/>
      <c r="E151" s="730"/>
      <c r="F151" s="730"/>
      <c r="G151" s="731"/>
      <c r="H151" s="730"/>
      <c r="I151" s="730"/>
      <c r="J151" s="730"/>
      <c r="K151" s="730"/>
      <c r="L151" s="773"/>
      <c r="M151" s="769"/>
      <c r="N151" s="730"/>
      <c r="O151" s="733"/>
      <c r="Q151" s="728"/>
      <c r="R151" s="661"/>
      <c r="S151" s="228" t="str">
        <f t="array" ref="S151">IFERROR(INDEX('💻シート作成'!$D$6:$D1001, MATCH(T151, '💻シート作成'!$E$6:$E1001, 0)), "")</f>
        <v/>
      </c>
      <c r="T151" s="184"/>
      <c r="U151" s="664"/>
      <c r="V151" s="774"/>
      <c r="W151" s="661"/>
      <c r="X151" s="757"/>
      <c r="Y151" s="661"/>
      <c r="Z151" s="661"/>
    </row>
    <row r="152" ht="22.5" hidden="1" customHeight="1" outlineLevel="1">
      <c r="A152" s="661"/>
      <c r="B152" s="729"/>
      <c r="C152" s="730"/>
      <c r="D152" s="730"/>
      <c r="E152" s="730"/>
      <c r="F152" s="697"/>
      <c r="G152" s="698"/>
      <c r="H152" s="697"/>
      <c r="I152" s="697"/>
      <c r="J152" s="697"/>
      <c r="K152" s="697"/>
      <c r="L152" s="773"/>
      <c r="M152" s="769"/>
      <c r="N152" s="697"/>
      <c r="O152" s="700"/>
      <c r="P152" s="701"/>
      <c r="Q152" s="737"/>
      <c r="R152" s="661"/>
      <c r="S152" s="228" t="str">
        <f t="array" ref="S152">IFERROR(INDEX('💻シート作成'!$D$6:$D1001, MATCH(T152, '💻シート作成'!$E$6:$E1001, 0)), "")</f>
        <v/>
      </c>
      <c r="T152" s="184"/>
      <c r="U152" s="664"/>
      <c r="V152" s="774"/>
      <c r="W152" s="661"/>
      <c r="X152" s="757"/>
      <c r="Y152" s="661"/>
      <c r="Z152" s="661"/>
    </row>
    <row r="153" ht="18.0" hidden="1" customHeight="1" outlineLevel="1">
      <c r="A153" s="661"/>
      <c r="B153" s="738"/>
      <c r="C153" s="697"/>
      <c r="D153" s="697"/>
      <c r="E153" s="697"/>
      <c r="F153" s="739" t="s">
        <v>517</v>
      </c>
      <c r="G153" s="740" t="s">
        <v>783</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4"/>
      <c r="W153" s="661"/>
      <c r="X153" s="757"/>
      <c r="Y153" s="661"/>
      <c r="Z153" s="661"/>
    </row>
    <row r="154" ht="24.0" hidden="1" customHeight="1" outlineLevel="1">
      <c r="A154" s="661"/>
      <c r="B154" s="743"/>
      <c r="C154" s="744">
        <f>IF(C143="","",IF(DAY(C143+1)=1,"",C143+1))</f>
        <v>46067</v>
      </c>
      <c r="D154" s="745" t="str">
        <f>TEXT(C154,"ddd")</f>
        <v>土</v>
      </c>
      <c r="E154" s="746"/>
      <c r="F154" s="775" t="s">
        <v>132</v>
      </c>
      <c r="G154" s="776" t="s">
        <v>784</v>
      </c>
      <c r="H154" s="777"/>
      <c r="I154" s="778">
        <v>0.65625</v>
      </c>
      <c r="J154" s="777">
        <v>10.0</v>
      </c>
      <c r="K154" s="777">
        <v>2.0</v>
      </c>
      <c r="L154" s="755"/>
      <c r="M154" s="755"/>
      <c r="N154" s="775">
        <v>174.0</v>
      </c>
      <c r="O154" s="779"/>
      <c r="P154" s="771"/>
      <c r="Q154" s="772"/>
      <c r="R154" s="661"/>
      <c r="S154" s="228" t="str">
        <f t="array" ref="S154">IFERROR(INDEX('💻シート作成'!$D$6:$D1001, MATCH(T154, '💻シート作成'!$E$6:$E1001, 0)), "")</f>
        <v/>
      </c>
      <c r="T154" s="184"/>
      <c r="U154" s="664"/>
      <c r="V154" s="774"/>
      <c r="W154" s="661"/>
      <c r="X154" s="757"/>
      <c r="Y154" s="661"/>
      <c r="Z154" s="661"/>
    </row>
    <row r="155" ht="24.0" hidden="1" customHeight="1" outlineLevel="1">
      <c r="A155" s="661"/>
      <c r="B155" s="729"/>
      <c r="C155" s="730"/>
      <c r="D155" s="730"/>
      <c r="E155" s="730"/>
      <c r="F155" s="730"/>
      <c r="G155" s="731"/>
      <c r="H155" s="730"/>
      <c r="I155" s="730"/>
      <c r="J155" s="730"/>
      <c r="K155" s="730"/>
      <c r="L155" s="755"/>
      <c r="M155" s="755"/>
      <c r="N155" s="730"/>
      <c r="O155" s="733"/>
      <c r="Q155" s="728"/>
      <c r="R155" s="661"/>
      <c r="S155" s="228" t="str">
        <f t="array" ref="S155">IFERROR(INDEX('💻シート作成'!$D$6:$D1001, MATCH(T155, '💻シート作成'!$E$6:$E1001, 0)), "")</f>
        <v/>
      </c>
      <c r="T155" s="184"/>
      <c r="U155" s="664"/>
      <c r="V155" s="774"/>
      <c r="W155" s="661"/>
      <c r="X155" s="757"/>
      <c r="Y155" s="661"/>
      <c r="Z155" s="661"/>
    </row>
    <row r="156" ht="24.0" hidden="1" customHeight="1" outlineLevel="1">
      <c r="A156" s="661"/>
      <c r="B156" s="729"/>
      <c r="C156" s="730"/>
      <c r="D156" s="730"/>
      <c r="E156" s="730"/>
      <c r="F156" s="730"/>
      <c r="G156" s="731"/>
      <c r="H156" s="730"/>
      <c r="I156" s="730"/>
      <c r="J156" s="730"/>
      <c r="K156" s="730"/>
      <c r="L156" s="755"/>
      <c r="M156" s="755"/>
      <c r="N156" s="730"/>
      <c r="O156" s="733"/>
      <c r="Q156" s="728"/>
      <c r="R156" s="661"/>
      <c r="S156" s="228" t="str">
        <f t="array" ref="S156">IFERROR(INDEX('💻シート作成'!$D$6:$D1001, MATCH(T156, '💻シート作成'!$E$6:$E1001, 0)), "")</f>
        <v/>
      </c>
      <c r="T156" s="184"/>
      <c r="U156" s="664"/>
      <c r="V156" s="774"/>
      <c r="W156" s="661"/>
      <c r="X156" s="757"/>
      <c r="Y156" s="661"/>
      <c r="Z156" s="661"/>
    </row>
    <row r="157" ht="24.0" hidden="1" customHeight="1" outlineLevel="1">
      <c r="A157" s="661"/>
      <c r="B157" s="729"/>
      <c r="C157" s="730"/>
      <c r="D157" s="730"/>
      <c r="E157" s="730"/>
      <c r="F157" s="730"/>
      <c r="G157" s="731"/>
      <c r="H157" s="730"/>
      <c r="I157" s="730"/>
      <c r="J157" s="730"/>
      <c r="K157" s="730"/>
      <c r="L157" s="756"/>
      <c r="M157" s="755"/>
      <c r="N157" s="730"/>
      <c r="O157" s="733"/>
      <c r="Q157" s="728"/>
      <c r="R157" s="661"/>
      <c r="S157" s="228" t="str">
        <f t="array" ref="S157">IFERROR(INDEX('💻シート作成'!$D$6:$D1001, MATCH(T157, '💻シート作成'!$E$6:$E1001, 0)), "")</f>
        <v/>
      </c>
      <c r="T157" s="184"/>
      <c r="U157" s="664"/>
      <c r="V157" s="774"/>
      <c r="W157" s="661"/>
      <c r="X157" s="757"/>
      <c r="Y157" s="661"/>
      <c r="Z157" s="661"/>
    </row>
    <row r="158" ht="24.0" hidden="1" customHeight="1" outlineLevel="1">
      <c r="A158" s="661"/>
      <c r="B158" s="729"/>
      <c r="C158" s="730"/>
      <c r="D158" s="730"/>
      <c r="E158" s="730"/>
      <c r="F158" s="730"/>
      <c r="G158" s="731"/>
      <c r="H158" s="730"/>
      <c r="I158" s="730"/>
      <c r="J158" s="730"/>
      <c r="K158" s="730"/>
      <c r="L158" s="756"/>
      <c r="M158" s="755"/>
      <c r="N158" s="730"/>
      <c r="O158" s="733"/>
      <c r="Q158" s="728"/>
      <c r="R158" s="661"/>
      <c r="S158" s="228" t="str">
        <f t="array" ref="S158">IFERROR(INDEX('💻シート作成'!$D$6:$D1001, MATCH(T158, '💻シート作成'!$E$6:$E1001, 0)), "")</f>
        <v/>
      </c>
      <c r="T158" s="184"/>
      <c r="U158" s="664"/>
      <c r="V158" s="774"/>
      <c r="W158" s="661"/>
      <c r="X158" s="757"/>
      <c r="Y158" s="661"/>
      <c r="Z158" s="661"/>
    </row>
    <row r="159" ht="24.0" hidden="1" customHeight="1" outlineLevel="1">
      <c r="A159" s="661"/>
      <c r="B159" s="729"/>
      <c r="C159" s="730"/>
      <c r="D159" s="730"/>
      <c r="E159" s="730"/>
      <c r="F159" s="730"/>
      <c r="G159" s="731"/>
      <c r="H159" s="730"/>
      <c r="I159" s="730"/>
      <c r="J159" s="730"/>
      <c r="K159" s="730"/>
      <c r="L159" s="756"/>
      <c r="M159" s="755"/>
      <c r="N159" s="730"/>
      <c r="O159" s="733"/>
      <c r="Q159" s="728"/>
      <c r="R159" s="661"/>
      <c r="S159" s="228" t="str">
        <f t="array" ref="S159">IFERROR(INDEX('💻シート作成'!$D$6:$D1001, MATCH(T159, '💻シート作成'!$E$6:$E1001, 0)), "")</f>
        <v/>
      </c>
      <c r="T159" s="184"/>
      <c r="U159" s="664"/>
      <c r="V159" s="774"/>
      <c r="W159" s="661"/>
      <c r="X159" s="757"/>
      <c r="Y159" s="661"/>
      <c r="Z159" s="661"/>
    </row>
    <row r="160" ht="24.0" hidden="1" customHeight="1" outlineLevel="1">
      <c r="A160" s="661"/>
      <c r="B160" s="729"/>
      <c r="C160" s="730"/>
      <c r="D160" s="730"/>
      <c r="E160" s="730"/>
      <c r="F160" s="730"/>
      <c r="G160" s="731"/>
      <c r="H160" s="730"/>
      <c r="I160" s="730"/>
      <c r="J160" s="730"/>
      <c r="K160" s="730"/>
      <c r="L160" s="756"/>
      <c r="M160" s="755"/>
      <c r="N160" s="730"/>
      <c r="O160" s="733"/>
      <c r="Q160" s="728"/>
      <c r="R160" s="661"/>
      <c r="S160" s="228" t="str">
        <f t="array" ref="S160">IFERROR(INDEX('💻シート作成'!$D$6:$D1001, MATCH(T160, '💻シート作成'!$E$6:$E1001, 0)), "")</f>
        <v/>
      </c>
      <c r="T160" s="184"/>
      <c r="U160" s="664"/>
      <c r="V160" s="774"/>
      <c r="W160" s="661"/>
      <c r="X160" s="757"/>
      <c r="Y160" s="661"/>
      <c r="Z160" s="661"/>
    </row>
    <row r="161" ht="24.0" hidden="1" customHeight="1" outlineLevel="1">
      <c r="A161" s="661"/>
      <c r="B161" s="729"/>
      <c r="C161" s="730"/>
      <c r="D161" s="730"/>
      <c r="E161" s="730"/>
      <c r="F161" s="730"/>
      <c r="G161" s="731"/>
      <c r="H161" s="730"/>
      <c r="I161" s="730"/>
      <c r="J161" s="730"/>
      <c r="K161" s="730"/>
      <c r="L161" s="756"/>
      <c r="M161" s="755"/>
      <c r="N161" s="730"/>
      <c r="O161" s="733"/>
      <c r="Q161" s="728"/>
      <c r="R161" s="661"/>
      <c r="S161" s="228" t="str">
        <f t="array" ref="S161">IFERROR(INDEX('💻シート作成'!$D$6:$D1001, MATCH(T161, '💻シート作成'!$E$6:$E1001, 0)), "")</f>
        <v/>
      </c>
      <c r="T161" s="184"/>
      <c r="U161" s="664"/>
      <c r="V161" s="774"/>
      <c r="W161" s="661"/>
      <c r="X161" s="757"/>
      <c r="Y161" s="661"/>
      <c r="Z161" s="661"/>
    </row>
    <row r="162" ht="24.0" hidden="1" customHeight="1" outlineLevel="1">
      <c r="A162" s="661"/>
      <c r="B162" s="729"/>
      <c r="C162" s="730"/>
      <c r="D162" s="730"/>
      <c r="E162" s="730"/>
      <c r="F162" s="730"/>
      <c r="G162" s="731"/>
      <c r="H162" s="730"/>
      <c r="I162" s="730"/>
      <c r="J162" s="730"/>
      <c r="K162" s="730"/>
      <c r="L162" s="756"/>
      <c r="M162" s="755"/>
      <c r="N162" s="730"/>
      <c r="O162" s="733"/>
      <c r="Q162" s="728"/>
      <c r="R162" s="661"/>
      <c r="S162" s="228" t="str">
        <f t="array" ref="S162">IFERROR(INDEX('💻シート作成'!$D$6:$D1001, MATCH(T162, '💻シート作成'!$E$6:$E1001, 0)), "")</f>
        <v/>
      </c>
      <c r="T162" s="184"/>
      <c r="U162" s="664"/>
      <c r="V162" s="774"/>
      <c r="W162" s="661"/>
      <c r="X162" s="757"/>
      <c r="Y162" s="661"/>
      <c r="Z162" s="661"/>
    </row>
    <row r="163" ht="24.0" hidden="1" customHeight="1" outlineLevel="1">
      <c r="A163" s="661"/>
      <c r="B163" s="729"/>
      <c r="C163" s="730"/>
      <c r="D163" s="730"/>
      <c r="E163" s="730"/>
      <c r="F163" s="697"/>
      <c r="G163" s="698"/>
      <c r="H163" s="697"/>
      <c r="I163" s="697"/>
      <c r="J163" s="697"/>
      <c r="K163" s="697"/>
      <c r="L163" s="756"/>
      <c r="M163" s="755"/>
      <c r="N163" s="697"/>
      <c r="O163" s="700"/>
      <c r="P163" s="701"/>
      <c r="Q163" s="737"/>
      <c r="R163" s="661"/>
      <c r="S163" s="228" t="str">
        <f t="array" ref="S163">IFERROR(INDEX('💻シート作成'!$D$6:$D1001, MATCH(T163, '💻シート作成'!$E$6:$E1001, 0)), "")</f>
        <v/>
      </c>
      <c r="T163" s="184"/>
      <c r="U163" s="664"/>
      <c r="V163" s="774"/>
      <c r="W163" s="661"/>
      <c r="X163" s="757"/>
      <c r="Y163" s="661"/>
      <c r="Z163" s="661"/>
    </row>
    <row r="164" ht="18.0" hidden="1" customHeight="1" outlineLevel="1">
      <c r="A164" s="661"/>
      <c r="B164" s="738"/>
      <c r="C164" s="697"/>
      <c r="D164" s="697"/>
      <c r="E164" s="697"/>
      <c r="F164" s="758" t="s">
        <v>517</v>
      </c>
      <c r="G164" s="759" t="s">
        <v>785</v>
      </c>
      <c r="H164" s="741"/>
      <c r="I164" s="741"/>
      <c r="J164" s="741"/>
      <c r="K164" s="741"/>
      <c r="L164" s="759"/>
      <c r="M164" s="759"/>
      <c r="N164" s="759"/>
      <c r="O164" s="759"/>
      <c r="P164" s="759"/>
      <c r="Q164" s="760"/>
      <c r="R164" s="661"/>
      <c r="S164" s="228" t="str">
        <f t="array" ref="S164">IFERROR(INDEX('💻シート作成'!$D$6:$D1001, MATCH(T164, '💻シート作成'!$E$6:$E1001, 0)), "")</f>
        <v/>
      </c>
      <c r="T164" s="184"/>
      <c r="U164" s="664"/>
      <c r="V164" s="774"/>
      <c r="W164" s="661"/>
      <c r="X164" s="757"/>
      <c r="Y164" s="661"/>
      <c r="Z164" s="661"/>
    </row>
    <row r="165" ht="57.75" hidden="1" customHeight="1" outlineLevel="1">
      <c r="A165" s="661"/>
      <c r="B165" s="761"/>
      <c r="C165" s="762">
        <f>IF(C154="","",IF(DAY(C154+1)=1,"",C154+1))</f>
        <v>46068</v>
      </c>
      <c r="D165" s="763" t="str">
        <f>TEXT(C165,"ddd")</f>
        <v>日</v>
      </c>
      <c r="E165" s="764"/>
      <c r="F165" s="765" t="s">
        <v>132</v>
      </c>
      <c r="G165" s="766" t="s">
        <v>786</v>
      </c>
      <c r="H165" s="767"/>
      <c r="I165" s="768">
        <v>0.6875</v>
      </c>
      <c r="J165" s="767">
        <v>9.0</v>
      </c>
      <c r="K165" s="767">
        <v>1.0</v>
      </c>
      <c r="L165" s="769"/>
      <c r="M165" s="769"/>
      <c r="N165" s="765">
        <v>160.0</v>
      </c>
      <c r="O165" s="770"/>
      <c r="P165" s="771"/>
      <c r="Q165" s="772"/>
      <c r="R165" s="661"/>
      <c r="S165" s="228" t="str">
        <f t="array" ref="S165">IFERROR(INDEX('💻シート作成'!$D$6:$D1001, MATCH(T165, '💻シート作成'!$E$6:$E1001, 0)), "")</f>
        <v/>
      </c>
      <c r="T165" s="184"/>
      <c r="U165" s="664"/>
      <c r="V165" s="774"/>
      <c r="W165" s="661"/>
      <c r="X165" s="757"/>
      <c r="Y165" s="661"/>
      <c r="Z165" s="661"/>
    </row>
    <row r="166" ht="57.75" hidden="1" customHeight="1" outlineLevel="1">
      <c r="A166" s="661"/>
      <c r="B166" s="729"/>
      <c r="C166" s="730"/>
      <c r="D166" s="730"/>
      <c r="E166" s="730"/>
      <c r="F166" s="730"/>
      <c r="G166" s="731"/>
      <c r="H166" s="730"/>
      <c r="I166" s="730"/>
      <c r="J166" s="730"/>
      <c r="K166" s="730"/>
      <c r="L166" s="769"/>
      <c r="M166" s="769"/>
      <c r="N166" s="730"/>
      <c r="O166" s="733"/>
      <c r="Q166" s="728"/>
      <c r="R166" s="661"/>
      <c r="S166" s="228" t="str">
        <f t="array" ref="S166">IFERROR(INDEX('💻シート作成'!$D$6:$D1001, MATCH(T166, '💻シート作成'!$E$6:$E1001, 0)), "")</f>
        <v/>
      </c>
      <c r="T166" s="184"/>
      <c r="U166" s="664"/>
      <c r="V166" s="774"/>
      <c r="W166" s="661"/>
      <c r="X166" s="757"/>
      <c r="Y166" s="661"/>
      <c r="Z166" s="661"/>
    </row>
    <row r="167" ht="57.75" hidden="1" customHeight="1" outlineLevel="1">
      <c r="A167" s="661"/>
      <c r="B167" s="729"/>
      <c r="C167" s="730"/>
      <c r="D167" s="730"/>
      <c r="E167" s="730"/>
      <c r="F167" s="730"/>
      <c r="G167" s="731"/>
      <c r="H167" s="730"/>
      <c r="I167" s="730"/>
      <c r="J167" s="730"/>
      <c r="K167" s="730"/>
      <c r="L167" s="769"/>
      <c r="M167" s="769"/>
      <c r="N167" s="730"/>
      <c r="O167" s="733"/>
      <c r="Q167" s="728"/>
      <c r="R167" s="661"/>
      <c r="S167" s="228" t="str">
        <f t="array" ref="S167">IFERROR(INDEX('💻シート作成'!$D$6:$D1001, MATCH(T167, '💻シート作成'!$E$6:$E1001, 0)), "")</f>
        <v/>
      </c>
      <c r="T167" s="184"/>
      <c r="U167" s="664"/>
      <c r="V167" s="774"/>
      <c r="W167" s="661"/>
      <c r="X167" s="757"/>
      <c r="Y167" s="661"/>
      <c r="Z167" s="661"/>
    </row>
    <row r="168" ht="57.75" hidden="1" customHeight="1" outlineLevel="1">
      <c r="A168" s="661"/>
      <c r="B168" s="729"/>
      <c r="C168" s="730"/>
      <c r="D168" s="730"/>
      <c r="E168" s="730"/>
      <c r="F168" s="730"/>
      <c r="G168" s="731"/>
      <c r="H168" s="730"/>
      <c r="I168" s="730"/>
      <c r="J168" s="730"/>
      <c r="K168" s="730"/>
      <c r="L168" s="773"/>
      <c r="M168" s="769"/>
      <c r="N168" s="730"/>
      <c r="O168" s="733"/>
      <c r="Q168" s="728"/>
      <c r="R168" s="661"/>
      <c r="S168" s="228" t="str">
        <f t="array" ref="S168">IFERROR(INDEX('💻シート作成'!$D$6:$D1001, MATCH(T168, '💻シート作成'!$E$6:$E1001, 0)), "")</f>
        <v/>
      </c>
      <c r="T168" s="184"/>
      <c r="U168" s="664"/>
      <c r="V168" s="774"/>
      <c r="W168" s="661"/>
      <c r="X168" s="757"/>
      <c r="Y168" s="661"/>
      <c r="Z168" s="661"/>
    </row>
    <row r="169" ht="57.75" hidden="1" customHeight="1" outlineLevel="1">
      <c r="A169" s="661"/>
      <c r="B169" s="729"/>
      <c r="C169" s="730"/>
      <c r="D169" s="730"/>
      <c r="E169" s="730"/>
      <c r="F169" s="730"/>
      <c r="G169" s="731"/>
      <c r="H169" s="730"/>
      <c r="I169" s="730"/>
      <c r="J169" s="730"/>
      <c r="K169" s="730"/>
      <c r="L169" s="773"/>
      <c r="M169" s="769"/>
      <c r="N169" s="730"/>
      <c r="O169" s="733"/>
      <c r="Q169" s="728"/>
      <c r="R169" s="661"/>
      <c r="S169" s="228" t="str">
        <f t="array" ref="S169">IFERROR(INDEX('💻シート作成'!$D$6:$D1001, MATCH(T169, '💻シート作成'!$E$6:$E1001, 0)), "")</f>
        <v/>
      </c>
      <c r="T169" s="184"/>
      <c r="U169" s="664"/>
      <c r="V169" s="774"/>
      <c r="W169" s="661"/>
      <c r="X169" s="757"/>
      <c r="Y169" s="661"/>
      <c r="Z169" s="661"/>
    </row>
    <row r="170" ht="57.75" hidden="1" customHeight="1" outlineLevel="1">
      <c r="A170" s="661"/>
      <c r="B170" s="729"/>
      <c r="C170" s="730"/>
      <c r="D170" s="730"/>
      <c r="E170" s="730"/>
      <c r="F170" s="730"/>
      <c r="G170" s="731"/>
      <c r="H170" s="730"/>
      <c r="I170" s="730"/>
      <c r="J170" s="730"/>
      <c r="K170" s="730"/>
      <c r="L170" s="773"/>
      <c r="M170" s="769"/>
      <c r="N170" s="730"/>
      <c r="O170" s="733"/>
      <c r="Q170" s="728"/>
      <c r="R170" s="661"/>
      <c r="S170" s="228" t="str">
        <f t="array" ref="S170">IFERROR(INDEX('💻シート作成'!$D$6:$D1001, MATCH(T170, '💻シート作成'!$E$6:$E1001, 0)), "")</f>
        <v/>
      </c>
      <c r="T170" s="184"/>
      <c r="U170" s="664"/>
      <c r="V170" s="774"/>
      <c r="W170" s="661"/>
      <c r="X170" s="757"/>
      <c r="Y170" s="661"/>
      <c r="Z170" s="661"/>
    </row>
    <row r="171" ht="57.75" hidden="1" customHeight="1" outlineLevel="1">
      <c r="A171" s="661"/>
      <c r="B171" s="729"/>
      <c r="C171" s="730"/>
      <c r="D171" s="730"/>
      <c r="E171" s="730"/>
      <c r="F171" s="730"/>
      <c r="G171" s="731"/>
      <c r="H171" s="730"/>
      <c r="I171" s="730"/>
      <c r="J171" s="730"/>
      <c r="K171" s="730"/>
      <c r="L171" s="773"/>
      <c r="M171" s="769"/>
      <c r="N171" s="730"/>
      <c r="O171" s="733"/>
      <c r="Q171" s="728"/>
      <c r="R171" s="661"/>
      <c r="S171" s="228" t="str">
        <f t="array" ref="S171">IFERROR(INDEX('💻シート作成'!$D$6:$D1001, MATCH(T171, '💻シート作成'!$E$6:$E1001, 0)), "")</f>
        <v/>
      </c>
      <c r="T171" s="184"/>
      <c r="U171" s="664"/>
      <c r="V171" s="774"/>
      <c r="W171" s="661"/>
      <c r="X171" s="757"/>
      <c r="Y171" s="661"/>
      <c r="Z171" s="661"/>
    </row>
    <row r="172" ht="57.75" hidden="1" customHeight="1" outlineLevel="1">
      <c r="A172" s="661"/>
      <c r="B172" s="729"/>
      <c r="C172" s="730"/>
      <c r="D172" s="730"/>
      <c r="E172" s="730"/>
      <c r="F172" s="730"/>
      <c r="G172" s="731"/>
      <c r="H172" s="730"/>
      <c r="I172" s="730"/>
      <c r="J172" s="730"/>
      <c r="K172" s="730"/>
      <c r="L172" s="773"/>
      <c r="M172" s="769"/>
      <c r="N172" s="730"/>
      <c r="O172" s="733"/>
      <c r="Q172" s="728"/>
      <c r="R172" s="661"/>
      <c r="S172" s="228" t="str">
        <f t="array" ref="S172">IFERROR(INDEX('💻シート作成'!$D$6:$D1001, MATCH(T172, '💻シート作成'!$E$6:$E1001, 0)), "")</f>
        <v/>
      </c>
      <c r="T172" s="184"/>
      <c r="U172" s="664"/>
      <c r="V172" s="774"/>
      <c r="W172" s="661"/>
      <c r="X172" s="757"/>
      <c r="Y172" s="661"/>
      <c r="Z172" s="661"/>
    </row>
    <row r="173" ht="57.75" hidden="1" customHeight="1" outlineLevel="1">
      <c r="A173" s="661"/>
      <c r="B173" s="729"/>
      <c r="C173" s="730"/>
      <c r="D173" s="730"/>
      <c r="E173" s="730"/>
      <c r="F173" s="730"/>
      <c r="G173" s="731"/>
      <c r="H173" s="730"/>
      <c r="I173" s="730"/>
      <c r="J173" s="730"/>
      <c r="K173" s="730"/>
      <c r="L173" s="773"/>
      <c r="M173" s="769"/>
      <c r="N173" s="730"/>
      <c r="O173" s="733"/>
      <c r="Q173" s="728"/>
      <c r="R173" s="661"/>
      <c r="S173" s="228" t="str">
        <f t="array" ref="S173">IFERROR(INDEX('💻シート作成'!$D$6:$D1001, MATCH(T173, '💻シート作成'!$E$6:$E1001, 0)), "")</f>
        <v/>
      </c>
      <c r="T173" s="184"/>
      <c r="U173" s="664"/>
      <c r="V173" s="774"/>
      <c r="W173" s="661"/>
      <c r="X173" s="757"/>
      <c r="Y173" s="661"/>
      <c r="Z173" s="661"/>
    </row>
    <row r="174" ht="57.75" hidden="1" customHeight="1" outlineLevel="1">
      <c r="A174" s="661"/>
      <c r="B174" s="729"/>
      <c r="C174" s="730"/>
      <c r="D174" s="730"/>
      <c r="E174" s="730"/>
      <c r="F174" s="697"/>
      <c r="G174" s="698"/>
      <c r="H174" s="697"/>
      <c r="I174" s="697"/>
      <c r="J174" s="697"/>
      <c r="K174" s="697"/>
      <c r="L174" s="773"/>
      <c r="M174" s="769"/>
      <c r="N174" s="697"/>
      <c r="O174" s="700"/>
      <c r="P174" s="701"/>
      <c r="Q174" s="737"/>
      <c r="R174" s="661"/>
      <c r="S174" s="228" t="str">
        <f t="array" ref="S174">IFERROR(INDEX('💻シート作成'!$D$6:$D1001, MATCH(T174, '💻シート作成'!$E$6:$E1001, 0)), "")</f>
        <v/>
      </c>
      <c r="T174" s="184"/>
      <c r="U174" s="664"/>
      <c r="V174" s="774"/>
      <c r="W174" s="661"/>
      <c r="X174" s="757"/>
      <c r="Y174" s="661"/>
      <c r="Z174" s="661"/>
    </row>
    <row r="175" ht="18.0" hidden="1" customHeight="1" outlineLevel="1">
      <c r="A175" s="661"/>
      <c r="B175" s="738"/>
      <c r="C175" s="697"/>
      <c r="D175" s="697"/>
      <c r="E175" s="697"/>
      <c r="F175" s="739" t="s">
        <v>517</v>
      </c>
      <c r="G175" s="740" t="s">
        <v>787</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4"/>
      <c r="W175" s="661"/>
      <c r="X175" s="757"/>
      <c r="Y175" s="661"/>
      <c r="Z175" s="661"/>
    </row>
    <row r="176" collapsed="1">
      <c r="A176" s="661"/>
      <c r="B176" s="780" t="s">
        <v>524</v>
      </c>
      <c r="C176" s="781"/>
      <c r="D176" s="781"/>
      <c r="E176" s="781"/>
      <c r="F176" s="782"/>
      <c r="G176" s="783"/>
      <c r="H176" s="784"/>
      <c r="I176" s="784"/>
      <c r="J176" s="785"/>
      <c r="K176" s="785"/>
      <c r="L176" s="783"/>
      <c r="M176" s="783"/>
      <c r="N176" s="786"/>
      <c r="O176" s="787"/>
      <c r="P176" s="787"/>
      <c r="Q176" s="788"/>
      <c r="R176" s="661"/>
      <c r="S176" s="228" t="str">
        <f t="array" ref="S176">IFERROR(INDEX('💻シート作成'!$D$6:$D1001, MATCH(T176, '💻シート作成'!$E$6:$E1001, 0)), "")</f>
        <v/>
      </c>
      <c r="T176" s="184"/>
      <c r="U176" s="664"/>
      <c r="V176" s="774"/>
      <c r="W176" s="661"/>
      <c r="X176" s="757"/>
      <c r="Y176" s="661"/>
      <c r="Z176" s="661"/>
    </row>
    <row r="177" ht="18.0" hidden="1" customHeight="1" outlineLevel="1">
      <c r="A177" s="661"/>
      <c r="B177" s="743"/>
      <c r="C177" s="744">
        <f>IF(C165="","",IF(DAY(C165+1)=1,"",C165+1))</f>
        <v>46069</v>
      </c>
      <c r="D177" s="745" t="str">
        <f>TEXT(C177,"ddd")</f>
        <v>月</v>
      </c>
      <c r="E177" s="746"/>
      <c r="F177" s="775" t="s">
        <v>142</v>
      </c>
      <c r="G177" s="776" t="s">
        <v>788</v>
      </c>
      <c r="H177" s="777"/>
      <c r="I177" s="777" t="s">
        <v>670</v>
      </c>
      <c r="J177" s="777">
        <v>8.0</v>
      </c>
      <c r="K177" s="777">
        <v>3.0</v>
      </c>
      <c r="L177" s="755"/>
      <c r="M177" s="755"/>
      <c r="N177" s="775"/>
      <c r="O177" s="779"/>
      <c r="P177" s="771"/>
      <c r="Q177" s="772"/>
      <c r="R177" s="661"/>
      <c r="S177" s="228" t="str">
        <f t="array" ref="S177">IFERROR(INDEX('💻シート作成'!$D$6:$D1001, MATCH(T177, '💻シート作成'!$E$6:$E1001, 0)), "")</f>
        <v/>
      </c>
      <c r="T177" s="184"/>
      <c r="U177" s="664"/>
      <c r="V177" s="774"/>
      <c r="W177" s="661"/>
      <c r="X177" s="757"/>
      <c r="Y177" s="661"/>
      <c r="Z177" s="661"/>
    </row>
    <row r="178" ht="18.0" hidden="1" customHeight="1" outlineLevel="1">
      <c r="A178" s="661"/>
      <c r="B178" s="729"/>
      <c r="C178" s="730"/>
      <c r="D178" s="730"/>
      <c r="E178" s="730"/>
      <c r="F178" s="730"/>
      <c r="G178" s="731"/>
      <c r="H178" s="730"/>
      <c r="I178" s="730"/>
      <c r="J178" s="730"/>
      <c r="K178" s="730"/>
      <c r="L178" s="755"/>
      <c r="M178" s="755"/>
      <c r="N178" s="730"/>
      <c r="O178" s="733"/>
      <c r="Q178" s="728"/>
      <c r="R178" s="661"/>
      <c r="S178" s="228" t="str">
        <f t="array" ref="S178">IFERROR(INDEX('💻シート作成'!$D$6:$D1001, MATCH(T178, '💻シート作成'!$E$6:$E1001, 0)), "")</f>
        <v/>
      </c>
      <c r="T178" s="184"/>
      <c r="U178" s="664"/>
      <c r="V178" s="774"/>
      <c r="W178" s="661"/>
      <c r="X178" s="757"/>
      <c r="Y178" s="661"/>
      <c r="Z178" s="661"/>
    </row>
    <row r="179" ht="18.0" hidden="1" customHeight="1" outlineLevel="1">
      <c r="A179" s="661"/>
      <c r="B179" s="729"/>
      <c r="C179" s="730"/>
      <c r="D179" s="730"/>
      <c r="E179" s="730"/>
      <c r="F179" s="730"/>
      <c r="G179" s="731"/>
      <c r="H179" s="730"/>
      <c r="I179" s="730"/>
      <c r="J179" s="730"/>
      <c r="K179" s="730"/>
      <c r="L179" s="755"/>
      <c r="M179" s="755"/>
      <c r="N179" s="730"/>
      <c r="O179" s="733"/>
      <c r="Q179" s="728"/>
      <c r="R179" s="661"/>
      <c r="S179" s="228" t="str">
        <f t="array" ref="S179">IFERROR(INDEX('💻シート作成'!$D$6:$D1001, MATCH(T179, '💻シート作成'!$E$6:$E1001, 0)), "")</f>
        <v/>
      </c>
      <c r="T179" s="184"/>
      <c r="U179" s="664"/>
      <c r="V179" s="774"/>
      <c r="W179" s="661"/>
      <c r="X179" s="757"/>
      <c r="Y179" s="661"/>
      <c r="Z179" s="661"/>
    </row>
    <row r="180" ht="18.0" hidden="1" customHeight="1" outlineLevel="1">
      <c r="A180" s="661"/>
      <c r="B180" s="729"/>
      <c r="C180" s="730"/>
      <c r="D180" s="730"/>
      <c r="E180" s="730"/>
      <c r="F180" s="730"/>
      <c r="G180" s="731"/>
      <c r="H180" s="730"/>
      <c r="I180" s="730"/>
      <c r="J180" s="730"/>
      <c r="K180" s="730"/>
      <c r="L180" s="756"/>
      <c r="M180" s="755"/>
      <c r="N180" s="730"/>
      <c r="O180" s="733"/>
      <c r="Q180" s="728"/>
      <c r="R180" s="661"/>
      <c r="S180" s="228" t="str">
        <f t="array" ref="S180">IFERROR(INDEX('💻シート作成'!$D$6:$D1001, MATCH(T180, '💻シート作成'!$E$6:$E1001, 0)), "")</f>
        <v/>
      </c>
      <c r="T180" s="184"/>
      <c r="U180" s="664"/>
      <c r="V180" s="774"/>
      <c r="W180" s="661"/>
      <c r="X180" s="757"/>
      <c r="Y180" s="661"/>
      <c r="Z180" s="661"/>
    </row>
    <row r="181" ht="18.0" hidden="1" customHeight="1" outlineLevel="1">
      <c r="A181" s="661"/>
      <c r="B181" s="729"/>
      <c r="C181" s="730"/>
      <c r="D181" s="730"/>
      <c r="E181" s="730"/>
      <c r="F181" s="730"/>
      <c r="G181" s="731"/>
      <c r="H181" s="730"/>
      <c r="I181" s="730"/>
      <c r="J181" s="730"/>
      <c r="K181" s="730"/>
      <c r="L181" s="756"/>
      <c r="M181" s="755"/>
      <c r="N181" s="730"/>
      <c r="O181" s="733"/>
      <c r="Q181" s="728"/>
      <c r="R181" s="661"/>
      <c r="S181" s="228" t="str">
        <f t="array" ref="S181">IFERROR(INDEX('💻シート作成'!$D$6:$D1001, MATCH(T181, '💻シート作成'!$E$6:$E1001, 0)), "")</f>
        <v/>
      </c>
      <c r="T181" s="184"/>
      <c r="U181" s="664"/>
      <c r="V181" s="774"/>
      <c r="W181" s="661"/>
      <c r="X181" s="757"/>
      <c r="Y181" s="661"/>
      <c r="Z181" s="661"/>
    </row>
    <row r="182" ht="18.0" hidden="1" customHeight="1" outlineLevel="1">
      <c r="A182" s="661"/>
      <c r="B182" s="729"/>
      <c r="C182" s="730"/>
      <c r="D182" s="730"/>
      <c r="E182" s="730"/>
      <c r="F182" s="730"/>
      <c r="G182" s="731"/>
      <c r="H182" s="730"/>
      <c r="I182" s="730"/>
      <c r="J182" s="730"/>
      <c r="K182" s="730"/>
      <c r="L182" s="756"/>
      <c r="M182" s="755"/>
      <c r="N182" s="730"/>
      <c r="O182" s="733"/>
      <c r="Q182" s="728"/>
      <c r="R182" s="661"/>
      <c r="S182" s="228" t="str">
        <f t="array" ref="S182">IFERROR(INDEX('💻シート作成'!$D$6:$D1001, MATCH(T182, '💻シート作成'!$E$6:$E1001, 0)), "")</f>
        <v/>
      </c>
      <c r="T182" s="184"/>
      <c r="U182" s="664"/>
      <c r="V182" s="774"/>
      <c r="W182" s="661"/>
      <c r="X182" s="757"/>
      <c r="Y182" s="661"/>
      <c r="Z182" s="661"/>
    </row>
    <row r="183" ht="18.0" hidden="1" customHeight="1" outlineLevel="1">
      <c r="A183" s="661"/>
      <c r="B183" s="729"/>
      <c r="C183" s="730"/>
      <c r="D183" s="730"/>
      <c r="E183" s="730"/>
      <c r="F183" s="730"/>
      <c r="G183" s="731"/>
      <c r="H183" s="730"/>
      <c r="I183" s="730"/>
      <c r="J183" s="730"/>
      <c r="K183" s="730"/>
      <c r="L183" s="756"/>
      <c r="M183" s="755"/>
      <c r="N183" s="730"/>
      <c r="O183" s="733"/>
      <c r="Q183" s="728"/>
      <c r="R183" s="661"/>
      <c r="S183" s="228" t="str">
        <f t="array" ref="S183">IFERROR(INDEX('💻シート作成'!$D$6:$D1001, MATCH(T183, '💻シート作成'!$E$6:$E1001, 0)), "")</f>
        <v/>
      </c>
      <c r="T183" s="184"/>
      <c r="U183" s="664"/>
      <c r="V183" s="774"/>
      <c r="W183" s="661"/>
      <c r="X183" s="757"/>
      <c r="Y183" s="661"/>
      <c r="Z183" s="661"/>
    </row>
    <row r="184" ht="18.0" hidden="1" customHeight="1" outlineLevel="1">
      <c r="A184" s="661"/>
      <c r="B184" s="729"/>
      <c r="C184" s="730"/>
      <c r="D184" s="730"/>
      <c r="E184" s="730"/>
      <c r="F184" s="730"/>
      <c r="G184" s="731"/>
      <c r="H184" s="730"/>
      <c r="I184" s="730"/>
      <c r="J184" s="730"/>
      <c r="K184" s="730"/>
      <c r="L184" s="756"/>
      <c r="M184" s="755"/>
      <c r="N184" s="730"/>
      <c r="O184" s="733"/>
      <c r="Q184" s="728"/>
      <c r="R184" s="661"/>
      <c r="S184" s="228" t="str">
        <f t="array" ref="S184">IFERROR(INDEX('💻シート作成'!$D$6:$D1001, MATCH(T184, '💻シート作成'!$E$6:$E1001, 0)), "")</f>
        <v/>
      </c>
      <c r="T184" s="184"/>
      <c r="U184" s="664"/>
      <c r="V184" s="774"/>
      <c r="W184" s="661"/>
      <c r="X184" s="757"/>
      <c r="Y184" s="661"/>
      <c r="Z184" s="661"/>
    </row>
    <row r="185" ht="18.0" hidden="1" customHeight="1" outlineLevel="1">
      <c r="A185" s="661"/>
      <c r="B185" s="729"/>
      <c r="C185" s="730"/>
      <c r="D185" s="730"/>
      <c r="E185" s="730"/>
      <c r="F185" s="730"/>
      <c r="G185" s="731"/>
      <c r="H185" s="730"/>
      <c r="I185" s="730"/>
      <c r="J185" s="730"/>
      <c r="K185" s="730"/>
      <c r="L185" s="756"/>
      <c r="M185" s="755"/>
      <c r="N185" s="730"/>
      <c r="O185" s="733"/>
      <c r="Q185" s="728"/>
      <c r="R185" s="661"/>
      <c r="S185" s="228" t="str">
        <f t="array" ref="S185">IFERROR(INDEX('💻シート作成'!$D$6:$D1001, MATCH(T185, '💻シート作成'!$E$6:$E1001, 0)), "")</f>
        <v/>
      </c>
      <c r="T185" s="184"/>
      <c r="U185" s="664"/>
      <c r="V185" s="774"/>
      <c r="W185" s="661"/>
      <c r="X185" s="757"/>
      <c r="Y185" s="661"/>
      <c r="Z185" s="661"/>
    </row>
    <row r="186" ht="18.0" hidden="1" customHeight="1" outlineLevel="1">
      <c r="A186" s="661"/>
      <c r="B186" s="729"/>
      <c r="C186" s="730"/>
      <c r="D186" s="730"/>
      <c r="E186" s="730"/>
      <c r="F186" s="697"/>
      <c r="G186" s="698"/>
      <c r="H186" s="697"/>
      <c r="I186" s="697"/>
      <c r="J186" s="697"/>
      <c r="K186" s="697"/>
      <c r="L186" s="756"/>
      <c r="M186" s="755"/>
      <c r="N186" s="697"/>
      <c r="O186" s="700"/>
      <c r="P186" s="701"/>
      <c r="Q186" s="737"/>
      <c r="R186" s="661"/>
      <c r="S186" s="228" t="str">
        <f t="array" ref="S186">IFERROR(INDEX('💻シート作成'!$D$6:$D1001, MATCH(T186, '💻シート作成'!$E$6:$E1001, 0)), "")</f>
        <v/>
      </c>
      <c r="T186" s="184"/>
      <c r="U186" s="664"/>
      <c r="V186" s="774"/>
      <c r="W186" s="661"/>
      <c r="X186" s="757"/>
      <c r="Y186" s="661"/>
      <c r="Z186" s="661"/>
    </row>
    <row r="187" ht="18.0" hidden="1" customHeight="1" outlineLevel="1">
      <c r="A187" s="661"/>
      <c r="B187" s="738"/>
      <c r="C187" s="697"/>
      <c r="D187" s="697"/>
      <c r="E187" s="697"/>
      <c r="F187" s="758" t="s">
        <v>517</v>
      </c>
      <c r="G187" s="759" t="s">
        <v>789</v>
      </c>
      <c r="H187" s="741"/>
      <c r="I187" s="741"/>
      <c r="J187" s="741"/>
      <c r="K187" s="741"/>
      <c r="L187" s="759"/>
      <c r="M187" s="759"/>
      <c r="N187" s="759"/>
      <c r="O187" s="759"/>
      <c r="P187" s="759"/>
      <c r="Q187" s="760"/>
      <c r="R187" s="661"/>
      <c r="S187" s="228" t="str">
        <f t="array" ref="S187">IFERROR(INDEX('💻シート作成'!$D$6:$D1001, MATCH(T187, '💻シート作成'!$E$6:$E1001, 0)), "")</f>
        <v/>
      </c>
      <c r="T187" s="184"/>
      <c r="U187" s="664"/>
      <c r="V187" s="774"/>
      <c r="W187" s="661"/>
      <c r="X187" s="757"/>
      <c r="Y187" s="661"/>
      <c r="Z187" s="661"/>
    </row>
    <row r="188" ht="88.5" hidden="1" customHeight="1" outlineLevel="1">
      <c r="A188" s="661"/>
      <c r="B188" s="761"/>
      <c r="C188" s="762">
        <f>IF(C177="","",IF(DAY(C177+1)=1,"",C177+1))</f>
        <v>46070</v>
      </c>
      <c r="D188" s="763" t="str">
        <f>TEXT(C188,"ddd")</f>
        <v>火</v>
      </c>
      <c r="E188" s="764"/>
      <c r="F188" s="765" t="s">
        <v>132</v>
      </c>
      <c r="G188" s="766" t="s">
        <v>790</v>
      </c>
      <c r="H188" s="767"/>
      <c r="I188" s="768">
        <v>0.6666666666666666</v>
      </c>
      <c r="J188" s="767">
        <v>8.0</v>
      </c>
      <c r="K188" s="767">
        <v>2.0</v>
      </c>
      <c r="L188" s="769" t="s">
        <v>468</v>
      </c>
      <c r="M188" s="769" t="s">
        <v>666</v>
      </c>
      <c r="N188" s="765">
        <v>174.0</v>
      </c>
      <c r="O188" s="770"/>
      <c r="P188" s="771"/>
      <c r="Q188" s="772"/>
      <c r="R188" s="661"/>
      <c r="S188" s="228" t="str">
        <f t="array" ref="S188">IFERROR(INDEX('💻シート作成'!$D$6:$D1001, MATCH(T188, '💻シート作成'!$E$6:$E1001, 0)), "")</f>
        <v/>
      </c>
      <c r="T188" s="184"/>
      <c r="U188" s="664"/>
      <c r="V188" s="774"/>
      <c r="W188" s="661"/>
      <c r="X188" s="757"/>
      <c r="Y188" s="661"/>
      <c r="Z188" s="661"/>
    </row>
    <row r="189" ht="88.5" hidden="1" customHeight="1" outlineLevel="1">
      <c r="A189" s="661"/>
      <c r="B189" s="729"/>
      <c r="C189" s="730"/>
      <c r="D189" s="730"/>
      <c r="E189" s="730"/>
      <c r="F189" s="730"/>
      <c r="G189" s="731"/>
      <c r="H189" s="730"/>
      <c r="I189" s="730"/>
      <c r="J189" s="730"/>
      <c r="K189" s="730"/>
      <c r="L189" s="769"/>
      <c r="M189" s="769"/>
      <c r="N189" s="730"/>
      <c r="O189" s="733"/>
      <c r="Q189" s="728"/>
      <c r="R189" s="661"/>
      <c r="S189" s="228" t="str">
        <f t="array" ref="S189">IFERROR(INDEX('💻シート作成'!$D$6:$D1001, MATCH(T189, '💻シート作成'!$E$6:$E1001, 0)), "")</f>
        <v/>
      </c>
      <c r="T189" s="184"/>
      <c r="U189" s="664"/>
      <c r="V189" s="774"/>
      <c r="W189" s="661"/>
      <c r="X189" s="757"/>
      <c r="Y189" s="661"/>
      <c r="Z189" s="661"/>
    </row>
    <row r="190" ht="88.5" hidden="1" customHeight="1" outlineLevel="1">
      <c r="A190" s="661"/>
      <c r="B190" s="729"/>
      <c r="C190" s="730"/>
      <c r="D190" s="730"/>
      <c r="E190" s="730"/>
      <c r="F190" s="730"/>
      <c r="G190" s="731"/>
      <c r="H190" s="730"/>
      <c r="I190" s="730"/>
      <c r="J190" s="730"/>
      <c r="K190" s="730"/>
      <c r="L190" s="769"/>
      <c r="M190" s="769"/>
      <c r="N190" s="730"/>
      <c r="O190" s="733"/>
      <c r="Q190" s="728"/>
      <c r="R190" s="661"/>
      <c r="S190" s="228" t="str">
        <f t="array" ref="S190">IFERROR(INDEX('💻シート作成'!$D$6:$D1001, MATCH(T190, '💻シート作成'!$E$6:$E1001, 0)), "")</f>
        <v/>
      </c>
      <c r="T190" s="184"/>
      <c r="U190" s="664"/>
      <c r="V190" s="774"/>
      <c r="W190" s="661"/>
      <c r="X190" s="757"/>
      <c r="Y190" s="661"/>
      <c r="Z190" s="661"/>
    </row>
    <row r="191" ht="88.5" hidden="1" customHeight="1" outlineLevel="1">
      <c r="A191" s="661"/>
      <c r="B191" s="729"/>
      <c r="C191" s="730"/>
      <c r="D191" s="730"/>
      <c r="E191" s="730"/>
      <c r="F191" s="730"/>
      <c r="G191" s="731"/>
      <c r="H191" s="730"/>
      <c r="I191" s="730"/>
      <c r="J191" s="730"/>
      <c r="K191" s="730"/>
      <c r="L191" s="773"/>
      <c r="M191" s="769"/>
      <c r="N191" s="730"/>
      <c r="O191" s="733"/>
      <c r="Q191" s="728"/>
      <c r="R191" s="661"/>
      <c r="S191" s="228" t="str">
        <f t="array" ref="S191">IFERROR(INDEX('💻シート作成'!$D$6:$D1001, MATCH(T191, '💻シート作成'!$E$6:$E1001, 0)), "")</f>
        <v/>
      </c>
      <c r="T191" s="184"/>
      <c r="U191" s="664"/>
      <c r="V191" s="774"/>
      <c r="W191" s="661"/>
      <c r="X191" s="757"/>
      <c r="Y191" s="661"/>
      <c r="Z191" s="661"/>
    </row>
    <row r="192" ht="88.5" hidden="1" customHeight="1" outlineLevel="1">
      <c r="A192" s="661"/>
      <c r="B192" s="729"/>
      <c r="C192" s="730"/>
      <c r="D192" s="730"/>
      <c r="E192" s="730"/>
      <c r="F192" s="730"/>
      <c r="G192" s="731"/>
      <c r="H192" s="730"/>
      <c r="I192" s="730"/>
      <c r="J192" s="730"/>
      <c r="K192" s="730"/>
      <c r="L192" s="773"/>
      <c r="M192" s="769"/>
      <c r="N192" s="730"/>
      <c r="O192" s="733"/>
      <c r="Q192" s="728"/>
      <c r="R192" s="661"/>
      <c r="S192" s="228" t="str">
        <f t="array" ref="S192">IFERROR(INDEX('💻シート作成'!$D$6:$D1001, MATCH(T192, '💻シート作成'!$E$6:$E1001, 0)), "")</f>
        <v/>
      </c>
      <c r="T192" s="184"/>
      <c r="U192" s="664"/>
      <c r="V192" s="774"/>
      <c r="W192" s="661"/>
      <c r="X192" s="757"/>
      <c r="Y192" s="661"/>
      <c r="Z192" s="661"/>
    </row>
    <row r="193" ht="88.5" hidden="1" customHeight="1" outlineLevel="1">
      <c r="A193" s="661"/>
      <c r="B193" s="729"/>
      <c r="C193" s="730"/>
      <c r="D193" s="730"/>
      <c r="E193" s="730"/>
      <c r="F193" s="730"/>
      <c r="G193" s="731"/>
      <c r="H193" s="730"/>
      <c r="I193" s="730"/>
      <c r="J193" s="730"/>
      <c r="K193" s="730"/>
      <c r="L193" s="773"/>
      <c r="M193" s="769"/>
      <c r="N193" s="730"/>
      <c r="O193" s="733"/>
      <c r="Q193" s="728"/>
      <c r="R193" s="661"/>
      <c r="S193" s="228" t="str">
        <f t="array" ref="S193">IFERROR(INDEX('💻シート作成'!$D$6:$D1001, MATCH(T193, '💻シート作成'!$E$6:$E1001, 0)), "")</f>
        <v/>
      </c>
      <c r="T193" s="184"/>
      <c r="U193" s="664"/>
      <c r="V193" s="774"/>
      <c r="W193" s="661"/>
      <c r="X193" s="757"/>
      <c r="Y193" s="661"/>
      <c r="Z193" s="661"/>
    </row>
    <row r="194" ht="88.5" hidden="1" customHeight="1" outlineLevel="1">
      <c r="A194" s="661"/>
      <c r="B194" s="729"/>
      <c r="C194" s="730"/>
      <c r="D194" s="730"/>
      <c r="E194" s="730"/>
      <c r="F194" s="730"/>
      <c r="G194" s="731"/>
      <c r="H194" s="730"/>
      <c r="I194" s="730"/>
      <c r="J194" s="730"/>
      <c r="K194" s="730"/>
      <c r="L194" s="773"/>
      <c r="M194" s="769"/>
      <c r="N194" s="730"/>
      <c r="O194" s="733"/>
      <c r="Q194" s="728"/>
      <c r="R194" s="661"/>
      <c r="S194" s="228" t="str">
        <f t="array" ref="S194">IFERROR(INDEX('💻シート作成'!$D$6:$D1001, MATCH(T194, '💻シート作成'!$E$6:$E1001, 0)), "")</f>
        <v/>
      </c>
      <c r="T194" s="184"/>
      <c r="U194" s="664"/>
      <c r="V194" s="774"/>
      <c r="W194" s="661"/>
      <c r="X194" s="757"/>
      <c r="Y194" s="661"/>
      <c r="Z194" s="661"/>
    </row>
    <row r="195" ht="88.5" hidden="1" customHeight="1" outlineLevel="1">
      <c r="A195" s="661"/>
      <c r="B195" s="729"/>
      <c r="C195" s="730"/>
      <c r="D195" s="730"/>
      <c r="E195" s="730"/>
      <c r="F195" s="730"/>
      <c r="G195" s="731"/>
      <c r="H195" s="730"/>
      <c r="I195" s="730"/>
      <c r="J195" s="730"/>
      <c r="K195" s="730"/>
      <c r="L195" s="773"/>
      <c r="M195" s="769"/>
      <c r="N195" s="730"/>
      <c r="O195" s="733"/>
      <c r="Q195" s="728"/>
      <c r="R195" s="661"/>
      <c r="S195" s="228" t="str">
        <f t="array" ref="S195">IFERROR(INDEX('💻シート作成'!$D$6:$D1001, MATCH(T195, '💻シート作成'!$E$6:$E1001, 0)), "")</f>
        <v/>
      </c>
      <c r="T195" s="184"/>
      <c r="U195" s="664"/>
      <c r="V195" s="774"/>
      <c r="W195" s="661"/>
      <c r="X195" s="757"/>
      <c r="Y195" s="661"/>
      <c r="Z195" s="661"/>
    </row>
    <row r="196" ht="88.5" hidden="1" customHeight="1" outlineLevel="1">
      <c r="A196" s="661"/>
      <c r="B196" s="729"/>
      <c r="C196" s="730"/>
      <c r="D196" s="730"/>
      <c r="E196" s="730"/>
      <c r="F196" s="730"/>
      <c r="G196" s="731"/>
      <c r="H196" s="730"/>
      <c r="I196" s="730"/>
      <c r="J196" s="730"/>
      <c r="K196" s="730"/>
      <c r="L196" s="773"/>
      <c r="M196" s="769"/>
      <c r="N196" s="730"/>
      <c r="O196" s="733"/>
      <c r="Q196" s="728"/>
      <c r="R196" s="661"/>
      <c r="S196" s="228" t="str">
        <f t="array" ref="S196">IFERROR(INDEX('💻シート作成'!$D$6:$D1001, MATCH(T196, '💻シート作成'!$E$6:$E1001, 0)), "")</f>
        <v/>
      </c>
      <c r="T196" s="184"/>
      <c r="U196" s="664"/>
      <c r="V196" s="774"/>
      <c r="W196" s="661"/>
      <c r="X196" s="757"/>
      <c r="Y196" s="661"/>
      <c r="Z196" s="661"/>
    </row>
    <row r="197" ht="88.5" hidden="1" customHeight="1" outlineLevel="1">
      <c r="A197" s="661"/>
      <c r="B197" s="729"/>
      <c r="C197" s="730"/>
      <c r="D197" s="730"/>
      <c r="E197" s="730"/>
      <c r="F197" s="697"/>
      <c r="G197" s="698"/>
      <c r="H197" s="697"/>
      <c r="I197" s="697"/>
      <c r="J197" s="697"/>
      <c r="K197" s="697"/>
      <c r="L197" s="773"/>
      <c r="M197" s="769"/>
      <c r="N197" s="697"/>
      <c r="O197" s="700"/>
      <c r="P197" s="701"/>
      <c r="Q197" s="737"/>
      <c r="R197" s="661"/>
      <c r="S197" s="228" t="str">
        <f t="array" ref="S197">IFERROR(INDEX('💻シート作成'!$D$6:$D1001, MATCH(T197, '💻シート作成'!$E$6:$E1001, 0)), "")</f>
        <v/>
      </c>
      <c r="T197" s="184"/>
      <c r="U197" s="664"/>
      <c r="V197" s="774"/>
      <c r="W197" s="661"/>
      <c r="X197" s="757"/>
      <c r="Y197" s="661"/>
      <c r="Z197" s="661"/>
    </row>
    <row r="198" ht="18.0" hidden="1" customHeight="1" outlineLevel="1">
      <c r="A198" s="661"/>
      <c r="B198" s="738"/>
      <c r="C198" s="697"/>
      <c r="D198" s="697"/>
      <c r="E198" s="697"/>
      <c r="F198" s="739" t="s">
        <v>517</v>
      </c>
      <c r="G198" s="740" t="s">
        <v>791</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4"/>
      <c r="W198" s="661"/>
      <c r="X198" s="757"/>
      <c r="Y198" s="661"/>
      <c r="Z198" s="661"/>
    </row>
    <row r="199" ht="87.0" hidden="1" customHeight="1" outlineLevel="1">
      <c r="A199" s="661"/>
      <c r="B199" s="743"/>
      <c r="C199" s="744">
        <f>IF(C188="","",IF(DAY(C188+1)=1,"",C188+1))</f>
        <v>46071</v>
      </c>
      <c r="D199" s="745" t="str">
        <f>TEXT(C199,"ddd")</f>
        <v>水</v>
      </c>
      <c r="E199" s="746"/>
      <c r="F199" s="775" t="s">
        <v>132</v>
      </c>
      <c r="G199" s="946" t="s">
        <v>792</v>
      </c>
      <c r="H199" s="777"/>
      <c r="I199" s="778">
        <v>0.65625</v>
      </c>
      <c r="J199" s="777">
        <v>9.0</v>
      </c>
      <c r="K199" s="777">
        <v>2.0</v>
      </c>
      <c r="L199" s="755"/>
      <c r="M199" s="755"/>
      <c r="N199" s="775">
        <v>175.0</v>
      </c>
      <c r="O199" s="779"/>
      <c r="P199" s="771"/>
      <c r="Q199" s="772"/>
      <c r="R199" s="661"/>
      <c r="S199" s="228" t="str">
        <f t="array" ref="S199">IFERROR(INDEX('💻シート作成'!$D$6:$D1001, MATCH(T199, '💻シート作成'!$E$6:$E1001, 0)), "")</f>
        <v/>
      </c>
      <c r="T199" s="184"/>
      <c r="U199" s="664"/>
      <c r="V199" s="774"/>
      <c r="W199" s="661"/>
      <c r="X199" s="757"/>
      <c r="Y199" s="661"/>
      <c r="Z199" s="661"/>
    </row>
    <row r="200" ht="87.0" hidden="1" customHeight="1" outlineLevel="1">
      <c r="A200" s="661"/>
      <c r="B200" s="729"/>
      <c r="C200" s="730"/>
      <c r="D200" s="730"/>
      <c r="E200" s="730"/>
      <c r="F200" s="730"/>
      <c r="G200" s="731"/>
      <c r="H200" s="730"/>
      <c r="I200" s="730"/>
      <c r="J200" s="730"/>
      <c r="K200" s="730"/>
      <c r="L200" s="755"/>
      <c r="M200" s="755"/>
      <c r="N200" s="730"/>
      <c r="O200" s="733"/>
      <c r="Q200" s="728"/>
      <c r="R200" s="661"/>
      <c r="S200" s="228" t="str">
        <f t="array" ref="S200">IFERROR(INDEX('💻シート作成'!$D$6:$D1001, MATCH(T200, '💻シート作成'!$E$6:$E1001, 0)), "")</f>
        <v/>
      </c>
      <c r="T200" s="184"/>
      <c r="U200" s="664"/>
      <c r="V200" s="774"/>
      <c r="W200" s="661"/>
      <c r="X200" s="757"/>
      <c r="Y200" s="661"/>
      <c r="Z200" s="661"/>
    </row>
    <row r="201" ht="87.0" hidden="1" customHeight="1" outlineLevel="1">
      <c r="A201" s="661"/>
      <c r="B201" s="729"/>
      <c r="C201" s="730"/>
      <c r="D201" s="730"/>
      <c r="E201" s="730"/>
      <c r="F201" s="730"/>
      <c r="G201" s="731"/>
      <c r="H201" s="730"/>
      <c r="I201" s="730"/>
      <c r="J201" s="730"/>
      <c r="K201" s="730"/>
      <c r="L201" s="755"/>
      <c r="M201" s="755"/>
      <c r="N201" s="730"/>
      <c r="O201" s="733"/>
      <c r="Q201" s="728"/>
      <c r="R201" s="661"/>
      <c r="S201" s="228" t="str">
        <f t="array" ref="S201">IFERROR(INDEX('💻シート作成'!$D$6:$D1001, MATCH(T201, '💻シート作成'!$E$6:$E1001, 0)), "")</f>
        <v/>
      </c>
      <c r="T201" s="184"/>
      <c r="U201" s="664"/>
      <c r="V201" s="774"/>
      <c r="W201" s="661"/>
      <c r="X201" s="757"/>
      <c r="Y201" s="661"/>
      <c r="Z201" s="661"/>
    </row>
    <row r="202" ht="87.0" hidden="1" customHeight="1" outlineLevel="1">
      <c r="A202" s="661"/>
      <c r="B202" s="729"/>
      <c r="C202" s="730"/>
      <c r="D202" s="730"/>
      <c r="E202" s="730"/>
      <c r="F202" s="730"/>
      <c r="G202" s="731"/>
      <c r="H202" s="730"/>
      <c r="I202" s="730"/>
      <c r="J202" s="730"/>
      <c r="K202" s="730"/>
      <c r="L202" s="756"/>
      <c r="M202" s="755"/>
      <c r="N202" s="730"/>
      <c r="O202" s="733"/>
      <c r="Q202" s="728"/>
      <c r="R202" s="661"/>
      <c r="S202" s="228" t="str">
        <f t="array" ref="S202">IFERROR(INDEX('💻シート作成'!$D$6:$D1001, MATCH(T202, '💻シート作成'!$E$6:$E1001, 0)), "")</f>
        <v/>
      </c>
      <c r="T202" s="184"/>
      <c r="U202" s="664"/>
      <c r="V202" s="774"/>
      <c r="W202" s="661"/>
      <c r="X202" s="757"/>
      <c r="Y202" s="661"/>
      <c r="Z202" s="661"/>
    </row>
    <row r="203" ht="87.0" hidden="1" customHeight="1" outlineLevel="1">
      <c r="A203" s="661"/>
      <c r="B203" s="729"/>
      <c r="C203" s="730"/>
      <c r="D203" s="730"/>
      <c r="E203" s="730"/>
      <c r="F203" s="730"/>
      <c r="G203" s="731"/>
      <c r="H203" s="730"/>
      <c r="I203" s="730"/>
      <c r="J203" s="730"/>
      <c r="K203" s="730"/>
      <c r="L203" s="756"/>
      <c r="M203" s="755"/>
      <c r="N203" s="730"/>
      <c r="O203" s="733"/>
      <c r="Q203" s="728"/>
      <c r="R203" s="661"/>
      <c r="S203" s="228" t="str">
        <f t="array" ref="S203">IFERROR(INDEX('💻シート作成'!$D$6:$D1001, MATCH(T203, '💻シート作成'!$E$6:$E1001, 0)), "")</f>
        <v/>
      </c>
      <c r="T203" s="184"/>
      <c r="U203" s="664"/>
      <c r="V203" s="774"/>
      <c r="W203" s="661"/>
      <c r="X203" s="757"/>
      <c r="Y203" s="661"/>
      <c r="Z203" s="661"/>
    </row>
    <row r="204" ht="87.0" hidden="1" customHeight="1" outlineLevel="1">
      <c r="A204" s="661"/>
      <c r="B204" s="729"/>
      <c r="C204" s="730"/>
      <c r="D204" s="730"/>
      <c r="E204" s="730"/>
      <c r="F204" s="730"/>
      <c r="G204" s="731"/>
      <c r="H204" s="730"/>
      <c r="I204" s="730"/>
      <c r="J204" s="730"/>
      <c r="K204" s="730"/>
      <c r="L204" s="756"/>
      <c r="M204" s="755"/>
      <c r="N204" s="730"/>
      <c r="O204" s="733"/>
      <c r="Q204" s="728"/>
      <c r="R204" s="661"/>
      <c r="S204" s="228" t="str">
        <f t="array" ref="S204">IFERROR(INDEX('💻シート作成'!$D$6:$D1001, MATCH(T204, '💻シート作成'!$E$6:$E1001, 0)), "")</f>
        <v/>
      </c>
      <c r="T204" s="184"/>
      <c r="U204" s="664"/>
      <c r="V204" s="774"/>
      <c r="W204" s="661"/>
      <c r="X204" s="757"/>
      <c r="Y204" s="661"/>
      <c r="Z204" s="661"/>
    </row>
    <row r="205" ht="87.0" hidden="1" customHeight="1" outlineLevel="1">
      <c r="A205" s="661"/>
      <c r="B205" s="729"/>
      <c r="C205" s="730"/>
      <c r="D205" s="730"/>
      <c r="E205" s="730"/>
      <c r="F205" s="730"/>
      <c r="G205" s="731"/>
      <c r="H205" s="730"/>
      <c r="I205" s="730"/>
      <c r="J205" s="730"/>
      <c r="K205" s="730"/>
      <c r="L205" s="756"/>
      <c r="M205" s="755"/>
      <c r="N205" s="730"/>
      <c r="O205" s="733"/>
      <c r="Q205" s="728"/>
      <c r="R205" s="661"/>
      <c r="S205" s="228" t="str">
        <f t="array" ref="S205">IFERROR(INDEX('💻シート作成'!$D$6:$D1001, MATCH(T205, '💻シート作成'!$E$6:$E1001, 0)), "")</f>
        <v/>
      </c>
      <c r="T205" s="184"/>
      <c r="U205" s="664"/>
      <c r="V205" s="774"/>
      <c r="W205" s="661"/>
      <c r="X205" s="757"/>
      <c r="Y205" s="661"/>
      <c r="Z205" s="661"/>
    </row>
    <row r="206" ht="87.0" hidden="1" customHeight="1" outlineLevel="1">
      <c r="A206" s="661"/>
      <c r="B206" s="729"/>
      <c r="C206" s="730"/>
      <c r="D206" s="730"/>
      <c r="E206" s="730"/>
      <c r="F206" s="730"/>
      <c r="G206" s="731"/>
      <c r="H206" s="730"/>
      <c r="I206" s="730"/>
      <c r="J206" s="730"/>
      <c r="K206" s="730"/>
      <c r="L206" s="756"/>
      <c r="M206" s="755"/>
      <c r="N206" s="730"/>
      <c r="O206" s="733"/>
      <c r="Q206" s="728"/>
      <c r="R206" s="661"/>
      <c r="S206" s="228" t="str">
        <f t="array" ref="S206">IFERROR(INDEX('💻シート作成'!$D$6:$D1001, MATCH(T206, '💻シート作成'!$E$6:$E1001, 0)), "")</f>
        <v/>
      </c>
      <c r="T206" s="184"/>
      <c r="U206" s="664"/>
      <c r="V206" s="774"/>
      <c r="W206" s="661"/>
      <c r="X206" s="757"/>
      <c r="Y206" s="661"/>
      <c r="Z206" s="661"/>
    </row>
    <row r="207" ht="87.0" hidden="1" customHeight="1" outlineLevel="1">
      <c r="A207" s="661"/>
      <c r="B207" s="729"/>
      <c r="C207" s="730"/>
      <c r="D207" s="730"/>
      <c r="E207" s="730"/>
      <c r="F207" s="730"/>
      <c r="G207" s="731"/>
      <c r="H207" s="730"/>
      <c r="I207" s="730"/>
      <c r="J207" s="730"/>
      <c r="K207" s="730"/>
      <c r="L207" s="756"/>
      <c r="M207" s="755"/>
      <c r="N207" s="730"/>
      <c r="O207" s="733"/>
      <c r="Q207" s="728"/>
      <c r="R207" s="661"/>
      <c r="S207" s="228" t="str">
        <f t="array" ref="S207">IFERROR(INDEX('💻シート作成'!$D$6:$D1001, MATCH(T207, '💻シート作成'!$E$6:$E1001, 0)), "")</f>
        <v/>
      </c>
      <c r="T207" s="184"/>
      <c r="U207" s="664"/>
      <c r="V207" s="774"/>
      <c r="W207" s="661"/>
      <c r="X207" s="757"/>
      <c r="Y207" s="661"/>
      <c r="Z207" s="661"/>
    </row>
    <row r="208" ht="87.0" hidden="1" customHeight="1" outlineLevel="1">
      <c r="A208" s="661"/>
      <c r="B208" s="729"/>
      <c r="C208" s="730"/>
      <c r="D208" s="730"/>
      <c r="E208" s="730"/>
      <c r="F208" s="697"/>
      <c r="G208" s="698"/>
      <c r="H208" s="697"/>
      <c r="I208" s="697"/>
      <c r="J208" s="697"/>
      <c r="K208" s="697"/>
      <c r="L208" s="756"/>
      <c r="M208" s="755"/>
      <c r="N208" s="697"/>
      <c r="O208" s="700"/>
      <c r="P208" s="701"/>
      <c r="Q208" s="737"/>
      <c r="R208" s="661"/>
      <c r="S208" s="228" t="str">
        <f t="array" ref="S208">IFERROR(INDEX('💻シート作成'!$D$6:$D1001, MATCH(T208, '💻シート作成'!$E$6:$E1001, 0)), "")</f>
        <v/>
      </c>
      <c r="T208" s="184"/>
      <c r="U208" s="664"/>
      <c r="V208" s="774"/>
      <c r="W208" s="661"/>
      <c r="X208" s="757"/>
      <c r="Y208" s="661"/>
      <c r="Z208" s="661"/>
    </row>
    <row r="209" ht="18.0" hidden="1" customHeight="1" outlineLevel="1">
      <c r="A209" s="661"/>
      <c r="B209" s="738"/>
      <c r="C209" s="697"/>
      <c r="D209" s="697"/>
      <c r="E209" s="697"/>
      <c r="F209" s="758" t="s">
        <v>517</v>
      </c>
      <c r="G209" s="759" t="s">
        <v>793</v>
      </c>
      <c r="H209" s="741"/>
      <c r="I209" s="741"/>
      <c r="J209" s="741"/>
      <c r="K209" s="741"/>
      <c r="L209" s="759"/>
      <c r="M209" s="759"/>
      <c r="N209" s="759"/>
      <c r="O209" s="759"/>
      <c r="P209" s="759"/>
      <c r="Q209" s="760"/>
      <c r="R209" s="661"/>
      <c r="S209" s="228" t="str">
        <f t="array" ref="S209">IFERROR(INDEX('💻シート作成'!$D$6:$D1001, MATCH(T209, '💻シート作成'!$E$6:$E1001, 0)), "")</f>
        <v/>
      </c>
      <c r="T209" s="184"/>
      <c r="U209" s="664"/>
      <c r="V209" s="774"/>
      <c r="W209" s="661"/>
      <c r="X209" s="757"/>
      <c r="Y209" s="661"/>
      <c r="Z209" s="661"/>
    </row>
    <row r="210" ht="60.0" hidden="1" customHeight="1" outlineLevel="1">
      <c r="A210" s="661"/>
      <c r="B210" s="761"/>
      <c r="C210" s="762">
        <f>IF(C199="","",IF(DAY(C199+1)=1,"",C199+1))</f>
        <v>46072</v>
      </c>
      <c r="D210" s="763" t="str">
        <f>TEXT(C210,"ddd")</f>
        <v>木</v>
      </c>
      <c r="E210" s="764"/>
      <c r="F210" s="765" t="s">
        <v>132</v>
      </c>
      <c r="G210" s="766" t="s">
        <v>794</v>
      </c>
      <c r="H210" s="767"/>
      <c r="I210" s="768">
        <v>0.6666666666666666</v>
      </c>
      <c r="J210" s="767">
        <v>9.0</v>
      </c>
      <c r="K210" s="767">
        <v>4.0</v>
      </c>
      <c r="L210" s="769" t="s">
        <v>476</v>
      </c>
      <c r="M210" s="769" t="s">
        <v>795</v>
      </c>
      <c r="N210" s="765">
        <v>120.0</v>
      </c>
      <c r="O210" s="770"/>
      <c r="P210" s="771"/>
      <c r="Q210" s="772"/>
      <c r="R210" s="661"/>
      <c r="S210" s="228" t="str">
        <f t="array" ref="S210">IFERROR(INDEX('💻シート作成'!$D$6:$D1001, MATCH(T210, '💻シート作成'!$E$6:$E1001, 0)), "")</f>
        <v/>
      </c>
      <c r="T210" s="184"/>
      <c r="U210" s="664"/>
      <c r="V210" s="774"/>
      <c r="W210" s="661"/>
      <c r="X210" s="757"/>
      <c r="Y210" s="661"/>
      <c r="Z210" s="661"/>
    </row>
    <row r="211" ht="60.0" hidden="1" customHeight="1" outlineLevel="1">
      <c r="A211" s="661"/>
      <c r="B211" s="729"/>
      <c r="C211" s="730"/>
      <c r="D211" s="730"/>
      <c r="E211" s="730"/>
      <c r="F211" s="730"/>
      <c r="G211" s="731"/>
      <c r="H211" s="730"/>
      <c r="I211" s="730"/>
      <c r="J211" s="730"/>
      <c r="K211" s="730"/>
      <c r="L211" s="769"/>
      <c r="M211" s="769"/>
      <c r="N211" s="730"/>
      <c r="O211" s="733"/>
      <c r="Q211" s="728"/>
      <c r="R211" s="661"/>
      <c r="S211" s="228" t="str">
        <f t="array" ref="S211">IFERROR(INDEX('💻シート作成'!$D$6:$D1001, MATCH(T211, '💻シート作成'!$E$6:$E1001, 0)), "")</f>
        <v/>
      </c>
      <c r="T211" s="184"/>
      <c r="U211" s="664"/>
      <c r="V211" s="774"/>
      <c r="W211" s="661"/>
      <c r="X211" s="757"/>
      <c r="Y211" s="661"/>
      <c r="Z211" s="661"/>
    </row>
    <row r="212" ht="60.0" hidden="1" customHeight="1" outlineLevel="1">
      <c r="A212" s="661"/>
      <c r="B212" s="729"/>
      <c r="C212" s="730"/>
      <c r="D212" s="730"/>
      <c r="E212" s="730"/>
      <c r="F212" s="730"/>
      <c r="G212" s="731"/>
      <c r="H212" s="730"/>
      <c r="I212" s="730"/>
      <c r="J212" s="730"/>
      <c r="K212" s="730"/>
      <c r="L212" s="769"/>
      <c r="M212" s="769"/>
      <c r="N212" s="730"/>
      <c r="O212" s="733"/>
      <c r="Q212" s="728"/>
      <c r="R212" s="661"/>
      <c r="S212" s="228" t="str">
        <f t="array" ref="S212">IFERROR(INDEX('💻シート作成'!$D$6:$D1001, MATCH(T212, '💻シート作成'!$E$6:$E1001, 0)), "")</f>
        <v/>
      </c>
      <c r="T212" s="184"/>
      <c r="U212" s="664"/>
      <c r="V212" s="774"/>
      <c r="W212" s="661"/>
      <c r="X212" s="757"/>
      <c r="Y212" s="661"/>
      <c r="Z212" s="661"/>
    </row>
    <row r="213" ht="60.0" hidden="1" customHeight="1" outlineLevel="1">
      <c r="A213" s="661"/>
      <c r="B213" s="729"/>
      <c r="C213" s="730"/>
      <c r="D213" s="730"/>
      <c r="E213" s="730"/>
      <c r="F213" s="730"/>
      <c r="G213" s="731"/>
      <c r="H213" s="730"/>
      <c r="I213" s="730"/>
      <c r="J213" s="730"/>
      <c r="K213" s="730"/>
      <c r="L213" s="773"/>
      <c r="M213" s="769"/>
      <c r="N213" s="730"/>
      <c r="O213" s="733"/>
      <c r="Q213" s="728"/>
      <c r="R213" s="661"/>
      <c r="S213" s="228" t="str">
        <f t="array" ref="S213">IFERROR(INDEX('💻シート作成'!$D$6:$D1001, MATCH(T213, '💻シート作成'!$E$6:$E1001, 0)), "")</f>
        <v/>
      </c>
      <c r="T213" s="184"/>
      <c r="U213" s="664"/>
      <c r="V213" s="774"/>
      <c r="W213" s="661"/>
      <c r="X213" s="757"/>
      <c r="Y213" s="661"/>
      <c r="Z213" s="661"/>
    </row>
    <row r="214" ht="60.0" hidden="1" customHeight="1" outlineLevel="1">
      <c r="A214" s="661"/>
      <c r="B214" s="729"/>
      <c r="C214" s="730"/>
      <c r="D214" s="730"/>
      <c r="E214" s="730"/>
      <c r="F214" s="730"/>
      <c r="G214" s="731"/>
      <c r="H214" s="730"/>
      <c r="I214" s="730"/>
      <c r="J214" s="730"/>
      <c r="K214" s="730"/>
      <c r="L214" s="773"/>
      <c r="M214" s="769"/>
      <c r="N214" s="730"/>
      <c r="O214" s="733"/>
      <c r="Q214" s="728"/>
      <c r="R214" s="661"/>
      <c r="S214" s="228" t="str">
        <f t="array" ref="S214">IFERROR(INDEX('💻シート作成'!$D$6:$D1001, MATCH(T214, '💻シート作成'!$E$6:$E1001, 0)), "")</f>
        <v/>
      </c>
      <c r="T214" s="184"/>
      <c r="U214" s="664"/>
      <c r="V214" s="774"/>
      <c r="W214" s="661"/>
      <c r="X214" s="757"/>
      <c r="Y214" s="661"/>
      <c r="Z214" s="661"/>
    </row>
    <row r="215" ht="60.0" hidden="1" customHeight="1" outlineLevel="1">
      <c r="A215" s="661"/>
      <c r="B215" s="729"/>
      <c r="C215" s="730"/>
      <c r="D215" s="730"/>
      <c r="E215" s="730"/>
      <c r="F215" s="730"/>
      <c r="G215" s="731"/>
      <c r="H215" s="730"/>
      <c r="I215" s="730"/>
      <c r="J215" s="730"/>
      <c r="K215" s="730"/>
      <c r="L215" s="773"/>
      <c r="M215" s="769"/>
      <c r="N215" s="730"/>
      <c r="O215" s="733"/>
      <c r="Q215" s="728"/>
      <c r="R215" s="661"/>
      <c r="S215" s="228" t="str">
        <f t="array" ref="S215">IFERROR(INDEX('💻シート作成'!$D$6:$D1001, MATCH(T215, '💻シート作成'!$E$6:$E1001, 0)), "")</f>
        <v/>
      </c>
      <c r="T215" s="184"/>
      <c r="U215" s="664"/>
      <c r="V215" s="774"/>
      <c r="W215" s="661"/>
      <c r="X215" s="757"/>
      <c r="Y215" s="661"/>
      <c r="Z215" s="661"/>
    </row>
    <row r="216" ht="60.0" hidden="1" customHeight="1" outlineLevel="1">
      <c r="A216" s="661"/>
      <c r="B216" s="729"/>
      <c r="C216" s="730"/>
      <c r="D216" s="730"/>
      <c r="E216" s="730"/>
      <c r="F216" s="730"/>
      <c r="G216" s="731"/>
      <c r="H216" s="730"/>
      <c r="I216" s="730"/>
      <c r="J216" s="730"/>
      <c r="K216" s="730"/>
      <c r="L216" s="773"/>
      <c r="M216" s="769"/>
      <c r="N216" s="730"/>
      <c r="O216" s="733"/>
      <c r="Q216" s="728"/>
      <c r="R216" s="661"/>
      <c r="S216" s="228" t="str">
        <f t="array" ref="S216">IFERROR(INDEX('💻シート作成'!$D$6:$D1001, MATCH(T216, '💻シート作成'!$E$6:$E1001, 0)), "")</f>
        <v/>
      </c>
      <c r="T216" s="184"/>
      <c r="U216" s="664"/>
      <c r="V216" s="774"/>
      <c r="W216" s="661"/>
      <c r="X216" s="757"/>
      <c r="Y216" s="661"/>
      <c r="Z216" s="661"/>
    </row>
    <row r="217" ht="60.0" hidden="1" customHeight="1" outlineLevel="1">
      <c r="A217" s="661"/>
      <c r="B217" s="729"/>
      <c r="C217" s="730"/>
      <c r="D217" s="730"/>
      <c r="E217" s="730"/>
      <c r="F217" s="730"/>
      <c r="G217" s="731"/>
      <c r="H217" s="730"/>
      <c r="I217" s="730"/>
      <c r="J217" s="730"/>
      <c r="K217" s="730"/>
      <c r="L217" s="773"/>
      <c r="M217" s="769"/>
      <c r="N217" s="730"/>
      <c r="O217" s="733"/>
      <c r="Q217" s="728"/>
      <c r="R217" s="661"/>
      <c r="S217" s="228" t="str">
        <f t="array" ref="S217">IFERROR(INDEX('💻シート作成'!$D$6:$D1001, MATCH(T217, '💻シート作成'!$E$6:$E1001, 0)), "")</f>
        <v/>
      </c>
      <c r="T217" s="184"/>
      <c r="U217" s="664"/>
      <c r="V217" s="774"/>
      <c r="W217" s="661"/>
      <c r="X217" s="757"/>
      <c r="Y217" s="661"/>
      <c r="Z217" s="661"/>
    </row>
    <row r="218" ht="60.0" hidden="1" customHeight="1" outlineLevel="1">
      <c r="A218" s="661"/>
      <c r="B218" s="729"/>
      <c r="C218" s="730"/>
      <c r="D218" s="730"/>
      <c r="E218" s="730"/>
      <c r="F218" s="730"/>
      <c r="G218" s="731"/>
      <c r="H218" s="730"/>
      <c r="I218" s="730"/>
      <c r="J218" s="730"/>
      <c r="K218" s="730"/>
      <c r="L218" s="773"/>
      <c r="M218" s="769"/>
      <c r="N218" s="730"/>
      <c r="O218" s="733"/>
      <c r="Q218" s="728"/>
      <c r="R218" s="661"/>
      <c r="S218" s="228" t="str">
        <f t="array" ref="S218">IFERROR(INDEX('💻シート作成'!$D$6:$D1001, MATCH(T218, '💻シート作成'!$E$6:$E1001, 0)), "")</f>
        <v/>
      </c>
      <c r="T218" s="184"/>
      <c r="U218" s="664"/>
      <c r="V218" s="774"/>
      <c r="W218" s="661"/>
      <c r="X218" s="757"/>
      <c r="Y218" s="661"/>
      <c r="Z218" s="661"/>
    </row>
    <row r="219" ht="60.0" hidden="1" customHeight="1" outlineLevel="1">
      <c r="A219" s="661"/>
      <c r="B219" s="729"/>
      <c r="C219" s="730"/>
      <c r="D219" s="730"/>
      <c r="E219" s="730"/>
      <c r="F219" s="697"/>
      <c r="G219" s="698"/>
      <c r="H219" s="697"/>
      <c r="I219" s="697"/>
      <c r="J219" s="697"/>
      <c r="K219" s="697"/>
      <c r="L219" s="773"/>
      <c r="M219" s="769"/>
      <c r="N219" s="697"/>
      <c r="O219" s="700"/>
      <c r="P219" s="701"/>
      <c r="Q219" s="737"/>
      <c r="R219" s="661"/>
      <c r="S219" s="228" t="str">
        <f t="array" ref="S219">IFERROR(INDEX('💻シート作成'!$D$6:$D1001, MATCH(T219, '💻シート作成'!$E$6:$E1001, 0)), "")</f>
        <v/>
      </c>
      <c r="T219" s="184"/>
      <c r="U219" s="664"/>
      <c r="V219" s="774"/>
      <c r="W219" s="661"/>
      <c r="X219" s="757"/>
      <c r="Y219" s="661"/>
      <c r="Z219" s="661"/>
    </row>
    <row r="220" ht="18.0" hidden="1" customHeight="1" outlineLevel="1">
      <c r="A220" s="661"/>
      <c r="B220" s="738"/>
      <c r="C220" s="697"/>
      <c r="D220" s="697"/>
      <c r="E220" s="697"/>
      <c r="F220" s="739" t="s">
        <v>517</v>
      </c>
      <c r="G220" s="740" t="s">
        <v>796</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4"/>
      <c r="W220" s="661"/>
      <c r="X220" s="757"/>
      <c r="Y220" s="661"/>
      <c r="Z220" s="661"/>
    </row>
    <row r="221" ht="63.0" hidden="1" customHeight="1" outlineLevel="1">
      <c r="A221" s="661"/>
      <c r="B221" s="743"/>
      <c r="C221" s="744">
        <f>IF(C210="","",IF(DAY(C210+1)=1,"",C210+1))</f>
        <v>46073</v>
      </c>
      <c r="D221" s="745" t="str">
        <f>TEXT(C221,"ddd")</f>
        <v>金</v>
      </c>
      <c r="E221" s="947" t="s">
        <v>797</v>
      </c>
      <c r="F221" s="775" t="s">
        <v>132</v>
      </c>
      <c r="G221" s="776" t="s">
        <v>798</v>
      </c>
      <c r="H221" s="777">
        <v>1.0</v>
      </c>
      <c r="I221" s="778">
        <v>0.6979166666666666</v>
      </c>
      <c r="J221" s="777">
        <v>8.0</v>
      </c>
      <c r="K221" s="777">
        <v>1.0</v>
      </c>
      <c r="L221" s="755"/>
      <c r="M221" s="755"/>
      <c r="N221" s="775" t="s">
        <v>799</v>
      </c>
      <c r="O221" s="779"/>
      <c r="P221" s="771"/>
      <c r="Q221" s="772"/>
      <c r="R221" s="661"/>
      <c r="S221" s="228" t="str">
        <f t="array" ref="S221">IFERROR(INDEX('💻シート作成'!$D$6:$D1001, MATCH(T221, '💻シート作成'!$E$6:$E1001, 0)), "")</f>
        <v/>
      </c>
      <c r="T221" s="184"/>
      <c r="U221" s="664"/>
      <c r="V221" s="774"/>
      <c r="W221" s="661"/>
      <c r="X221" s="757"/>
      <c r="Y221" s="661"/>
      <c r="Z221" s="661"/>
    </row>
    <row r="222" ht="63.0" hidden="1" customHeight="1" outlineLevel="1">
      <c r="A222" s="661"/>
      <c r="B222" s="729"/>
      <c r="C222" s="730"/>
      <c r="D222" s="730"/>
      <c r="E222" s="730"/>
      <c r="F222" s="730"/>
      <c r="G222" s="731"/>
      <c r="H222" s="730"/>
      <c r="I222" s="730"/>
      <c r="J222" s="730"/>
      <c r="K222" s="730"/>
      <c r="L222" s="755"/>
      <c r="M222" s="755"/>
      <c r="N222" s="730"/>
      <c r="O222" s="733"/>
      <c r="Q222" s="728"/>
      <c r="R222" s="661"/>
      <c r="S222" s="228" t="str">
        <f t="array" ref="S222">IFERROR(INDEX('💻シート作成'!$D$6:$D1001, MATCH(T222, '💻シート作成'!$E$6:$E1001, 0)), "")</f>
        <v/>
      </c>
      <c r="T222" s="184"/>
      <c r="U222" s="664"/>
      <c r="V222" s="774"/>
      <c r="W222" s="661"/>
      <c r="X222" s="757"/>
      <c r="Y222" s="661"/>
      <c r="Z222" s="661"/>
    </row>
    <row r="223" ht="63.0" hidden="1" customHeight="1" outlineLevel="1">
      <c r="A223" s="661"/>
      <c r="B223" s="729"/>
      <c r="C223" s="730"/>
      <c r="D223" s="730"/>
      <c r="E223" s="730"/>
      <c r="F223" s="730"/>
      <c r="G223" s="731"/>
      <c r="H223" s="730"/>
      <c r="I223" s="730"/>
      <c r="J223" s="730"/>
      <c r="K223" s="730"/>
      <c r="L223" s="755"/>
      <c r="M223" s="755"/>
      <c r="N223" s="730"/>
      <c r="O223" s="733"/>
      <c r="Q223" s="728"/>
      <c r="R223" s="661"/>
      <c r="S223" s="228" t="str">
        <f t="array" ref="S223">IFERROR(INDEX('💻シート作成'!$D$6:$D1001, MATCH(T223, '💻シート作成'!$E$6:$E1001, 0)), "")</f>
        <v/>
      </c>
      <c r="T223" s="184"/>
      <c r="U223" s="664"/>
      <c r="V223" s="774"/>
      <c r="W223" s="661"/>
      <c r="X223" s="757"/>
      <c r="Y223" s="661"/>
      <c r="Z223" s="661"/>
    </row>
    <row r="224" ht="63.0" hidden="1" customHeight="1" outlineLevel="1">
      <c r="A224" s="661"/>
      <c r="B224" s="729"/>
      <c r="C224" s="730"/>
      <c r="D224" s="730"/>
      <c r="E224" s="730"/>
      <c r="F224" s="730"/>
      <c r="G224" s="731"/>
      <c r="H224" s="730"/>
      <c r="I224" s="730"/>
      <c r="J224" s="730"/>
      <c r="K224" s="730"/>
      <c r="L224" s="756"/>
      <c r="M224" s="755"/>
      <c r="N224" s="730"/>
      <c r="O224" s="733"/>
      <c r="Q224" s="728"/>
      <c r="R224" s="661"/>
      <c r="S224" s="228" t="str">
        <f t="array" ref="S224">IFERROR(INDEX('💻シート作成'!$D$6:$D1001, MATCH(T224, '💻シート作成'!$E$6:$E1001, 0)), "")</f>
        <v/>
      </c>
      <c r="T224" s="184"/>
      <c r="U224" s="664"/>
      <c r="V224" s="774"/>
      <c r="W224" s="661"/>
      <c r="X224" s="757"/>
      <c r="Y224" s="661"/>
      <c r="Z224" s="661"/>
    </row>
    <row r="225" ht="63.0" hidden="1" customHeight="1" outlineLevel="1">
      <c r="A225" s="661"/>
      <c r="B225" s="729"/>
      <c r="C225" s="730"/>
      <c r="D225" s="730"/>
      <c r="E225" s="730"/>
      <c r="F225" s="730"/>
      <c r="G225" s="731"/>
      <c r="H225" s="730"/>
      <c r="I225" s="730"/>
      <c r="J225" s="730"/>
      <c r="K225" s="730"/>
      <c r="L225" s="756"/>
      <c r="M225" s="755"/>
      <c r="N225" s="730"/>
      <c r="O225" s="733"/>
      <c r="Q225" s="728"/>
      <c r="R225" s="661"/>
      <c r="S225" s="228" t="str">
        <f t="array" ref="S225">IFERROR(INDEX('💻シート作成'!$D$6:$D1001, MATCH(T225, '💻シート作成'!$E$6:$E1001, 0)), "")</f>
        <v/>
      </c>
      <c r="T225" s="184"/>
      <c r="U225" s="664"/>
      <c r="V225" s="774"/>
      <c r="W225" s="661"/>
      <c r="X225" s="757"/>
      <c r="Y225" s="661"/>
      <c r="Z225" s="661"/>
    </row>
    <row r="226" ht="63.0" hidden="1" customHeight="1" outlineLevel="1">
      <c r="A226" s="661"/>
      <c r="B226" s="729"/>
      <c r="C226" s="730"/>
      <c r="D226" s="730"/>
      <c r="E226" s="730"/>
      <c r="F226" s="730"/>
      <c r="G226" s="731"/>
      <c r="H226" s="730"/>
      <c r="I226" s="730"/>
      <c r="J226" s="730"/>
      <c r="K226" s="730"/>
      <c r="L226" s="756"/>
      <c r="M226" s="755"/>
      <c r="N226" s="730"/>
      <c r="O226" s="733"/>
      <c r="Q226" s="728"/>
      <c r="R226" s="661"/>
      <c r="S226" s="228" t="str">
        <f t="array" ref="S226">IFERROR(INDEX('💻シート作成'!$D$6:$D1001, MATCH(T226, '💻シート作成'!$E$6:$E1001, 0)), "")</f>
        <v/>
      </c>
      <c r="T226" s="184"/>
      <c r="U226" s="664"/>
      <c r="V226" s="774"/>
      <c r="W226" s="661"/>
      <c r="X226" s="757"/>
      <c r="Y226" s="661"/>
      <c r="Z226" s="661"/>
    </row>
    <row r="227" ht="63.0" hidden="1" customHeight="1" outlineLevel="1">
      <c r="A227" s="661"/>
      <c r="B227" s="729"/>
      <c r="C227" s="730"/>
      <c r="D227" s="730"/>
      <c r="E227" s="730"/>
      <c r="F227" s="730"/>
      <c r="G227" s="731"/>
      <c r="H227" s="730"/>
      <c r="I227" s="730"/>
      <c r="J227" s="730"/>
      <c r="K227" s="730"/>
      <c r="L227" s="756"/>
      <c r="M227" s="755"/>
      <c r="N227" s="730"/>
      <c r="O227" s="733"/>
      <c r="Q227" s="728"/>
      <c r="R227" s="661"/>
      <c r="S227" s="228" t="str">
        <f t="array" ref="S227">IFERROR(INDEX('💻シート作成'!$D$6:$D1001, MATCH(T227, '💻シート作成'!$E$6:$E1001, 0)), "")</f>
        <v/>
      </c>
      <c r="T227" s="184"/>
      <c r="U227" s="664"/>
      <c r="V227" s="774"/>
      <c r="W227" s="661"/>
      <c r="X227" s="757"/>
      <c r="Y227" s="661"/>
      <c r="Z227" s="661"/>
    </row>
    <row r="228" ht="63.0" hidden="1" customHeight="1" outlineLevel="1">
      <c r="A228" s="661"/>
      <c r="B228" s="729"/>
      <c r="C228" s="730"/>
      <c r="D228" s="730"/>
      <c r="E228" s="730"/>
      <c r="F228" s="730"/>
      <c r="G228" s="731"/>
      <c r="H228" s="730"/>
      <c r="I228" s="730"/>
      <c r="J228" s="730"/>
      <c r="K228" s="730"/>
      <c r="L228" s="756"/>
      <c r="M228" s="755"/>
      <c r="N228" s="730"/>
      <c r="O228" s="733"/>
      <c r="Q228" s="728"/>
      <c r="R228" s="661"/>
      <c r="S228" s="228" t="str">
        <f t="array" ref="S228">IFERROR(INDEX('💻シート作成'!$D$6:$D1001, MATCH(T228, '💻シート作成'!$E$6:$E1001, 0)), "")</f>
        <v/>
      </c>
      <c r="T228" s="184"/>
      <c r="U228" s="664"/>
      <c r="V228" s="774"/>
      <c r="W228" s="661"/>
      <c r="X228" s="757"/>
      <c r="Y228" s="661"/>
      <c r="Z228" s="661"/>
    </row>
    <row r="229" ht="63.0" hidden="1" customHeight="1" outlineLevel="1">
      <c r="A229" s="661"/>
      <c r="B229" s="729"/>
      <c r="C229" s="730"/>
      <c r="D229" s="730"/>
      <c r="E229" s="730"/>
      <c r="F229" s="730"/>
      <c r="G229" s="731"/>
      <c r="H229" s="730"/>
      <c r="I229" s="730"/>
      <c r="J229" s="730"/>
      <c r="K229" s="730"/>
      <c r="L229" s="756"/>
      <c r="M229" s="755"/>
      <c r="N229" s="730"/>
      <c r="O229" s="733"/>
      <c r="Q229" s="728"/>
      <c r="R229" s="661"/>
      <c r="S229" s="228" t="str">
        <f t="array" ref="S229">IFERROR(INDEX('💻シート作成'!$D$6:$D1001, MATCH(T229, '💻シート作成'!$E$6:$E1001, 0)), "")</f>
        <v/>
      </c>
      <c r="T229" s="184"/>
      <c r="U229" s="664"/>
      <c r="V229" s="774"/>
      <c r="W229" s="661"/>
      <c r="X229" s="757"/>
      <c r="Y229" s="661"/>
      <c r="Z229" s="661"/>
    </row>
    <row r="230" ht="63.0" hidden="1" customHeight="1" outlineLevel="1">
      <c r="A230" s="661"/>
      <c r="B230" s="729"/>
      <c r="C230" s="730"/>
      <c r="D230" s="730"/>
      <c r="E230" s="730"/>
      <c r="F230" s="697"/>
      <c r="G230" s="698"/>
      <c r="H230" s="697"/>
      <c r="I230" s="697"/>
      <c r="J230" s="697"/>
      <c r="K230" s="697"/>
      <c r="L230" s="756"/>
      <c r="M230" s="755"/>
      <c r="N230" s="697"/>
      <c r="O230" s="700"/>
      <c r="P230" s="701"/>
      <c r="Q230" s="737"/>
      <c r="R230" s="661"/>
      <c r="S230" s="228" t="str">
        <f t="array" ref="S230">IFERROR(INDEX('💻シート作成'!$D$6:$D1001, MATCH(T230, '💻シート作成'!$E$6:$E1001, 0)), "")</f>
        <v/>
      </c>
      <c r="T230" s="184"/>
      <c r="U230" s="664"/>
      <c r="V230" s="774"/>
      <c r="W230" s="661"/>
      <c r="X230" s="757"/>
      <c r="Y230" s="661"/>
      <c r="Z230" s="661"/>
    </row>
    <row r="231" ht="18.0" hidden="1" customHeight="1" outlineLevel="1">
      <c r="A231" s="661"/>
      <c r="B231" s="738"/>
      <c r="C231" s="697"/>
      <c r="D231" s="697"/>
      <c r="E231" s="697"/>
      <c r="F231" s="758" t="s">
        <v>517</v>
      </c>
      <c r="G231" s="759" t="s">
        <v>800</v>
      </c>
      <c r="H231" s="741"/>
      <c r="I231" s="741"/>
      <c r="J231" s="741"/>
      <c r="K231" s="741"/>
      <c r="L231" s="759"/>
      <c r="M231" s="759"/>
      <c r="N231" s="759"/>
      <c r="O231" s="759"/>
      <c r="P231" s="759"/>
      <c r="Q231" s="760"/>
      <c r="R231" s="661"/>
      <c r="S231" s="228" t="str">
        <f t="array" ref="S231">IFERROR(INDEX('💻シート作成'!$D$6:$D1001, MATCH(T231, '💻シート作成'!$E$6:$E1001, 0)), "")</f>
        <v/>
      </c>
      <c r="T231" s="184"/>
      <c r="U231" s="664"/>
      <c r="V231" s="774"/>
      <c r="W231" s="661"/>
      <c r="X231" s="757"/>
      <c r="Y231" s="661"/>
      <c r="Z231" s="661"/>
    </row>
    <row r="232">
      <c r="A232" s="661"/>
      <c r="B232" s="780" t="s">
        <v>525</v>
      </c>
      <c r="C232" s="781"/>
      <c r="D232" s="781"/>
      <c r="E232" s="781"/>
      <c r="F232" s="782"/>
      <c r="G232" s="783"/>
      <c r="H232" s="784"/>
      <c r="I232" s="784"/>
      <c r="J232" s="785"/>
      <c r="K232" s="785"/>
      <c r="L232" s="783"/>
      <c r="M232" s="783"/>
      <c r="N232" s="786"/>
      <c r="O232" s="787"/>
      <c r="P232" s="787"/>
      <c r="Q232" s="788"/>
      <c r="R232" s="661"/>
      <c r="S232" s="228" t="str">
        <f t="array" ref="S232">IFERROR(INDEX('💻シート作成'!$D$6:$D1001, MATCH(T232, '💻シート作成'!$E$6:$E1001, 0)), "")</f>
        <v/>
      </c>
      <c r="T232" s="184"/>
      <c r="U232" s="664"/>
      <c r="V232" s="774"/>
      <c r="W232" s="661"/>
      <c r="X232" s="757"/>
      <c r="Y232" s="661"/>
      <c r="Z232" s="661"/>
    </row>
    <row r="233" ht="48.0" customHeight="1" outlineLevel="1">
      <c r="A233" s="661"/>
      <c r="B233" s="761"/>
      <c r="C233" s="762">
        <f>IF(C221="","",IF(DAY(C221+1)=1,"",C221+1))</f>
        <v>46074</v>
      </c>
      <c r="D233" s="763" t="str">
        <f>TEXT(C233,"ddd")</f>
        <v>土</v>
      </c>
      <c r="E233" s="764"/>
      <c r="F233" s="765" t="s">
        <v>132</v>
      </c>
      <c r="G233" s="766" t="s">
        <v>801</v>
      </c>
      <c r="H233" s="767"/>
      <c r="I233" s="768">
        <v>0.6666666666666666</v>
      </c>
      <c r="J233" s="767">
        <v>11.0</v>
      </c>
      <c r="K233" s="767">
        <v>1.0</v>
      </c>
      <c r="L233" s="769"/>
      <c r="M233" s="769"/>
      <c r="N233" s="775" t="s">
        <v>802</v>
      </c>
      <c r="O233" s="770"/>
      <c r="P233" s="771"/>
      <c r="Q233" s="772"/>
      <c r="R233" s="661"/>
      <c r="S233" s="228" t="str">
        <f t="array" ref="S233">IFERROR(INDEX('💻シート作成'!$D$6:$D1001, MATCH(T233, '💻シート作成'!$E$6:$E1001, 0)), "")</f>
        <v/>
      </c>
      <c r="T233" s="184"/>
      <c r="U233" s="664"/>
      <c r="V233" s="774"/>
      <c r="W233" s="661"/>
      <c r="X233" s="757"/>
      <c r="Y233" s="661"/>
      <c r="Z233" s="661"/>
    </row>
    <row r="234" ht="48.0" customHeight="1" outlineLevel="1">
      <c r="A234" s="661"/>
      <c r="B234" s="729"/>
      <c r="C234" s="730"/>
      <c r="D234" s="730"/>
      <c r="E234" s="730"/>
      <c r="F234" s="730"/>
      <c r="G234" s="731"/>
      <c r="H234" s="730"/>
      <c r="I234" s="730"/>
      <c r="J234" s="730"/>
      <c r="K234" s="730"/>
      <c r="L234" s="769"/>
      <c r="M234" s="769"/>
      <c r="N234" s="730"/>
      <c r="O234" s="733"/>
      <c r="Q234" s="728"/>
      <c r="R234" s="661"/>
      <c r="S234" s="228" t="str">
        <f t="array" ref="S234">IFERROR(INDEX('💻シート作成'!$D$6:$D1001, MATCH(T234, '💻シート作成'!$E$6:$E1001, 0)), "")</f>
        <v/>
      </c>
      <c r="T234" s="184"/>
      <c r="U234" s="664"/>
      <c r="V234" s="774"/>
      <c r="W234" s="661"/>
      <c r="X234" s="757"/>
      <c r="Y234" s="661"/>
      <c r="Z234" s="661"/>
    </row>
    <row r="235" ht="48.0" customHeight="1" outlineLevel="1">
      <c r="A235" s="661"/>
      <c r="B235" s="729"/>
      <c r="C235" s="730"/>
      <c r="D235" s="730"/>
      <c r="E235" s="730"/>
      <c r="F235" s="730"/>
      <c r="G235" s="731"/>
      <c r="H235" s="730"/>
      <c r="I235" s="730"/>
      <c r="J235" s="730"/>
      <c r="K235" s="730"/>
      <c r="L235" s="769"/>
      <c r="M235" s="769"/>
      <c r="N235" s="730"/>
      <c r="O235" s="733"/>
      <c r="Q235" s="728"/>
      <c r="R235" s="661"/>
      <c r="S235" s="228" t="str">
        <f t="array" ref="S235">IFERROR(INDEX('💻シート作成'!$D$6:$D1001, MATCH(T235, '💻シート作成'!$E$6:$E1001, 0)), "")</f>
        <v/>
      </c>
      <c r="T235" s="184"/>
      <c r="U235" s="664"/>
      <c r="V235" s="774"/>
      <c r="W235" s="661"/>
      <c r="X235" s="757"/>
      <c r="Y235" s="661"/>
      <c r="Z235" s="661"/>
    </row>
    <row r="236" ht="48.0" customHeight="1" outlineLevel="1">
      <c r="A236" s="661"/>
      <c r="B236" s="729"/>
      <c r="C236" s="730"/>
      <c r="D236" s="730"/>
      <c r="E236" s="730"/>
      <c r="F236" s="730"/>
      <c r="G236" s="731"/>
      <c r="H236" s="730"/>
      <c r="I236" s="730"/>
      <c r="J236" s="730"/>
      <c r="K236" s="730"/>
      <c r="L236" s="773"/>
      <c r="M236" s="769"/>
      <c r="N236" s="730"/>
      <c r="O236" s="733"/>
      <c r="Q236" s="728"/>
      <c r="R236" s="661"/>
      <c r="S236" s="228" t="str">
        <f t="array" ref="S236">IFERROR(INDEX('💻シート作成'!$D$6:$D1001, MATCH(T236, '💻シート作成'!$E$6:$E1001, 0)), "")</f>
        <v/>
      </c>
      <c r="T236" s="184"/>
      <c r="U236" s="664"/>
      <c r="V236" s="774"/>
      <c r="W236" s="661"/>
      <c r="X236" s="757"/>
      <c r="Y236" s="661"/>
      <c r="Z236" s="661"/>
    </row>
    <row r="237" ht="48.0" customHeight="1" outlineLevel="1">
      <c r="A237" s="661"/>
      <c r="B237" s="729"/>
      <c r="C237" s="730"/>
      <c r="D237" s="730"/>
      <c r="E237" s="730"/>
      <c r="F237" s="730"/>
      <c r="G237" s="731"/>
      <c r="H237" s="730"/>
      <c r="I237" s="730"/>
      <c r="J237" s="730"/>
      <c r="K237" s="730"/>
      <c r="L237" s="773"/>
      <c r="M237" s="769"/>
      <c r="N237" s="730"/>
      <c r="O237" s="733"/>
      <c r="Q237" s="728"/>
      <c r="R237" s="661"/>
      <c r="S237" s="228" t="str">
        <f t="array" ref="S237">IFERROR(INDEX('💻シート作成'!$D$6:$D1001, MATCH(T237, '💻シート作成'!$E$6:$E1001, 0)), "")</f>
        <v/>
      </c>
      <c r="T237" s="184"/>
      <c r="U237" s="664"/>
      <c r="V237" s="774"/>
      <c r="W237" s="661"/>
      <c r="X237" s="757"/>
      <c r="Y237" s="661"/>
      <c r="Z237" s="661"/>
    </row>
    <row r="238" ht="48.0" customHeight="1" outlineLevel="1">
      <c r="A238" s="661"/>
      <c r="B238" s="729"/>
      <c r="C238" s="730"/>
      <c r="D238" s="730"/>
      <c r="E238" s="730"/>
      <c r="F238" s="730"/>
      <c r="G238" s="731"/>
      <c r="H238" s="730"/>
      <c r="I238" s="730"/>
      <c r="J238" s="730"/>
      <c r="K238" s="730"/>
      <c r="L238" s="773"/>
      <c r="M238" s="769"/>
      <c r="N238" s="730"/>
      <c r="O238" s="733"/>
      <c r="Q238" s="728"/>
      <c r="R238" s="661"/>
      <c r="S238" s="228" t="str">
        <f t="array" ref="S238">IFERROR(INDEX('💻シート作成'!$D$6:$D1001, MATCH(T238, '💻シート作成'!$E$6:$E1001, 0)), "")</f>
        <v/>
      </c>
      <c r="T238" s="184"/>
      <c r="U238" s="664"/>
      <c r="V238" s="774"/>
      <c r="W238" s="661"/>
      <c r="X238" s="757"/>
      <c r="Y238" s="661"/>
      <c r="Z238" s="661"/>
    </row>
    <row r="239" ht="48.0" customHeight="1" outlineLevel="1">
      <c r="A239" s="661"/>
      <c r="B239" s="729"/>
      <c r="C239" s="730"/>
      <c r="D239" s="730"/>
      <c r="E239" s="730"/>
      <c r="F239" s="730"/>
      <c r="G239" s="731"/>
      <c r="H239" s="730"/>
      <c r="I239" s="730"/>
      <c r="J239" s="730"/>
      <c r="K239" s="730"/>
      <c r="L239" s="773"/>
      <c r="M239" s="769"/>
      <c r="N239" s="730"/>
      <c r="O239" s="733"/>
      <c r="Q239" s="728"/>
      <c r="R239" s="661"/>
      <c r="S239" s="228" t="str">
        <f t="array" ref="S239">IFERROR(INDEX('💻シート作成'!$D$6:$D1001, MATCH(T239, '💻シート作成'!$E$6:$E1001, 0)), "")</f>
        <v/>
      </c>
      <c r="T239" s="184"/>
      <c r="U239" s="664"/>
      <c r="V239" s="774"/>
      <c r="W239" s="661"/>
      <c r="X239" s="757"/>
      <c r="Y239" s="661"/>
      <c r="Z239" s="661"/>
    </row>
    <row r="240" ht="48.0" customHeight="1" outlineLevel="1">
      <c r="A240" s="661"/>
      <c r="B240" s="729"/>
      <c r="C240" s="730"/>
      <c r="D240" s="730"/>
      <c r="E240" s="730"/>
      <c r="F240" s="730"/>
      <c r="G240" s="731"/>
      <c r="H240" s="730"/>
      <c r="I240" s="730"/>
      <c r="J240" s="730"/>
      <c r="K240" s="730"/>
      <c r="L240" s="773"/>
      <c r="M240" s="769"/>
      <c r="N240" s="730"/>
      <c r="O240" s="733"/>
      <c r="Q240" s="728"/>
      <c r="R240" s="661"/>
      <c r="S240" s="228" t="str">
        <f t="array" ref="S240">IFERROR(INDEX('💻シート作成'!$D$6:$D1001, MATCH(T240, '💻シート作成'!$E$6:$E1001, 0)), "")</f>
        <v/>
      </c>
      <c r="T240" s="184"/>
      <c r="U240" s="664"/>
      <c r="V240" s="774"/>
      <c r="W240" s="661"/>
      <c r="X240" s="757"/>
      <c r="Y240" s="661"/>
      <c r="Z240" s="661"/>
    </row>
    <row r="241" ht="48.0" customHeight="1" outlineLevel="1">
      <c r="A241" s="661"/>
      <c r="B241" s="729"/>
      <c r="C241" s="730"/>
      <c r="D241" s="730"/>
      <c r="E241" s="730"/>
      <c r="F241" s="730"/>
      <c r="G241" s="731"/>
      <c r="H241" s="730"/>
      <c r="I241" s="730"/>
      <c r="J241" s="730"/>
      <c r="K241" s="730"/>
      <c r="L241" s="773"/>
      <c r="M241" s="769"/>
      <c r="N241" s="730"/>
      <c r="O241" s="733"/>
      <c r="Q241" s="728"/>
      <c r="R241" s="661"/>
      <c r="S241" s="228" t="str">
        <f t="array" ref="S241">IFERROR(INDEX('💻シート作成'!$D$6:$D1001, MATCH(T241, '💻シート作成'!$E$6:$E1001, 0)), "")</f>
        <v/>
      </c>
      <c r="T241" s="184"/>
      <c r="U241" s="664"/>
      <c r="V241" s="774"/>
      <c r="W241" s="661"/>
      <c r="X241" s="757"/>
      <c r="Y241" s="661"/>
      <c r="Z241" s="661"/>
    </row>
    <row r="242" ht="48.0" customHeight="1" outlineLevel="1">
      <c r="A242" s="661"/>
      <c r="B242" s="729"/>
      <c r="C242" s="730"/>
      <c r="D242" s="730"/>
      <c r="E242" s="730"/>
      <c r="F242" s="697"/>
      <c r="G242" s="698"/>
      <c r="H242" s="697"/>
      <c r="I242" s="697"/>
      <c r="J242" s="697"/>
      <c r="K242" s="697"/>
      <c r="L242" s="773"/>
      <c r="M242" s="769"/>
      <c r="N242" s="697"/>
      <c r="O242" s="700"/>
      <c r="P242" s="701"/>
      <c r="Q242" s="737"/>
      <c r="R242" s="661"/>
      <c r="S242" s="228" t="str">
        <f t="array" ref="S242">IFERROR(INDEX('💻シート作成'!$D$6:$D1001, MATCH(T242, '💻シート作成'!$E$6:$E1001, 0)), "")</f>
        <v/>
      </c>
      <c r="T242" s="184"/>
      <c r="U242" s="664"/>
      <c r="V242" s="774"/>
      <c r="W242" s="661"/>
      <c r="X242" s="757"/>
      <c r="Y242" s="661"/>
      <c r="Z242" s="661"/>
    </row>
    <row r="243" ht="18.0" customHeight="1" outlineLevel="1">
      <c r="A243" s="661"/>
      <c r="B243" s="738"/>
      <c r="C243" s="697"/>
      <c r="D243" s="697"/>
      <c r="E243" s="697"/>
      <c r="F243" s="739" t="s">
        <v>517</v>
      </c>
      <c r="G243" s="740" t="s">
        <v>803</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4"/>
      <c r="W243" s="661"/>
      <c r="X243" s="757"/>
      <c r="Y243" s="661"/>
      <c r="Z243" s="661"/>
    </row>
    <row r="244" ht="73.5" customHeight="1" outlineLevel="1">
      <c r="A244" s="661"/>
      <c r="B244" s="743"/>
      <c r="C244" s="744">
        <f>IF(C233="","",IF(DAY(C233+1)=1,"",C233+1))</f>
        <v>46075</v>
      </c>
      <c r="D244" s="745" t="str">
        <f>TEXT(C244,"ddd")</f>
        <v>日</v>
      </c>
      <c r="E244" s="746"/>
      <c r="F244" s="775" t="s">
        <v>132</v>
      </c>
      <c r="G244" s="776" t="s">
        <v>804</v>
      </c>
      <c r="H244" s="777"/>
      <c r="I244" s="778">
        <v>0.6666666666666666</v>
      </c>
      <c r="J244" s="777">
        <v>10.0</v>
      </c>
      <c r="K244" s="777">
        <v>1.0</v>
      </c>
      <c r="L244" s="755"/>
      <c r="M244" s="755"/>
      <c r="N244" s="775" t="s">
        <v>805</v>
      </c>
      <c r="O244" s="779"/>
      <c r="P244" s="771"/>
      <c r="Q244" s="772"/>
      <c r="R244" s="661"/>
      <c r="S244" s="228" t="str">
        <f t="array" ref="S244">IFERROR(INDEX('💻シート作成'!$D$6:$D1001, MATCH(T244, '💻シート作成'!$E$6:$E1001, 0)), "")</f>
        <v/>
      </c>
      <c r="T244" s="184"/>
      <c r="U244" s="664"/>
      <c r="V244" s="774"/>
      <c r="W244" s="661"/>
      <c r="X244" s="757"/>
      <c r="Y244" s="661"/>
      <c r="Z244" s="661"/>
    </row>
    <row r="245" ht="73.5" customHeight="1" outlineLevel="1">
      <c r="A245" s="661"/>
      <c r="B245" s="729"/>
      <c r="C245" s="730"/>
      <c r="D245" s="730"/>
      <c r="E245" s="730"/>
      <c r="F245" s="730"/>
      <c r="G245" s="731"/>
      <c r="H245" s="730"/>
      <c r="I245" s="730"/>
      <c r="J245" s="730"/>
      <c r="K245" s="730"/>
      <c r="L245" s="755"/>
      <c r="M245" s="755"/>
      <c r="N245" s="730"/>
      <c r="O245" s="733"/>
      <c r="Q245" s="728"/>
      <c r="R245" s="661"/>
      <c r="S245" s="228" t="str">
        <f t="array" ref="S245">IFERROR(INDEX('💻シート作成'!$D$6:$D1001, MATCH(T245, '💻シート作成'!$E$6:$E1001, 0)), "")</f>
        <v/>
      </c>
      <c r="T245" s="184"/>
      <c r="U245" s="664"/>
      <c r="V245" s="774"/>
      <c r="W245" s="661"/>
      <c r="X245" s="757"/>
      <c r="Y245" s="661"/>
      <c r="Z245" s="661"/>
    </row>
    <row r="246" ht="73.5" customHeight="1" outlineLevel="1">
      <c r="A246" s="661"/>
      <c r="B246" s="729"/>
      <c r="C246" s="730"/>
      <c r="D246" s="730"/>
      <c r="E246" s="730"/>
      <c r="F246" s="730"/>
      <c r="G246" s="731"/>
      <c r="H246" s="730"/>
      <c r="I246" s="730"/>
      <c r="J246" s="730"/>
      <c r="K246" s="730"/>
      <c r="L246" s="755"/>
      <c r="M246" s="755"/>
      <c r="N246" s="730"/>
      <c r="O246" s="733"/>
      <c r="Q246" s="728"/>
      <c r="R246" s="661"/>
      <c r="S246" s="228" t="str">
        <f t="array" ref="S246">IFERROR(INDEX('💻シート作成'!$D$6:$D1001, MATCH(T246, '💻シート作成'!$E$6:$E1001, 0)), "")</f>
        <v/>
      </c>
      <c r="T246" s="184"/>
      <c r="U246" s="664"/>
      <c r="V246" s="774"/>
      <c r="W246" s="661"/>
      <c r="X246" s="757"/>
      <c r="Y246" s="661"/>
      <c r="Z246" s="661"/>
    </row>
    <row r="247" ht="73.5" customHeight="1" outlineLevel="1">
      <c r="A247" s="661"/>
      <c r="B247" s="729"/>
      <c r="C247" s="730"/>
      <c r="D247" s="730"/>
      <c r="E247" s="730"/>
      <c r="F247" s="730"/>
      <c r="G247" s="731"/>
      <c r="H247" s="730"/>
      <c r="I247" s="730"/>
      <c r="J247" s="730"/>
      <c r="K247" s="730"/>
      <c r="L247" s="756"/>
      <c r="M247" s="755"/>
      <c r="N247" s="730"/>
      <c r="O247" s="733"/>
      <c r="Q247" s="728"/>
      <c r="R247" s="661"/>
      <c r="S247" s="228" t="str">
        <f t="array" ref="S247">IFERROR(INDEX('💻シート作成'!$D$6:$D1001, MATCH(T247, '💻シート作成'!$E$6:$E1001, 0)), "")</f>
        <v/>
      </c>
      <c r="T247" s="184"/>
      <c r="U247" s="664"/>
      <c r="V247" s="774"/>
      <c r="W247" s="661"/>
      <c r="X247" s="757"/>
      <c r="Y247" s="661"/>
      <c r="Z247" s="661"/>
    </row>
    <row r="248" ht="73.5" customHeight="1" outlineLevel="1">
      <c r="A248" s="661"/>
      <c r="B248" s="729"/>
      <c r="C248" s="730"/>
      <c r="D248" s="730"/>
      <c r="E248" s="730"/>
      <c r="F248" s="730"/>
      <c r="G248" s="731"/>
      <c r="H248" s="730"/>
      <c r="I248" s="730"/>
      <c r="J248" s="730"/>
      <c r="K248" s="730"/>
      <c r="L248" s="756"/>
      <c r="M248" s="755"/>
      <c r="N248" s="730"/>
      <c r="O248" s="733"/>
      <c r="Q248" s="728"/>
      <c r="R248" s="661"/>
      <c r="S248" s="228" t="str">
        <f t="array" ref="S248">IFERROR(INDEX('💻シート作成'!$D$6:$D1001, MATCH(T248, '💻シート作成'!$E$6:$E1001, 0)), "")</f>
        <v/>
      </c>
      <c r="T248" s="184"/>
      <c r="U248" s="664"/>
      <c r="V248" s="774"/>
      <c r="W248" s="661"/>
      <c r="X248" s="757"/>
      <c r="Y248" s="661"/>
      <c r="Z248" s="661"/>
    </row>
    <row r="249" ht="73.5" customHeight="1" outlineLevel="1">
      <c r="A249" s="661"/>
      <c r="B249" s="729"/>
      <c r="C249" s="730"/>
      <c r="D249" s="730"/>
      <c r="E249" s="730"/>
      <c r="F249" s="730"/>
      <c r="G249" s="731"/>
      <c r="H249" s="730"/>
      <c r="I249" s="730"/>
      <c r="J249" s="730"/>
      <c r="K249" s="730"/>
      <c r="L249" s="756"/>
      <c r="M249" s="755"/>
      <c r="N249" s="730"/>
      <c r="O249" s="733"/>
      <c r="Q249" s="728"/>
      <c r="R249" s="661"/>
      <c r="S249" s="228" t="str">
        <f t="array" ref="S249">IFERROR(INDEX('💻シート作成'!$D$6:$D1001, MATCH(T249, '💻シート作成'!$E$6:$E1001, 0)), "")</f>
        <v/>
      </c>
      <c r="T249" s="184"/>
      <c r="U249" s="664"/>
      <c r="V249" s="774"/>
      <c r="W249" s="661"/>
      <c r="X249" s="757"/>
      <c r="Y249" s="661"/>
      <c r="Z249" s="661"/>
    </row>
    <row r="250" ht="73.5" customHeight="1" outlineLevel="1">
      <c r="A250" s="661"/>
      <c r="B250" s="729"/>
      <c r="C250" s="730"/>
      <c r="D250" s="730"/>
      <c r="E250" s="730"/>
      <c r="F250" s="730"/>
      <c r="G250" s="731"/>
      <c r="H250" s="730"/>
      <c r="I250" s="730"/>
      <c r="J250" s="730"/>
      <c r="K250" s="730"/>
      <c r="L250" s="756"/>
      <c r="M250" s="755"/>
      <c r="N250" s="730"/>
      <c r="O250" s="733"/>
      <c r="Q250" s="728"/>
      <c r="R250" s="661"/>
      <c r="S250" s="228" t="str">
        <f t="array" ref="S250">IFERROR(INDEX('💻シート作成'!$D$6:$D1001, MATCH(T250, '💻シート作成'!$E$6:$E1001, 0)), "")</f>
        <v/>
      </c>
      <c r="T250" s="184"/>
      <c r="U250" s="664"/>
      <c r="V250" s="774"/>
      <c r="W250" s="661"/>
      <c r="X250" s="757"/>
      <c r="Y250" s="661"/>
      <c r="Z250" s="661"/>
    </row>
    <row r="251" ht="73.5" customHeight="1" outlineLevel="1">
      <c r="A251" s="661"/>
      <c r="B251" s="729"/>
      <c r="C251" s="730"/>
      <c r="D251" s="730"/>
      <c r="E251" s="730"/>
      <c r="F251" s="730"/>
      <c r="G251" s="731"/>
      <c r="H251" s="730"/>
      <c r="I251" s="730"/>
      <c r="J251" s="730"/>
      <c r="K251" s="730"/>
      <c r="L251" s="756"/>
      <c r="M251" s="755"/>
      <c r="N251" s="730"/>
      <c r="O251" s="733"/>
      <c r="Q251" s="728"/>
      <c r="R251" s="661"/>
      <c r="S251" s="228" t="str">
        <f t="array" ref="S251">IFERROR(INDEX('💻シート作成'!$D$6:$D1001, MATCH(T251, '💻シート作成'!$E$6:$E1001, 0)), "")</f>
        <v/>
      </c>
      <c r="T251" s="184"/>
      <c r="U251" s="664"/>
      <c r="V251" s="774"/>
      <c r="W251" s="661"/>
      <c r="X251" s="757"/>
      <c r="Y251" s="661"/>
      <c r="Z251" s="661"/>
    </row>
    <row r="252" ht="73.5" customHeight="1" outlineLevel="1">
      <c r="A252" s="661"/>
      <c r="B252" s="729"/>
      <c r="C252" s="730"/>
      <c r="D252" s="730"/>
      <c r="E252" s="730"/>
      <c r="F252" s="730"/>
      <c r="G252" s="731"/>
      <c r="H252" s="730"/>
      <c r="I252" s="730"/>
      <c r="J252" s="730"/>
      <c r="K252" s="730"/>
      <c r="L252" s="756"/>
      <c r="M252" s="755"/>
      <c r="N252" s="730"/>
      <c r="O252" s="733"/>
      <c r="Q252" s="728"/>
      <c r="R252" s="661"/>
      <c r="S252" s="228" t="str">
        <f t="array" ref="S252">IFERROR(INDEX('💻シート作成'!$D$6:$D1001, MATCH(T252, '💻シート作成'!$E$6:$E1001, 0)), "")</f>
        <v/>
      </c>
      <c r="T252" s="184"/>
      <c r="U252" s="664"/>
      <c r="V252" s="774"/>
      <c r="W252" s="661"/>
      <c r="X252" s="757"/>
      <c r="Y252" s="661"/>
      <c r="Z252" s="661"/>
    </row>
    <row r="253" ht="73.5" customHeight="1" outlineLevel="1">
      <c r="A253" s="661"/>
      <c r="B253" s="729"/>
      <c r="C253" s="730"/>
      <c r="D253" s="730"/>
      <c r="E253" s="730"/>
      <c r="F253" s="697"/>
      <c r="G253" s="698"/>
      <c r="H253" s="697"/>
      <c r="I253" s="697"/>
      <c r="J253" s="697"/>
      <c r="K253" s="697"/>
      <c r="L253" s="756"/>
      <c r="M253" s="755"/>
      <c r="N253" s="697"/>
      <c r="O253" s="700"/>
      <c r="P253" s="701"/>
      <c r="Q253" s="737"/>
      <c r="R253" s="661"/>
      <c r="S253" s="228" t="str">
        <f t="array" ref="S253">IFERROR(INDEX('💻シート作成'!$D$6:$D1001, MATCH(T253, '💻シート作成'!$E$6:$E1001, 0)), "")</f>
        <v/>
      </c>
      <c r="T253" s="184"/>
      <c r="U253" s="664"/>
      <c r="V253" s="774"/>
      <c r="W253" s="661"/>
      <c r="X253" s="757"/>
      <c r="Y253" s="661"/>
      <c r="Z253" s="661"/>
    </row>
    <row r="254" ht="18.0" customHeight="1" outlineLevel="1">
      <c r="A254" s="661"/>
      <c r="B254" s="738"/>
      <c r="C254" s="697"/>
      <c r="D254" s="697"/>
      <c r="E254" s="697"/>
      <c r="F254" s="758" t="s">
        <v>517</v>
      </c>
      <c r="G254" s="759" t="s">
        <v>806</v>
      </c>
      <c r="H254" s="741"/>
      <c r="I254" s="741"/>
      <c r="J254" s="741"/>
      <c r="K254" s="741"/>
      <c r="L254" s="759"/>
      <c r="M254" s="759"/>
      <c r="N254" s="759"/>
      <c r="O254" s="759"/>
      <c r="P254" s="759"/>
      <c r="Q254" s="760"/>
      <c r="R254" s="661"/>
      <c r="S254" s="228" t="str">
        <f t="array" ref="S254">IFERROR(INDEX('💻シート作成'!$D$6:$D1001, MATCH(T254, '💻シート作成'!$E$6:$E1001, 0)), "")</f>
        <v/>
      </c>
      <c r="T254" s="184"/>
      <c r="U254" s="664"/>
      <c r="V254" s="774"/>
      <c r="W254" s="661"/>
      <c r="X254" s="757"/>
      <c r="Y254" s="661"/>
      <c r="Z254" s="661"/>
    </row>
    <row r="255" ht="26.25" customHeight="1" outlineLevel="1">
      <c r="A255" s="661"/>
      <c r="B255" s="761"/>
      <c r="C255" s="762">
        <f>IF(C244="","",IF(DAY(C244+1)=1,"",C244+1))</f>
        <v>46076</v>
      </c>
      <c r="D255" s="763" t="str">
        <f>TEXT(C255,"ddd")</f>
        <v>月</v>
      </c>
      <c r="E255" s="764"/>
      <c r="F255" s="765" t="s">
        <v>518</v>
      </c>
      <c r="G255" s="766" t="s">
        <v>807</v>
      </c>
      <c r="H255" s="767"/>
      <c r="I255" s="767" t="s">
        <v>670</v>
      </c>
      <c r="J255" s="767" t="s">
        <v>609</v>
      </c>
      <c r="K255" s="767" t="s">
        <v>610</v>
      </c>
      <c r="L255" s="769"/>
      <c r="M255" s="769"/>
      <c r="N255" s="765"/>
      <c r="O255" s="770"/>
      <c r="P255" s="771"/>
      <c r="Q255" s="772"/>
      <c r="R255" s="661"/>
      <c r="S255" s="228" t="str">
        <f t="array" ref="S255">IFERROR(INDEX('💻シート作成'!$D$6:$D1001, MATCH(T255, '💻シート作成'!$E$6:$E1001, 0)), "")</f>
        <v/>
      </c>
      <c r="T255" s="184"/>
      <c r="U255" s="664"/>
      <c r="V255" s="774"/>
      <c r="W255" s="661"/>
      <c r="X255" s="757"/>
      <c r="Y255" s="661"/>
      <c r="Z255" s="661"/>
    </row>
    <row r="256" ht="26.25" customHeight="1" outlineLevel="1">
      <c r="A256" s="661"/>
      <c r="B256" s="729"/>
      <c r="C256" s="730"/>
      <c r="D256" s="730"/>
      <c r="E256" s="730"/>
      <c r="F256" s="730"/>
      <c r="G256" s="731"/>
      <c r="H256" s="730"/>
      <c r="I256" s="730"/>
      <c r="J256" s="730"/>
      <c r="K256" s="730"/>
      <c r="L256" s="769"/>
      <c r="M256" s="769"/>
      <c r="N256" s="730"/>
      <c r="O256" s="733"/>
      <c r="Q256" s="728"/>
      <c r="R256" s="661"/>
      <c r="S256" s="228" t="str">
        <f t="array" ref="S256">IFERROR(INDEX('💻シート作成'!$D$6:$D1001, MATCH(T256, '💻シート作成'!$E$6:$E1001, 0)), "")</f>
        <v/>
      </c>
      <c r="T256" s="184"/>
      <c r="U256" s="664"/>
      <c r="V256" s="774"/>
      <c r="W256" s="661"/>
      <c r="X256" s="757"/>
      <c r="Y256" s="661"/>
      <c r="Z256" s="661"/>
    </row>
    <row r="257" ht="26.25" customHeight="1" outlineLevel="1">
      <c r="A257" s="661"/>
      <c r="B257" s="729"/>
      <c r="C257" s="730"/>
      <c r="D257" s="730"/>
      <c r="E257" s="730"/>
      <c r="F257" s="730"/>
      <c r="G257" s="731"/>
      <c r="H257" s="730"/>
      <c r="I257" s="730"/>
      <c r="J257" s="730"/>
      <c r="K257" s="730"/>
      <c r="L257" s="769"/>
      <c r="M257" s="769"/>
      <c r="N257" s="730"/>
      <c r="O257" s="733"/>
      <c r="Q257" s="728"/>
      <c r="R257" s="661"/>
      <c r="S257" s="228" t="str">
        <f t="array" ref="S257">IFERROR(INDEX('💻シート作成'!$D$6:$D1001, MATCH(T257, '💻シート作成'!$E$6:$E1001, 0)), "")</f>
        <v/>
      </c>
      <c r="T257" s="184"/>
      <c r="U257" s="664"/>
      <c r="V257" s="774"/>
      <c r="W257" s="661"/>
      <c r="X257" s="757"/>
      <c r="Y257" s="661"/>
      <c r="Z257" s="661"/>
    </row>
    <row r="258" ht="26.25" customHeight="1" outlineLevel="1">
      <c r="A258" s="661"/>
      <c r="B258" s="729"/>
      <c r="C258" s="730"/>
      <c r="D258" s="730"/>
      <c r="E258" s="730"/>
      <c r="F258" s="730"/>
      <c r="G258" s="731"/>
      <c r="H258" s="730"/>
      <c r="I258" s="730"/>
      <c r="J258" s="730"/>
      <c r="K258" s="730"/>
      <c r="L258" s="773"/>
      <c r="M258" s="769"/>
      <c r="N258" s="730"/>
      <c r="O258" s="733"/>
      <c r="Q258" s="728"/>
      <c r="R258" s="661"/>
      <c r="S258" s="228" t="str">
        <f t="array" ref="S258">IFERROR(INDEX('💻シート作成'!$D$6:$D1001, MATCH(T258, '💻シート作成'!$E$6:$E1001, 0)), "")</f>
        <v/>
      </c>
      <c r="T258" s="184"/>
      <c r="U258" s="664"/>
      <c r="V258" s="774"/>
      <c r="W258" s="661"/>
      <c r="X258" s="757"/>
      <c r="Y258" s="661"/>
      <c r="Z258" s="661"/>
    </row>
    <row r="259" ht="26.25" customHeight="1" outlineLevel="1">
      <c r="A259" s="661"/>
      <c r="B259" s="729"/>
      <c r="C259" s="730"/>
      <c r="D259" s="730"/>
      <c r="E259" s="730"/>
      <c r="F259" s="730"/>
      <c r="G259" s="731"/>
      <c r="H259" s="730"/>
      <c r="I259" s="730"/>
      <c r="J259" s="730"/>
      <c r="K259" s="730"/>
      <c r="L259" s="773"/>
      <c r="M259" s="769"/>
      <c r="N259" s="730"/>
      <c r="O259" s="733"/>
      <c r="Q259" s="728"/>
      <c r="R259" s="661"/>
      <c r="S259" s="228" t="str">
        <f t="array" ref="S259">IFERROR(INDEX('💻シート作成'!$D$6:$D1001, MATCH(T259, '💻シート作成'!$E$6:$E1001, 0)), "")</f>
        <v/>
      </c>
      <c r="T259" s="184"/>
      <c r="U259" s="664"/>
      <c r="V259" s="774"/>
      <c r="W259" s="661"/>
      <c r="X259" s="757"/>
      <c r="Y259" s="661"/>
      <c r="Z259" s="661"/>
    </row>
    <row r="260" ht="26.25" customHeight="1" outlineLevel="1">
      <c r="A260" s="661"/>
      <c r="B260" s="729"/>
      <c r="C260" s="730"/>
      <c r="D260" s="730"/>
      <c r="E260" s="730"/>
      <c r="F260" s="730"/>
      <c r="G260" s="731"/>
      <c r="H260" s="730"/>
      <c r="I260" s="730"/>
      <c r="J260" s="730"/>
      <c r="K260" s="730"/>
      <c r="L260" s="773"/>
      <c r="M260" s="769"/>
      <c r="N260" s="730"/>
      <c r="O260" s="733"/>
      <c r="Q260" s="728"/>
      <c r="R260" s="661"/>
      <c r="S260" s="228" t="str">
        <f t="array" ref="S260">IFERROR(INDEX('💻シート作成'!$D$6:$D1001, MATCH(T260, '💻シート作成'!$E$6:$E1001, 0)), "")</f>
        <v/>
      </c>
      <c r="T260" s="184"/>
      <c r="U260" s="664"/>
      <c r="V260" s="774"/>
      <c r="W260" s="661"/>
      <c r="X260" s="757"/>
      <c r="Y260" s="661"/>
      <c r="Z260" s="661"/>
    </row>
    <row r="261" ht="26.25" customHeight="1" outlineLevel="1">
      <c r="A261" s="661"/>
      <c r="B261" s="729"/>
      <c r="C261" s="730"/>
      <c r="D261" s="730"/>
      <c r="E261" s="730"/>
      <c r="F261" s="730"/>
      <c r="G261" s="731"/>
      <c r="H261" s="730"/>
      <c r="I261" s="730"/>
      <c r="J261" s="730"/>
      <c r="K261" s="730"/>
      <c r="L261" s="773"/>
      <c r="M261" s="769"/>
      <c r="N261" s="730"/>
      <c r="O261" s="733"/>
      <c r="Q261" s="728"/>
      <c r="R261" s="661"/>
      <c r="S261" s="228" t="str">
        <f t="array" ref="S261">IFERROR(INDEX('💻シート作成'!$D$6:$D1001, MATCH(T261, '💻シート作成'!$E$6:$E1001, 0)), "")</f>
        <v/>
      </c>
      <c r="T261" s="184"/>
      <c r="U261" s="664"/>
      <c r="V261" s="774"/>
      <c r="W261" s="661"/>
      <c r="X261" s="757"/>
      <c r="Y261" s="661"/>
      <c r="Z261" s="661"/>
    </row>
    <row r="262" ht="26.25" customHeight="1" outlineLevel="1">
      <c r="A262" s="661"/>
      <c r="B262" s="729"/>
      <c r="C262" s="730"/>
      <c r="D262" s="730"/>
      <c r="E262" s="730"/>
      <c r="F262" s="730"/>
      <c r="G262" s="731"/>
      <c r="H262" s="730"/>
      <c r="I262" s="730"/>
      <c r="J262" s="730"/>
      <c r="K262" s="730"/>
      <c r="L262" s="773"/>
      <c r="M262" s="769"/>
      <c r="N262" s="730"/>
      <c r="O262" s="733"/>
      <c r="Q262" s="728"/>
      <c r="R262" s="661"/>
      <c r="S262" s="228" t="str">
        <f t="array" ref="S262">IFERROR(INDEX('💻シート作成'!$D$6:$D1001, MATCH(T262, '💻シート作成'!$E$6:$E1001, 0)), "")</f>
        <v/>
      </c>
      <c r="T262" s="184"/>
      <c r="U262" s="664"/>
      <c r="V262" s="774"/>
      <c r="W262" s="661"/>
      <c r="X262" s="757"/>
      <c r="Y262" s="661"/>
      <c r="Z262" s="661"/>
    </row>
    <row r="263" ht="26.25" customHeight="1" outlineLevel="1">
      <c r="A263" s="661"/>
      <c r="B263" s="729"/>
      <c r="C263" s="730"/>
      <c r="D263" s="730"/>
      <c r="E263" s="730"/>
      <c r="F263" s="730"/>
      <c r="G263" s="731"/>
      <c r="H263" s="730"/>
      <c r="I263" s="730"/>
      <c r="J263" s="730"/>
      <c r="K263" s="730"/>
      <c r="L263" s="773"/>
      <c r="M263" s="769"/>
      <c r="N263" s="730"/>
      <c r="O263" s="733"/>
      <c r="Q263" s="728"/>
      <c r="R263" s="661"/>
      <c r="S263" s="228" t="str">
        <f t="array" ref="S263">IFERROR(INDEX('💻シート作成'!$D$6:$D1001, MATCH(T263, '💻シート作成'!$E$6:$E1001, 0)), "")</f>
        <v/>
      </c>
      <c r="T263" s="184"/>
      <c r="U263" s="664"/>
      <c r="V263" s="774"/>
      <c r="W263" s="661"/>
      <c r="X263" s="757"/>
      <c r="Y263" s="661"/>
      <c r="Z263" s="661"/>
    </row>
    <row r="264" ht="26.25" customHeight="1" outlineLevel="1">
      <c r="A264" s="661"/>
      <c r="B264" s="729"/>
      <c r="C264" s="730"/>
      <c r="D264" s="730"/>
      <c r="E264" s="730"/>
      <c r="F264" s="697"/>
      <c r="G264" s="698"/>
      <c r="H264" s="697"/>
      <c r="I264" s="697"/>
      <c r="J264" s="697"/>
      <c r="K264" s="697"/>
      <c r="L264" s="773"/>
      <c r="M264" s="769"/>
      <c r="N264" s="697"/>
      <c r="O264" s="700"/>
      <c r="P264" s="701"/>
      <c r="Q264" s="737"/>
      <c r="R264" s="661"/>
      <c r="S264" s="228" t="str">
        <f t="array" ref="S264">IFERROR(INDEX('💻シート作成'!$D$6:$D1001, MATCH(T264, '💻シート作成'!$E$6:$E1001, 0)), "")</f>
        <v/>
      </c>
      <c r="T264" s="184"/>
      <c r="U264" s="664"/>
      <c r="V264" s="774"/>
      <c r="W264" s="661"/>
      <c r="X264" s="757"/>
      <c r="Y264" s="661"/>
      <c r="Z264" s="661"/>
    </row>
    <row r="265" ht="18.0" customHeight="1" outlineLevel="1">
      <c r="A265" s="661"/>
      <c r="B265" s="738"/>
      <c r="C265" s="697"/>
      <c r="D265" s="697"/>
      <c r="E265" s="697"/>
      <c r="F265" s="739" t="s">
        <v>517</v>
      </c>
      <c r="G265" s="740" t="s">
        <v>808</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4"/>
      <c r="W265" s="661"/>
      <c r="X265" s="757"/>
      <c r="Y265" s="661"/>
      <c r="Z265" s="661"/>
    </row>
    <row r="266" ht="19.5" customHeight="1" outlineLevel="1">
      <c r="A266" s="661"/>
      <c r="B266" s="743"/>
      <c r="C266" s="744">
        <f>IF(C255="","",IF(DAY(C255+1)=1,"",C255+1))</f>
        <v>46077</v>
      </c>
      <c r="D266" s="745" t="str">
        <f>TEXT(C266,"ddd")</f>
        <v>火</v>
      </c>
      <c r="E266" s="746"/>
      <c r="F266" s="775" t="s">
        <v>119</v>
      </c>
      <c r="G266" s="776" t="s">
        <v>809</v>
      </c>
      <c r="H266" s="777"/>
      <c r="I266" s="778">
        <v>0.6666666666666666</v>
      </c>
      <c r="J266" s="777">
        <v>9.0</v>
      </c>
      <c r="K266" s="777">
        <v>3.0</v>
      </c>
      <c r="L266" s="755"/>
      <c r="M266" s="755"/>
      <c r="N266" s="775" t="s">
        <v>810</v>
      </c>
      <c r="O266" s="779"/>
      <c r="P266" s="771"/>
      <c r="Q266" s="772"/>
      <c r="R266" s="661"/>
      <c r="S266" s="228" t="str">
        <f t="array" ref="S266">IFERROR(INDEX('💻シート作成'!$D$6:$D1001, MATCH(T266, '💻シート作成'!$E$6:$E1001, 0)), "")</f>
        <v/>
      </c>
      <c r="T266" s="184"/>
      <c r="U266" s="664"/>
      <c r="V266" s="774"/>
      <c r="W266" s="661"/>
      <c r="X266" s="757"/>
      <c r="Y266" s="661"/>
      <c r="Z266" s="661"/>
    </row>
    <row r="267" ht="19.5" customHeight="1" outlineLevel="1">
      <c r="A267" s="661"/>
      <c r="B267" s="729"/>
      <c r="C267" s="730"/>
      <c r="D267" s="730"/>
      <c r="E267" s="730"/>
      <c r="F267" s="730"/>
      <c r="G267" s="731"/>
      <c r="H267" s="730"/>
      <c r="I267" s="730"/>
      <c r="J267" s="730"/>
      <c r="K267" s="730"/>
      <c r="L267" s="755"/>
      <c r="M267" s="755"/>
      <c r="N267" s="730"/>
      <c r="O267" s="733"/>
      <c r="Q267" s="728"/>
      <c r="R267" s="661"/>
      <c r="S267" s="228" t="str">
        <f t="array" ref="S267">IFERROR(INDEX('💻シート作成'!$D$6:$D1001, MATCH(T267, '💻シート作成'!$E$6:$E1001, 0)), "")</f>
        <v/>
      </c>
      <c r="T267" s="184"/>
      <c r="U267" s="664"/>
      <c r="V267" s="774"/>
      <c r="W267" s="661"/>
      <c r="X267" s="757"/>
      <c r="Y267" s="661"/>
      <c r="Z267" s="661"/>
    </row>
    <row r="268" ht="19.5" customHeight="1" outlineLevel="1">
      <c r="A268" s="661"/>
      <c r="B268" s="729"/>
      <c r="C268" s="730"/>
      <c r="D268" s="730"/>
      <c r="E268" s="730"/>
      <c r="F268" s="730"/>
      <c r="G268" s="731"/>
      <c r="H268" s="730"/>
      <c r="I268" s="730"/>
      <c r="J268" s="730"/>
      <c r="K268" s="730"/>
      <c r="L268" s="755"/>
      <c r="M268" s="755"/>
      <c r="N268" s="730"/>
      <c r="O268" s="733"/>
      <c r="Q268" s="728"/>
      <c r="R268" s="661"/>
      <c r="S268" s="228" t="str">
        <f t="array" ref="S268">IFERROR(INDEX('💻シート作成'!$D$6:$D1001, MATCH(T268, '💻シート作成'!$E$6:$E1001, 0)), "")</f>
        <v/>
      </c>
      <c r="T268" s="184"/>
      <c r="U268" s="664"/>
      <c r="V268" s="774"/>
      <c r="W268" s="661"/>
      <c r="X268" s="757"/>
      <c r="Y268" s="661"/>
      <c r="Z268" s="661"/>
    </row>
    <row r="269" ht="19.5" customHeight="1" outlineLevel="1">
      <c r="A269" s="661"/>
      <c r="B269" s="729"/>
      <c r="C269" s="730"/>
      <c r="D269" s="730"/>
      <c r="E269" s="730"/>
      <c r="F269" s="730"/>
      <c r="G269" s="731"/>
      <c r="H269" s="730"/>
      <c r="I269" s="730"/>
      <c r="J269" s="730"/>
      <c r="K269" s="730"/>
      <c r="L269" s="756"/>
      <c r="M269" s="755"/>
      <c r="N269" s="730"/>
      <c r="O269" s="733"/>
      <c r="Q269" s="728"/>
      <c r="R269" s="661"/>
      <c r="S269" s="228" t="str">
        <f t="array" ref="S269">IFERROR(INDEX('💻シート作成'!$D$6:$D1001, MATCH(T269, '💻シート作成'!$E$6:$E1001, 0)), "")</f>
        <v/>
      </c>
      <c r="T269" s="184"/>
      <c r="U269" s="664"/>
      <c r="V269" s="774"/>
      <c r="W269" s="661"/>
      <c r="X269" s="757"/>
      <c r="Y269" s="661"/>
      <c r="Z269" s="661"/>
    </row>
    <row r="270" ht="19.5" customHeight="1" outlineLevel="1">
      <c r="A270" s="661"/>
      <c r="B270" s="729"/>
      <c r="C270" s="730"/>
      <c r="D270" s="730"/>
      <c r="E270" s="730"/>
      <c r="F270" s="730"/>
      <c r="G270" s="731"/>
      <c r="H270" s="730"/>
      <c r="I270" s="730"/>
      <c r="J270" s="730"/>
      <c r="K270" s="730"/>
      <c r="L270" s="756"/>
      <c r="M270" s="755"/>
      <c r="N270" s="730"/>
      <c r="O270" s="733"/>
      <c r="Q270" s="728"/>
      <c r="R270" s="661"/>
      <c r="S270" s="228" t="str">
        <f t="array" ref="S270">IFERROR(INDEX('💻シート作成'!$D$6:$D1001, MATCH(T270, '💻シート作成'!$E$6:$E1001, 0)), "")</f>
        <v/>
      </c>
      <c r="T270" s="184"/>
      <c r="U270" s="664"/>
      <c r="V270" s="774"/>
      <c r="W270" s="661"/>
      <c r="X270" s="757"/>
      <c r="Y270" s="661"/>
      <c r="Z270" s="661"/>
    </row>
    <row r="271" ht="19.5" customHeight="1" outlineLevel="1">
      <c r="A271" s="661"/>
      <c r="B271" s="729"/>
      <c r="C271" s="730"/>
      <c r="D271" s="730"/>
      <c r="E271" s="730"/>
      <c r="F271" s="730"/>
      <c r="G271" s="731"/>
      <c r="H271" s="730"/>
      <c r="I271" s="730"/>
      <c r="J271" s="730"/>
      <c r="K271" s="730"/>
      <c r="L271" s="756"/>
      <c r="M271" s="755"/>
      <c r="N271" s="730"/>
      <c r="O271" s="733"/>
      <c r="Q271" s="728"/>
      <c r="R271" s="661"/>
      <c r="S271" s="228" t="str">
        <f t="array" ref="S271">IFERROR(INDEX('💻シート作成'!$D$6:$D1001, MATCH(T271, '💻シート作成'!$E$6:$E1001, 0)), "")</f>
        <v/>
      </c>
      <c r="T271" s="184"/>
      <c r="U271" s="664"/>
      <c r="V271" s="774"/>
      <c r="W271" s="661"/>
      <c r="X271" s="757"/>
      <c r="Y271" s="661"/>
      <c r="Z271" s="661"/>
    </row>
    <row r="272" ht="19.5" customHeight="1" outlineLevel="1">
      <c r="A272" s="661"/>
      <c r="B272" s="729"/>
      <c r="C272" s="730"/>
      <c r="D272" s="730"/>
      <c r="E272" s="730"/>
      <c r="F272" s="730"/>
      <c r="G272" s="731"/>
      <c r="H272" s="730"/>
      <c r="I272" s="730"/>
      <c r="J272" s="730"/>
      <c r="K272" s="730"/>
      <c r="L272" s="756"/>
      <c r="M272" s="755"/>
      <c r="N272" s="730"/>
      <c r="O272" s="733"/>
      <c r="Q272" s="728"/>
      <c r="R272" s="661"/>
      <c r="S272" s="228" t="str">
        <f t="array" ref="S272">IFERROR(INDEX('💻シート作成'!$D$6:$D1001, MATCH(T272, '💻シート作成'!$E$6:$E1001, 0)), "")</f>
        <v/>
      </c>
      <c r="T272" s="184"/>
      <c r="U272" s="664"/>
      <c r="V272" s="774"/>
      <c r="W272" s="661"/>
      <c r="X272" s="757"/>
      <c r="Y272" s="661"/>
      <c r="Z272" s="661"/>
    </row>
    <row r="273" ht="19.5" customHeight="1" outlineLevel="1">
      <c r="A273" s="661"/>
      <c r="B273" s="729"/>
      <c r="C273" s="730"/>
      <c r="D273" s="730"/>
      <c r="E273" s="730"/>
      <c r="F273" s="730"/>
      <c r="G273" s="731"/>
      <c r="H273" s="730"/>
      <c r="I273" s="730"/>
      <c r="J273" s="730"/>
      <c r="K273" s="730"/>
      <c r="L273" s="756"/>
      <c r="M273" s="755"/>
      <c r="N273" s="730"/>
      <c r="O273" s="733"/>
      <c r="Q273" s="728"/>
      <c r="R273" s="661"/>
      <c r="S273" s="228" t="str">
        <f t="array" ref="S273">IFERROR(INDEX('💻シート作成'!$D$6:$D1001, MATCH(T273, '💻シート作成'!$E$6:$E1001, 0)), "")</f>
        <v/>
      </c>
      <c r="T273" s="184"/>
      <c r="U273" s="664"/>
      <c r="V273" s="774"/>
      <c r="W273" s="661"/>
      <c r="X273" s="757"/>
      <c r="Y273" s="661"/>
      <c r="Z273" s="661"/>
    </row>
    <row r="274" ht="19.5" customHeight="1" outlineLevel="1">
      <c r="A274" s="661"/>
      <c r="B274" s="729"/>
      <c r="C274" s="730"/>
      <c r="D274" s="730"/>
      <c r="E274" s="730"/>
      <c r="F274" s="730"/>
      <c r="G274" s="731"/>
      <c r="H274" s="730"/>
      <c r="I274" s="730"/>
      <c r="J274" s="730"/>
      <c r="K274" s="730"/>
      <c r="L274" s="756"/>
      <c r="M274" s="755"/>
      <c r="N274" s="730"/>
      <c r="O274" s="733"/>
      <c r="Q274" s="728"/>
      <c r="R274" s="661"/>
      <c r="S274" s="228" t="str">
        <f t="array" ref="S274">IFERROR(INDEX('💻シート作成'!$D$6:$D1001, MATCH(T274, '💻シート作成'!$E$6:$E1001, 0)), "")</f>
        <v/>
      </c>
      <c r="T274" s="184"/>
      <c r="U274" s="664"/>
      <c r="V274" s="774"/>
      <c r="W274" s="661"/>
      <c r="X274" s="757"/>
      <c r="Y274" s="661"/>
      <c r="Z274" s="661"/>
    </row>
    <row r="275" ht="19.5" customHeight="1" outlineLevel="1">
      <c r="A275" s="661"/>
      <c r="B275" s="729"/>
      <c r="C275" s="730"/>
      <c r="D275" s="730"/>
      <c r="E275" s="730"/>
      <c r="F275" s="697"/>
      <c r="G275" s="698"/>
      <c r="H275" s="697"/>
      <c r="I275" s="697"/>
      <c r="J275" s="697"/>
      <c r="K275" s="697"/>
      <c r="L275" s="756"/>
      <c r="M275" s="755"/>
      <c r="N275" s="697"/>
      <c r="O275" s="700"/>
      <c r="P275" s="701"/>
      <c r="Q275" s="737"/>
      <c r="R275" s="661"/>
      <c r="S275" s="228" t="str">
        <f t="array" ref="S275">IFERROR(INDEX('💻シート作成'!$D$6:$D1001, MATCH(T275, '💻シート作成'!$E$6:$E1001, 0)), "")</f>
        <v/>
      </c>
      <c r="T275" s="184"/>
      <c r="U275" s="664"/>
      <c r="V275" s="774"/>
      <c r="W275" s="661"/>
      <c r="X275" s="757"/>
      <c r="Y275" s="661"/>
      <c r="Z275" s="661"/>
    </row>
    <row r="276" ht="18.0" customHeight="1" outlineLevel="1">
      <c r="A276" s="661"/>
      <c r="B276" s="738"/>
      <c r="C276" s="697"/>
      <c r="D276" s="697"/>
      <c r="E276" s="697"/>
      <c r="F276" s="758" t="s">
        <v>517</v>
      </c>
      <c r="G276" s="759" t="s">
        <v>811</v>
      </c>
      <c r="H276" s="741"/>
      <c r="I276" s="741"/>
      <c r="J276" s="741"/>
      <c r="K276" s="741"/>
      <c r="L276" s="759"/>
      <c r="M276" s="759"/>
      <c r="N276" s="759"/>
      <c r="O276" s="759"/>
      <c r="P276" s="759"/>
      <c r="Q276" s="760"/>
      <c r="R276" s="661"/>
      <c r="S276" s="228" t="str">
        <f t="array" ref="S276">IFERROR(INDEX('💻シート作成'!$D$6:$D1001, MATCH(T276, '💻シート作成'!$E$6:$E1001, 0)), "")</f>
        <v/>
      </c>
      <c r="T276" s="184"/>
      <c r="U276" s="664"/>
      <c r="V276" s="774"/>
      <c r="W276" s="661"/>
      <c r="X276" s="757"/>
      <c r="Y276" s="661"/>
      <c r="Z276" s="661"/>
    </row>
    <row r="277" ht="24.75" customHeight="1" outlineLevel="1">
      <c r="A277" s="661"/>
      <c r="B277" s="761"/>
      <c r="C277" s="762">
        <f>IF(C266="","",IF(DAY(C266+1)=1,"",C266+1))</f>
        <v>46078</v>
      </c>
      <c r="D277" s="763" t="str">
        <f>TEXT(C277,"ddd")</f>
        <v>水</v>
      </c>
      <c r="E277" s="764"/>
      <c r="F277" s="765" t="s">
        <v>142</v>
      </c>
      <c r="G277" s="766" t="s">
        <v>812</v>
      </c>
      <c r="H277" s="767"/>
      <c r="I277" s="768">
        <v>0.0</v>
      </c>
      <c r="J277" s="763"/>
      <c r="K277" s="763"/>
      <c r="L277" s="769"/>
      <c r="M277" s="769"/>
      <c r="N277" s="765"/>
      <c r="O277" s="770"/>
      <c r="P277" s="771"/>
      <c r="Q277" s="772"/>
      <c r="R277" s="661"/>
      <c r="S277" s="228" t="str">
        <f t="array" ref="S277">IFERROR(INDEX('💻シート作成'!$D$6:$D1001, MATCH(T277, '💻シート作成'!$E$6:$E1001, 0)), "")</f>
        <v/>
      </c>
      <c r="T277" s="184"/>
      <c r="U277" s="664"/>
      <c r="V277" s="774"/>
      <c r="W277" s="661"/>
      <c r="X277" s="757"/>
      <c r="Y277" s="661"/>
      <c r="Z277" s="661"/>
    </row>
    <row r="278" ht="24.75" customHeight="1" outlineLevel="1">
      <c r="A278" s="661"/>
      <c r="B278" s="729"/>
      <c r="C278" s="730"/>
      <c r="D278" s="730"/>
      <c r="E278" s="730"/>
      <c r="F278" s="730"/>
      <c r="G278" s="731"/>
      <c r="H278" s="730"/>
      <c r="I278" s="730"/>
      <c r="J278" s="730"/>
      <c r="K278" s="730"/>
      <c r="L278" s="769"/>
      <c r="M278" s="769"/>
      <c r="N278" s="730"/>
      <c r="O278" s="733"/>
      <c r="Q278" s="728"/>
      <c r="R278" s="661"/>
      <c r="S278" s="228" t="str">
        <f t="array" ref="S278">IFERROR(INDEX('💻シート作成'!$D$6:$D1001, MATCH(T278, '💻シート作成'!$E$6:$E1001, 0)), "")</f>
        <v/>
      </c>
      <c r="T278" s="184"/>
      <c r="U278" s="664"/>
      <c r="V278" s="774"/>
      <c r="W278" s="661"/>
      <c r="X278" s="757"/>
      <c r="Y278" s="661"/>
      <c r="Z278" s="661"/>
    </row>
    <row r="279" ht="24.75" customHeight="1" outlineLevel="1">
      <c r="A279" s="661"/>
      <c r="B279" s="729"/>
      <c r="C279" s="730"/>
      <c r="D279" s="730"/>
      <c r="E279" s="730"/>
      <c r="F279" s="730"/>
      <c r="G279" s="731"/>
      <c r="H279" s="730"/>
      <c r="I279" s="730"/>
      <c r="J279" s="730"/>
      <c r="K279" s="730"/>
      <c r="L279" s="769"/>
      <c r="M279" s="769"/>
      <c r="N279" s="730"/>
      <c r="O279" s="733"/>
      <c r="Q279" s="728"/>
      <c r="R279" s="661"/>
      <c r="S279" s="228" t="str">
        <f t="array" ref="S279">IFERROR(INDEX('💻シート作成'!$D$6:$D1001, MATCH(T279, '💻シート作成'!$E$6:$E1001, 0)), "")</f>
        <v/>
      </c>
      <c r="T279" s="184"/>
      <c r="U279" s="664"/>
      <c r="V279" s="774"/>
      <c r="W279" s="661"/>
      <c r="X279" s="757"/>
      <c r="Y279" s="661"/>
      <c r="Z279" s="661"/>
    </row>
    <row r="280" ht="24.75" customHeight="1" outlineLevel="1">
      <c r="A280" s="661"/>
      <c r="B280" s="729"/>
      <c r="C280" s="730"/>
      <c r="D280" s="730"/>
      <c r="E280" s="730"/>
      <c r="F280" s="730"/>
      <c r="G280" s="731"/>
      <c r="H280" s="730"/>
      <c r="I280" s="730"/>
      <c r="J280" s="730"/>
      <c r="K280" s="730"/>
      <c r="L280" s="773"/>
      <c r="M280" s="769"/>
      <c r="N280" s="730"/>
      <c r="O280" s="733"/>
      <c r="Q280" s="728"/>
      <c r="R280" s="661"/>
      <c r="S280" s="228" t="str">
        <f t="array" ref="S280">IFERROR(INDEX('💻シート作成'!$D$6:$D1001, MATCH(T280, '💻シート作成'!$E$6:$E1001, 0)), "")</f>
        <v/>
      </c>
      <c r="T280" s="184"/>
      <c r="U280" s="664"/>
      <c r="V280" s="774"/>
      <c r="W280" s="661"/>
      <c r="X280" s="757"/>
      <c r="Y280" s="661"/>
      <c r="Z280" s="661"/>
    </row>
    <row r="281" ht="24.75" customHeight="1" outlineLevel="1">
      <c r="A281" s="661"/>
      <c r="B281" s="729"/>
      <c r="C281" s="730"/>
      <c r="D281" s="730"/>
      <c r="E281" s="730"/>
      <c r="F281" s="730"/>
      <c r="G281" s="731"/>
      <c r="H281" s="730"/>
      <c r="I281" s="730"/>
      <c r="J281" s="730"/>
      <c r="K281" s="730"/>
      <c r="L281" s="773"/>
      <c r="M281" s="769"/>
      <c r="N281" s="730"/>
      <c r="O281" s="733"/>
      <c r="Q281" s="728"/>
      <c r="R281" s="661"/>
      <c r="S281" s="228" t="str">
        <f t="array" ref="S281">IFERROR(INDEX('💻シート作成'!$D$6:$D1001, MATCH(T281, '💻シート作成'!$E$6:$E1001, 0)), "")</f>
        <v/>
      </c>
      <c r="T281" s="184"/>
      <c r="U281" s="664"/>
      <c r="V281" s="774"/>
      <c r="W281" s="661"/>
      <c r="X281" s="757"/>
      <c r="Y281" s="661"/>
      <c r="Z281" s="661"/>
    </row>
    <row r="282" ht="24.75" customHeight="1" outlineLevel="1">
      <c r="A282" s="661"/>
      <c r="B282" s="729"/>
      <c r="C282" s="730"/>
      <c r="D282" s="730"/>
      <c r="E282" s="730"/>
      <c r="F282" s="730"/>
      <c r="G282" s="731"/>
      <c r="H282" s="730"/>
      <c r="I282" s="730"/>
      <c r="J282" s="730"/>
      <c r="K282" s="730"/>
      <c r="L282" s="773"/>
      <c r="M282" s="769"/>
      <c r="N282" s="730"/>
      <c r="O282" s="733"/>
      <c r="Q282" s="728"/>
      <c r="R282" s="661"/>
      <c r="S282" s="228" t="str">
        <f t="array" ref="S282">IFERROR(INDEX('💻シート作成'!$D$6:$D1001, MATCH(T282, '💻シート作成'!$E$6:$E1001, 0)), "")</f>
        <v/>
      </c>
      <c r="T282" s="184"/>
      <c r="U282" s="664"/>
      <c r="V282" s="774"/>
      <c r="W282" s="661"/>
      <c r="X282" s="757"/>
      <c r="Y282" s="661"/>
      <c r="Z282" s="661"/>
    </row>
    <row r="283" ht="24.75" customHeight="1" outlineLevel="1">
      <c r="A283" s="661"/>
      <c r="B283" s="729"/>
      <c r="C283" s="730"/>
      <c r="D283" s="730"/>
      <c r="E283" s="730"/>
      <c r="F283" s="730"/>
      <c r="G283" s="731"/>
      <c r="H283" s="730"/>
      <c r="I283" s="730"/>
      <c r="J283" s="730"/>
      <c r="K283" s="730"/>
      <c r="L283" s="773"/>
      <c r="M283" s="769"/>
      <c r="N283" s="730"/>
      <c r="O283" s="733"/>
      <c r="Q283" s="728"/>
      <c r="R283" s="661"/>
      <c r="S283" s="228" t="str">
        <f t="array" ref="S283">IFERROR(INDEX('💻シート作成'!$D$6:$D1001, MATCH(T283, '💻シート作成'!$E$6:$E1001, 0)), "")</f>
        <v/>
      </c>
      <c r="T283" s="184"/>
      <c r="U283" s="664"/>
      <c r="V283" s="774"/>
      <c r="W283" s="661"/>
      <c r="X283" s="757"/>
      <c r="Y283" s="661"/>
      <c r="Z283" s="661"/>
    </row>
    <row r="284" ht="24.75" customHeight="1" outlineLevel="1">
      <c r="A284" s="661"/>
      <c r="B284" s="729"/>
      <c r="C284" s="730"/>
      <c r="D284" s="730"/>
      <c r="E284" s="730"/>
      <c r="F284" s="730"/>
      <c r="G284" s="731"/>
      <c r="H284" s="730"/>
      <c r="I284" s="730"/>
      <c r="J284" s="730"/>
      <c r="K284" s="730"/>
      <c r="L284" s="773"/>
      <c r="M284" s="769"/>
      <c r="N284" s="730"/>
      <c r="O284" s="733"/>
      <c r="Q284" s="728"/>
      <c r="R284" s="661"/>
      <c r="S284" s="228" t="str">
        <f t="array" ref="S284">IFERROR(INDEX('💻シート作成'!$D$6:$D1001, MATCH(T284, '💻シート作成'!$E$6:$E1001, 0)), "")</f>
        <v/>
      </c>
      <c r="T284" s="184"/>
      <c r="U284" s="664"/>
      <c r="V284" s="774"/>
      <c r="W284" s="661"/>
      <c r="X284" s="757"/>
      <c r="Y284" s="661"/>
      <c r="Z284" s="661"/>
    </row>
    <row r="285" ht="24.75" customHeight="1" outlineLevel="1">
      <c r="A285" s="661"/>
      <c r="B285" s="729"/>
      <c r="C285" s="730"/>
      <c r="D285" s="730"/>
      <c r="E285" s="730"/>
      <c r="F285" s="730"/>
      <c r="G285" s="731"/>
      <c r="H285" s="730"/>
      <c r="I285" s="730"/>
      <c r="J285" s="730"/>
      <c r="K285" s="730"/>
      <c r="L285" s="773"/>
      <c r="M285" s="769"/>
      <c r="N285" s="730"/>
      <c r="O285" s="733"/>
      <c r="Q285" s="728"/>
      <c r="R285" s="661"/>
      <c r="S285" s="228" t="str">
        <f t="array" ref="S285">IFERROR(INDEX('💻シート作成'!$D$6:$D1001, MATCH(T285, '💻シート作成'!$E$6:$E1001, 0)), "")</f>
        <v/>
      </c>
      <c r="T285" s="184"/>
      <c r="U285" s="664"/>
      <c r="V285" s="774"/>
      <c r="W285" s="661"/>
      <c r="X285" s="757"/>
      <c r="Y285" s="661"/>
      <c r="Z285" s="661"/>
    </row>
    <row r="286" ht="24.75" customHeight="1" outlineLevel="1">
      <c r="A286" s="661"/>
      <c r="B286" s="729"/>
      <c r="C286" s="730"/>
      <c r="D286" s="730"/>
      <c r="E286" s="730"/>
      <c r="F286" s="697"/>
      <c r="G286" s="698"/>
      <c r="H286" s="697"/>
      <c r="I286" s="697"/>
      <c r="J286" s="697"/>
      <c r="K286" s="697"/>
      <c r="L286" s="773"/>
      <c r="M286" s="769"/>
      <c r="N286" s="697"/>
      <c r="O286" s="700"/>
      <c r="P286" s="701"/>
      <c r="Q286" s="737"/>
      <c r="R286" s="661"/>
      <c r="S286" s="228" t="str">
        <f t="array" ref="S286">IFERROR(INDEX('💻シート作成'!$D$6:$D1001, MATCH(T286, '💻シート作成'!$E$6:$E1001, 0)), "")</f>
        <v/>
      </c>
      <c r="T286" s="184"/>
      <c r="U286" s="664"/>
      <c r="V286" s="774"/>
      <c r="W286" s="661"/>
      <c r="X286" s="757"/>
      <c r="Y286" s="661"/>
      <c r="Z286" s="661"/>
    </row>
    <row r="287" ht="18.0" customHeight="1" outlineLevel="1">
      <c r="A287" s="661"/>
      <c r="B287" s="738"/>
      <c r="C287" s="697"/>
      <c r="D287" s="697"/>
      <c r="E287" s="697"/>
      <c r="F287" s="739" t="s">
        <v>517</v>
      </c>
      <c r="G287" s="740" t="s">
        <v>813</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4"/>
      <c r="W287" s="661"/>
      <c r="X287" s="757"/>
      <c r="Y287" s="661"/>
      <c r="Z287" s="661"/>
    </row>
    <row r="288">
      <c r="A288" s="661"/>
      <c r="B288" s="780" t="s">
        <v>526</v>
      </c>
      <c r="C288" s="781"/>
      <c r="D288" s="781"/>
      <c r="E288" s="781"/>
      <c r="F288" s="782"/>
      <c r="G288" s="783"/>
      <c r="H288" s="784"/>
      <c r="I288" s="784"/>
      <c r="J288" s="785"/>
      <c r="K288" s="785"/>
      <c r="L288" s="783"/>
      <c r="M288" s="783"/>
      <c r="N288" s="786"/>
      <c r="O288" s="787"/>
      <c r="P288" s="787"/>
      <c r="Q288" s="788"/>
      <c r="R288" s="661"/>
      <c r="S288" s="228" t="str">
        <f t="array" ref="S288">IFERROR(INDEX('💻シート作成'!$D$6:$D1001, MATCH(T288, '💻シート作成'!$E$6:$E1001, 0)), "")</f>
        <v/>
      </c>
      <c r="T288" s="184"/>
      <c r="U288" s="664"/>
      <c r="V288" s="774"/>
      <c r="W288" s="661"/>
      <c r="X288" s="757"/>
      <c r="Y288" s="661"/>
      <c r="Z288" s="661"/>
    </row>
    <row r="289" ht="37.5" customHeight="1" outlineLevel="1">
      <c r="A289" s="661"/>
      <c r="B289" s="743"/>
      <c r="C289" s="744">
        <f>IF(C277="","",IF(DAY(C277+1)=1,"",C277+1))</f>
        <v>46079</v>
      </c>
      <c r="D289" s="745" t="str">
        <f>TEXT(C289,"ddd")</f>
        <v>木</v>
      </c>
      <c r="E289" s="746"/>
      <c r="F289" s="775" t="s">
        <v>132</v>
      </c>
      <c r="G289" s="776" t="s">
        <v>814</v>
      </c>
      <c r="H289" s="777"/>
      <c r="I289" s="948">
        <v>0.6666666666666666</v>
      </c>
      <c r="J289" s="777">
        <v>11.0</v>
      </c>
      <c r="K289" s="777">
        <v>4.0</v>
      </c>
      <c r="L289" s="755"/>
      <c r="M289" s="755"/>
      <c r="N289" s="775" t="s">
        <v>815</v>
      </c>
      <c r="O289" s="779"/>
      <c r="P289" s="771"/>
      <c r="Q289" s="772"/>
      <c r="R289" s="661"/>
      <c r="S289" s="661"/>
      <c r="T289" s="661"/>
      <c r="U289" s="664"/>
      <c r="V289" s="665"/>
      <c r="W289" s="661"/>
      <c r="X289" s="661"/>
      <c r="Y289" s="661"/>
      <c r="Z289" s="661"/>
    </row>
    <row r="290" ht="37.5" customHeight="1"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ht="37.5" customHeight="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ht="37.5" customHeight="1"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ht="37.5" customHeight="1"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ht="37.5" customHeight="1"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ht="37.5" customHeight="1"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ht="37.5" customHeight="1"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ht="37.5" customHeight="1"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ht="37.5" customHeight="1"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8" t="s">
        <v>517</v>
      </c>
      <c r="G299" s="759" t="s">
        <v>816</v>
      </c>
      <c r="H299" s="741"/>
      <c r="I299" s="741"/>
      <c r="J299" s="741"/>
      <c r="K299" s="741"/>
      <c r="L299" s="759"/>
      <c r="M299" s="759"/>
      <c r="N299" s="759"/>
      <c r="O299" s="759"/>
      <c r="P299" s="759"/>
      <c r="Q299" s="760"/>
      <c r="R299" s="661"/>
      <c r="S299" s="661"/>
      <c r="T299" s="661"/>
      <c r="U299" s="664"/>
      <c r="V299" s="665"/>
      <c r="W299" s="661"/>
      <c r="X299" s="661"/>
      <c r="Y299" s="661"/>
      <c r="Z299" s="661"/>
    </row>
    <row r="300" ht="69.75" customHeight="1" outlineLevel="1">
      <c r="A300" s="661"/>
      <c r="B300" s="761"/>
      <c r="C300" s="762">
        <f>IF(C289="","",IF(DAY(C289+1)=1,"",C289+1))</f>
        <v>46080</v>
      </c>
      <c r="D300" s="763" t="str">
        <f>TEXT(C300,"ddd")</f>
        <v>金</v>
      </c>
      <c r="E300" s="764"/>
      <c r="F300" s="765" t="s">
        <v>132</v>
      </c>
      <c r="G300" s="766" t="s">
        <v>817</v>
      </c>
      <c r="H300" s="767"/>
      <c r="I300" s="768">
        <v>0.6666666666666666</v>
      </c>
      <c r="J300" s="767">
        <v>8.0</v>
      </c>
      <c r="K300" s="767">
        <v>1.0</v>
      </c>
      <c r="L300" s="769" t="s">
        <v>521</v>
      </c>
      <c r="M300" s="769" t="s">
        <v>818</v>
      </c>
      <c r="N300" s="765" t="s">
        <v>819</v>
      </c>
      <c r="O300" s="770"/>
      <c r="P300" s="771"/>
      <c r="Q300" s="772"/>
      <c r="R300" s="661"/>
      <c r="S300" s="661"/>
      <c r="T300" s="661"/>
      <c r="U300" s="664"/>
      <c r="V300" s="665"/>
      <c r="W300" s="661"/>
      <c r="X300" s="661"/>
      <c r="Y300" s="661"/>
      <c r="Z300" s="661"/>
    </row>
    <row r="301" ht="69.75" customHeight="1" outlineLevel="1">
      <c r="A301" s="661"/>
      <c r="B301" s="729"/>
      <c r="C301" s="730"/>
      <c r="D301" s="730"/>
      <c r="E301" s="730"/>
      <c r="F301" s="730"/>
      <c r="G301" s="731"/>
      <c r="H301" s="730"/>
      <c r="I301" s="730"/>
      <c r="J301" s="730"/>
      <c r="K301" s="730"/>
      <c r="L301" s="769"/>
      <c r="M301" s="769"/>
      <c r="N301" s="730"/>
      <c r="O301" s="733"/>
      <c r="Q301" s="728"/>
      <c r="R301" s="661"/>
      <c r="S301" s="661"/>
      <c r="T301" s="661"/>
      <c r="U301" s="664"/>
      <c r="V301" s="665"/>
      <c r="W301" s="661"/>
      <c r="X301" s="661"/>
      <c r="Y301" s="661"/>
      <c r="Z301" s="661"/>
    </row>
    <row r="302" ht="69.75" customHeight="1" outlineLevel="1">
      <c r="A302" s="661"/>
      <c r="B302" s="729"/>
      <c r="C302" s="730"/>
      <c r="D302" s="730"/>
      <c r="E302" s="730"/>
      <c r="F302" s="730"/>
      <c r="G302" s="731"/>
      <c r="H302" s="730"/>
      <c r="I302" s="730"/>
      <c r="J302" s="730"/>
      <c r="K302" s="730"/>
      <c r="L302" s="769"/>
      <c r="M302" s="769"/>
      <c r="N302" s="730"/>
      <c r="O302" s="733"/>
      <c r="Q302" s="728"/>
      <c r="R302" s="661"/>
      <c r="S302" s="661"/>
      <c r="T302" s="661"/>
      <c r="U302" s="664"/>
      <c r="V302" s="665"/>
      <c r="W302" s="661"/>
      <c r="X302" s="661"/>
      <c r="Y302" s="661"/>
      <c r="Z302" s="661"/>
    </row>
    <row r="303" ht="69.75" customHeight="1" outlineLevel="1">
      <c r="A303" s="661"/>
      <c r="B303" s="729"/>
      <c r="C303" s="730"/>
      <c r="D303" s="730"/>
      <c r="E303" s="730"/>
      <c r="F303" s="730"/>
      <c r="G303" s="731"/>
      <c r="H303" s="730"/>
      <c r="I303" s="730"/>
      <c r="J303" s="730"/>
      <c r="K303" s="730"/>
      <c r="L303" s="773"/>
      <c r="M303" s="769"/>
      <c r="N303" s="730"/>
      <c r="O303" s="733"/>
      <c r="Q303" s="728"/>
      <c r="R303" s="661"/>
      <c r="S303" s="661"/>
      <c r="T303" s="661"/>
      <c r="U303" s="664"/>
      <c r="V303" s="665"/>
      <c r="W303" s="661"/>
      <c r="X303" s="661"/>
      <c r="Y303" s="661"/>
      <c r="Z303" s="661"/>
    </row>
    <row r="304" ht="69.75" customHeight="1" outlineLevel="1">
      <c r="A304" s="661"/>
      <c r="B304" s="729"/>
      <c r="C304" s="730"/>
      <c r="D304" s="730"/>
      <c r="E304" s="730"/>
      <c r="F304" s="730"/>
      <c r="G304" s="731"/>
      <c r="H304" s="730"/>
      <c r="I304" s="730"/>
      <c r="J304" s="730"/>
      <c r="K304" s="730"/>
      <c r="L304" s="773"/>
      <c r="M304" s="769"/>
      <c r="N304" s="730"/>
      <c r="O304" s="733"/>
      <c r="Q304" s="728"/>
      <c r="R304" s="661"/>
      <c r="S304" s="661"/>
      <c r="T304" s="661"/>
      <c r="U304" s="664"/>
      <c r="V304" s="665"/>
      <c r="W304" s="661"/>
      <c r="X304" s="661"/>
      <c r="Y304" s="661"/>
      <c r="Z304" s="661"/>
    </row>
    <row r="305" ht="69.75" customHeight="1" outlineLevel="1">
      <c r="A305" s="661"/>
      <c r="B305" s="729"/>
      <c r="C305" s="730"/>
      <c r="D305" s="730"/>
      <c r="E305" s="730"/>
      <c r="F305" s="730"/>
      <c r="G305" s="731"/>
      <c r="H305" s="730"/>
      <c r="I305" s="730"/>
      <c r="J305" s="730"/>
      <c r="K305" s="730"/>
      <c r="L305" s="773"/>
      <c r="M305" s="769"/>
      <c r="N305" s="730"/>
      <c r="O305" s="733"/>
      <c r="Q305" s="728"/>
      <c r="R305" s="661"/>
      <c r="S305" s="661"/>
      <c r="T305" s="661"/>
      <c r="U305" s="664"/>
      <c r="V305" s="665"/>
      <c r="W305" s="661"/>
      <c r="X305" s="661"/>
      <c r="Y305" s="661"/>
      <c r="Z305" s="661"/>
    </row>
    <row r="306" ht="69.75" customHeight="1" outlineLevel="1">
      <c r="A306" s="661"/>
      <c r="B306" s="729"/>
      <c r="C306" s="730"/>
      <c r="D306" s="730"/>
      <c r="E306" s="730"/>
      <c r="F306" s="730"/>
      <c r="G306" s="731"/>
      <c r="H306" s="730"/>
      <c r="I306" s="730"/>
      <c r="J306" s="730"/>
      <c r="K306" s="730"/>
      <c r="L306" s="773"/>
      <c r="M306" s="769"/>
      <c r="N306" s="730"/>
      <c r="O306" s="733"/>
      <c r="Q306" s="728"/>
      <c r="R306" s="661"/>
      <c r="S306" s="661"/>
      <c r="T306" s="661"/>
      <c r="U306" s="664"/>
      <c r="V306" s="665"/>
      <c r="W306" s="661"/>
      <c r="X306" s="661"/>
      <c r="Y306" s="661"/>
      <c r="Z306" s="661"/>
    </row>
    <row r="307" ht="69.75" customHeight="1" outlineLevel="1">
      <c r="A307" s="661"/>
      <c r="B307" s="729"/>
      <c r="C307" s="730"/>
      <c r="D307" s="730"/>
      <c r="E307" s="730"/>
      <c r="F307" s="730"/>
      <c r="G307" s="731"/>
      <c r="H307" s="730"/>
      <c r="I307" s="730"/>
      <c r="J307" s="730"/>
      <c r="K307" s="730"/>
      <c r="L307" s="773"/>
      <c r="M307" s="769"/>
      <c r="N307" s="730"/>
      <c r="O307" s="733"/>
      <c r="Q307" s="728"/>
      <c r="R307" s="661"/>
      <c r="S307" s="661"/>
      <c r="T307" s="661"/>
      <c r="U307" s="664"/>
      <c r="V307" s="665"/>
      <c r="W307" s="661"/>
      <c r="X307" s="661"/>
      <c r="Y307" s="661"/>
      <c r="Z307" s="661"/>
    </row>
    <row r="308" ht="69.75" customHeight="1" outlineLevel="1">
      <c r="A308" s="661"/>
      <c r="B308" s="729"/>
      <c r="C308" s="730"/>
      <c r="D308" s="730"/>
      <c r="E308" s="730"/>
      <c r="F308" s="730"/>
      <c r="G308" s="731"/>
      <c r="H308" s="730"/>
      <c r="I308" s="730"/>
      <c r="J308" s="730"/>
      <c r="K308" s="730"/>
      <c r="L308" s="773"/>
      <c r="M308" s="769"/>
      <c r="N308" s="730"/>
      <c r="O308" s="733"/>
      <c r="Q308" s="728"/>
      <c r="R308" s="661"/>
      <c r="S308" s="661"/>
      <c r="T308" s="661"/>
      <c r="U308" s="664"/>
      <c r="V308" s="665"/>
      <c r="W308" s="661"/>
      <c r="X308" s="661"/>
      <c r="Y308" s="661"/>
      <c r="Z308" s="661"/>
    </row>
    <row r="309" ht="69.75" customHeight="1" outlineLevel="1">
      <c r="A309" s="661"/>
      <c r="B309" s="729"/>
      <c r="C309" s="730"/>
      <c r="D309" s="730"/>
      <c r="E309" s="730"/>
      <c r="F309" s="697"/>
      <c r="G309" s="698"/>
      <c r="H309" s="697"/>
      <c r="I309" s="697"/>
      <c r="J309" s="697"/>
      <c r="K309" s="697"/>
      <c r="L309" s="773"/>
      <c r="M309" s="769"/>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517</v>
      </c>
      <c r="G310" s="740" t="s">
        <v>820</v>
      </c>
      <c r="H310" s="741"/>
      <c r="I310" s="741"/>
      <c r="J310" s="741"/>
      <c r="K310" s="741"/>
      <c r="L310" s="740"/>
      <c r="M310" s="740"/>
      <c r="N310" s="740"/>
      <c r="O310" s="740"/>
      <c r="P310" s="740"/>
      <c r="Q310" s="742"/>
      <c r="R310" s="661"/>
      <c r="S310" s="661"/>
      <c r="T310" s="661"/>
      <c r="U310" s="664"/>
      <c r="V310" s="665"/>
      <c r="W310" s="661"/>
      <c r="X310" s="661"/>
      <c r="Y310" s="661"/>
      <c r="Z310" s="661"/>
    </row>
    <row r="311" ht="61.5" customHeight="1" outlineLevel="1">
      <c r="A311" s="661"/>
      <c r="B311" s="743"/>
      <c r="C311" s="744">
        <f>IF(C300="","",IF(DAY(C300+1)=1,"",C300+1))</f>
        <v>46081</v>
      </c>
      <c r="D311" s="745" t="str">
        <f>TEXT(C311,"ddd")</f>
        <v>土</v>
      </c>
      <c r="E311" s="746" t="s">
        <v>821</v>
      </c>
      <c r="F311" s="775" t="s">
        <v>132</v>
      </c>
      <c r="G311" s="776" t="s">
        <v>822</v>
      </c>
      <c r="H311" s="777"/>
      <c r="I311" s="778">
        <v>0.6875</v>
      </c>
      <c r="J311" s="777">
        <v>9.0</v>
      </c>
      <c r="K311" s="777">
        <v>3.0</v>
      </c>
      <c r="L311" s="755" t="s">
        <v>521</v>
      </c>
      <c r="M311" s="755" t="s">
        <v>823</v>
      </c>
      <c r="N311" s="775" t="s">
        <v>824</v>
      </c>
      <c r="O311" s="779"/>
      <c r="P311" s="771"/>
      <c r="Q311" s="772"/>
      <c r="R311" s="661"/>
      <c r="S311" s="661"/>
      <c r="T311" s="661"/>
      <c r="U311" s="664"/>
      <c r="V311" s="665"/>
      <c r="W311" s="661"/>
      <c r="X311" s="661"/>
      <c r="Y311" s="661"/>
      <c r="Z311" s="661"/>
    </row>
    <row r="312" ht="61.5" customHeight="1"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ht="61.5" customHeight="1"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ht="61.5" customHeight="1"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ht="61.5" customHeight="1"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ht="61.5" customHeight="1"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ht="61.5" customHeight="1"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ht="61.5" customHeight="1"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ht="61.5" customHeight="1"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ht="61.5" customHeight="1"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8" t="s">
        <v>517</v>
      </c>
      <c r="G321" s="759" t="s">
        <v>825</v>
      </c>
      <c r="H321" s="741"/>
      <c r="I321" s="741"/>
      <c r="J321" s="741"/>
      <c r="K321" s="741"/>
      <c r="L321" s="759"/>
      <c r="M321" s="759"/>
      <c r="N321" s="759"/>
      <c r="O321" s="759"/>
      <c r="P321" s="759"/>
      <c r="Q321" s="760"/>
      <c r="R321" s="661"/>
      <c r="S321" s="661"/>
      <c r="T321" s="661"/>
      <c r="U321" s="664"/>
      <c r="V321" s="665"/>
      <c r="W321" s="661"/>
      <c r="X321" s="661"/>
      <c r="Y321" s="661"/>
      <c r="Z321" s="661"/>
    </row>
    <row r="322" outlineLevel="1">
      <c r="A322" s="661"/>
      <c r="B322" s="761"/>
      <c r="C322" s="762" t="str">
        <f>IF(C311="","",IF(DAY(C311+1)=1,"",C311+1))</f>
        <v/>
      </c>
      <c r="D322" s="763" t="str">
        <f>TEXT(C322,"ddd")</f>
        <v/>
      </c>
      <c r="E322" s="764"/>
      <c r="F322" s="765" t="s">
        <v>518</v>
      </c>
      <c r="G322" s="766"/>
      <c r="H322" s="767"/>
      <c r="I322" s="768">
        <v>0.0</v>
      </c>
      <c r="J322" s="763"/>
      <c r="K322" s="763"/>
      <c r="L322" s="769"/>
      <c r="M322" s="769"/>
      <c r="N322" s="765"/>
      <c r="O322" s="770"/>
      <c r="P322" s="771"/>
      <c r="Q322" s="772"/>
      <c r="R322" s="661"/>
      <c r="S322" s="661"/>
      <c r="T322" s="661"/>
      <c r="U322" s="664"/>
      <c r="V322" s="665"/>
      <c r="W322" s="661"/>
      <c r="X322" s="661"/>
      <c r="Y322" s="661"/>
      <c r="Z322" s="661"/>
    </row>
    <row r="323" outlineLevel="1">
      <c r="A323" s="661"/>
      <c r="B323" s="729"/>
      <c r="C323" s="730"/>
      <c r="D323" s="730"/>
      <c r="E323" s="730"/>
      <c r="F323" s="730"/>
      <c r="G323" s="731"/>
      <c r="H323" s="730"/>
      <c r="I323" s="730"/>
      <c r="J323" s="730"/>
      <c r="K323" s="730"/>
      <c r="L323" s="769"/>
      <c r="M323" s="769"/>
      <c r="N323" s="730"/>
      <c r="O323" s="733"/>
      <c r="Q323" s="728"/>
      <c r="R323" s="661"/>
      <c r="S323" s="661"/>
      <c r="T323" s="661"/>
      <c r="U323" s="664"/>
      <c r="V323" s="665"/>
      <c r="W323" s="661"/>
      <c r="X323" s="661"/>
      <c r="Y323" s="661"/>
      <c r="Z323" s="661"/>
    </row>
    <row r="324" outlineLevel="1">
      <c r="A324" s="661"/>
      <c r="B324" s="729"/>
      <c r="C324" s="730"/>
      <c r="D324" s="730"/>
      <c r="E324" s="730"/>
      <c r="F324" s="730"/>
      <c r="G324" s="731"/>
      <c r="H324" s="730"/>
      <c r="I324" s="730"/>
      <c r="J324" s="730"/>
      <c r="K324" s="730"/>
      <c r="L324" s="769"/>
      <c r="M324" s="769"/>
      <c r="N324" s="730"/>
      <c r="O324" s="733"/>
      <c r="Q324" s="728"/>
      <c r="R324" s="661"/>
      <c r="S324" s="661"/>
      <c r="T324" s="661"/>
      <c r="U324" s="664"/>
      <c r="V324" s="665"/>
      <c r="W324" s="661"/>
      <c r="X324" s="661"/>
      <c r="Y324" s="661"/>
      <c r="Z324" s="661"/>
    </row>
    <row r="325" outlineLevel="1">
      <c r="A325" s="661"/>
      <c r="B325" s="729"/>
      <c r="C325" s="730"/>
      <c r="D325" s="730"/>
      <c r="E325" s="730"/>
      <c r="F325" s="730"/>
      <c r="G325" s="731"/>
      <c r="H325" s="730"/>
      <c r="I325" s="730"/>
      <c r="J325" s="730"/>
      <c r="K325" s="730"/>
      <c r="L325" s="773"/>
      <c r="M325" s="769"/>
      <c r="N325" s="730"/>
      <c r="O325" s="733"/>
      <c r="Q325" s="728"/>
      <c r="R325" s="661"/>
      <c r="S325" s="661"/>
      <c r="T325" s="661"/>
      <c r="U325" s="664"/>
      <c r="V325" s="665"/>
      <c r="W325" s="661"/>
      <c r="X325" s="661"/>
      <c r="Y325" s="661"/>
      <c r="Z325" s="661"/>
    </row>
    <row r="326" outlineLevel="1">
      <c r="A326" s="661"/>
      <c r="B326" s="729"/>
      <c r="C326" s="730"/>
      <c r="D326" s="730"/>
      <c r="E326" s="730"/>
      <c r="F326" s="730"/>
      <c r="G326" s="731"/>
      <c r="H326" s="730"/>
      <c r="I326" s="730"/>
      <c r="J326" s="730"/>
      <c r="K326" s="730"/>
      <c r="L326" s="773"/>
      <c r="M326" s="769"/>
      <c r="N326" s="730"/>
      <c r="O326" s="733"/>
      <c r="Q326" s="728"/>
      <c r="R326" s="661"/>
      <c r="S326" s="661"/>
      <c r="T326" s="661"/>
      <c r="U326" s="664"/>
      <c r="V326" s="665"/>
      <c r="W326" s="661"/>
      <c r="X326" s="661"/>
      <c r="Y326" s="661"/>
      <c r="Z326" s="661"/>
    </row>
    <row r="327" outlineLevel="1">
      <c r="A327" s="661"/>
      <c r="B327" s="729"/>
      <c r="C327" s="730"/>
      <c r="D327" s="730"/>
      <c r="E327" s="730"/>
      <c r="F327" s="730"/>
      <c r="G327" s="731"/>
      <c r="H327" s="730"/>
      <c r="I327" s="730"/>
      <c r="J327" s="730"/>
      <c r="K327" s="730"/>
      <c r="L327" s="773"/>
      <c r="M327" s="769"/>
      <c r="N327" s="730"/>
      <c r="O327" s="733"/>
      <c r="Q327" s="728"/>
      <c r="R327" s="661"/>
      <c r="S327" s="661"/>
      <c r="T327" s="661"/>
      <c r="U327" s="664"/>
      <c r="V327" s="665"/>
      <c r="W327" s="661"/>
      <c r="X327" s="661"/>
      <c r="Y327" s="661"/>
      <c r="Z327" s="661"/>
    </row>
    <row r="328" outlineLevel="1">
      <c r="A328" s="661"/>
      <c r="B328" s="729"/>
      <c r="C328" s="730"/>
      <c r="D328" s="730"/>
      <c r="E328" s="730"/>
      <c r="F328" s="730"/>
      <c r="G328" s="731"/>
      <c r="H328" s="730"/>
      <c r="I328" s="730"/>
      <c r="J328" s="730"/>
      <c r="K328" s="730"/>
      <c r="L328" s="773"/>
      <c r="M328" s="769"/>
      <c r="N328" s="730"/>
      <c r="O328" s="733"/>
      <c r="Q328" s="728"/>
      <c r="R328" s="661"/>
      <c r="S328" s="661"/>
      <c r="T328" s="661"/>
      <c r="U328" s="664"/>
      <c r="V328" s="665"/>
      <c r="W328" s="661"/>
      <c r="X328" s="661"/>
      <c r="Y328" s="661"/>
      <c r="Z328" s="661"/>
    </row>
    <row r="329" outlineLevel="1">
      <c r="A329" s="661"/>
      <c r="B329" s="729"/>
      <c r="C329" s="730"/>
      <c r="D329" s="730"/>
      <c r="E329" s="730"/>
      <c r="F329" s="730"/>
      <c r="G329" s="731"/>
      <c r="H329" s="730"/>
      <c r="I329" s="730"/>
      <c r="J329" s="730"/>
      <c r="K329" s="730"/>
      <c r="L329" s="773"/>
      <c r="M329" s="769"/>
      <c r="N329" s="730"/>
      <c r="O329" s="733"/>
      <c r="Q329" s="728"/>
      <c r="R329" s="661"/>
      <c r="S329" s="661"/>
      <c r="T329" s="661"/>
      <c r="U329" s="664"/>
      <c r="V329" s="665"/>
      <c r="W329" s="661"/>
      <c r="X329" s="661"/>
      <c r="Y329" s="661"/>
      <c r="Z329" s="661"/>
    </row>
    <row r="330" outlineLevel="1">
      <c r="A330" s="661"/>
      <c r="B330" s="729"/>
      <c r="C330" s="730"/>
      <c r="D330" s="730"/>
      <c r="E330" s="730"/>
      <c r="F330" s="730"/>
      <c r="G330" s="731"/>
      <c r="H330" s="730"/>
      <c r="I330" s="730"/>
      <c r="J330" s="730"/>
      <c r="K330" s="730"/>
      <c r="L330" s="773"/>
      <c r="M330" s="769"/>
      <c r="N330" s="730"/>
      <c r="O330" s="733"/>
      <c r="Q330" s="728"/>
      <c r="R330" s="661"/>
      <c r="S330" s="661"/>
      <c r="T330" s="661"/>
      <c r="U330" s="664"/>
      <c r="V330" s="665"/>
      <c r="W330" s="661"/>
      <c r="X330" s="661"/>
      <c r="Y330" s="661"/>
      <c r="Z330" s="661"/>
    </row>
    <row r="331" outlineLevel="1">
      <c r="A331" s="661"/>
      <c r="B331" s="729"/>
      <c r="C331" s="730"/>
      <c r="D331" s="730"/>
      <c r="E331" s="730"/>
      <c r="F331" s="697"/>
      <c r="G331" s="698"/>
      <c r="H331" s="697"/>
      <c r="I331" s="697"/>
      <c r="J331" s="697"/>
      <c r="K331" s="697"/>
      <c r="L331" s="773"/>
      <c r="M331" s="769"/>
      <c r="N331" s="697"/>
      <c r="O331" s="700"/>
      <c r="P331" s="701"/>
      <c r="Q331" s="737"/>
      <c r="R331" s="661"/>
      <c r="S331" s="661"/>
      <c r="T331" s="661"/>
      <c r="U331" s="664"/>
      <c r="V331" s="665"/>
      <c r="W331" s="661"/>
      <c r="X331" s="661"/>
      <c r="Y331" s="661"/>
      <c r="Z331" s="661"/>
    </row>
    <row r="332" outlineLevel="1">
      <c r="A332" s="661"/>
      <c r="B332" s="738"/>
      <c r="C332" s="697"/>
      <c r="D332" s="697"/>
      <c r="E332" s="697"/>
      <c r="F332" s="739" t="s">
        <v>517</v>
      </c>
      <c r="G332" s="740"/>
      <c r="H332" s="741"/>
      <c r="I332" s="741"/>
      <c r="J332" s="741"/>
      <c r="K332" s="741"/>
      <c r="L332" s="740"/>
      <c r="M332" s="740"/>
      <c r="N332" s="740"/>
      <c r="O332" s="740"/>
      <c r="P332" s="740"/>
      <c r="Q332" s="742"/>
      <c r="R332" s="661"/>
      <c r="S332" s="661"/>
      <c r="T332" s="661"/>
      <c r="U332" s="664"/>
      <c r="V332" s="665"/>
      <c r="W332" s="661"/>
      <c r="X332" s="661"/>
      <c r="Y332" s="661"/>
      <c r="Z332" s="661"/>
    </row>
    <row r="333" outlineLevel="1">
      <c r="A333" s="661"/>
      <c r="B333" s="743"/>
      <c r="C333" s="744" t="str">
        <f>IF(C322="","",IF(DAY(C322+1)=1,"",C322+1))</f>
        <v/>
      </c>
      <c r="D333" s="745" t="str">
        <f>TEXT(C333,"ddd")</f>
        <v/>
      </c>
      <c r="E333" s="746"/>
      <c r="F333" s="775" t="s">
        <v>518</v>
      </c>
      <c r="G333" s="776"/>
      <c r="H333" s="777"/>
      <c r="I333" s="778">
        <v>0.0</v>
      </c>
      <c r="J333" s="745"/>
      <c r="K333" s="745"/>
      <c r="L333" s="755"/>
      <c r="M333" s="755"/>
      <c r="N333" s="775"/>
      <c r="O333" s="779"/>
      <c r="P333" s="771"/>
      <c r="Q333" s="772"/>
      <c r="R333" s="661"/>
      <c r="S333" s="661"/>
      <c r="T333" s="661"/>
      <c r="U333" s="664"/>
      <c r="V333" s="665"/>
      <c r="W333" s="661"/>
      <c r="X333" s="661"/>
      <c r="Y333" s="661"/>
      <c r="Z333" s="661"/>
    </row>
    <row r="334" outlineLevel="1">
      <c r="A334" s="661"/>
      <c r="B334" s="729"/>
      <c r="C334" s="730"/>
      <c r="D334" s="730"/>
      <c r="E334" s="730"/>
      <c r="F334" s="730"/>
      <c r="G334" s="731"/>
      <c r="H334" s="730"/>
      <c r="I334" s="730"/>
      <c r="J334" s="730"/>
      <c r="K334" s="730"/>
      <c r="L334" s="755"/>
      <c r="M334" s="755"/>
      <c r="N334" s="730"/>
      <c r="O334" s="733"/>
      <c r="Q334" s="728"/>
      <c r="R334" s="661"/>
      <c r="S334" s="661"/>
      <c r="T334" s="661"/>
      <c r="U334" s="664"/>
      <c r="V334" s="665"/>
      <c r="W334" s="661"/>
      <c r="X334" s="661"/>
      <c r="Y334" s="661"/>
      <c r="Z334" s="661"/>
    </row>
    <row r="335"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outlineLevel="1">
      <c r="A343" s="661"/>
      <c r="B343" s="738"/>
      <c r="C343" s="697"/>
      <c r="D343" s="697"/>
      <c r="E343" s="697"/>
      <c r="F343" s="758" t="s">
        <v>517</v>
      </c>
      <c r="G343" s="759"/>
      <c r="H343" s="741"/>
      <c r="I343" s="741"/>
      <c r="J343" s="741"/>
      <c r="K343" s="741"/>
      <c r="L343" s="759"/>
      <c r="M343" s="759"/>
      <c r="N343" s="759"/>
      <c r="O343" s="759"/>
      <c r="P343" s="759"/>
      <c r="Q343" s="760"/>
      <c r="R343" s="661"/>
      <c r="S343" s="661"/>
      <c r="T343" s="661"/>
      <c r="U343" s="664"/>
      <c r="V343" s="665"/>
      <c r="W343" s="661"/>
      <c r="X343" s="661"/>
      <c r="Y343" s="661"/>
      <c r="Z343" s="661"/>
    </row>
    <row r="344" outlineLevel="1">
      <c r="A344" s="661"/>
      <c r="B344" s="761"/>
      <c r="C344" s="762" t="str">
        <f>IF(C333="","",IF(DAY(C333+1)=1,"",C333+1))</f>
        <v/>
      </c>
      <c r="D344" s="763" t="str">
        <f>TEXT(C344,"ddd")</f>
        <v/>
      </c>
      <c r="E344" s="764"/>
      <c r="F344" s="765" t="s">
        <v>518</v>
      </c>
      <c r="G344" s="766"/>
      <c r="H344" s="767"/>
      <c r="I344" s="768">
        <v>0.0</v>
      </c>
      <c r="J344" s="763"/>
      <c r="K344" s="763"/>
      <c r="L344" s="769"/>
      <c r="M344" s="769"/>
      <c r="N344" s="765"/>
      <c r="O344" s="770"/>
      <c r="P344" s="771"/>
      <c r="Q344" s="772"/>
      <c r="R344" s="661"/>
      <c r="S344" s="661"/>
      <c r="T344" s="661"/>
      <c r="U344" s="664"/>
      <c r="V344" s="665"/>
      <c r="W344" s="661"/>
      <c r="X344" s="661"/>
      <c r="Y344" s="661"/>
      <c r="Z344" s="661"/>
    </row>
    <row r="345" outlineLevel="1">
      <c r="A345" s="661"/>
      <c r="B345" s="729"/>
      <c r="C345" s="730"/>
      <c r="D345" s="730"/>
      <c r="E345" s="730"/>
      <c r="F345" s="730"/>
      <c r="G345" s="731"/>
      <c r="H345" s="730"/>
      <c r="I345" s="730"/>
      <c r="J345" s="730"/>
      <c r="K345" s="730"/>
      <c r="L345" s="769"/>
      <c r="M345" s="769"/>
      <c r="N345" s="730"/>
      <c r="O345" s="733"/>
      <c r="Q345" s="728"/>
      <c r="R345" s="661"/>
      <c r="S345" s="661"/>
      <c r="T345" s="661"/>
      <c r="U345" s="664"/>
      <c r="V345" s="665"/>
      <c r="W345" s="661"/>
      <c r="X345" s="661"/>
      <c r="Y345" s="661"/>
      <c r="Z345" s="661"/>
    </row>
    <row r="346" outlineLevel="1">
      <c r="A346" s="661"/>
      <c r="B346" s="729"/>
      <c r="C346" s="730"/>
      <c r="D346" s="730"/>
      <c r="E346" s="730"/>
      <c r="F346" s="730"/>
      <c r="G346" s="731"/>
      <c r="H346" s="730"/>
      <c r="I346" s="730"/>
      <c r="J346" s="730"/>
      <c r="K346" s="730"/>
      <c r="L346" s="769"/>
      <c r="M346" s="769"/>
      <c r="N346" s="730"/>
      <c r="O346" s="733"/>
      <c r="Q346" s="728"/>
      <c r="R346" s="661"/>
      <c r="S346" s="661"/>
      <c r="T346" s="661"/>
      <c r="U346" s="664"/>
      <c r="V346" s="665"/>
      <c r="W346" s="661"/>
      <c r="X346" s="661"/>
      <c r="Y346" s="661"/>
      <c r="Z346" s="661"/>
    </row>
    <row r="347" outlineLevel="1">
      <c r="A347" s="661"/>
      <c r="B347" s="729"/>
      <c r="C347" s="730"/>
      <c r="D347" s="730"/>
      <c r="E347" s="730"/>
      <c r="F347" s="730"/>
      <c r="G347" s="731"/>
      <c r="H347" s="730"/>
      <c r="I347" s="730"/>
      <c r="J347" s="730"/>
      <c r="K347" s="730"/>
      <c r="L347" s="773"/>
      <c r="M347" s="769"/>
      <c r="N347" s="730"/>
      <c r="O347" s="733"/>
      <c r="Q347" s="728"/>
      <c r="R347" s="661"/>
      <c r="S347" s="661"/>
      <c r="T347" s="661"/>
      <c r="U347" s="664"/>
      <c r="V347" s="665"/>
      <c r="W347" s="661"/>
      <c r="X347" s="661"/>
      <c r="Y347" s="661"/>
      <c r="Z347" s="661"/>
    </row>
    <row r="348" outlineLevel="1">
      <c r="A348" s="661"/>
      <c r="B348" s="729"/>
      <c r="C348" s="730"/>
      <c r="D348" s="730"/>
      <c r="E348" s="730"/>
      <c r="F348" s="730"/>
      <c r="G348" s="731"/>
      <c r="H348" s="730"/>
      <c r="I348" s="730"/>
      <c r="J348" s="730"/>
      <c r="K348" s="730"/>
      <c r="L348" s="773"/>
      <c r="M348" s="769"/>
      <c r="N348" s="730"/>
      <c r="O348" s="733"/>
      <c r="Q348" s="728"/>
      <c r="R348" s="661"/>
      <c r="S348" s="661"/>
      <c r="T348" s="661"/>
      <c r="U348" s="664"/>
      <c r="V348" s="665"/>
      <c r="W348" s="661"/>
      <c r="X348" s="661"/>
      <c r="Y348" s="661"/>
      <c r="Z348" s="661"/>
    </row>
    <row r="349" outlineLevel="1">
      <c r="A349" s="661"/>
      <c r="B349" s="729"/>
      <c r="C349" s="730"/>
      <c r="D349" s="730"/>
      <c r="E349" s="730"/>
      <c r="F349" s="730"/>
      <c r="G349" s="731"/>
      <c r="H349" s="730"/>
      <c r="I349" s="730"/>
      <c r="J349" s="730"/>
      <c r="K349" s="730"/>
      <c r="L349" s="773"/>
      <c r="M349" s="769"/>
      <c r="N349" s="730"/>
      <c r="O349" s="733"/>
      <c r="Q349" s="728"/>
      <c r="R349" s="661"/>
      <c r="S349" s="661"/>
      <c r="T349" s="661"/>
      <c r="U349" s="664"/>
      <c r="V349" s="665"/>
      <c r="W349" s="661"/>
      <c r="X349" s="661"/>
      <c r="Y349" s="661"/>
      <c r="Z349" s="661"/>
    </row>
    <row r="350" outlineLevel="1">
      <c r="A350" s="661"/>
      <c r="B350" s="729"/>
      <c r="C350" s="730"/>
      <c r="D350" s="730"/>
      <c r="E350" s="730"/>
      <c r="F350" s="730"/>
      <c r="G350" s="731"/>
      <c r="H350" s="730"/>
      <c r="I350" s="730"/>
      <c r="J350" s="730"/>
      <c r="K350" s="730"/>
      <c r="L350" s="773"/>
      <c r="M350" s="769"/>
      <c r="N350" s="730"/>
      <c r="O350" s="733"/>
      <c r="Q350" s="728"/>
      <c r="R350" s="661"/>
      <c r="S350" s="661"/>
      <c r="T350" s="661"/>
      <c r="U350" s="664"/>
      <c r="V350" s="665"/>
      <c r="W350" s="661"/>
      <c r="X350" s="661"/>
      <c r="Y350" s="661"/>
      <c r="Z350" s="661"/>
    </row>
    <row r="351" outlineLevel="1">
      <c r="A351" s="661"/>
      <c r="B351" s="729"/>
      <c r="C351" s="730"/>
      <c r="D351" s="730"/>
      <c r="E351" s="730"/>
      <c r="F351" s="730"/>
      <c r="G351" s="731"/>
      <c r="H351" s="730"/>
      <c r="I351" s="730"/>
      <c r="J351" s="730"/>
      <c r="K351" s="730"/>
      <c r="L351" s="773"/>
      <c r="M351" s="769"/>
      <c r="N351" s="730"/>
      <c r="O351" s="733"/>
      <c r="Q351" s="728"/>
      <c r="R351" s="661"/>
      <c r="S351" s="661"/>
      <c r="T351" s="661"/>
      <c r="U351" s="664"/>
      <c r="V351" s="665"/>
      <c r="W351" s="661"/>
      <c r="X351" s="661"/>
      <c r="Y351" s="661"/>
      <c r="Z351" s="661"/>
    </row>
    <row r="352" outlineLevel="1">
      <c r="A352" s="661"/>
      <c r="B352" s="729"/>
      <c r="C352" s="730"/>
      <c r="D352" s="730"/>
      <c r="E352" s="730"/>
      <c r="F352" s="730"/>
      <c r="G352" s="731"/>
      <c r="H352" s="730"/>
      <c r="I352" s="730"/>
      <c r="J352" s="730"/>
      <c r="K352" s="730"/>
      <c r="L352" s="773"/>
      <c r="M352" s="769"/>
      <c r="N352" s="730"/>
      <c r="O352" s="733"/>
      <c r="Q352" s="728"/>
      <c r="R352" s="661"/>
      <c r="S352" s="661"/>
      <c r="T352" s="661"/>
      <c r="U352" s="664"/>
      <c r="V352" s="665"/>
      <c r="W352" s="661"/>
      <c r="X352" s="661"/>
      <c r="Y352" s="661"/>
      <c r="Z352" s="661"/>
    </row>
    <row r="353" outlineLevel="1">
      <c r="A353" s="661"/>
      <c r="B353" s="729"/>
      <c r="C353" s="730"/>
      <c r="D353" s="730"/>
      <c r="E353" s="730"/>
      <c r="F353" s="697"/>
      <c r="G353" s="698"/>
      <c r="H353" s="697"/>
      <c r="I353" s="697"/>
      <c r="J353" s="697"/>
      <c r="K353" s="697"/>
      <c r="L353" s="773"/>
      <c r="M353" s="769"/>
      <c r="N353" s="697"/>
      <c r="O353" s="700"/>
      <c r="P353" s="701"/>
      <c r="Q353" s="737"/>
      <c r="R353" s="661"/>
      <c r="S353" s="661"/>
      <c r="T353" s="661"/>
      <c r="U353" s="664"/>
      <c r="V353" s="665"/>
      <c r="W353" s="661"/>
      <c r="X353" s="661"/>
      <c r="Y353" s="661"/>
      <c r="Z353" s="661"/>
    </row>
    <row r="354" outlineLevel="1">
      <c r="A354" s="661"/>
      <c r="B354" s="789"/>
      <c r="C354" s="790"/>
      <c r="D354" s="790"/>
      <c r="E354" s="790"/>
      <c r="F354" s="791" t="s">
        <v>517</v>
      </c>
      <c r="G354" s="792"/>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527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528</v>
      </c>
      <c r="C4" s="806"/>
      <c r="D4" s="807" t="s">
        <v>529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530</v>
      </c>
      <c r="G5" s="812" t="s">
        <v>188</v>
      </c>
      <c r="H5" s="813" t="b">
        <v>1</v>
      </c>
      <c r="J5" s="814"/>
      <c r="K5" s="798"/>
      <c r="L5" s="815" t="s">
        <v>531</v>
      </c>
      <c r="T5" s="814"/>
      <c r="U5" s="816" t="s">
        <v>532</v>
      </c>
      <c r="AC5" s="799"/>
      <c r="AD5" s="817" t="s">
        <v>96</v>
      </c>
      <c r="AE5" s="817" t="s">
        <v>533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534</v>
      </c>
      <c r="M7" s="236"/>
      <c r="N7" s="236"/>
      <c r="O7" s="236"/>
      <c r="P7" s="236"/>
      <c r="Q7" s="236"/>
      <c r="R7" s="236"/>
      <c r="S7" s="113"/>
      <c r="T7" s="821" t="s">
        <v>535</v>
      </c>
      <c r="U7" s="822" t="s">
        <v>536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537</v>
      </c>
      <c r="C8" s="824"/>
      <c r="D8" s="825" t="s">
        <v>51</v>
      </c>
      <c r="E8" s="826" t="str">
        <f>IFERROR(__xludf.DUMMYFUNCTION("IFERROR(INDEX(FILTER($AE$6:$AE$200, $AD$6:$AD$200=$B$5, REGEXMATCH($AE$6:$AE$200, ""集計"")), 1), """")
"),"①R8_2集計")</f>
        <v>①R8_2集計</v>
      </c>
      <c r="F8" s="526"/>
      <c r="G8" s="223"/>
      <c r="H8" s="223"/>
      <c r="I8" s="200"/>
      <c r="J8" s="814"/>
      <c r="K8" s="798"/>
      <c r="L8" s="827" t="s">
        <v>826</v>
      </c>
      <c r="M8" s="247"/>
      <c r="N8" s="247"/>
      <c r="O8" s="247"/>
      <c r="P8" s="247"/>
      <c r="Q8" s="247"/>
      <c r="R8" s="247"/>
      <c r="S8" s="250"/>
      <c r="U8" s="827" t="s">
        <v>827</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538</v>
      </c>
      <c r="C13" s="844"/>
      <c r="D13" s="845" t="s">
        <v>51</v>
      </c>
      <c r="E13" s="846" t="s">
        <v>539</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541</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542</v>
      </c>
      <c r="C20" s="830" t="s">
        <v>543</v>
      </c>
      <c r="D20" s="830" t="s">
        <v>89</v>
      </c>
      <c r="E20" s="830" t="s">
        <v>90</v>
      </c>
      <c r="F20" s="830" t="s">
        <v>544</v>
      </c>
      <c r="G20" s="830" t="s">
        <v>135</v>
      </c>
      <c r="H20" s="830" t="s">
        <v>135</v>
      </c>
      <c r="I20" s="830" t="s">
        <v>545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546</v>
      </c>
      <c r="M21" s="232"/>
      <c r="N21" s="232"/>
      <c r="O21" s="232"/>
      <c r="P21" s="232"/>
      <c r="Q21" s="232"/>
      <c r="R21" s="232"/>
      <c r="S21" s="3"/>
      <c r="T21" s="821" t="s">
        <v>535</v>
      </c>
      <c r="U21" s="822" t="s">
        <v>547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828</v>
      </c>
      <c r="M22" s="247"/>
      <c r="N22" s="247"/>
      <c r="O22" s="247"/>
      <c r="P22" s="247"/>
      <c r="Q22" s="247"/>
      <c r="R22" s="247"/>
      <c r="S22" s="250"/>
      <c r="U22" s="827" t="s">
        <v>829</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548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549</v>
      </c>
      <c r="C25" s="870" t="s">
        <v>550</v>
      </c>
      <c r="D25" s="3"/>
      <c r="E25" s="870" t="s">
        <v>551</v>
      </c>
      <c r="F25" s="232"/>
      <c r="G25" s="232"/>
      <c r="H25" s="870" t="s">
        <v>552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830</v>
      </c>
      <c r="C26" s="872" t="s">
        <v>90</v>
      </c>
      <c r="D26" s="3"/>
      <c r="E26" s="872" t="s">
        <v>831</v>
      </c>
      <c r="F26" s="232"/>
      <c r="G26" s="232"/>
      <c r="H26" s="873" t="s">
        <v>832</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694</v>
      </c>
      <c r="C27" s="872" t="s">
        <v>89</v>
      </c>
      <c r="D27" s="3"/>
      <c r="E27" s="872" t="s">
        <v>695</v>
      </c>
      <c r="F27" s="232"/>
      <c r="G27" s="232"/>
      <c r="H27" s="873" t="s">
        <v>833</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553</v>
      </c>
      <c r="M35" s="232"/>
      <c r="N35" s="232"/>
      <c r="O35" s="232"/>
      <c r="P35" s="232"/>
      <c r="Q35" s="232"/>
      <c r="R35" s="232"/>
      <c r="S35" s="3"/>
      <c r="T35" s="821" t="s">
        <v>535</v>
      </c>
      <c r="U35" s="822" t="s">
        <v>553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834</v>
      </c>
      <c r="M36" s="247"/>
      <c r="N36" s="247"/>
      <c r="O36" s="247"/>
      <c r="P36" s="247"/>
      <c r="Q36" s="247"/>
      <c r="R36" s="247"/>
      <c r="S36" s="250"/>
      <c r="U36" s="827" t="s">
        <v>835</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554</v>
      </c>
      <c r="C37" s="877"/>
      <c r="D37" s="878">
        <f>counta(C39:D48)</f>
        <v>0</v>
      </c>
      <c r="E37" s="879" t="s">
        <v>555</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551</v>
      </c>
      <c r="F38" s="883"/>
      <c r="G38" s="882" t="s">
        <v>556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557</v>
      </c>
      <c r="M49" s="232"/>
      <c r="N49" s="232"/>
      <c r="O49" s="232"/>
      <c r="P49" s="232"/>
      <c r="Q49" s="232"/>
      <c r="R49" s="232"/>
      <c r="S49" s="3"/>
      <c r="T49" s="821" t="s">
        <v>535</v>
      </c>
      <c r="U49" s="822" t="s">
        <v>558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559</v>
      </c>
      <c r="C50" s="896"/>
      <c r="D50" s="897">
        <f>COUNTA(C52:D62)</f>
        <v>2</v>
      </c>
      <c r="E50" s="860"/>
      <c r="F50" s="860"/>
      <c r="G50" s="860"/>
      <c r="H50" s="860"/>
      <c r="I50" s="799"/>
      <c r="J50" s="799"/>
      <c r="K50" s="798"/>
      <c r="L50" s="827" t="s">
        <v>836</v>
      </c>
      <c r="M50" s="247"/>
      <c r="N50" s="247"/>
      <c r="O50" s="247"/>
      <c r="P50" s="247"/>
      <c r="Q50" s="247"/>
      <c r="R50" s="247"/>
      <c r="S50" s="250"/>
      <c r="U50" s="827" t="s">
        <v>837</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560</v>
      </c>
      <c r="C51" s="882" t="s">
        <v>433</v>
      </c>
      <c r="D51" s="883"/>
      <c r="E51" s="881" t="s">
        <v>561</v>
      </c>
      <c r="F51" s="881" t="s">
        <v>562</v>
      </c>
      <c r="G51" s="881" t="s">
        <v>563</v>
      </c>
      <c r="H51" s="882" t="s">
        <v>564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521</v>
      </c>
      <c r="D52" s="883"/>
      <c r="E52" s="949">
        <v>46057.0</v>
      </c>
      <c r="F52" s="900" t="s">
        <v>838</v>
      </c>
      <c r="G52" s="900" t="s">
        <v>716</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839</v>
      </c>
      <c r="D53" s="883"/>
      <c r="E53" s="949">
        <v>46065.0</v>
      </c>
      <c r="F53" s="900" t="s">
        <v>840</v>
      </c>
      <c r="G53" s="900" t="s">
        <v>716</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565</v>
      </c>
      <c r="M63" s="232"/>
      <c r="N63" s="232"/>
      <c r="O63" s="232"/>
      <c r="P63" s="232"/>
      <c r="Q63" s="232"/>
      <c r="R63" s="232"/>
      <c r="S63" s="3"/>
      <c r="T63" s="821" t="s">
        <v>535</v>
      </c>
      <c r="U63" s="822" t="s">
        <v>566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567</v>
      </c>
      <c r="C64" s="903"/>
      <c r="D64" s="897">
        <f>COUNTA(C66:D76)</f>
        <v>1</v>
      </c>
      <c r="E64" s="860"/>
      <c r="F64" s="860"/>
      <c r="G64" s="860"/>
      <c r="H64" s="860"/>
      <c r="I64" s="860"/>
      <c r="J64" s="799"/>
      <c r="K64" s="798"/>
      <c r="L64" s="827" t="s">
        <v>841</v>
      </c>
      <c r="M64" s="247"/>
      <c r="N64" s="247"/>
      <c r="O64" s="247"/>
      <c r="P64" s="247"/>
      <c r="Q64" s="247"/>
      <c r="R64" s="247"/>
      <c r="S64" s="250"/>
      <c r="U64" s="827" t="s">
        <v>842</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560</v>
      </c>
      <c r="C65" s="882" t="s">
        <v>433</v>
      </c>
      <c r="D65" s="883"/>
      <c r="E65" s="881" t="s">
        <v>568</v>
      </c>
      <c r="F65" s="882" t="s">
        <v>569</v>
      </c>
      <c r="G65" s="883"/>
      <c r="H65" s="882" t="s">
        <v>564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4">
        <v>1587.0</v>
      </c>
      <c r="C66" s="886" t="s">
        <v>120</v>
      </c>
      <c r="D66" s="883"/>
      <c r="E66" s="935">
        <v>46081.0</v>
      </c>
      <c r="F66" s="932" t="s">
        <v>843</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570</v>
      </c>
      <c r="M77" s="232"/>
      <c r="N77" s="232"/>
      <c r="O77" s="232"/>
      <c r="P77" s="232"/>
      <c r="Q77" s="232"/>
      <c r="R77" s="232"/>
      <c r="S77" s="3"/>
      <c r="T77" s="814"/>
      <c r="U77" s="906" t="s">
        <v>571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844</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50" t="s">
        <v>845</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1"/>
      <c r="C2" s="951"/>
      <c r="D2" s="952" t="s">
        <v>846</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3" t="s">
        <v>847</v>
      </c>
      <c r="K4" s="200"/>
      <c r="L4" s="200"/>
      <c r="M4" s="200"/>
      <c r="N4" s="200"/>
      <c r="O4" s="200"/>
      <c r="P4" s="200"/>
      <c r="Q4" s="200"/>
      <c r="R4" s="200"/>
      <c r="S4" s="200"/>
      <c r="T4" s="200"/>
      <c r="U4" s="200"/>
      <c r="V4" s="200"/>
      <c r="W4" s="200"/>
      <c r="X4" s="200"/>
      <c r="Y4" s="200"/>
      <c r="Z4" s="200"/>
      <c r="AA4" s="200"/>
      <c r="AB4" s="200"/>
      <c r="AC4" s="200"/>
    </row>
    <row r="5">
      <c r="A5" s="200"/>
      <c r="B5" s="954" t="s">
        <v>848</v>
      </c>
      <c r="C5" s="954" t="s">
        <v>849</v>
      </c>
      <c r="D5" s="954" t="s">
        <v>96</v>
      </c>
      <c r="E5" s="954" t="s">
        <v>533</v>
      </c>
      <c r="F5" s="954" t="s">
        <v>850</v>
      </c>
      <c r="G5" s="955" t="s">
        <v>851</v>
      </c>
      <c r="H5" s="954" t="s">
        <v>852</v>
      </c>
      <c r="I5" s="954" t="s">
        <v>853</v>
      </c>
      <c r="J5" s="954" t="s">
        <v>854</v>
      </c>
      <c r="K5" s="200"/>
      <c r="L5" s="200"/>
      <c r="M5" s="200"/>
      <c r="N5" s="200"/>
      <c r="O5" s="200"/>
      <c r="P5" s="200"/>
      <c r="Q5" s="200"/>
      <c r="R5" s="200"/>
      <c r="S5" s="200"/>
      <c r="T5" s="200"/>
      <c r="U5" s="200"/>
      <c r="V5" s="200"/>
      <c r="W5" s="200"/>
      <c r="X5" s="200"/>
      <c r="Y5" s="200"/>
      <c r="Z5" s="200"/>
      <c r="AA5" s="200"/>
      <c r="AB5" s="200"/>
      <c r="AC5" s="200"/>
    </row>
    <row r="6">
      <c r="A6" s="200"/>
      <c r="B6" s="172"/>
      <c r="C6" s="956">
        <v>1.0</v>
      </c>
      <c r="D6" s="228"/>
      <c r="E6" s="957" t="s">
        <v>855</v>
      </c>
      <c r="F6" s="958"/>
      <c r="G6" s="959" t="s">
        <v>856</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6">
        <v>2.0</v>
      </c>
      <c r="D7" s="228"/>
      <c r="E7" s="957" t="s">
        <v>857</v>
      </c>
      <c r="F7" s="960"/>
      <c r="G7" s="959" t="s">
        <v>858</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6">
        <v>3.0</v>
      </c>
      <c r="D8" s="228"/>
      <c r="E8" s="957" t="s">
        <v>859</v>
      </c>
      <c r="F8" s="961"/>
      <c r="G8" s="959" t="s">
        <v>860</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6">
        <v>4.0</v>
      </c>
      <c r="D9" s="228"/>
      <c r="E9" s="957" t="s">
        <v>861</v>
      </c>
      <c r="F9" s="962"/>
      <c r="G9" s="959" t="s">
        <v>862</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6">
        <v>5.0</v>
      </c>
      <c r="D10" s="228"/>
      <c r="E10" s="963"/>
      <c r="F10" s="184"/>
      <c r="G10" s="964"/>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6">
        <v>6.0</v>
      </c>
      <c r="D11" s="228"/>
      <c r="E11" s="963"/>
      <c r="F11" s="184"/>
      <c r="G11" s="964"/>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6">
        <v>7.0</v>
      </c>
      <c r="D12" s="228"/>
      <c r="E12" s="963"/>
      <c r="F12" s="184"/>
      <c r="G12" s="964"/>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6">
        <v>8.0</v>
      </c>
      <c r="D13" s="228"/>
      <c r="E13" s="963"/>
      <c r="F13" s="184"/>
      <c r="G13" s="964"/>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6">
        <v>9.0</v>
      </c>
      <c r="D14" s="228"/>
      <c r="E14" s="963"/>
      <c r="F14" s="184"/>
      <c r="G14" s="964"/>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6">
        <v>10.0</v>
      </c>
      <c r="D15" s="228"/>
      <c r="E15" s="963"/>
      <c r="F15" s="184"/>
      <c r="G15" s="964"/>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6">
        <v>10.0</v>
      </c>
      <c r="D16" s="956" t="s">
        <v>73</v>
      </c>
      <c r="E16" s="963" t="s">
        <v>74</v>
      </c>
      <c r="F16" s="965"/>
      <c r="G16" s="959" t="s">
        <v>863</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6">
        <v>10.0</v>
      </c>
      <c r="D17" s="956" t="s">
        <v>73</v>
      </c>
      <c r="E17" s="963" t="s">
        <v>864</v>
      </c>
      <c r="F17" s="965"/>
      <c r="G17" s="959" t="s">
        <v>863</v>
      </c>
      <c r="H17" s="172" t="s">
        <v>865</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6">
        <v>10.0</v>
      </c>
      <c r="D18" s="956" t="s">
        <v>73</v>
      </c>
      <c r="E18" s="963" t="s">
        <v>866</v>
      </c>
      <c r="F18" s="965"/>
      <c r="G18" s="959" t="s">
        <v>863</v>
      </c>
      <c r="H18" s="172" t="s">
        <v>867</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6">
        <v>10.0</v>
      </c>
      <c r="D19" s="956" t="s">
        <v>73</v>
      </c>
      <c r="E19" s="963" t="s">
        <v>868</v>
      </c>
      <c r="F19" s="965"/>
      <c r="G19" s="959" t="s">
        <v>863</v>
      </c>
      <c r="H19" s="172" t="s">
        <v>869</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6">
        <v>10.0</v>
      </c>
      <c r="D20" s="956"/>
      <c r="E20" s="963"/>
      <c r="F20" s="184"/>
      <c r="G20" s="964"/>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6">
        <v>10.0</v>
      </c>
      <c r="D21" s="956"/>
      <c r="E21" s="963"/>
      <c r="F21" s="184"/>
      <c r="G21" s="964"/>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6">
        <v>10.0</v>
      </c>
      <c r="D22" s="956"/>
      <c r="E22" s="963"/>
      <c r="F22" s="184"/>
      <c r="G22" s="964"/>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6">
        <v>11.0</v>
      </c>
      <c r="D23" s="956" t="s">
        <v>71</v>
      </c>
      <c r="E23" s="963" t="s">
        <v>72</v>
      </c>
      <c r="F23" s="966"/>
      <c r="G23" s="959" t="s">
        <v>870</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6">
        <v>11.0</v>
      </c>
      <c r="D24" s="956" t="s">
        <v>71</v>
      </c>
      <c r="E24" s="963" t="s">
        <v>865</v>
      </c>
      <c r="F24" s="966"/>
      <c r="G24" s="959" t="s">
        <v>870</v>
      </c>
      <c r="H24" s="172" t="s">
        <v>871</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6">
        <v>11.0</v>
      </c>
      <c r="D25" s="956" t="s">
        <v>71</v>
      </c>
      <c r="E25" s="963" t="s">
        <v>872</v>
      </c>
      <c r="F25" s="966"/>
      <c r="G25" s="959" t="s">
        <v>870</v>
      </c>
      <c r="H25" s="172" t="s">
        <v>867</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6">
        <v>11.0</v>
      </c>
      <c r="D26" s="956" t="s">
        <v>71</v>
      </c>
      <c r="E26" s="963" t="s">
        <v>873</v>
      </c>
      <c r="F26" s="966"/>
      <c r="G26" s="959" t="s">
        <v>870</v>
      </c>
      <c r="H26" s="172" t="s">
        <v>869</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6">
        <v>11.0</v>
      </c>
      <c r="D27" s="956"/>
      <c r="E27" s="963"/>
      <c r="F27" s="184"/>
      <c r="G27" s="964"/>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6">
        <v>11.0</v>
      </c>
      <c r="D28" s="956"/>
      <c r="E28" s="963"/>
      <c r="F28" s="184"/>
      <c r="G28" s="964"/>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6">
        <v>11.0</v>
      </c>
      <c r="D29" s="956"/>
      <c r="E29" s="963"/>
      <c r="F29" s="184"/>
      <c r="G29" s="964"/>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6">
        <v>12.0</v>
      </c>
      <c r="D30" s="956" t="s">
        <v>69</v>
      </c>
      <c r="E30" s="963" t="s">
        <v>70</v>
      </c>
      <c r="F30" s="965"/>
      <c r="G30" s="959" t="s">
        <v>863</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6">
        <v>12.0</v>
      </c>
      <c r="D31" s="956" t="s">
        <v>69</v>
      </c>
      <c r="E31" s="963" t="s">
        <v>871</v>
      </c>
      <c r="F31" s="965"/>
      <c r="G31" s="959" t="s">
        <v>863</v>
      </c>
      <c r="H31" s="172" t="s">
        <v>874</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6">
        <v>12.0</v>
      </c>
      <c r="D32" s="956" t="s">
        <v>69</v>
      </c>
      <c r="E32" s="963" t="s">
        <v>875</v>
      </c>
      <c r="F32" s="965"/>
      <c r="G32" s="959" t="s">
        <v>863</v>
      </c>
      <c r="H32" s="172" t="s">
        <v>867</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6">
        <v>12.0</v>
      </c>
      <c r="D33" s="956" t="s">
        <v>69</v>
      </c>
      <c r="E33" s="963" t="s">
        <v>876</v>
      </c>
      <c r="F33" s="965"/>
      <c r="G33" s="959" t="s">
        <v>863</v>
      </c>
      <c r="H33" s="172" t="s">
        <v>869</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6">
        <v>12.0</v>
      </c>
      <c r="D34" s="956"/>
      <c r="E34" s="963"/>
      <c r="F34" s="184"/>
      <c r="G34" s="964"/>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6">
        <v>12.0</v>
      </c>
      <c r="D35" s="956"/>
      <c r="E35" s="963"/>
      <c r="F35" s="184"/>
      <c r="G35" s="964"/>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6">
        <v>12.0</v>
      </c>
      <c r="D36" s="956"/>
      <c r="E36" s="963"/>
      <c r="F36" s="184"/>
      <c r="G36" s="964"/>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6">
        <v>13.0</v>
      </c>
      <c r="D37" s="956" t="s">
        <v>67</v>
      </c>
      <c r="E37" s="963" t="s">
        <v>68</v>
      </c>
      <c r="F37" s="966"/>
      <c r="G37" s="959" t="s">
        <v>870</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6">
        <v>13.0</v>
      </c>
      <c r="D38" s="956" t="s">
        <v>67</v>
      </c>
      <c r="E38" s="963" t="s">
        <v>874</v>
      </c>
      <c r="F38" s="966"/>
      <c r="G38" s="959" t="s">
        <v>870</v>
      </c>
      <c r="H38" s="172" t="s">
        <v>877</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6">
        <v>13.0</v>
      </c>
      <c r="D39" s="956" t="s">
        <v>67</v>
      </c>
      <c r="E39" s="963" t="s">
        <v>878</v>
      </c>
      <c r="F39" s="966"/>
      <c r="G39" s="959" t="s">
        <v>870</v>
      </c>
      <c r="H39" s="172" t="s">
        <v>867</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6">
        <v>13.0</v>
      </c>
      <c r="D40" s="956" t="s">
        <v>67</v>
      </c>
      <c r="E40" s="963" t="s">
        <v>879</v>
      </c>
      <c r="F40" s="966"/>
      <c r="G40" s="959" t="s">
        <v>870</v>
      </c>
      <c r="H40" s="172" t="s">
        <v>869</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6">
        <v>13.0</v>
      </c>
      <c r="D41" s="956"/>
      <c r="E41" s="963"/>
      <c r="F41" s="184"/>
      <c r="G41" s="964"/>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6">
        <v>13.0</v>
      </c>
      <c r="D42" s="956"/>
      <c r="E42" s="963"/>
      <c r="F42" s="184"/>
      <c r="G42" s="964"/>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6">
        <v>13.0</v>
      </c>
      <c r="D43" s="956"/>
      <c r="E43" s="963"/>
      <c r="F43" s="184"/>
      <c r="G43" s="964"/>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6">
        <v>14.0</v>
      </c>
      <c r="D44" s="956" t="s">
        <v>65</v>
      </c>
      <c r="E44" s="963" t="s">
        <v>66</v>
      </c>
      <c r="F44" s="965"/>
      <c r="G44" s="959" t="s">
        <v>863</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6">
        <v>14.0</v>
      </c>
      <c r="D45" s="956" t="s">
        <v>65</v>
      </c>
      <c r="E45" s="963" t="s">
        <v>877</v>
      </c>
      <c r="F45" s="965"/>
      <c r="G45" s="959" t="s">
        <v>863</v>
      </c>
      <c r="H45" s="172" t="s">
        <v>880</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6">
        <v>14.0</v>
      </c>
      <c r="D46" s="956" t="s">
        <v>65</v>
      </c>
      <c r="E46" s="963" t="s">
        <v>881</v>
      </c>
      <c r="F46" s="965"/>
      <c r="G46" s="959" t="s">
        <v>863</v>
      </c>
      <c r="H46" s="172" t="s">
        <v>867</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6">
        <v>14.0</v>
      </c>
      <c r="D47" s="956" t="s">
        <v>65</v>
      </c>
      <c r="E47" s="963" t="s">
        <v>882</v>
      </c>
      <c r="F47" s="965"/>
      <c r="G47" s="959" t="s">
        <v>863</v>
      </c>
      <c r="H47" s="172" t="s">
        <v>869</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6">
        <v>14.0</v>
      </c>
      <c r="D48" s="956"/>
      <c r="E48" s="963"/>
      <c r="F48" s="184"/>
      <c r="G48" s="964"/>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6">
        <v>14.0</v>
      </c>
      <c r="D49" s="956"/>
      <c r="E49" s="963"/>
      <c r="F49" s="184"/>
      <c r="G49" s="964"/>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6">
        <v>14.0</v>
      </c>
      <c r="D50" s="956"/>
      <c r="E50" s="963"/>
      <c r="F50" s="184"/>
      <c r="G50" s="964"/>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6">
        <v>15.0</v>
      </c>
      <c r="D51" s="956" t="s">
        <v>63</v>
      </c>
      <c r="E51" s="963" t="s">
        <v>64</v>
      </c>
      <c r="F51" s="966"/>
      <c r="G51" s="959" t="s">
        <v>870</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6">
        <v>15.0</v>
      </c>
      <c r="D52" s="956" t="s">
        <v>63</v>
      </c>
      <c r="E52" s="963" t="s">
        <v>880</v>
      </c>
      <c r="F52" s="966"/>
      <c r="G52" s="959" t="s">
        <v>870</v>
      </c>
      <c r="H52" s="172" t="s">
        <v>883</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6">
        <v>15.0</v>
      </c>
      <c r="D53" s="956" t="s">
        <v>63</v>
      </c>
      <c r="E53" s="963" t="s">
        <v>884</v>
      </c>
      <c r="F53" s="966"/>
      <c r="G53" s="959" t="s">
        <v>870</v>
      </c>
      <c r="H53" s="172" t="s">
        <v>867</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6">
        <v>15.0</v>
      </c>
      <c r="D54" s="956" t="s">
        <v>63</v>
      </c>
      <c r="E54" s="963" t="s">
        <v>885</v>
      </c>
      <c r="F54" s="966"/>
      <c r="G54" s="959" t="s">
        <v>870</v>
      </c>
      <c r="H54" s="172" t="s">
        <v>869</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6">
        <v>15.0</v>
      </c>
      <c r="D55" s="956"/>
      <c r="E55" s="963"/>
      <c r="F55" s="184"/>
      <c r="G55" s="964"/>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6">
        <v>15.0</v>
      </c>
      <c r="D56" s="956"/>
      <c r="E56" s="963"/>
      <c r="F56" s="184"/>
      <c r="G56" s="964"/>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6">
        <v>15.0</v>
      </c>
      <c r="D57" s="956"/>
      <c r="E57" s="963"/>
      <c r="F57" s="184"/>
      <c r="G57" s="964"/>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6">
        <v>16.0</v>
      </c>
      <c r="D58" s="956" t="s">
        <v>61</v>
      </c>
      <c r="E58" s="963" t="s">
        <v>62</v>
      </c>
      <c r="F58" s="965"/>
      <c r="G58" s="959" t="s">
        <v>863</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6">
        <v>16.0</v>
      </c>
      <c r="D59" s="956" t="s">
        <v>61</v>
      </c>
      <c r="E59" s="963" t="s">
        <v>883</v>
      </c>
      <c r="F59" s="965"/>
      <c r="G59" s="959" t="s">
        <v>863</v>
      </c>
      <c r="H59" s="172" t="s">
        <v>886</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6">
        <v>16.0</v>
      </c>
      <c r="D60" s="956" t="s">
        <v>61</v>
      </c>
      <c r="E60" s="963" t="s">
        <v>887</v>
      </c>
      <c r="F60" s="965"/>
      <c r="G60" s="959" t="s">
        <v>863</v>
      </c>
      <c r="H60" s="172" t="s">
        <v>867</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6">
        <v>16.0</v>
      </c>
      <c r="D61" s="956" t="s">
        <v>61</v>
      </c>
      <c r="E61" s="963" t="s">
        <v>888</v>
      </c>
      <c r="F61" s="965"/>
      <c r="G61" s="959" t="s">
        <v>863</v>
      </c>
      <c r="H61" s="172" t="s">
        <v>869</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6">
        <v>16.0</v>
      </c>
      <c r="D62" s="956"/>
      <c r="E62" s="963"/>
      <c r="F62" s="184"/>
      <c r="G62" s="964"/>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6">
        <v>16.0</v>
      </c>
      <c r="D63" s="956"/>
      <c r="E63" s="963"/>
      <c r="F63" s="184"/>
      <c r="G63" s="964"/>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6">
        <v>16.0</v>
      </c>
      <c r="D64" s="956"/>
      <c r="E64" s="963"/>
      <c r="F64" s="184"/>
      <c r="G64" s="964"/>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6">
        <v>17.0</v>
      </c>
      <c r="D65" s="956" t="s">
        <v>59</v>
      </c>
      <c r="E65" s="963" t="s">
        <v>60</v>
      </c>
      <c r="F65" s="966"/>
      <c r="G65" s="959" t="s">
        <v>870</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6">
        <v>17.0</v>
      </c>
      <c r="D66" s="956" t="s">
        <v>59</v>
      </c>
      <c r="E66" s="963" t="s">
        <v>886</v>
      </c>
      <c r="F66" s="966"/>
      <c r="G66" s="959" t="s">
        <v>870</v>
      </c>
      <c r="H66" s="172" t="s">
        <v>889</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6">
        <v>17.0</v>
      </c>
      <c r="D67" s="956" t="s">
        <v>59</v>
      </c>
      <c r="E67" s="963" t="s">
        <v>890</v>
      </c>
      <c r="F67" s="966"/>
      <c r="G67" s="959" t="s">
        <v>870</v>
      </c>
      <c r="H67" s="172" t="s">
        <v>867</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6">
        <v>17.0</v>
      </c>
      <c r="D68" s="956" t="s">
        <v>59</v>
      </c>
      <c r="E68" s="963" t="s">
        <v>891</v>
      </c>
      <c r="F68" s="966"/>
      <c r="G68" s="959" t="s">
        <v>870</v>
      </c>
      <c r="H68" s="172" t="s">
        <v>869</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6">
        <v>17.0</v>
      </c>
      <c r="D69" s="956"/>
      <c r="E69" s="963"/>
      <c r="F69" s="184"/>
      <c r="G69" s="964"/>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6">
        <v>17.0</v>
      </c>
      <c r="D70" s="956"/>
      <c r="E70" s="963"/>
      <c r="F70" s="184"/>
      <c r="G70" s="964"/>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6">
        <v>17.0</v>
      </c>
      <c r="D71" s="956"/>
      <c r="E71" s="963"/>
      <c r="F71" s="184"/>
      <c r="G71" s="964"/>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6">
        <v>18.0</v>
      </c>
      <c r="D72" s="956" t="s">
        <v>57</v>
      </c>
      <c r="E72" s="963" t="s">
        <v>58</v>
      </c>
      <c r="F72" s="965"/>
      <c r="G72" s="959" t="s">
        <v>863</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6">
        <v>18.0</v>
      </c>
      <c r="D73" s="956" t="s">
        <v>57</v>
      </c>
      <c r="E73" s="963" t="s">
        <v>889</v>
      </c>
      <c r="F73" s="965"/>
      <c r="G73" s="959" t="s">
        <v>863</v>
      </c>
      <c r="H73" s="172" t="s">
        <v>892</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6">
        <v>18.0</v>
      </c>
      <c r="D74" s="956" t="s">
        <v>57</v>
      </c>
      <c r="E74" s="963" t="s">
        <v>893</v>
      </c>
      <c r="F74" s="965"/>
      <c r="G74" s="959" t="s">
        <v>863</v>
      </c>
      <c r="H74" s="172" t="s">
        <v>867</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6">
        <v>18.0</v>
      </c>
      <c r="D75" s="956" t="s">
        <v>57</v>
      </c>
      <c r="E75" s="963" t="s">
        <v>894</v>
      </c>
      <c r="F75" s="965"/>
      <c r="G75" s="959" t="s">
        <v>863</v>
      </c>
      <c r="H75" s="172" t="s">
        <v>869</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6">
        <v>18.0</v>
      </c>
      <c r="D76" s="956"/>
      <c r="E76" s="963"/>
      <c r="F76" s="184"/>
      <c r="G76" s="964"/>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6">
        <v>18.0</v>
      </c>
      <c r="D77" s="956"/>
      <c r="E77" s="963"/>
      <c r="F77" s="184"/>
      <c r="G77" s="964"/>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6">
        <v>18.0</v>
      </c>
      <c r="D78" s="956"/>
      <c r="E78" s="963"/>
      <c r="F78" s="184"/>
      <c r="G78" s="964"/>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6">
        <v>19.0</v>
      </c>
      <c r="D79" s="956" t="s">
        <v>55</v>
      </c>
      <c r="E79" s="957" t="s">
        <v>56</v>
      </c>
      <c r="F79" s="966"/>
      <c r="G79" s="959" t="s">
        <v>870</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6">
        <v>19.0</v>
      </c>
      <c r="D80" s="956" t="s">
        <v>55</v>
      </c>
      <c r="E80" s="957" t="s">
        <v>892</v>
      </c>
      <c r="F80" s="966"/>
      <c r="G80" s="959" t="s">
        <v>870</v>
      </c>
      <c r="H80" s="172" t="s">
        <v>895</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6">
        <v>19.0</v>
      </c>
      <c r="D81" s="956" t="s">
        <v>55</v>
      </c>
      <c r="E81" s="957" t="s">
        <v>896</v>
      </c>
      <c r="F81" s="966"/>
      <c r="G81" s="959" t="s">
        <v>870</v>
      </c>
      <c r="H81" s="172" t="s">
        <v>867</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6">
        <v>19.0</v>
      </c>
      <c r="D82" s="956" t="s">
        <v>55</v>
      </c>
      <c r="E82" s="957" t="s">
        <v>897</v>
      </c>
      <c r="F82" s="966"/>
      <c r="G82" s="959" t="s">
        <v>870</v>
      </c>
      <c r="H82" s="172" t="s">
        <v>869</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6">
        <v>19.0</v>
      </c>
      <c r="D83" s="956"/>
      <c r="E83" s="963"/>
      <c r="F83" s="184"/>
      <c r="G83" s="964"/>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6">
        <v>19.0</v>
      </c>
      <c r="D84" s="956"/>
      <c r="E84" s="963"/>
      <c r="F84" s="184"/>
      <c r="G84" s="964"/>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6">
        <v>19.0</v>
      </c>
      <c r="D85" s="956"/>
      <c r="E85" s="963"/>
      <c r="F85" s="184"/>
      <c r="G85" s="964"/>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6">
        <v>20.0</v>
      </c>
      <c r="D86" s="956" t="s">
        <v>34</v>
      </c>
      <c r="E86" s="957" t="s">
        <v>54</v>
      </c>
      <c r="F86" s="965"/>
      <c r="G86" s="959" t="s">
        <v>863</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6">
        <v>20.0</v>
      </c>
      <c r="D87" s="956" t="s">
        <v>34</v>
      </c>
      <c r="E87" s="957" t="s">
        <v>895</v>
      </c>
      <c r="F87" s="965"/>
      <c r="G87" s="959" t="s">
        <v>863</v>
      </c>
      <c r="H87" s="172" t="s">
        <v>898</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6">
        <v>20.0</v>
      </c>
      <c r="D88" s="956" t="s">
        <v>34</v>
      </c>
      <c r="E88" s="957" t="s">
        <v>899</v>
      </c>
      <c r="F88" s="965"/>
      <c r="G88" s="959" t="s">
        <v>863</v>
      </c>
      <c r="H88" s="172" t="s">
        <v>867</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6">
        <v>20.0</v>
      </c>
      <c r="D89" s="956" t="s">
        <v>34</v>
      </c>
      <c r="E89" s="957" t="s">
        <v>900</v>
      </c>
      <c r="F89" s="965"/>
      <c r="G89" s="959" t="s">
        <v>863</v>
      </c>
      <c r="H89" s="172" t="s">
        <v>869</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6">
        <v>20.0</v>
      </c>
      <c r="D90" s="956"/>
      <c r="E90" s="963"/>
      <c r="F90" s="184"/>
      <c r="G90" s="964"/>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6">
        <v>20.0</v>
      </c>
      <c r="D91" s="956"/>
      <c r="E91" s="963"/>
      <c r="F91" s="184"/>
      <c r="G91" s="964"/>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6">
        <v>20.0</v>
      </c>
      <c r="D92" s="956"/>
      <c r="E92" s="963"/>
      <c r="F92" s="184"/>
      <c r="G92" s="964"/>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6">
        <v>21.0</v>
      </c>
      <c r="D93" s="956" t="s">
        <v>52</v>
      </c>
      <c r="E93" s="957" t="s">
        <v>53</v>
      </c>
      <c r="F93" s="966"/>
      <c r="G93" s="959" t="s">
        <v>870</v>
      </c>
      <c r="H93" s="172" t="s">
        <v>901</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6">
        <v>21.0</v>
      </c>
      <c r="D94" s="956" t="s">
        <v>52</v>
      </c>
      <c r="E94" s="957" t="s">
        <v>898</v>
      </c>
      <c r="F94" s="966"/>
      <c r="G94" s="959" t="s">
        <v>870</v>
      </c>
      <c r="H94" s="172" t="s">
        <v>902</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6">
        <v>21.0</v>
      </c>
      <c r="D95" s="956" t="s">
        <v>52</v>
      </c>
      <c r="E95" s="957" t="s">
        <v>903</v>
      </c>
      <c r="F95" s="966"/>
      <c r="G95" s="959" t="s">
        <v>870</v>
      </c>
      <c r="H95" s="172" t="s">
        <v>867</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6">
        <v>21.0</v>
      </c>
      <c r="D96" s="956" t="s">
        <v>52</v>
      </c>
      <c r="E96" s="957" t="s">
        <v>904</v>
      </c>
      <c r="F96" s="966"/>
      <c r="G96" s="959" t="s">
        <v>870</v>
      </c>
      <c r="H96" s="172" t="s">
        <v>869</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6">
        <v>21.0</v>
      </c>
      <c r="D97" s="956"/>
      <c r="E97" s="963"/>
      <c r="F97" s="184"/>
      <c r="G97" s="964"/>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6">
        <v>21.0</v>
      </c>
      <c r="D98" s="956"/>
      <c r="E98" s="963"/>
      <c r="F98" s="184"/>
      <c r="G98" s="964"/>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6">
        <v>21.0</v>
      </c>
      <c r="D99" s="956"/>
      <c r="E99" s="963"/>
      <c r="F99" s="184"/>
      <c r="G99" s="964"/>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6">
        <v>22.0</v>
      </c>
      <c r="D100" s="956"/>
      <c r="E100" s="963"/>
      <c r="F100" s="967"/>
      <c r="G100" s="959"/>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6">
        <v>22.0</v>
      </c>
      <c r="D101" s="956"/>
      <c r="E101" s="963"/>
      <c r="F101" s="967"/>
      <c r="G101" s="959"/>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6">
        <v>22.0</v>
      </c>
      <c r="D102" s="956"/>
      <c r="E102" s="957" t="s">
        <v>905</v>
      </c>
      <c r="F102" s="968"/>
      <c r="G102" s="959" t="s">
        <v>906</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6">
        <v>23.0</v>
      </c>
      <c r="D103" s="956"/>
      <c r="E103" s="957" t="s">
        <v>907</v>
      </c>
      <c r="F103" s="969"/>
      <c r="G103" s="959" t="s">
        <v>908</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6">
        <v>24.0</v>
      </c>
      <c r="D104" s="956"/>
      <c r="E104" s="957" t="s">
        <v>909</v>
      </c>
      <c r="F104" s="970"/>
      <c r="G104" s="959" t="s">
        <v>910</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6">
        <v>25.0</v>
      </c>
      <c r="D105" s="956"/>
      <c r="E105" s="957" t="s">
        <v>911</v>
      </c>
      <c r="F105" s="971"/>
      <c r="G105" s="959" t="s">
        <v>912</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6">
        <v>26.0</v>
      </c>
      <c r="D106" s="956"/>
      <c r="E106" s="957" t="s">
        <v>901</v>
      </c>
      <c r="F106" s="972"/>
      <c r="G106" s="959" t="s">
        <v>913</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6">
        <v>27.0</v>
      </c>
      <c r="D107" s="956"/>
      <c r="E107" s="957" t="s">
        <v>902</v>
      </c>
      <c r="F107" s="972"/>
      <c r="G107" s="959" t="s">
        <v>913</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6">
        <v>28.0</v>
      </c>
      <c r="D108" s="956"/>
      <c r="E108" s="957" t="s">
        <v>867</v>
      </c>
      <c r="F108" s="972"/>
      <c r="G108" s="959" t="s">
        <v>913</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6">
        <v>29.0</v>
      </c>
      <c r="D109" s="956"/>
      <c r="E109" s="957" t="s">
        <v>869</v>
      </c>
      <c r="F109" s="972"/>
      <c r="G109" s="959" t="s">
        <v>913</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6">
        <v>30.0</v>
      </c>
      <c r="D110" s="956"/>
      <c r="E110" s="973"/>
      <c r="F110" s="184"/>
      <c r="G110" s="964"/>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6">
        <v>31.0</v>
      </c>
      <c r="D111" s="228"/>
      <c r="E111" s="957"/>
      <c r="F111" s="967"/>
      <c r="G111" s="959"/>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6">
        <v>108.0</v>
      </c>
      <c r="D112" s="228"/>
      <c r="E112" s="973"/>
      <c r="F112" s="184"/>
      <c r="G112" s="964"/>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6">
        <v>109.0</v>
      </c>
      <c r="D113" s="228"/>
      <c r="E113" s="973"/>
      <c r="F113" s="184"/>
      <c r="G113" s="964"/>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6">
        <v>110.0</v>
      </c>
      <c r="D114" s="228"/>
      <c r="E114" s="973"/>
      <c r="F114" s="184"/>
      <c r="G114" s="964"/>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6">
        <v>111.0</v>
      </c>
      <c r="D115" s="228"/>
      <c r="E115" s="973"/>
      <c r="F115" s="184"/>
      <c r="G115" s="964"/>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6">
        <v>112.0</v>
      </c>
      <c r="D116" s="228"/>
      <c r="E116" s="973"/>
      <c r="F116" s="184"/>
      <c r="G116" s="964"/>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6">
        <v>113.0</v>
      </c>
      <c r="D117" s="228"/>
      <c r="E117" s="973"/>
      <c r="F117" s="184"/>
      <c r="G117" s="964"/>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6">
        <v>114.0</v>
      </c>
      <c r="D118" s="228"/>
      <c r="E118" s="973"/>
      <c r="F118" s="184"/>
      <c r="G118" s="964"/>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6">
        <v>115.0</v>
      </c>
      <c r="D119" s="228"/>
      <c r="E119" s="973"/>
      <c r="F119" s="184"/>
      <c r="G119" s="964"/>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6">
        <v>116.0</v>
      </c>
      <c r="D120" s="228"/>
      <c r="E120" s="973"/>
      <c r="F120" s="184"/>
      <c r="G120" s="964"/>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6">
        <v>117.0</v>
      </c>
      <c r="D121" s="228"/>
      <c r="E121" s="973"/>
      <c r="F121" s="184"/>
      <c r="G121" s="964"/>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6">
        <v>118.0</v>
      </c>
      <c r="D122" s="228"/>
      <c r="E122" s="973"/>
      <c r="F122" s="184"/>
      <c r="G122" s="964"/>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6">
        <v>119.0</v>
      </c>
      <c r="D123" s="228"/>
      <c r="E123" s="973"/>
      <c r="F123" s="184"/>
      <c r="G123" s="964"/>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6">
        <v>120.0</v>
      </c>
      <c r="D124" s="228"/>
      <c r="E124" s="973"/>
      <c r="F124" s="184"/>
      <c r="G124" s="964"/>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6">
        <v>121.0</v>
      </c>
      <c r="D125" s="228"/>
      <c r="E125" s="973"/>
      <c r="F125" s="184"/>
      <c r="G125" s="964"/>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6">
        <v>122.0</v>
      </c>
      <c r="D126" s="228"/>
      <c r="E126" s="973"/>
      <c r="F126" s="184"/>
      <c r="G126" s="964"/>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6">
        <v>123.0</v>
      </c>
      <c r="D127" s="228"/>
      <c r="E127" s="973"/>
      <c r="F127" s="184"/>
      <c r="G127" s="964"/>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6">
        <v>124.0</v>
      </c>
      <c r="D128" s="228"/>
      <c r="E128" s="973"/>
      <c r="F128" s="184"/>
      <c r="G128" s="964"/>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6">
        <v>125.0</v>
      </c>
      <c r="D129" s="228"/>
      <c r="E129" s="973"/>
      <c r="F129" s="184"/>
      <c r="G129" s="964"/>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6">
        <v>126.0</v>
      </c>
      <c r="D130" s="228"/>
      <c r="E130" s="973"/>
      <c r="F130" s="184"/>
      <c r="G130" s="964"/>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6">
        <v>127.0</v>
      </c>
      <c r="D131" s="228"/>
      <c r="E131" s="973"/>
      <c r="F131" s="184"/>
      <c r="G131" s="964"/>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6">
        <v>128.0</v>
      </c>
      <c r="D132" s="228"/>
      <c r="E132" s="973"/>
      <c r="F132" s="184"/>
      <c r="G132" s="964"/>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6">
        <v>129.0</v>
      </c>
      <c r="D133" s="228"/>
      <c r="E133" s="973"/>
      <c r="F133" s="184"/>
      <c r="G133" s="964"/>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6">
        <v>130.0</v>
      </c>
      <c r="D134" s="228"/>
      <c r="E134" s="973"/>
      <c r="F134" s="184"/>
      <c r="G134" s="964"/>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6">
        <v>131.0</v>
      </c>
      <c r="D135" s="228"/>
      <c r="E135" s="973"/>
      <c r="F135" s="184"/>
      <c r="G135" s="964"/>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6">
        <v>132.0</v>
      </c>
      <c r="D136" s="228"/>
      <c r="E136" s="973"/>
      <c r="F136" s="184"/>
      <c r="G136" s="964"/>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6">
        <v>133.0</v>
      </c>
      <c r="D137" s="228"/>
      <c r="E137" s="973"/>
      <c r="F137" s="184"/>
      <c r="G137" s="964"/>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6">
        <v>134.0</v>
      </c>
      <c r="D138" s="228"/>
      <c r="E138" s="973"/>
      <c r="F138" s="184"/>
      <c r="G138" s="964"/>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6">
        <v>135.0</v>
      </c>
      <c r="D139" s="228"/>
      <c r="E139" s="973"/>
      <c r="F139" s="184"/>
      <c r="G139" s="964"/>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6">
        <v>136.0</v>
      </c>
      <c r="D140" s="228"/>
      <c r="E140" s="973"/>
      <c r="F140" s="184"/>
      <c r="G140" s="964"/>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6">
        <v>137.0</v>
      </c>
      <c r="D141" s="228"/>
      <c r="E141" s="973"/>
      <c r="F141" s="184"/>
      <c r="G141" s="964"/>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6">
        <v>138.0</v>
      </c>
      <c r="D142" s="228"/>
      <c r="E142" s="973"/>
      <c r="F142" s="184"/>
      <c r="G142" s="964"/>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6">
        <v>139.0</v>
      </c>
      <c r="D143" s="228"/>
      <c r="E143" s="973"/>
      <c r="F143" s="184"/>
      <c r="G143" s="964"/>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6">
        <v>140.0</v>
      </c>
      <c r="D144" s="228"/>
      <c r="E144" s="973"/>
      <c r="F144" s="184"/>
      <c r="G144" s="964"/>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6">
        <v>141.0</v>
      </c>
      <c r="D145" s="228"/>
      <c r="E145" s="973"/>
      <c r="F145" s="184"/>
      <c r="G145" s="964"/>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6">
        <v>142.0</v>
      </c>
      <c r="D146" s="228"/>
      <c r="E146" s="973"/>
      <c r="F146" s="184"/>
      <c r="G146" s="964"/>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6">
        <v>143.0</v>
      </c>
      <c r="D147" s="228"/>
      <c r="E147" s="973"/>
      <c r="F147" s="184"/>
      <c r="G147" s="964"/>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6">
        <v>144.0</v>
      </c>
      <c r="D148" s="228"/>
      <c r="E148" s="973"/>
      <c r="F148" s="184"/>
      <c r="G148" s="964"/>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6">
        <v>145.0</v>
      </c>
      <c r="D149" s="228"/>
      <c r="E149" s="973"/>
      <c r="F149" s="184"/>
      <c r="G149" s="964"/>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6">
        <v>146.0</v>
      </c>
      <c r="D150" s="228"/>
      <c r="E150" s="973"/>
      <c r="F150" s="184"/>
      <c r="G150" s="964"/>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6">
        <v>147.0</v>
      </c>
      <c r="D151" s="228"/>
      <c r="E151" s="973"/>
      <c r="F151" s="184"/>
      <c r="G151" s="964"/>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6">
        <v>148.0</v>
      </c>
      <c r="D152" s="228"/>
      <c r="E152" s="973"/>
      <c r="F152" s="184"/>
      <c r="G152" s="964"/>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6">
        <v>149.0</v>
      </c>
      <c r="D153" s="228"/>
      <c r="E153" s="973"/>
      <c r="F153" s="184"/>
      <c r="G153" s="964"/>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6">
        <v>150.0</v>
      </c>
      <c r="D154" s="228"/>
      <c r="E154" s="973"/>
      <c r="F154" s="184"/>
      <c r="G154" s="964"/>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6">
        <v>151.0</v>
      </c>
      <c r="D155" s="228"/>
      <c r="E155" s="973"/>
      <c r="F155" s="184"/>
      <c r="G155" s="964"/>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6">
        <v>152.0</v>
      </c>
      <c r="D156" s="228"/>
      <c r="E156" s="973"/>
      <c r="F156" s="184"/>
      <c r="G156" s="964"/>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6">
        <v>153.0</v>
      </c>
      <c r="D157" s="228"/>
      <c r="E157" s="973"/>
      <c r="F157" s="184"/>
      <c r="G157" s="964"/>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6">
        <v>154.0</v>
      </c>
      <c r="D158" s="228"/>
      <c r="E158" s="973"/>
      <c r="F158" s="184"/>
      <c r="G158" s="964"/>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6">
        <v>155.0</v>
      </c>
      <c r="D159" s="228"/>
      <c r="E159" s="973"/>
      <c r="F159" s="184"/>
      <c r="G159" s="964"/>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6">
        <v>156.0</v>
      </c>
      <c r="D160" s="228"/>
      <c r="E160" s="973"/>
      <c r="F160" s="184"/>
      <c r="G160" s="964"/>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6">
        <v>157.0</v>
      </c>
      <c r="D161" s="228"/>
      <c r="E161" s="973"/>
      <c r="F161" s="184"/>
      <c r="G161" s="964"/>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6">
        <v>158.0</v>
      </c>
      <c r="D162" s="228"/>
      <c r="E162" s="973"/>
      <c r="F162" s="184"/>
      <c r="G162" s="964"/>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6">
        <v>159.0</v>
      </c>
      <c r="D163" s="228"/>
      <c r="E163" s="973"/>
      <c r="F163" s="184"/>
      <c r="G163" s="964"/>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6">
        <v>160.0</v>
      </c>
      <c r="D164" s="228"/>
      <c r="E164" s="973"/>
      <c r="F164" s="184"/>
      <c r="G164" s="964"/>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6">
        <v>161.0</v>
      </c>
      <c r="D165" s="228"/>
      <c r="E165" s="973"/>
      <c r="F165" s="184"/>
      <c r="G165" s="964"/>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6">
        <v>162.0</v>
      </c>
      <c r="D166" s="228"/>
      <c r="E166" s="973"/>
      <c r="F166" s="184"/>
      <c r="G166" s="964"/>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6">
        <v>163.0</v>
      </c>
      <c r="D167" s="228"/>
      <c r="E167" s="973"/>
      <c r="F167" s="184"/>
      <c r="G167" s="964"/>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6">
        <v>164.0</v>
      </c>
      <c r="D168" s="228"/>
      <c r="E168" s="973"/>
      <c r="F168" s="184"/>
      <c r="G168" s="964"/>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6">
        <v>165.0</v>
      </c>
      <c r="D169" s="228"/>
      <c r="E169" s="973"/>
      <c r="F169" s="184"/>
      <c r="G169" s="964"/>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6">
        <v>166.0</v>
      </c>
      <c r="D170" s="228"/>
      <c r="E170" s="973"/>
      <c r="F170" s="184"/>
      <c r="G170" s="964"/>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6">
        <v>167.0</v>
      </c>
      <c r="D171" s="228"/>
      <c r="E171" s="973"/>
      <c r="F171" s="184"/>
      <c r="G171" s="964"/>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6">
        <v>168.0</v>
      </c>
      <c r="D172" s="228"/>
      <c r="E172" s="973"/>
      <c r="F172" s="184"/>
      <c r="G172" s="964"/>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6">
        <v>169.0</v>
      </c>
      <c r="D173" s="228"/>
      <c r="E173" s="973"/>
      <c r="F173" s="184"/>
      <c r="G173" s="964"/>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6">
        <v>170.0</v>
      </c>
      <c r="D174" s="228"/>
      <c r="E174" s="973"/>
      <c r="F174" s="184"/>
      <c r="G174" s="964"/>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6">
        <v>171.0</v>
      </c>
      <c r="D175" s="228"/>
      <c r="E175" s="973"/>
      <c r="F175" s="184"/>
      <c r="G175" s="964"/>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6">
        <v>172.0</v>
      </c>
      <c r="D176" s="228"/>
      <c r="E176" s="973"/>
      <c r="F176" s="184"/>
      <c r="G176" s="964"/>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6">
        <v>173.0</v>
      </c>
      <c r="D177" s="228"/>
      <c r="E177" s="973"/>
      <c r="F177" s="184"/>
      <c r="G177" s="964"/>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6">
        <v>174.0</v>
      </c>
      <c r="D178" s="228"/>
      <c r="E178" s="973"/>
      <c r="F178" s="184"/>
      <c r="G178" s="964"/>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6">
        <v>175.0</v>
      </c>
      <c r="D179" s="228"/>
      <c r="E179" s="973"/>
      <c r="F179" s="184"/>
      <c r="G179" s="964"/>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6">
        <v>176.0</v>
      </c>
      <c r="D180" s="228"/>
      <c r="E180" s="973"/>
      <c r="F180" s="184"/>
      <c r="G180" s="964"/>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6">
        <v>177.0</v>
      </c>
      <c r="D181" s="228"/>
      <c r="E181" s="973"/>
      <c r="F181" s="184"/>
      <c r="G181" s="964"/>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6">
        <v>178.0</v>
      </c>
      <c r="D182" s="228"/>
      <c r="E182" s="973"/>
      <c r="F182" s="184"/>
      <c r="G182" s="964"/>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6">
        <v>179.0</v>
      </c>
      <c r="D183" s="228"/>
      <c r="E183" s="973"/>
      <c r="F183" s="184"/>
      <c r="G183" s="964"/>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6">
        <v>180.0</v>
      </c>
      <c r="D184" s="228"/>
      <c r="E184" s="973"/>
      <c r="F184" s="184"/>
      <c r="G184" s="964"/>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6">
        <v>181.0</v>
      </c>
      <c r="D185" s="228"/>
      <c r="E185" s="973"/>
      <c r="F185" s="184"/>
      <c r="G185" s="964"/>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6">
        <v>182.0</v>
      </c>
      <c r="D186" s="228"/>
      <c r="E186" s="973"/>
      <c r="F186" s="184"/>
      <c r="G186" s="964"/>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6">
        <v>183.0</v>
      </c>
      <c r="D187" s="228"/>
      <c r="E187" s="973"/>
      <c r="F187" s="184"/>
      <c r="G187" s="964"/>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6">
        <v>184.0</v>
      </c>
      <c r="D188" s="228"/>
      <c r="E188" s="973"/>
      <c r="F188" s="184"/>
      <c r="G188" s="964"/>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6">
        <v>185.0</v>
      </c>
      <c r="D189" s="228"/>
      <c r="E189" s="973"/>
      <c r="F189" s="184"/>
      <c r="G189" s="964"/>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6">
        <v>186.0</v>
      </c>
      <c r="D190" s="228"/>
      <c r="E190" s="973"/>
      <c r="F190" s="184"/>
      <c r="G190" s="964"/>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6">
        <v>187.0</v>
      </c>
      <c r="D191" s="228"/>
      <c r="E191" s="973"/>
      <c r="F191" s="184"/>
      <c r="G191" s="964"/>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6">
        <v>188.0</v>
      </c>
      <c r="D192" s="228"/>
      <c r="E192" s="973"/>
      <c r="F192" s="184"/>
      <c r="G192" s="964"/>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6">
        <v>189.0</v>
      </c>
      <c r="D193" s="228"/>
      <c r="E193" s="973"/>
      <c r="F193" s="184"/>
      <c r="G193" s="964"/>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6">
        <v>190.0</v>
      </c>
      <c r="D194" s="228"/>
      <c r="E194" s="973"/>
      <c r="F194" s="184"/>
      <c r="G194" s="964"/>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6">
        <v>191.0</v>
      </c>
      <c r="D195" s="228"/>
      <c r="E195" s="973"/>
      <c r="F195" s="184"/>
      <c r="G195" s="964"/>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6">
        <v>192.0</v>
      </c>
      <c r="D196" s="228"/>
      <c r="E196" s="973"/>
      <c r="F196" s="184"/>
      <c r="G196" s="964"/>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6">
        <v>193.0</v>
      </c>
      <c r="D197" s="228"/>
      <c r="E197" s="973"/>
      <c r="F197" s="184"/>
      <c r="G197" s="964"/>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6">
        <v>194.0</v>
      </c>
      <c r="D198" s="228"/>
      <c r="E198" s="973"/>
      <c r="F198" s="184"/>
      <c r="G198" s="964"/>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6">
        <v>195.0</v>
      </c>
      <c r="D199" s="228"/>
      <c r="E199" s="973"/>
      <c r="F199" s="184"/>
      <c r="G199" s="964"/>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6">
        <v>196.0</v>
      </c>
      <c r="D200" s="228"/>
      <c r="E200" s="973"/>
      <c r="F200" s="184"/>
      <c r="G200" s="964"/>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6">
        <v>197.0</v>
      </c>
      <c r="D201" s="228"/>
      <c r="E201" s="973"/>
      <c r="F201" s="184"/>
      <c r="G201" s="964"/>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6">
        <v>198.0</v>
      </c>
      <c r="D202" s="228"/>
      <c r="E202" s="973"/>
      <c r="F202" s="184"/>
      <c r="G202" s="964"/>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6">
        <v>199.0</v>
      </c>
      <c r="D203" s="228"/>
      <c r="E203" s="973"/>
      <c r="F203" s="184"/>
      <c r="G203" s="964"/>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6">
        <v>200.0</v>
      </c>
      <c r="D204" s="228"/>
      <c r="E204" s="973"/>
      <c r="F204" s="184"/>
      <c r="G204" s="964"/>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6">
        <v>201.0</v>
      </c>
      <c r="D205" s="228"/>
      <c r="E205" s="973"/>
      <c r="F205" s="184"/>
      <c r="G205" s="964"/>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6">
        <v>202.0</v>
      </c>
      <c r="D206" s="228"/>
      <c r="E206" s="973"/>
      <c r="F206" s="184"/>
      <c r="G206" s="964"/>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6">
        <v>203.0</v>
      </c>
      <c r="D207" s="228"/>
      <c r="E207" s="973"/>
      <c r="F207" s="184"/>
      <c r="G207" s="964"/>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6">
        <v>204.0</v>
      </c>
      <c r="D208" s="228"/>
      <c r="E208" s="973"/>
      <c r="F208" s="184"/>
      <c r="G208" s="964"/>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6">
        <v>205.0</v>
      </c>
      <c r="D209" s="228"/>
      <c r="E209" s="973"/>
      <c r="F209" s="184"/>
      <c r="G209" s="964"/>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6">
        <v>206.0</v>
      </c>
      <c r="D210" s="228"/>
      <c r="E210" s="973"/>
      <c r="F210" s="184"/>
      <c r="G210" s="964"/>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6">
        <v>207.0</v>
      </c>
      <c r="D211" s="228"/>
      <c r="E211" s="973"/>
      <c r="F211" s="184"/>
      <c r="G211" s="964"/>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6">
        <v>208.0</v>
      </c>
      <c r="D212" s="228"/>
      <c r="E212" s="973"/>
      <c r="F212" s="184"/>
      <c r="G212" s="964"/>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6">
        <v>209.0</v>
      </c>
      <c r="D213" s="228"/>
      <c r="E213" s="973"/>
      <c r="F213" s="184"/>
      <c r="G213" s="964"/>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6">
        <v>210.0</v>
      </c>
      <c r="D214" s="228"/>
      <c r="E214" s="973"/>
      <c r="F214" s="184"/>
      <c r="G214" s="964"/>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6">
        <v>211.0</v>
      </c>
      <c r="D215" s="228"/>
      <c r="E215" s="973"/>
      <c r="F215" s="184"/>
      <c r="G215" s="964"/>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6">
        <v>212.0</v>
      </c>
      <c r="D216" s="228"/>
      <c r="E216" s="973"/>
      <c r="F216" s="184"/>
      <c r="G216" s="964"/>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6">
        <v>213.0</v>
      </c>
      <c r="D217" s="228"/>
      <c r="E217" s="973"/>
      <c r="F217" s="184"/>
      <c r="G217" s="964"/>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6">
        <v>214.0</v>
      </c>
      <c r="D218" s="228"/>
      <c r="E218" s="973"/>
      <c r="F218" s="184"/>
      <c r="G218" s="964"/>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6">
        <v>215.0</v>
      </c>
      <c r="D219" s="228"/>
      <c r="E219" s="973"/>
      <c r="F219" s="184"/>
      <c r="G219" s="964"/>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6">
        <v>216.0</v>
      </c>
      <c r="D220" s="228"/>
      <c r="E220" s="973"/>
      <c r="F220" s="184"/>
      <c r="G220" s="964"/>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6">
        <v>217.0</v>
      </c>
      <c r="D221" s="228"/>
      <c r="E221" s="973"/>
      <c r="F221" s="184"/>
      <c r="G221" s="964"/>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6">
        <v>218.0</v>
      </c>
      <c r="D222" s="228"/>
      <c r="E222" s="973"/>
      <c r="F222" s="184"/>
      <c r="G222" s="964"/>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6">
        <v>219.0</v>
      </c>
      <c r="D223" s="228"/>
      <c r="E223" s="973"/>
      <c r="F223" s="184"/>
      <c r="G223" s="964"/>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6">
        <v>220.0</v>
      </c>
      <c r="D224" s="228"/>
      <c r="E224" s="973"/>
      <c r="F224" s="184"/>
      <c r="G224" s="964"/>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6">
        <v>221.0</v>
      </c>
      <c r="D225" s="228"/>
      <c r="E225" s="973"/>
      <c r="F225" s="184"/>
      <c r="G225" s="964"/>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6">
        <v>222.0</v>
      </c>
      <c r="D226" s="228"/>
      <c r="E226" s="973"/>
      <c r="F226" s="184"/>
      <c r="G226" s="964"/>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6">
        <v>223.0</v>
      </c>
      <c r="D227" s="228"/>
      <c r="E227" s="973"/>
      <c r="F227" s="184"/>
      <c r="G227" s="964"/>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6">
        <v>224.0</v>
      </c>
      <c r="D228" s="228"/>
      <c r="E228" s="973"/>
      <c r="F228" s="184"/>
      <c r="G228" s="964"/>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6">
        <v>225.0</v>
      </c>
      <c r="D229" s="228"/>
      <c r="E229" s="973"/>
      <c r="F229" s="184"/>
      <c r="G229" s="964"/>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6">
        <v>226.0</v>
      </c>
      <c r="D230" s="228"/>
      <c r="E230" s="973"/>
      <c r="F230" s="184"/>
      <c r="G230" s="964"/>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6">
        <v>227.0</v>
      </c>
      <c r="D231" s="228"/>
      <c r="E231" s="973"/>
      <c r="F231" s="184"/>
      <c r="G231" s="964"/>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6">
        <v>228.0</v>
      </c>
      <c r="D232" s="228"/>
      <c r="E232" s="973"/>
      <c r="F232" s="184"/>
      <c r="G232" s="964"/>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6">
        <v>229.0</v>
      </c>
      <c r="D233" s="228"/>
      <c r="E233" s="973"/>
      <c r="F233" s="184"/>
      <c r="G233" s="964"/>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6">
        <v>230.0</v>
      </c>
      <c r="D234" s="228"/>
      <c r="E234" s="973"/>
      <c r="F234" s="184"/>
      <c r="G234" s="964"/>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6">
        <v>231.0</v>
      </c>
      <c r="D235" s="228"/>
      <c r="E235" s="973"/>
      <c r="F235" s="184"/>
      <c r="G235" s="964"/>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6">
        <v>232.0</v>
      </c>
      <c r="D236" s="228"/>
      <c r="E236" s="973"/>
      <c r="F236" s="184"/>
      <c r="G236" s="964"/>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6">
        <v>233.0</v>
      </c>
      <c r="D237" s="228"/>
      <c r="E237" s="973"/>
      <c r="F237" s="184"/>
      <c r="G237" s="964"/>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6">
        <v>234.0</v>
      </c>
      <c r="D238" s="228"/>
      <c r="E238" s="973"/>
      <c r="F238" s="184"/>
      <c r="G238" s="964"/>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6">
        <v>235.0</v>
      </c>
      <c r="D239" s="228"/>
      <c r="E239" s="973"/>
      <c r="F239" s="184"/>
      <c r="G239" s="964"/>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6">
        <v>236.0</v>
      </c>
      <c r="D240" s="228"/>
      <c r="E240" s="973"/>
      <c r="F240" s="184"/>
      <c r="G240" s="964"/>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6">
        <v>237.0</v>
      </c>
      <c r="D241" s="228"/>
      <c r="E241" s="973"/>
      <c r="F241" s="184"/>
      <c r="G241" s="964"/>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6">
        <v>238.0</v>
      </c>
      <c r="D242" s="228"/>
      <c r="E242" s="973"/>
      <c r="F242" s="184"/>
      <c r="G242" s="964"/>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6">
        <v>239.0</v>
      </c>
      <c r="D243" s="228"/>
      <c r="E243" s="973"/>
      <c r="F243" s="184"/>
      <c r="G243" s="964"/>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6">
        <v>240.0</v>
      </c>
      <c r="D244" s="228"/>
      <c r="E244" s="973"/>
      <c r="F244" s="184"/>
      <c r="G244" s="964"/>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6">
        <v>241.0</v>
      </c>
      <c r="D245" s="228"/>
      <c r="E245" s="973"/>
      <c r="F245" s="184"/>
      <c r="G245" s="964"/>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6">
        <v>242.0</v>
      </c>
      <c r="D246" s="228"/>
      <c r="E246" s="973"/>
      <c r="F246" s="184"/>
      <c r="G246" s="964"/>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6">
        <v>243.0</v>
      </c>
      <c r="D247" s="228"/>
      <c r="E247" s="973"/>
      <c r="F247" s="184"/>
      <c r="G247" s="964"/>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6">
        <v>244.0</v>
      </c>
      <c r="D248" s="228"/>
      <c r="E248" s="973"/>
      <c r="F248" s="184"/>
      <c r="G248" s="964"/>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6">
        <v>245.0</v>
      </c>
      <c r="D249" s="228"/>
      <c r="E249" s="973"/>
      <c r="F249" s="184"/>
      <c r="G249" s="964"/>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6">
        <v>246.0</v>
      </c>
      <c r="D250" s="228"/>
      <c r="E250" s="973"/>
      <c r="F250" s="184"/>
      <c r="G250" s="964"/>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6">
        <v>247.0</v>
      </c>
      <c r="D251" s="228"/>
      <c r="E251" s="973"/>
      <c r="F251" s="184"/>
      <c r="G251" s="964"/>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6">
        <v>248.0</v>
      </c>
      <c r="D252" s="228"/>
      <c r="E252" s="973"/>
      <c r="F252" s="184"/>
      <c r="G252" s="964"/>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6">
        <v>249.0</v>
      </c>
      <c r="D253" s="228"/>
      <c r="E253" s="973"/>
      <c r="F253" s="184"/>
      <c r="G253" s="964"/>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6">
        <v>250.0</v>
      </c>
      <c r="D254" s="228"/>
      <c r="E254" s="973"/>
      <c r="F254" s="184"/>
      <c r="G254" s="964"/>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6">
        <v>251.0</v>
      </c>
      <c r="D255" s="228"/>
      <c r="E255" s="973"/>
      <c r="F255" s="184"/>
      <c r="G255" s="964"/>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6">
        <v>252.0</v>
      </c>
      <c r="D256" s="228"/>
      <c r="E256" s="973"/>
      <c r="F256" s="184"/>
      <c r="G256" s="964"/>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6">
        <v>253.0</v>
      </c>
      <c r="D257" s="228"/>
      <c r="E257" s="973"/>
      <c r="F257" s="184"/>
      <c r="G257" s="964"/>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6">
        <v>254.0</v>
      </c>
      <c r="D258" s="228"/>
      <c r="E258" s="973"/>
      <c r="F258" s="184"/>
      <c r="G258" s="964"/>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6">
        <v>255.0</v>
      </c>
      <c r="D259" s="228"/>
      <c r="E259" s="973"/>
      <c r="F259" s="184"/>
      <c r="G259" s="964"/>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6">
        <v>256.0</v>
      </c>
      <c r="D260" s="228"/>
      <c r="E260" s="973"/>
      <c r="F260" s="184"/>
      <c r="G260" s="964"/>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6">
        <v>257.0</v>
      </c>
      <c r="D261" s="228"/>
      <c r="E261" s="973"/>
      <c r="F261" s="184"/>
      <c r="G261" s="964"/>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6">
        <v>258.0</v>
      </c>
      <c r="D262" s="228"/>
      <c r="E262" s="973"/>
      <c r="F262" s="184"/>
      <c r="G262" s="964"/>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6">
        <v>259.0</v>
      </c>
      <c r="D263" s="228"/>
      <c r="E263" s="973"/>
      <c r="F263" s="184"/>
      <c r="G263" s="964"/>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6">
        <v>260.0</v>
      </c>
      <c r="D264" s="228"/>
      <c r="E264" s="973"/>
      <c r="F264" s="184"/>
      <c r="G264" s="964"/>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6">
        <v>261.0</v>
      </c>
      <c r="D265" s="228"/>
      <c r="E265" s="973"/>
      <c r="F265" s="184"/>
      <c r="G265" s="964"/>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6">
        <v>262.0</v>
      </c>
      <c r="D266" s="228"/>
      <c r="E266" s="973"/>
      <c r="F266" s="184"/>
      <c r="G266" s="964"/>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6">
        <v>263.0</v>
      </c>
      <c r="D267" s="228"/>
      <c r="E267" s="973"/>
      <c r="F267" s="184"/>
      <c r="G267" s="964"/>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6">
        <v>264.0</v>
      </c>
      <c r="D268" s="228"/>
      <c r="E268" s="973"/>
      <c r="F268" s="184"/>
      <c r="G268" s="964"/>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6">
        <v>265.0</v>
      </c>
      <c r="D269" s="228"/>
      <c r="E269" s="973"/>
      <c r="F269" s="184"/>
      <c r="G269" s="964"/>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6">
        <v>266.0</v>
      </c>
      <c r="D270" s="228"/>
      <c r="E270" s="973"/>
      <c r="F270" s="184"/>
      <c r="G270" s="964"/>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6">
        <v>267.0</v>
      </c>
      <c r="D271" s="228"/>
      <c r="E271" s="973"/>
      <c r="F271" s="184"/>
      <c r="G271" s="964"/>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6">
        <v>268.0</v>
      </c>
      <c r="D272" s="228"/>
      <c r="E272" s="973"/>
      <c r="F272" s="184"/>
      <c r="G272" s="964"/>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6">
        <v>269.0</v>
      </c>
      <c r="D273" s="228"/>
      <c r="E273" s="973"/>
      <c r="F273" s="184"/>
      <c r="G273" s="964"/>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6">
        <v>270.0</v>
      </c>
      <c r="D274" s="228"/>
      <c r="E274" s="973"/>
      <c r="F274" s="184"/>
      <c r="G274" s="964"/>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6">
        <v>271.0</v>
      </c>
      <c r="D275" s="228"/>
      <c r="E275" s="973"/>
      <c r="F275" s="184"/>
      <c r="G275" s="964"/>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6">
        <v>272.0</v>
      </c>
      <c r="D276" s="228"/>
      <c r="E276" s="973"/>
      <c r="F276" s="184"/>
      <c r="G276" s="964"/>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6">
        <v>273.0</v>
      </c>
      <c r="D277" s="228"/>
      <c r="E277" s="973"/>
      <c r="F277" s="184"/>
      <c r="G277" s="964"/>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6">
        <v>274.0</v>
      </c>
      <c r="D278" s="228"/>
      <c r="E278" s="973"/>
      <c r="F278" s="184"/>
      <c r="G278" s="964"/>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6">
        <v>275.0</v>
      </c>
      <c r="D279" s="228"/>
      <c r="E279" s="973"/>
      <c r="F279" s="184"/>
      <c r="G279" s="964"/>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6">
        <v>276.0</v>
      </c>
      <c r="D280" s="228"/>
      <c r="E280" s="973"/>
      <c r="F280" s="184"/>
      <c r="G280" s="964"/>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6">
        <v>277.0</v>
      </c>
      <c r="D281" s="228"/>
      <c r="E281" s="973"/>
      <c r="F281" s="184"/>
      <c r="G281" s="964"/>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6">
        <v>278.0</v>
      </c>
      <c r="D282" s="228"/>
      <c r="E282" s="973"/>
      <c r="F282" s="184"/>
      <c r="G282" s="964"/>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6">
        <v>279.0</v>
      </c>
      <c r="D283" s="228"/>
      <c r="E283" s="973"/>
      <c r="F283" s="184"/>
      <c r="G283" s="964"/>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6">
        <v>280.0</v>
      </c>
      <c r="D284" s="228"/>
      <c r="E284" s="973"/>
      <c r="F284" s="184"/>
      <c r="G284" s="964"/>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6">
        <v>281.0</v>
      </c>
      <c r="D285" s="228"/>
      <c r="E285" s="973"/>
      <c r="F285" s="184"/>
      <c r="G285" s="964"/>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6">
        <v>282.0</v>
      </c>
      <c r="D286" s="228"/>
      <c r="E286" s="973"/>
      <c r="F286" s="184"/>
      <c r="G286" s="964"/>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6">
        <v>283.0</v>
      </c>
      <c r="D287" s="228"/>
      <c r="E287" s="973"/>
      <c r="F287" s="184"/>
      <c r="G287" s="964"/>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6">
        <v>284.0</v>
      </c>
      <c r="D288" s="228"/>
      <c r="E288" s="973"/>
      <c r="F288" s="184"/>
      <c r="G288" s="964"/>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6">
        <v>285.0</v>
      </c>
      <c r="D289" s="228"/>
      <c r="E289" s="973"/>
      <c r="F289" s="184"/>
      <c r="G289" s="964"/>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6">
        <v>286.0</v>
      </c>
      <c r="D290" s="228"/>
      <c r="E290" s="973"/>
      <c r="F290" s="184"/>
      <c r="G290" s="964"/>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6">
        <v>287.0</v>
      </c>
      <c r="D291" s="228"/>
      <c r="E291" s="973"/>
      <c r="F291" s="184"/>
      <c r="G291" s="964"/>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6">
        <v>288.0</v>
      </c>
      <c r="D292" s="228"/>
      <c r="E292" s="973"/>
      <c r="F292" s="184"/>
      <c r="G292" s="964"/>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6">
        <v>289.0</v>
      </c>
      <c r="D293" s="228"/>
      <c r="E293" s="973"/>
      <c r="F293" s="184"/>
      <c r="G293" s="964"/>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6">
        <v>290.0</v>
      </c>
      <c r="D294" s="228"/>
      <c r="E294" s="973"/>
      <c r="F294" s="184"/>
      <c r="G294" s="964"/>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6">
        <v>291.0</v>
      </c>
      <c r="D295" s="228"/>
      <c r="E295" s="973"/>
      <c r="F295" s="184"/>
      <c r="G295" s="964"/>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6">
        <v>292.0</v>
      </c>
      <c r="D296" s="228"/>
      <c r="E296" s="973"/>
      <c r="F296" s="184"/>
      <c r="G296" s="964"/>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6">
        <v>293.0</v>
      </c>
      <c r="D297" s="228"/>
      <c r="E297" s="973"/>
      <c r="F297" s="184"/>
      <c r="G297" s="964"/>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6">
        <v>294.0</v>
      </c>
      <c r="D298" s="228"/>
      <c r="E298" s="973"/>
      <c r="F298" s="184"/>
      <c r="G298" s="964"/>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6">
        <v>295.0</v>
      </c>
      <c r="D299" s="228"/>
      <c r="E299" s="973"/>
      <c r="F299" s="184"/>
      <c r="G299" s="964"/>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6">
        <v>296.0</v>
      </c>
      <c r="D300" s="228"/>
      <c r="E300" s="973"/>
      <c r="F300" s="184"/>
      <c r="G300" s="964"/>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6">
        <v>297.0</v>
      </c>
      <c r="D301" s="228"/>
      <c r="E301" s="973"/>
      <c r="F301" s="184"/>
      <c r="G301" s="964"/>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6">
        <v>298.0</v>
      </c>
      <c r="D302" s="228"/>
      <c r="E302" s="973"/>
      <c r="F302" s="184"/>
      <c r="G302" s="964"/>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6">
        <v>299.0</v>
      </c>
      <c r="D303" s="228"/>
      <c r="E303" s="973"/>
      <c r="F303" s="184"/>
      <c r="G303" s="964"/>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6">
        <v>300.0</v>
      </c>
      <c r="D304" s="228"/>
      <c r="E304" s="973"/>
      <c r="F304" s="184"/>
      <c r="G304" s="964"/>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6">
        <v>301.0</v>
      </c>
      <c r="D305" s="228"/>
      <c r="E305" s="973"/>
      <c r="F305" s="184"/>
      <c r="G305" s="964"/>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6">
        <v>302.0</v>
      </c>
      <c r="D306" s="228"/>
      <c r="E306" s="973"/>
      <c r="F306" s="184"/>
      <c r="G306" s="964"/>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6">
        <v>303.0</v>
      </c>
      <c r="D307" s="228"/>
      <c r="E307" s="973"/>
      <c r="F307" s="184"/>
      <c r="G307" s="964"/>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6">
        <v>304.0</v>
      </c>
      <c r="D308" s="228"/>
      <c r="E308" s="973"/>
      <c r="F308" s="184"/>
      <c r="G308" s="964"/>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6">
        <v>305.0</v>
      </c>
      <c r="D309" s="228"/>
      <c r="E309" s="973"/>
      <c r="F309" s="184"/>
      <c r="G309" s="964"/>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6">
        <v>306.0</v>
      </c>
      <c r="D310" s="228"/>
      <c r="E310" s="973"/>
      <c r="F310" s="184"/>
      <c r="G310" s="964"/>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6">
        <v>307.0</v>
      </c>
      <c r="D311" s="228"/>
      <c r="E311" s="973"/>
      <c r="F311" s="184"/>
      <c r="G311" s="964"/>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6">
        <v>308.0</v>
      </c>
      <c r="D312" s="228"/>
      <c r="E312" s="973"/>
      <c r="F312" s="184"/>
      <c r="G312" s="964"/>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6">
        <v>309.0</v>
      </c>
      <c r="D313" s="228"/>
      <c r="E313" s="973"/>
      <c r="F313" s="184"/>
      <c r="G313" s="964"/>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6">
        <v>310.0</v>
      </c>
      <c r="D314" s="228"/>
      <c r="E314" s="973"/>
      <c r="F314" s="184"/>
      <c r="G314" s="964"/>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6">
        <v>311.0</v>
      </c>
      <c r="D315" s="228"/>
      <c r="E315" s="973"/>
      <c r="F315" s="184"/>
      <c r="G315" s="964"/>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6">
        <v>312.0</v>
      </c>
      <c r="D316" s="228"/>
      <c r="E316" s="973"/>
      <c r="F316" s="184"/>
      <c r="G316" s="964"/>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6">
        <v>313.0</v>
      </c>
      <c r="D317" s="228"/>
      <c r="E317" s="973"/>
      <c r="F317" s="184"/>
      <c r="G317" s="964"/>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6">
        <v>314.0</v>
      </c>
      <c r="D318" s="228"/>
      <c r="E318" s="973"/>
      <c r="F318" s="184"/>
      <c r="G318" s="964"/>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6">
        <v>315.0</v>
      </c>
      <c r="D319" s="228"/>
      <c r="E319" s="973"/>
      <c r="F319" s="184"/>
      <c r="G319" s="964"/>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6">
        <v>316.0</v>
      </c>
      <c r="D320" s="228"/>
      <c r="E320" s="973"/>
      <c r="F320" s="184"/>
      <c r="G320" s="964"/>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6">
        <v>317.0</v>
      </c>
      <c r="D321" s="228"/>
      <c r="E321" s="973"/>
      <c r="F321" s="184"/>
      <c r="G321" s="964"/>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6">
        <v>318.0</v>
      </c>
      <c r="D322" s="228"/>
      <c r="E322" s="973"/>
      <c r="F322" s="184"/>
      <c r="G322" s="964"/>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6">
        <v>319.0</v>
      </c>
      <c r="D323" s="228"/>
      <c r="E323" s="973"/>
      <c r="F323" s="184"/>
      <c r="G323" s="964"/>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6">
        <v>320.0</v>
      </c>
      <c r="D324" s="228"/>
      <c r="E324" s="973"/>
      <c r="F324" s="184"/>
      <c r="G324" s="964"/>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6">
        <v>321.0</v>
      </c>
      <c r="D325" s="228"/>
      <c r="E325" s="973"/>
      <c r="F325" s="184"/>
      <c r="G325" s="964"/>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6">
        <v>322.0</v>
      </c>
      <c r="D326" s="228"/>
      <c r="E326" s="973"/>
      <c r="F326" s="184"/>
      <c r="G326" s="964"/>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6">
        <v>323.0</v>
      </c>
      <c r="D327" s="228"/>
      <c r="E327" s="973"/>
      <c r="F327" s="184"/>
      <c r="G327" s="964"/>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6">
        <v>324.0</v>
      </c>
      <c r="D328" s="228"/>
      <c r="E328" s="973"/>
      <c r="F328" s="184"/>
      <c r="G328" s="964"/>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6">
        <v>325.0</v>
      </c>
      <c r="D329" s="228"/>
      <c r="E329" s="973"/>
      <c r="F329" s="184"/>
      <c r="G329" s="964"/>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6">
        <v>326.0</v>
      </c>
      <c r="D330" s="228"/>
      <c r="E330" s="973"/>
      <c r="F330" s="184"/>
      <c r="G330" s="964"/>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6">
        <v>327.0</v>
      </c>
      <c r="D331" s="228"/>
      <c r="E331" s="973"/>
      <c r="F331" s="184"/>
      <c r="G331" s="964"/>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6">
        <v>328.0</v>
      </c>
      <c r="D332" s="228"/>
      <c r="E332" s="973"/>
      <c r="F332" s="184"/>
      <c r="G332" s="964"/>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6">
        <v>329.0</v>
      </c>
      <c r="D333" s="228"/>
      <c r="E333" s="973"/>
      <c r="F333" s="184"/>
      <c r="G333" s="964"/>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6">
        <v>330.0</v>
      </c>
      <c r="D334" s="228"/>
      <c r="E334" s="973"/>
      <c r="F334" s="184"/>
      <c r="G334" s="964"/>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6">
        <v>331.0</v>
      </c>
      <c r="D335" s="228"/>
      <c r="E335" s="973"/>
      <c r="F335" s="184"/>
      <c r="G335" s="964"/>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6">
        <v>332.0</v>
      </c>
      <c r="D336" s="228"/>
      <c r="E336" s="973"/>
      <c r="F336" s="184"/>
      <c r="G336" s="964"/>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6">
        <v>333.0</v>
      </c>
      <c r="D337" s="228"/>
      <c r="E337" s="973"/>
      <c r="F337" s="184"/>
      <c r="G337" s="964"/>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6">
        <v>334.0</v>
      </c>
      <c r="D338" s="228"/>
      <c r="E338" s="973"/>
      <c r="F338" s="184"/>
      <c r="G338" s="964"/>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6">
        <v>335.0</v>
      </c>
      <c r="D339" s="228"/>
      <c r="E339" s="973"/>
      <c r="F339" s="184"/>
      <c r="G339" s="964"/>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6">
        <v>336.0</v>
      </c>
      <c r="D340" s="228"/>
      <c r="E340" s="973"/>
      <c r="F340" s="184"/>
      <c r="G340" s="964"/>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6">
        <v>337.0</v>
      </c>
      <c r="D341" s="228"/>
      <c r="E341" s="973"/>
      <c r="F341" s="184"/>
      <c r="G341" s="964"/>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6">
        <v>338.0</v>
      </c>
      <c r="D342" s="228"/>
      <c r="E342" s="973"/>
      <c r="F342" s="184"/>
      <c r="G342" s="964"/>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6">
        <v>339.0</v>
      </c>
      <c r="D343" s="228"/>
      <c r="E343" s="973"/>
      <c r="F343" s="184"/>
      <c r="G343" s="964"/>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6">
        <v>340.0</v>
      </c>
      <c r="D344" s="228"/>
      <c r="E344" s="973"/>
      <c r="F344" s="184"/>
      <c r="G344" s="964"/>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6">
        <v>341.0</v>
      </c>
      <c r="D345" s="228"/>
      <c r="E345" s="973"/>
      <c r="F345" s="184"/>
      <c r="G345" s="964"/>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6">
        <v>342.0</v>
      </c>
      <c r="D346" s="228"/>
      <c r="E346" s="973"/>
      <c r="F346" s="184"/>
      <c r="G346" s="964"/>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6">
        <v>343.0</v>
      </c>
      <c r="D347" s="228"/>
      <c r="E347" s="973"/>
      <c r="F347" s="184"/>
      <c r="G347" s="964"/>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6">
        <v>344.0</v>
      </c>
      <c r="D348" s="228"/>
      <c r="E348" s="973"/>
      <c r="F348" s="184"/>
      <c r="G348" s="964"/>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6">
        <v>345.0</v>
      </c>
      <c r="D349" s="228"/>
      <c r="E349" s="973"/>
      <c r="F349" s="184"/>
      <c r="G349" s="964"/>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6">
        <v>346.0</v>
      </c>
      <c r="D350" s="228"/>
      <c r="E350" s="973"/>
      <c r="F350" s="184"/>
      <c r="G350" s="964"/>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6">
        <v>347.0</v>
      </c>
      <c r="D351" s="228"/>
      <c r="E351" s="973"/>
      <c r="F351" s="184"/>
      <c r="G351" s="964"/>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6">
        <v>348.0</v>
      </c>
      <c r="D352" s="228"/>
      <c r="E352" s="973"/>
      <c r="F352" s="184"/>
      <c r="G352" s="964"/>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6">
        <v>349.0</v>
      </c>
      <c r="D353" s="228"/>
      <c r="E353" s="973"/>
      <c r="F353" s="184"/>
      <c r="G353" s="964"/>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6">
        <v>350.0</v>
      </c>
      <c r="D354" s="228"/>
      <c r="E354" s="973"/>
      <c r="F354" s="184"/>
      <c r="G354" s="964"/>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6">
        <v>351.0</v>
      </c>
      <c r="D355" s="228"/>
      <c r="E355" s="973"/>
      <c r="F355" s="184"/>
      <c r="G355" s="964"/>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6">
        <v>352.0</v>
      </c>
      <c r="D356" s="228"/>
      <c r="E356" s="973"/>
      <c r="F356" s="184"/>
      <c r="G356" s="964"/>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6">
        <v>353.0</v>
      </c>
      <c r="D357" s="228"/>
      <c r="E357" s="973"/>
      <c r="F357" s="184"/>
      <c r="G357" s="964"/>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6">
        <v>354.0</v>
      </c>
      <c r="D358" s="228"/>
      <c r="E358" s="973"/>
      <c r="F358" s="184"/>
      <c r="G358" s="964"/>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6">
        <v>355.0</v>
      </c>
      <c r="D359" s="228"/>
      <c r="E359" s="973"/>
      <c r="F359" s="184"/>
      <c r="G359" s="964"/>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6">
        <v>356.0</v>
      </c>
      <c r="D360" s="228"/>
      <c r="E360" s="973"/>
      <c r="F360" s="184"/>
      <c r="G360" s="964"/>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6">
        <v>357.0</v>
      </c>
      <c r="D361" s="228"/>
      <c r="E361" s="973"/>
      <c r="F361" s="184"/>
      <c r="G361" s="964"/>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6">
        <v>358.0</v>
      </c>
      <c r="D362" s="228"/>
      <c r="E362" s="973"/>
      <c r="F362" s="184"/>
      <c r="G362" s="964"/>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6">
        <v>359.0</v>
      </c>
      <c r="D363" s="228"/>
      <c r="E363" s="973"/>
      <c r="F363" s="184"/>
      <c r="G363" s="964"/>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6">
        <v>360.0</v>
      </c>
      <c r="D364" s="228"/>
      <c r="E364" s="973"/>
      <c r="F364" s="184"/>
      <c r="G364" s="964"/>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6">
        <v>361.0</v>
      </c>
      <c r="D365" s="228"/>
      <c r="E365" s="973"/>
      <c r="F365" s="184"/>
      <c r="G365" s="964"/>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6">
        <v>362.0</v>
      </c>
      <c r="D366" s="228"/>
      <c r="E366" s="973"/>
      <c r="F366" s="184"/>
      <c r="G366" s="964"/>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6">
        <v>363.0</v>
      </c>
      <c r="D367" s="228"/>
      <c r="E367" s="973"/>
      <c r="F367" s="184"/>
      <c r="G367" s="964"/>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6">
        <v>364.0</v>
      </c>
      <c r="D368" s="228"/>
      <c r="E368" s="973"/>
      <c r="F368" s="184"/>
      <c r="G368" s="964"/>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6">
        <v>365.0</v>
      </c>
      <c r="D369" s="228"/>
      <c r="E369" s="973"/>
      <c r="F369" s="184"/>
      <c r="G369" s="964"/>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6">
        <v>366.0</v>
      </c>
      <c r="D370" s="228"/>
      <c r="E370" s="973"/>
      <c r="F370" s="184"/>
      <c r="G370" s="964"/>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6">
        <v>367.0</v>
      </c>
      <c r="D371" s="228"/>
      <c r="E371" s="973"/>
      <c r="F371" s="184"/>
      <c r="G371" s="964"/>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6">
        <v>368.0</v>
      </c>
      <c r="D372" s="228"/>
      <c r="E372" s="973"/>
      <c r="F372" s="184"/>
      <c r="G372" s="964"/>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6">
        <v>369.0</v>
      </c>
      <c r="D373" s="228"/>
      <c r="E373" s="973"/>
      <c r="F373" s="184"/>
      <c r="G373" s="964"/>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6">
        <v>370.0</v>
      </c>
      <c r="D374" s="228"/>
      <c r="E374" s="973"/>
      <c r="F374" s="184"/>
      <c r="G374" s="964"/>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6">
        <v>371.0</v>
      </c>
      <c r="D375" s="228"/>
      <c r="E375" s="973"/>
      <c r="F375" s="184"/>
      <c r="G375" s="964"/>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6">
        <v>372.0</v>
      </c>
      <c r="D376" s="228"/>
      <c r="E376" s="973"/>
      <c r="F376" s="184"/>
      <c r="G376" s="964"/>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6">
        <v>373.0</v>
      </c>
      <c r="D377" s="228"/>
      <c r="E377" s="973"/>
      <c r="F377" s="184"/>
      <c r="G377" s="964"/>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6">
        <v>374.0</v>
      </c>
      <c r="D378" s="228"/>
      <c r="E378" s="973"/>
      <c r="F378" s="184"/>
      <c r="G378" s="964"/>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6">
        <v>375.0</v>
      </c>
      <c r="D379" s="228"/>
      <c r="E379" s="973"/>
      <c r="F379" s="184"/>
      <c r="G379" s="964"/>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6">
        <v>376.0</v>
      </c>
      <c r="D380" s="228"/>
      <c r="E380" s="973"/>
      <c r="F380" s="184"/>
      <c r="G380" s="964"/>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6">
        <v>377.0</v>
      </c>
      <c r="D381" s="228"/>
      <c r="E381" s="973"/>
      <c r="F381" s="184"/>
      <c r="G381" s="964"/>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6">
        <v>378.0</v>
      </c>
      <c r="D382" s="228"/>
      <c r="E382" s="973"/>
      <c r="F382" s="184"/>
      <c r="G382" s="964"/>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6">
        <v>379.0</v>
      </c>
      <c r="D383" s="228"/>
      <c r="E383" s="973"/>
      <c r="F383" s="184"/>
      <c r="G383" s="964"/>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6">
        <v>380.0</v>
      </c>
      <c r="D384" s="228"/>
      <c r="E384" s="973"/>
      <c r="F384" s="184"/>
      <c r="G384" s="964"/>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6">
        <v>381.0</v>
      </c>
      <c r="D385" s="228"/>
      <c r="E385" s="973"/>
      <c r="F385" s="184"/>
      <c r="G385" s="964"/>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6">
        <v>382.0</v>
      </c>
      <c r="D386" s="228"/>
      <c r="E386" s="973"/>
      <c r="F386" s="184"/>
      <c r="G386" s="964"/>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6">
        <v>383.0</v>
      </c>
      <c r="D387" s="228"/>
      <c r="E387" s="973"/>
      <c r="F387" s="184"/>
      <c r="G387" s="964"/>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6">
        <v>384.0</v>
      </c>
      <c r="D388" s="228"/>
      <c r="E388" s="973"/>
      <c r="F388" s="184"/>
      <c r="G388" s="964"/>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6">
        <v>385.0</v>
      </c>
      <c r="D389" s="228"/>
      <c r="E389" s="973"/>
      <c r="F389" s="184"/>
      <c r="G389" s="964"/>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6">
        <v>386.0</v>
      </c>
      <c r="D390" s="228"/>
      <c r="E390" s="973"/>
      <c r="F390" s="184"/>
      <c r="G390" s="964"/>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6">
        <v>387.0</v>
      </c>
      <c r="D391" s="228"/>
      <c r="E391" s="973"/>
      <c r="F391" s="184"/>
      <c r="G391" s="964"/>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6">
        <v>388.0</v>
      </c>
      <c r="D392" s="228"/>
      <c r="E392" s="973"/>
      <c r="F392" s="184"/>
      <c r="G392" s="964"/>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6">
        <v>389.0</v>
      </c>
      <c r="D393" s="228"/>
      <c r="E393" s="973"/>
      <c r="F393" s="184"/>
      <c r="G393" s="964"/>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6">
        <v>390.0</v>
      </c>
      <c r="D394" s="228"/>
      <c r="E394" s="973"/>
      <c r="F394" s="184"/>
      <c r="G394" s="964"/>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6">
        <v>391.0</v>
      </c>
      <c r="D395" s="228"/>
      <c r="E395" s="973"/>
      <c r="F395" s="184"/>
      <c r="G395" s="964"/>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6">
        <v>392.0</v>
      </c>
      <c r="D396" s="228"/>
      <c r="E396" s="973"/>
      <c r="F396" s="184"/>
      <c r="G396" s="964"/>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6">
        <v>393.0</v>
      </c>
      <c r="D397" s="228"/>
      <c r="E397" s="973"/>
      <c r="F397" s="184"/>
      <c r="G397" s="964"/>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6">
        <v>394.0</v>
      </c>
      <c r="D398" s="228"/>
      <c r="E398" s="973"/>
      <c r="F398" s="184"/>
      <c r="G398" s="964"/>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6">
        <v>395.0</v>
      </c>
      <c r="D399" s="228"/>
      <c r="E399" s="973"/>
      <c r="F399" s="184"/>
      <c r="G399" s="964"/>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6">
        <v>396.0</v>
      </c>
      <c r="D400" s="228"/>
      <c r="E400" s="973"/>
      <c r="F400" s="184"/>
      <c r="G400" s="964"/>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6">
        <v>397.0</v>
      </c>
      <c r="D401" s="228"/>
      <c r="E401" s="973"/>
      <c r="F401" s="184"/>
      <c r="G401" s="964"/>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6">
        <v>398.0</v>
      </c>
      <c r="D402" s="228"/>
      <c r="E402" s="973"/>
      <c r="F402" s="184"/>
      <c r="G402" s="964"/>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6">
        <v>399.0</v>
      </c>
      <c r="D403" s="228"/>
      <c r="E403" s="973"/>
      <c r="F403" s="184"/>
      <c r="G403" s="964"/>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6">
        <v>400.0</v>
      </c>
      <c r="D404" s="228"/>
      <c r="E404" s="973"/>
      <c r="F404" s="184"/>
      <c r="G404" s="964"/>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6">
        <v>401.0</v>
      </c>
      <c r="D405" s="228"/>
      <c r="E405" s="973"/>
      <c r="F405" s="184"/>
      <c r="G405" s="964"/>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6">
        <v>402.0</v>
      </c>
      <c r="D406" s="228"/>
      <c r="E406" s="973"/>
      <c r="F406" s="184"/>
      <c r="G406" s="964"/>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6">
        <v>403.0</v>
      </c>
      <c r="D407" s="228"/>
      <c r="E407" s="973"/>
      <c r="F407" s="184"/>
      <c r="G407" s="964"/>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6">
        <v>404.0</v>
      </c>
      <c r="D408" s="228"/>
      <c r="E408" s="973"/>
      <c r="F408" s="184"/>
      <c r="G408" s="964"/>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6">
        <v>405.0</v>
      </c>
      <c r="D409" s="228"/>
      <c r="E409" s="973"/>
      <c r="F409" s="184"/>
      <c r="G409" s="964"/>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6">
        <v>406.0</v>
      </c>
      <c r="D410" s="228"/>
      <c r="E410" s="973"/>
      <c r="F410" s="184"/>
      <c r="G410" s="964"/>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6">
        <v>407.0</v>
      </c>
      <c r="D411" s="228"/>
      <c r="E411" s="973"/>
      <c r="F411" s="184"/>
      <c r="G411" s="964"/>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6">
        <v>408.0</v>
      </c>
      <c r="D412" s="228"/>
      <c r="E412" s="973"/>
      <c r="F412" s="184"/>
      <c r="G412" s="964"/>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6">
        <v>409.0</v>
      </c>
      <c r="D413" s="228"/>
      <c r="E413" s="973"/>
      <c r="F413" s="184"/>
      <c r="G413" s="964"/>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6">
        <v>410.0</v>
      </c>
      <c r="D414" s="228"/>
      <c r="E414" s="973"/>
      <c r="F414" s="184"/>
      <c r="G414" s="964"/>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6">
        <v>411.0</v>
      </c>
      <c r="D415" s="228"/>
      <c r="E415" s="973"/>
      <c r="F415" s="184"/>
      <c r="G415" s="964"/>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6">
        <v>412.0</v>
      </c>
      <c r="D416" s="228"/>
      <c r="E416" s="973"/>
      <c r="F416" s="184"/>
      <c r="G416" s="964"/>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6">
        <v>413.0</v>
      </c>
      <c r="D417" s="228"/>
      <c r="E417" s="973"/>
      <c r="F417" s="184"/>
      <c r="G417" s="964"/>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6">
        <v>414.0</v>
      </c>
      <c r="D418" s="228"/>
      <c r="E418" s="973"/>
      <c r="F418" s="184"/>
      <c r="G418" s="964"/>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6">
        <v>415.0</v>
      </c>
      <c r="D419" s="228"/>
      <c r="E419" s="973"/>
      <c r="F419" s="184"/>
      <c r="G419" s="964"/>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6">
        <v>416.0</v>
      </c>
      <c r="D420" s="228"/>
      <c r="E420" s="973"/>
      <c r="F420" s="184"/>
      <c r="G420" s="964"/>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6">
        <v>417.0</v>
      </c>
      <c r="D421" s="228"/>
      <c r="E421" s="973"/>
      <c r="F421" s="184"/>
      <c r="G421" s="964"/>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6">
        <v>418.0</v>
      </c>
      <c r="D422" s="228"/>
      <c r="E422" s="973"/>
      <c r="F422" s="184"/>
      <c r="G422" s="964"/>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6">
        <v>419.0</v>
      </c>
      <c r="D423" s="228"/>
      <c r="E423" s="973"/>
      <c r="F423" s="184"/>
      <c r="G423" s="964"/>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6">
        <v>420.0</v>
      </c>
      <c r="D424" s="228"/>
      <c r="E424" s="973"/>
      <c r="F424" s="184"/>
      <c r="G424" s="964"/>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6">
        <v>421.0</v>
      </c>
      <c r="D425" s="228"/>
      <c r="E425" s="973"/>
      <c r="F425" s="184"/>
      <c r="G425" s="964"/>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6">
        <v>422.0</v>
      </c>
      <c r="D426" s="228"/>
      <c r="E426" s="973"/>
      <c r="F426" s="184"/>
      <c r="G426" s="964"/>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6">
        <v>423.0</v>
      </c>
      <c r="D427" s="228"/>
      <c r="E427" s="973"/>
      <c r="F427" s="184"/>
      <c r="G427" s="964"/>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6">
        <v>424.0</v>
      </c>
      <c r="D428" s="228"/>
      <c r="E428" s="973"/>
      <c r="F428" s="184"/>
      <c r="G428" s="964"/>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6">
        <v>425.0</v>
      </c>
      <c r="D429" s="228"/>
      <c r="E429" s="973"/>
      <c r="F429" s="184"/>
      <c r="G429" s="964"/>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6">
        <v>426.0</v>
      </c>
      <c r="D430" s="228"/>
      <c r="E430" s="973"/>
      <c r="F430" s="184"/>
      <c r="G430" s="964"/>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6">
        <v>427.0</v>
      </c>
      <c r="D431" s="228"/>
      <c r="E431" s="973"/>
      <c r="F431" s="184"/>
      <c r="G431" s="964"/>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6">
        <v>428.0</v>
      </c>
      <c r="D432" s="228"/>
      <c r="E432" s="973"/>
      <c r="F432" s="184"/>
      <c r="G432" s="964"/>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6">
        <v>429.0</v>
      </c>
      <c r="D433" s="228"/>
      <c r="E433" s="973"/>
      <c r="F433" s="184"/>
      <c r="G433" s="964"/>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6">
        <v>430.0</v>
      </c>
      <c r="D434" s="228"/>
      <c r="E434" s="973"/>
      <c r="F434" s="184"/>
      <c r="G434" s="964"/>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6">
        <v>431.0</v>
      </c>
      <c r="D435" s="228"/>
      <c r="E435" s="973"/>
      <c r="F435" s="184"/>
      <c r="G435" s="964"/>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6">
        <v>432.0</v>
      </c>
      <c r="D436" s="228"/>
      <c r="E436" s="973"/>
      <c r="F436" s="184"/>
      <c r="G436" s="964"/>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6">
        <v>433.0</v>
      </c>
      <c r="D437" s="228"/>
      <c r="E437" s="973"/>
      <c r="F437" s="184"/>
      <c r="G437" s="964"/>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6">
        <v>434.0</v>
      </c>
      <c r="D438" s="228"/>
      <c r="E438" s="973"/>
      <c r="F438" s="184"/>
      <c r="G438" s="964"/>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6">
        <v>435.0</v>
      </c>
      <c r="D439" s="228"/>
      <c r="E439" s="973"/>
      <c r="F439" s="184"/>
      <c r="G439" s="964"/>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6">
        <v>436.0</v>
      </c>
      <c r="D440" s="228"/>
      <c r="E440" s="973"/>
      <c r="F440" s="184"/>
      <c r="G440" s="964"/>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6">
        <v>437.0</v>
      </c>
      <c r="D441" s="228"/>
      <c r="E441" s="973"/>
      <c r="F441" s="184"/>
      <c r="G441" s="964"/>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6">
        <v>438.0</v>
      </c>
      <c r="D442" s="228"/>
      <c r="E442" s="973"/>
      <c r="F442" s="184"/>
      <c r="G442" s="964"/>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6"/>
      <c r="D443" s="956"/>
      <c r="E443" s="973"/>
      <c r="F443" s="184"/>
      <c r="G443" s="964"/>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4"/>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4"/>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4"/>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4"/>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4"/>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4"/>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4"/>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5" t="s">
        <v>914</v>
      </c>
      <c r="B1" s="6"/>
      <c r="C1" s="6"/>
      <c r="D1" s="6"/>
      <c r="E1" s="6"/>
      <c r="F1" s="6"/>
      <c r="G1" s="6"/>
      <c r="H1" s="6"/>
      <c r="I1" s="976"/>
      <c r="J1" s="977" t="s">
        <v>915</v>
      </c>
      <c r="K1" s="978">
        <f>A3</f>
        <v>46054</v>
      </c>
      <c r="L1" s="977" t="str">
        <f>"①R"&amp;year(K1)-2018&amp;"_"&amp;month(K1)&amp;"集計"</f>
        <v>①R8_2集計</v>
      </c>
      <c r="M1" s="6"/>
      <c r="N1" s="6"/>
      <c r="O1" s="979">
        <f>S4</f>
        <v>4642325</v>
      </c>
      <c r="P1" s="979">
        <f>S7</f>
        <v>1188734.455</v>
      </c>
      <c r="Q1" s="980">
        <f>S8</f>
        <v>0.2560644624</v>
      </c>
      <c r="R1" s="980">
        <f>S6</f>
        <v>0.5224409202</v>
      </c>
      <c r="S1" s="976"/>
    </row>
    <row r="2">
      <c r="A2" s="981" t="s">
        <v>915</v>
      </c>
      <c r="B2" s="982" t="s">
        <v>51</v>
      </c>
      <c r="C2" s="982" t="s">
        <v>277</v>
      </c>
      <c r="D2" s="983" t="s">
        <v>916</v>
      </c>
      <c r="E2" s="981" t="s">
        <v>278</v>
      </c>
      <c r="F2" s="981" t="s">
        <v>283</v>
      </c>
      <c r="G2" s="981" t="s">
        <v>275</v>
      </c>
      <c r="H2" s="981" t="s">
        <v>917</v>
      </c>
      <c r="I2" s="984"/>
      <c r="J2" s="985" t="s">
        <v>918</v>
      </c>
      <c r="K2" s="986">
        <f>DAY(EOMONTH(K1,0))</f>
        <v>28</v>
      </c>
      <c r="L2" s="987" t="s">
        <v>919</v>
      </c>
      <c r="M2" s="987" t="s">
        <v>277</v>
      </c>
      <c r="N2" s="987" t="s">
        <v>296</v>
      </c>
      <c r="O2" s="987" t="s">
        <v>298</v>
      </c>
      <c r="P2" s="987" t="s">
        <v>298</v>
      </c>
      <c r="Q2" s="987" t="s">
        <v>920</v>
      </c>
      <c r="R2" s="985" t="s">
        <v>921</v>
      </c>
      <c r="S2" s="988">
        <v>1130.0</v>
      </c>
    </row>
    <row r="3">
      <c r="A3" s="989">
        <v>46054.0</v>
      </c>
      <c r="B3" s="982" t="str">
        <f t="shared" ref="B3:B13" si="2">"①R8_"&amp;month(A3)&amp;"集計"</f>
        <v>①R8_2集計</v>
      </c>
      <c r="C3" s="990">
        <f t="shared" ref="C3:C14" si="3">iferror(FLOOR(indirect(B3&amp;"!$G$8"),2.5%),"")</f>
        <v>0.85</v>
      </c>
      <c r="D3" s="990">
        <f t="shared" ref="D3:D14" si="4">iferror(FLOOR(indirect(B3&amp;"!K47"),0.5%),"")*100</f>
        <v>25</v>
      </c>
      <c r="E3" s="991">
        <f t="shared" ref="E3:H3" si="1">xlookup($B3,$L:$L,O:O)</f>
        <v>4642325</v>
      </c>
      <c r="F3" s="991">
        <f t="shared" si="1"/>
        <v>1188734.455</v>
      </c>
      <c r="G3" s="992">
        <f t="shared" si="1"/>
        <v>0.2560644624</v>
      </c>
      <c r="H3" s="992">
        <f t="shared" si="1"/>
        <v>0.5224409202</v>
      </c>
      <c r="I3" s="984"/>
      <c r="J3" s="985" t="s">
        <v>277</v>
      </c>
      <c r="K3" s="993">
        <f t="array" ref="K3">xlookup(L1,$B$3:$B$14,$C$3:$C$14)*100</f>
        <v>85</v>
      </c>
      <c r="L3" s="994">
        <f>SUM(N3:P3)</f>
        <v>175</v>
      </c>
      <c r="M3" s="994">
        <v>100.0</v>
      </c>
      <c r="N3" s="988">
        <v>137.0</v>
      </c>
      <c r="O3" s="988">
        <v>38.0</v>
      </c>
      <c r="P3" s="995"/>
      <c r="Q3" s="994">
        <f>L3*K2</f>
        <v>4900</v>
      </c>
      <c r="R3" s="996" t="s">
        <v>922</v>
      </c>
      <c r="S3" s="997">
        <f>Q17</f>
        <v>1320125</v>
      </c>
    </row>
    <row r="4">
      <c r="A4" s="998">
        <f t="shared" ref="A4:A14" si="6">EDATE(A3,1)
</f>
        <v>46082</v>
      </c>
      <c r="B4" s="982" t="str">
        <f t="shared" si="2"/>
        <v>①R8_3集計</v>
      </c>
      <c r="C4" s="990">
        <f t="shared" si="3"/>
        <v>0.875</v>
      </c>
      <c r="D4" s="990">
        <f t="shared" si="4"/>
        <v>29.5</v>
      </c>
      <c r="E4" s="991">
        <f t="shared" ref="E4:H4" si="5">xlookup($B4,$L:$L,O:O)</f>
        <v>4938757.5</v>
      </c>
      <c r="F4" s="991">
        <f t="shared" si="5"/>
        <v>1339804.566</v>
      </c>
      <c r="G4" s="992">
        <f t="shared" si="5"/>
        <v>0.271283732</v>
      </c>
      <c r="H4" s="992">
        <f t="shared" si="5"/>
        <v>0.5500137944</v>
      </c>
      <c r="I4" s="984"/>
      <c r="J4" s="985" t="s">
        <v>923</v>
      </c>
      <c r="K4" s="988">
        <v>320000.0</v>
      </c>
      <c r="L4" s="994">
        <f>L3*M4%</f>
        <v>105</v>
      </c>
      <c r="M4" s="999">
        <f>K3-K16</f>
        <v>60</v>
      </c>
      <c r="N4" s="994">
        <f>N3*M4%</f>
        <v>82.2</v>
      </c>
      <c r="O4" s="994">
        <f>O3*M4%</f>
        <v>22.8</v>
      </c>
      <c r="P4" s="994">
        <f>P3*M4%</f>
        <v>0</v>
      </c>
      <c r="Q4" s="994">
        <f>L4*K2</f>
        <v>2940</v>
      </c>
      <c r="R4" s="985" t="s">
        <v>278</v>
      </c>
      <c r="S4" s="997">
        <f>S2*Q4+S3</f>
        <v>4642325</v>
      </c>
    </row>
    <row r="5">
      <c r="A5" s="998">
        <f t="shared" si="6"/>
        <v>46113</v>
      </c>
      <c r="B5" s="982" t="str">
        <f t="shared" si="2"/>
        <v>①R8_4集計</v>
      </c>
      <c r="C5" s="990">
        <f t="shared" si="3"/>
        <v>0.85</v>
      </c>
      <c r="D5" s="990">
        <f t="shared" si="4"/>
        <v>44.5</v>
      </c>
      <c r="E5" s="991">
        <f t="shared" ref="E5:H5" si="7">xlookup($B5,$L:$L,O:O)</f>
        <v>4850400</v>
      </c>
      <c r="F5" s="991">
        <f t="shared" si="7"/>
        <v>1398974.202</v>
      </c>
      <c r="G5" s="992">
        <f t="shared" si="7"/>
        <v>0.2884245015</v>
      </c>
      <c r="H5" s="992">
        <f t="shared" si="7"/>
        <v>0.5655050713</v>
      </c>
      <c r="I5" s="984"/>
      <c r="J5" s="985" t="s">
        <v>924</v>
      </c>
      <c r="K5" s="1000">
        <v>535000.0</v>
      </c>
      <c r="L5" s="1001" t="s">
        <v>925</v>
      </c>
      <c r="M5" s="3"/>
      <c r="N5" s="988">
        <v>22.926</v>
      </c>
      <c r="O5" s="988">
        <v>28.78</v>
      </c>
      <c r="P5" s="995"/>
      <c r="Q5" s="1002"/>
      <c r="R5" s="985" t="s">
        <v>926</v>
      </c>
      <c r="S5" s="994">
        <f>N10+SUM(N14:O16)+S17</f>
        <v>2425340.545</v>
      </c>
    </row>
    <row r="6">
      <c r="A6" s="998">
        <f t="shared" si="6"/>
        <v>46143</v>
      </c>
      <c r="B6" s="982" t="str">
        <f t="shared" si="2"/>
        <v>①R8_5集計</v>
      </c>
      <c r="C6" s="990" t="str">
        <f t="shared" si="3"/>
        <v/>
      </c>
      <c r="D6" s="990">
        <f t="shared" si="4"/>
        <v>0</v>
      </c>
      <c r="E6" s="991">
        <f t="shared" ref="E6:H6" si="8">xlookup($B6,$L:$L,O:O)</f>
        <v>-222587.5</v>
      </c>
      <c r="F6" s="991">
        <f t="shared" si="8"/>
        <v>-1294018.594</v>
      </c>
      <c r="G6" s="992">
        <f t="shared" si="8"/>
        <v>5.813527686</v>
      </c>
      <c r="H6" s="992">
        <f t="shared" si="8"/>
        <v>-1.630509772</v>
      </c>
      <c r="I6" s="1003"/>
      <c r="J6" s="1004" t="s">
        <v>927</v>
      </c>
      <c r="K6" s="1005">
        <v>1300.0</v>
      </c>
      <c r="L6" s="1006" t="s">
        <v>928</v>
      </c>
      <c r="M6" s="3"/>
      <c r="N6" s="994">
        <f t="shared" ref="N6:O6" si="9">N4/(360/N5)</f>
        <v>5.23477</v>
      </c>
      <c r="O6" s="994">
        <f t="shared" si="9"/>
        <v>1.822733333</v>
      </c>
      <c r="P6" s="1002"/>
      <c r="Q6" s="994">
        <f t="shared" ref="Q6:Q7" si="11">N6+O6+P6</f>
        <v>7.057503333</v>
      </c>
      <c r="R6" s="985" t="s">
        <v>276</v>
      </c>
      <c r="S6" s="1007">
        <f>S5/S4</f>
        <v>0.5224409202</v>
      </c>
    </row>
    <row r="7">
      <c r="A7" s="998">
        <f t="shared" si="6"/>
        <v>46174</v>
      </c>
      <c r="B7" s="982" t="str">
        <f t="shared" si="2"/>
        <v>①R8_6集計</v>
      </c>
      <c r="C7" s="990" t="str">
        <f t="shared" si="3"/>
        <v/>
      </c>
      <c r="D7" s="990">
        <f t="shared" si="4"/>
        <v>0</v>
      </c>
      <c r="E7" s="991">
        <f t="shared" ref="E7:H7" si="10">xlookup($B7,$L:$L,O:O)</f>
        <v>-192225</v>
      </c>
      <c r="F7" s="991">
        <f t="shared" si="10"/>
        <v>-1250098.543</v>
      </c>
      <c r="G7" s="992">
        <f t="shared" si="10"/>
        <v>6.503308844</v>
      </c>
      <c r="H7" s="992">
        <f t="shared" si="10"/>
        <v>-1.817523956</v>
      </c>
      <c r="I7" s="1008"/>
      <c r="J7" s="1009" t="s">
        <v>929</v>
      </c>
      <c r="K7" s="1005">
        <v>6.5</v>
      </c>
      <c r="L7" s="1010" t="s">
        <v>930</v>
      </c>
      <c r="M7" s="988">
        <v>1230.0</v>
      </c>
      <c r="N7" s="994">
        <f>N6*(M7*6)</f>
        <v>38632.6026</v>
      </c>
      <c r="O7" s="994">
        <f>O6*(M7*6)</f>
        <v>13451.772</v>
      </c>
      <c r="P7" s="1002"/>
      <c r="Q7" s="994">
        <f t="shared" si="11"/>
        <v>52084.3746</v>
      </c>
      <c r="R7" s="985" t="s">
        <v>931</v>
      </c>
      <c r="S7" s="997">
        <f>S4-S5-N17</f>
        <v>1188734.455</v>
      </c>
    </row>
    <row r="8">
      <c r="A8" s="998">
        <f t="shared" si="6"/>
        <v>46204</v>
      </c>
      <c r="B8" s="982" t="str">
        <f t="shared" si="2"/>
        <v>①R8_7集計</v>
      </c>
      <c r="C8" s="990" t="str">
        <f t="shared" si="3"/>
        <v/>
      </c>
      <c r="D8" s="990">
        <f t="shared" si="4"/>
        <v>0</v>
      </c>
      <c r="E8" s="991">
        <f t="shared" ref="E8:H8" si="12">xlookup($B8,$L:$L,O:O)</f>
        <v>-222587.5</v>
      </c>
      <c r="F8" s="991">
        <f t="shared" si="12"/>
        <v>-1294018.594</v>
      </c>
      <c r="G8" s="992">
        <f t="shared" si="12"/>
        <v>5.813527686</v>
      </c>
      <c r="H8" s="992">
        <f t="shared" si="12"/>
        <v>-1.630509772</v>
      </c>
      <c r="I8" s="984"/>
      <c r="J8" s="1011" t="s">
        <v>932</v>
      </c>
      <c r="K8" s="995"/>
      <c r="L8" s="1012"/>
      <c r="M8" s="1002"/>
      <c r="N8" s="1002"/>
      <c r="O8" s="1002"/>
      <c r="P8" s="1002"/>
      <c r="Q8" s="1002"/>
      <c r="R8" s="985" t="s">
        <v>275</v>
      </c>
      <c r="S8" s="1007">
        <f>S7/S4</f>
        <v>0.2560644624</v>
      </c>
    </row>
    <row r="9">
      <c r="A9" s="998">
        <f t="shared" si="6"/>
        <v>46235</v>
      </c>
      <c r="B9" s="982" t="str">
        <f t="shared" si="2"/>
        <v>①R8_8集計</v>
      </c>
      <c r="C9" s="990" t="str">
        <f t="shared" si="3"/>
        <v/>
      </c>
      <c r="D9" s="990">
        <f t="shared" si="4"/>
        <v>0</v>
      </c>
      <c r="E9" s="991">
        <f t="shared" ref="E9:H9" si="13">xlookup($B9,$L:$L,O:O)</f>
        <v>-222587.5</v>
      </c>
      <c r="F9" s="991">
        <f t="shared" si="13"/>
        <v>-1294018.594</v>
      </c>
      <c r="G9" s="992">
        <f t="shared" si="13"/>
        <v>5.813527686</v>
      </c>
      <c r="H9" s="992">
        <f t="shared" si="13"/>
        <v>-1.630509772</v>
      </c>
      <c r="I9" s="1003"/>
      <c r="J9" s="1004" t="s">
        <v>933</v>
      </c>
      <c r="K9" s="1005">
        <v>1230.0</v>
      </c>
      <c r="L9" s="1006" t="s">
        <v>934</v>
      </c>
      <c r="M9" s="3"/>
      <c r="N9" s="994">
        <f>Q7+(Q6*K15)</f>
        <v>56318.8766</v>
      </c>
      <c r="O9" s="1002"/>
      <c r="P9" s="1013" t="s">
        <v>935</v>
      </c>
      <c r="Q9" s="232"/>
      <c r="R9" s="232"/>
      <c r="S9" s="3"/>
    </row>
    <row r="10">
      <c r="A10" s="998">
        <f t="shared" si="6"/>
        <v>46266</v>
      </c>
      <c r="B10" s="982" t="str">
        <f t="shared" si="2"/>
        <v>①R8_9集計</v>
      </c>
      <c r="C10" s="990" t="str">
        <f t="shared" si="3"/>
        <v/>
      </c>
      <c r="D10" s="990">
        <f t="shared" si="4"/>
        <v>0</v>
      </c>
      <c r="E10" s="991">
        <f t="shared" ref="E10:H10" si="14">xlookup($B10,$L:$L,O:O)</f>
        <v>-192225</v>
      </c>
      <c r="F10" s="991">
        <f t="shared" si="14"/>
        <v>-1250098.543</v>
      </c>
      <c r="G10" s="992">
        <f t="shared" si="14"/>
        <v>6.503308844</v>
      </c>
      <c r="H10" s="992">
        <f t="shared" si="14"/>
        <v>-1.817523956</v>
      </c>
      <c r="I10" s="1014"/>
      <c r="J10" s="1015" t="s">
        <v>936</v>
      </c>
      <c r="K10" s="1005">
        <v>3.0</v>
      </c>
      <c r="L10" s="1006" t="s">
        <v>937</v>
      </c>
      <c r="M10" s="3"/>
      <c r="N10" s="994">
        <f>N9*K2+L3*K21*K2*110+(L3*K2*K16%)*100</f>
        <v>1729073.545</v>
      </c>
      <c r="O10" s="1016"/>
      <c r="P10" s="1017" t="s">
        <v>938</v>
      </c>
      <c r="Q10" s="1018">
        <v>567400.0</v>
      </c>
      <c r="R10" s="985" t="s">
        <v>939</v>
      </c>
      <c r="S10" s="999">
        <v>100000.0</v>
      </c>
    </row>
    <row r="11">
      <c r="A11" s="998">
        <f t="shared" si="6"/>
        <v>46296</v>
      </c>
      <c r="B11" s="982" t="str">
        <f t="shared" si="2"/>
        <v>①R8_10集計</v>
      </c>
      <c r="C11" s="990" t="str">
        <f t="shared" si="3"/>
        <v/>
      </c>
      <c r="D11" s="990">
        <f t="shared" si="4"/>
        <v>0</v>
      </c>
      <c r="E11" s="991">
        <f t="shared" ref="E11:H11" si="15">xlookup($B11,$L:$L,O:O)</f>
        <v>-222587.5</v>
      </c>
      <c r="F11" s="991">
        <f t="shared" si="15"/>
        <v>-1294018.594</v>
      </c>
      <c r="G11" s="992">
        <f t="shared" si="15"/>
        <v>5.813527686</v>
      </c>
      <c r="H11" s="992">
        <f t="shared" si="15"/>
        <v>-1.630509772</v>
      </c>
      <c r="I11" s="1014"/>
      <c r="J11" s="1015" t="s">
        <v>940</v>
      </c>
      <c r="K11" s="1005">
        <f>K2</f>
        <v>28</v>
      </c>
      <c r="L11" s="1006" t="s">
        <v>941</v>
      </c>
      <c r="M11" s="3"/>
      <c r="N11" s="985" t="s">
        <v>374</v>
      </c>
      <c r="O11" s="1011" t="s">
        <v>348</v>
      </c>
      <c r="P11" s="1019" t="s">
        <v>942</v>
      </c>
      <c r="Q11" s="1020">
        <f>L3*K16%*K2*300</f>
        <v>367500</v>
      </c>
      <c r="R11" s="996" t="s">
        <v>943</v>
      </c>
      <c r="S11" s="994">
        <v>26250.0</v>
      </c>
    </row>
    <row r="12">
      <c r="A12" s="998">
        <f t="shared" si="6"/>
        <v>46327</v>
      </c>
      <c r="B12" s="982" t="str">
        <f t="shared" si="2"/>
        <v>①R8_11集計</v>
      </c>
      <c r="C12" s="990" t="str">
        <f t="shared" si="3"/>
        <v/>
      </c>
      <c r="D12" s="990">
        <f t="shared" si="4"/>
        <v>0</v>
      </c>
      <c r="E12" s="991">
        <f t="shared" ref="E12:H12" si="16">xlookup($B12,$L:$L,O:O)</f>
        <v>-120037.5</v>
      </c>
      <c r="F12" s="991">
        <f t="shared" si="16"/>
        <v>-1173411.043</v>
      </c>
      <c r="G12" s="992">
        <f t="shared" si="16"/>
        <v>9.775370551</v>
      </c>
      <c r="H12" s="992">
        <f t="shared" si="16"/>
        <v>-2.87304836</v>
      </c>
      <c r="I12" s="1003"/>
      <c r="J12" s="1004" t="s">
        <v>944</v>
      </c>
      <c r="K12" s="1005">
        <v>1230.0</v>
      </c>
      <c r="L12" s="1006" t="s">
        <v>945</v>
      </c>
      <c r="M12" s="3"/>
      <c r="N12" s="999">
        <f t="shared" ref="N12:N13" si="18">K4*1.15</f>
        <v>368000</v>
      </c>
      <c r="O12" s="1021">
        <v>15000.0</v>
      </c>
      <c r="P12" s="1022" t="s">
        <v>946</v>
      </c>
      <c r="Q12" s="1020">
        <f>L3*K17*K2*100</f>
        <v>22050</v>
      </c>
      <c r="R12" s="1023" t="s">
        <v>947</v>
      </c>
      <c r="S12" s="994">
        <v>25000.0</v>
      </c>
    </row>
    <row r="13">
      <c r="A13" s="998">
        <f t="shared" si="6"/>
        <v>46357</v>
      </c>
      <c r="B13" s="982" t="str">
        <f t="shared" si="2"/>
        <v>①R8_12集計</v>
      </c>
      <c r="C13" s="990" t="str">
        <f t="shared" si="3"/>
        <v/>
      </c>
      <c r="D13" s="990">
        <f t="shared" si="4"/>
        <v>0</v>
      </c>
      <c r="E13" s="991">
        <f t="shared" ref="E13:H13" si="17">xlookup($B13,$L:$L,O:O)</f>
        <v>-147993.75</v>
      </c>
      <c r="F13" s="991">
        <f t="shared" si="17"/>
        <v>-1214774.844</v>
      </c>
      <c r="G13" s="992">
        <f t="shared" si="17"/>
        <v>8.208284768</v>
      </c>
      <c r="H13" s="992">
        <f t="shared" si="17"/>
        <v>-2.420920437</v>
      </c>
      <c r="I13" s="1003"/>
      <c r="J13" s="1004" t="s">
        <v>948</v>
      </c>
      <c r="K13" s="1005">
        <v>5.0</v>
      </c>
      <c r="L13" s="1006" t="s">
        <v>949</v>
      </c>
      <c r="M13" s="3"/>
      <c r="N13" s="999">
        <f t="shared" si="18"/>
        <v>615250</v>
      </c>
      <c r="O13" s="1024">
        <v>30000.0</v>
      </c>
      <c r="P13" s="1019" t="s">
        <v>950</v>
      </c>
      <c r="Q13" s="1025">
        <f>L3*K18*K2*100</f>
        <v>90650</v>
      </c>
      <c r="R13" s="1026" t="s">
        <v>951</v>
      </c>
      <c r="S13" s="3"/>
    </row>
    <row r="14">
      <c r="A14" s="998">
        <f t="shared" si="6"/>
        <v>46388</v>
      </c>
      <c r="B14" s="982" t="str">
        <f>"①R9_"&amp;month(A14)&amp;"集計"</f>
        <v>①R9_1集計</v>
      </c>
      <c r="C14" s="990" t="str">
        <f t="shared" si="3"/>
        <v/>
      </c>
      <c r="D14" s="990">
        <f t="shared" si="4"/>
        <v>0</v>
      </c>
      <c r="E14" s="991">
        <f t="shared" ref="E14:H14" si="19">xlookup($B14,$L:$L,O:O)</f>
        <v>-147993.75</v>
      </c>
      <c r="F14" s="991">
        <f t="shared" si="19"/>
        <v>-1214774.844</v>
      </c>
      <c r="G14" s="992">
        <f t="shared" si="19"/>
        <v>8.208284768</v>
      </c>
      <c r="H14" s="992">
        <f t="shared" si="19"/>
        <v>-2.420920437</v>
      </c>
      <c r="I14" s="1003"/>
      <c r="J14" s="1004" t="s">
        <v>952</v>
      </c>
      <c r="K14" s="1005">
        <v>35.0</v>
      </c>
      <c r="L14" s="1027" t="s">
        <v>953</v>
      </c>
      <c r="M14" s="3"/>
      <c r="N14" s="999">
        <f>(K2*2.5-43.4)*K6*K7</f>
        <v>224770</v>
      </c>
      <c r="O14" s="999">
        <f>(K2*2.5-43.4)*K15</f>
        <v>15960</v>
      </c>
      <c r="P14" s="1019" t="s">
        <v>954</v>
      </c>
      <c r="Q14" s="1020">
        <f>L3*K19*K2*100</f>
        <v>31850</v>
      </c>
      <c r="R14" s="985" t="s">
        <v>939</v>
      </c>
      <c r="S14" s="994">
        <v>60000.0</v>
      </c>
    </row>
    <row r="15">
      <c r="A15" s="1003"/>
      <c r="B15" s="1003"/>
      <c r="C15" s="1003"/>
      <c r="D15" s="1003"/>
      <c r="E15" s="1003"/>
      <c r="F15" s="1003"/>
      <c r="G15" s="1003"/>
      <c r="H15" s="1003"/>
      <c r="I15" s="1003"/>
      <c r="J15" s="1023" t="s">
        <v>955</v>
      </c>
      <c r="K15" s="1028">
        <v>600.0</v>
      </c>
      <c r="L15" s="1001" t="s">
        <v>956</v>
      </c>
      <c r="M15" s="3"/>
      <c r="N15" s="999">
        <f>K9*K10*K11</f>
        <v>103320</v>
      </c>
      <c r="O15" s="999">
        <f>K11*K15</f>
        <v>16800</v>
      </c>
      <c r="P15" s="1022" t="s">
        <v>133</v>
      </c>
      <c r="Q15" s="1020">
        <f>L3*K20*K2*100</f>
        <v>22050</v>
      </c>
      <c r="R15" s="996" t="s">
        <v>943</v>
      </c>
      <c r="S15" s="994">
        <v>20000.0</v>
      </c>
    </row>
    <row r="16">
      <c r="A16" s="1003"/>
      <c r="B16" s="1003"/>
      <c r="C16" s="1003"/>
      <c r="D16" s="1003"/>
      <c r="E16" s="1003"/>
      <c r="F16" s="1003"/>
      <c r="G16" s="1003"/>
      <c r="H16" s="1003"/>
      <c r="I16" s="1003"/>
      <c r="J16" s="1029" t="s">
        <v>957</v>
      </c>
      <c r="K16" s="1030">
        <f>D3</f>
        <v>25</v>
      </c>
      <c r="L16" s="1001" t="s">
        <v>958</v>
      </c>
      <c r="M16" s="3"/>
      <c r="N16" s="999">
        <f>K12*K13*K14</f>
        <v>215250</v>
      </c>
      <c r="O16" s="999">
        <f>K14*K15</f>
        <v>21000</v>
      </c>
      <c r="P16" s="1019" t="s">
        <v>959</v>
      </c>
      <c r="Q16" s="1020">
        <f>L3*K21*K2*250</f>
        <v>67375</v>
      </c>
      <c r="R16" s="1023" t="s">
        <v>947</v>
      </c>
      <c r="S16" s="994">
        <v>19167.0</v>
      </c>
    </row>
    <row r="17">
      <c r="A17" s="984"/>
      <c r="B17" s="984"/>
      <c r="C17" s="984"/>
      <c r="D17" s="984"/>
      <c r="E17" s="984"/>
      <c r="F17" s="984"/>
      <c r="G17" s="984"/>
      <c r="H17" s="984"/>
      <c r="I17" s="984"/>
      <c r="J17" s="985" t="s">
        <v>946</v>
      </c>
      <c r="K17" s="1007">
        <v>0.045</v>
      </c>
      <c r="L17" s="1001" t="s">
        <v>960</v>
      </c>
      <c r="M17" s="3"/>
      <c r="N17" s="999">
        <f>SUM(N12:O13)</f>
        <v>1028250</v>
      </c>
      <c r="O17" s="1031"/>
      <c r="P17" s="985" t="s">
        <v>344</v>
      </c>
      <c r="Q17" s="997">
        <f>SUM(Q10:Q16)+SUM(S10:S12)</f>
        <v>1320125</v>
      </c>
      <c r="R17" s="985" t="s">
        <v>344</v>
      </c>
      <c r="S17" s="994">
        <f>S14+S15+S16</f>
        <v>99167</v>
      </c>
    </row>
    <row r="18">
      <c r="A18" s="1003"/>
      <c r="B18" s="1003"/>
      <c r="C18" s="1003"/>
      <c r="D18" s="1003"/>
      <c r="E18" s="1003"/>
      <c r="F18" s="1003"/>
      <c r="G18" s="1003"/>
      <c r="H18" s="1003"/>
      <c r="I18" s="1003"/>
      <c r="J18" s="1023" t="s">
        <v>961</v>
      </c>
      <c r="K18" s="1007">
        <v>0.185</v>
      </c>
      <c r="L18" s="976"/>
      <c r="M18" s="976"/>
      <c r="N18" s="976"/>
      <c r="O18" s="976"/>
      <c r="P18" s="976"/>
      <c r="Q18" s="976"/>
      <c r="R18" s="976"/>
      <c r="S18" s="976"/>
    </row>
    <row r="19">
      <c r="A19" s="1003"/>
      <c r="B19" s="1003"/>
      <c r="C19" s="1003"/>
      <c r="D19" s="1003"/>
      <c r="E19" s="1003"/>
      <c r="F19" s="1003"/>
      <c r="G19" s="1003"/>
      <c r="H19" s="1003"/>
      <c r="I19" s="1003"/>
      <c r="J19" s="1023" t="s">
        <v>962</v>
      </c>
      <c r="K19" s="1007">
        <v>0.065</v>
      </c>
      <c r="L19" s="976"/>
      <c r="M19" s="976"/>
      <c r="N19" s="976"/>
      <c r="O19" s="976"/>
      <c r="P19" s="976"/>
      <c r="Q19" s="976"/>
      <c r="R19" s="976"/>
      <c r="S19" s="976"/>
    </row>
    <row r="20">
      <c r="A20" s="1003"/>
      <c r="B20" s="1003"/>
      <c r="C20" s="1003"/>
      <c r="D20" s="1003"/>
      <c r="E20" s="1003"/>
      <c r="F20" s="1003"/>
      <c r="G20" s="1003"/>
      <c r="H20" s="1003"/>
      <c r="I20" s="1003"/>
      <c r="J20" s="1023" t="s">
        <v>133</v>
      </c>
      <c r="K20" s="1007">
        <v>0.045</v>
      </c>
      <c r="L20" s="976"/>
      <c r="M20" s="976"/>
      <c r="N20" s="976"/>
      <c r="O20" s="976"/>
      <c r="P20" s="976"/>
      <c r="Q20" s="976"/>
      <c r="R20" s="976"/>
      <c r="S20" s="976"/>
    </row>
    <row r="21">
      <c r="A21" s="1003"/>
      <c r="B21" s="1003"/>
      <c r="C21" s="1003"/>
      <c r="D21" s="1003"/>
      <c r="E21" s="1003"/>
      <c r="F21" s="1003"/>
      <c r="G21" s="1003"/>
      <c r="H21" s="1003"/>
      <c r="I21" s="1003"/>
      <c r="J21" s="1023" t="s">
        <v>959</v>
      </c>
      <c r="K21" s="1007">
        <v>0.055</v>
      </c>
      <c r="L21" s="976"/>
      <c r="M21" s="976"/>
      <c r="N21" s="976"/>
      <c r="O21" s="976"/>
      <c r="P21" s="976"/>
      <c r="Q21" s="976"/>
      <c r="R21" s="976"/>
      <c r="S21" s="976"/>
    </row>
    <row r="23">
      <c r="J23" s="977" t="s">
        <v>915</v>
      </c>
      <c r="K23" s="978">
        <f>A4</f>
        <v>46082</v>
      </c>
      <c r="L23" s="977" t="str">
        <f>"①R"&amp;year(K23)-2018&amp;"_"&amp;month(K23)&amp;"集計"</f>
        <v>①R8_3集計</v>
      </c>
      <c r="M23" s="6"/>
      <c r="N23" s="6"/>
      <c r="O23" s="979">
        <f>S26</f>
        <v>4938757.5</v>
      </c>
      <c r="P23" s="979">
        <f>S29</f>
        <v>1339804.566</v>
      </c>
      <c r="Q23" s="980">
        <f>S30</f>
        <v>0.271283732</v>
      </c>
      <c r="R23" s="980">
        <f>S28</f>
        <v>0.5500137944</v>
      </c>
      <c r="S23" s="976"/>
    </row>
    <row r="24">
      <c r="J24" s="985" t="s">
        <v>918</v>
      </c>
      <c r="K24" s="986">
        <f>DAY(EOMONTH(K23,0))</f>
        <v>31</v>
      </c>
      <c r="L24" s="987" t="s">
        <v>919</v>
      </c>
      <c r="M24" s="987" t="s">
        <v>277</v>
      </c>
      <c r="N24" s="987" t="s">
        <v>296</v>
      </c>
      <c r="O24" s="987" t="s">
        <v>298</v>
      </c>
      <c r="P24" s="987" t="s">
        <v>298</v>
      </c>
      <c r="Q24" s="987" t="s">
        <v>920</v>
      </c>
      <c r="R24" s="985" t="s">
        <v>921</v>
      </c>
      <c r="S24" s="988">
        <v>1130.0</v>
      </c>
    </row>
    <row r="25">
      <c r="J25" s="985" t="s">
        <v>277</v>
      </c>
      <c r="K25" s="993">
        <f t="array" ref="K25">xlookup(L23,$B$3:$B$14,$C$3:$C$14)*100</f>
        <v>87.5</v>
      </c>
      <c r="L25" s="994">
        <f>SUM(N25:P25)</f>
        <v>175</v>
      </c>
      <c r="M25" s="994">
        <v>100.0</v>
      </c>
      <c r="N25" s="988">
        <v>137.0</v>
      </c>
      <c r="O25" s="988">
        <v>38.0</v>
      </c>
      <c r="P25" s="995"/>
      <c r="Q25" s="994">
        <f>L25*K24</f>
        <v>5425</v>
      </c>
      <c r="R25" s="996" t="s">
        <v>922</v>
      </c>
      <c r="S25" s="997">
        <f>Q39</f>
        <v>1383212.5</v>
      </c>
    </row>
    <row r="26">
      <c r="J26" s="985" t="s">
        <v>923</v>
      </c>
      <c r="K26" s="988">
        <v>320000.0</v>
      </c>
      <c r="L26" s="994">
        <f>L25*M26%</f>
        <v>101.5</v>
      </c>
      <c r="M26" s="999">
        <f>K25-K38</f>
        <v>58</v>
      </c>
      <c r="N26" s="994">
        <f>N25*M26%</f>
        <v>79.46</v>
      </c>
      <c r="O26" s="994">
        <f>O25*M26%</f>
        <v>22.04</v>
      </c>
      <c r="P26" s="994">
        <f>P25*M26%</f>
        <v>0</v>
      </c>
      <c r="Q26" s="994">
        <f>L26*K24</f>
        <v>3146.5</v>
      </c>
      <c r="R26" s="985" t="s">
        <v>278</v>
      </c>
      <c r="S26" s="997">
        <f>S24*Q26+S25</f>
        <v>4938757.5</v>
      </c>
    </row>
    <row r="27">
      <c r="J27" s="985" t="s">
        <v>924</v>
      </c>
      <c r="K27" s="1000">
        <f>270000+(370000/22*9)</f>
        <v>421363.6364</v>
      </c>
      <c r="L27" s="1001" t="s">
        <v>925</v>
      </c>
      <c r="M27" s="3"/>
      <c r="N27" s="988">
        <v>22.926</v>
      </c>
      <c r="O27" s="988">
        <v>28.78</v>
      </c>
      <c r="P27" s="995"/>
      <c r="Q27" s="1002"/>
      <c r="R27" s="985" t="s">
        <v>926</v>
      </c>
      <c r="S27" s="994">
        <f>N32+SUM(N36:O38)+S39</f>
        <v>2716384.752</v>
      </c>
    </row>
    <row r="28">
      <c r="J28" s="1004" t="s">
        <v>927</v>
      </c>
      <c r="K28" s="1005">
        <v>1300.0</v>
      </c>
      <c r="L28" s="1006" t="s">
        <v>928</v>
      </c>
      <c r="M28" s="3"/>
      <c r="N28" s="994">
        <f t="shared" ref="N28:O28" si="20">N26/(360/N27)</f>
        <v>5.060277667</v>
      </c>
      <c r="O28" s="994">
        <f t="shared" si="20"/>
        <v>1.761975556</v>
      </c>
      <c r="P28" s="1002"/>
      <c r="Q28" s="994">
        <f t="shared" ref="Q28:Q29" si="21">N28+O28+P28</f>
        <v>6.822253222</v>
      </c>
      <c r="R28" s="985" t="s">
        <v>276</v>
      </c>
      <c r="S28" s="1007">
        <f>S27/S26</f>
        <v>0.5500137944</v>
      </c>
    </row>
    <row r="29">
      <c r="J29" s="1009" t="s">
        <v>929</v>
      </c>
      <c r="K29" s="1005">
        <v>6.5</v>
      </c>
      <c r="L29" s="1010" t="s">
        <v>930</v>
      </c>
      <c r="M29" s="988">
        <v>1230.0</v>
      </c>
      <c r="N29" s="994">
        <f>N28*(M29*6)</f>
        <v>37344.84918</v>
      </c>
      <c r="O29" s="994">
        <f>O28*(M29*6)</f>
        <v>13003.3796</v>
      </c>
      <c r="P29" s="1002"/>
      <c r="Q29" s="994">
        <f t="shared" si="21"/>
        <v>50348.22878</v>
      </c>
      <c r="R29" s="985" t="s">
        <v>931</v>
      </c>
      <c r="S29" s="997">
        <f>S26-S27-N39</f>
        <v>1339804.566</v>
      </c>
    </row>
    <row r="30">
      <c r="J30" s="1011" t="s">
        <v>932</v>
      </c>
      <c r="K30" s="995"/>
      <c r="L30" s="1012"/>
      <c r="M30" s="1002"/>
      <c r="N30" s="1002"/>
      <c r="O30" s="1002"/>
      <c r="P30" s="1002"/>
      <c r="Q30" s="1002"/>
      <c r="R30" s="985" t="s">
        <v>275</v>
      </c>
      <c r="S30" s="1007">
        <f>S29/S26</f>
        <v>0.271283732</v>
      </c>
    </row>
    <row r="31">
      <c r="J31" s="1004" t="s">
        <v>933</v>
      </c>
      <c r="K31" s="1005">
        <v>1230.0</v>
      </c>
      <c r="L31" s="1006" t="s">
        <v>934</v>
      </c>
      <c r="M31" s="3"/>
      <c r="N31" s="994">
        <f>Q29+(Q28*K37)</f>
        <v>54441.58071</v>
      </c>
      <c r="O31" s="1002"/>
      <c r="P31" s="1013" t="s">
        <v>935</v>
      </c>
      <c r="Q31" s="232"/>
      <c r="R31" s="232"/>
      <c r="S31" s="3"/>
    </row>
    <row r="32">
      <c r="J32" s="1015" t="s">
        <v>936</v>
      </c>
      <c r="K32" s="1005">
        <v>3.0</v>
      </c>
      <c r="L32" s="1006" t="s">
        <v>937</v>
      </c>
      <c r="M32" s="3"/>
      <c r="N32" s="994">
        <f>N31*K24+L25*K43*K24*110+(L25*K24*K38%)*100</f>
        <v>1880547.752</v>
      </c>
      <c r="O32" s="1016"/>
      <c r="P32" s="1017" t="s">
        <v>938</v>
      </c>
      <c r="Q32" s="1018">
        <v>567400.0</v>
      </c>
      <c r="R32" s="985" t="s">
        <v>939</v>
      </c>
      <c r="S32" s="999">
        <v>100000.0</v>
      </c>
    </row>
    <row r="33">
      <c r="J33" s="1015" t="s">
        <v>940</v>
      </c>
      <c r="K33" s="1005">
        <f>K24</f>
        <v>31</v>
      </c>
      <c r="L33" s="1006" t="s">
        <v>941</v>
      </c>
      <c r="M33" s="3"/>
      <c r="N33" s="985" t="s">
        <v>374</v>
      </c>
      <c r="O33" s="1011" t="s">
        <v>348</v>
      </c>
      <c r="P33" s="1019" t="s">
        <v>942</v>
      </c>
      <c r="Q33" s="1020">
        <f>L25*K38%*K24*300</f>
        <v>480112.5</v>
      </c>
      <c r="R33" s="996" t="s">
        <v>943</v>
      </c>
      <c r="S33" s="994">
        <v>26250.0</v>
      </c>
    </row>
    <row r="34">
      <c r="J34" s="1004" t="s">
        <v>944</v>
      </c>
      <c r="K34" s="1005">
        <v>1230.0</v>
      </c>
      <c r="L34" s="1006" t="s">
        <v>945</v>
      </c>
      <c r="M34" s="3"/>
      <c r="N34" s="999">
        <f t="shared" ref="N34:N35" si="22">K26*1.15</f>
        <v>368000</v>
      </c>
      <c r="O34" s="1021">
        <v>15000.0</v>
      </c>
      <c r="P34" s="1022" t="s">
        <v>946</v>
      </c>
      <c r="Q34" s="1020">
        <f>L25*K39*K24*100</f>
        <v>24412.5</v>
      </c>
      <c r="R34" s="1023" t="s">
        <v>947</v>
      </c>
      <c r="S34" s="994">
        <v>25000.0</v>
      </c>
    </row>
    <row r="35">
      <c r="J35" s="1004" t="s">
        <v>948</v>
      </c>
      <c r="K35" s="1005">
        <v>5.0</v>
      </c>
      <c r="L35" s="1006" t="s">
        <v>949</v>
      </c>
      <c r="M35" s="3"/>
      <c r="N35" s="999">
        <f t="shared" si="22"/>
        <v>484568.1818</v>
      </c>
      <c r="O35" s="999">
        <v>15000.0</v>
      </c>
      <c r="P35" s="1019" t="s">
        <v>950</v>
      </c>
      <c r="Q35" s="1025">
        <f>L25*K40*K24*100</f>
        <v>100362.5</v>
      </c>
      <c r="R35" s="1026" t="s">
        <v>951</v>
      </c>
      <c r="S35" s="3"/>
    </row>
    <row r="36">
      <c r="J36" s="1004" t="s">
        <v>952</v>
      </c>
      <c r="K36" s="1005">
        <v>35.0</v>
      </c>
      <c r="L36" s="1027" t="s">
        <v>953</v>
      </c>
      <c r="M36" s="3"/>
      <c r="N36" s="999">
        <f>(K24*3-52.4)*K28*K29</f>
        <v>343070</v>
      </c>
      <c r="O36" s="999">
        <f>(K24*3-52.4)*K37</f>
        <v>24360</v>
      </c>
      <c r="P36" s="1019" t="s">
        <v>954</v>
      </c>
      <c r="Q36" s="1020">
        <f>L25*K41*K24*100</f>
        <v>35262.5</v>
      </c>
      <c r="R36" s="985" t="s">
        <v>939</v>
      </c>
      <c r="S36" s="994">
        <v>60000.0</v>
      </c>
    </row>
    <row r="37">
      <c r="J37" s="1023" t="s">
        <v>955</v>
      </c>
      <c r="K37" s="1028">
        <v>600.0</v>
      </c>
      <c r="L37" s="1001" t="s">
        <v>956</v>
      </c>
      <c r="M37" s="3"/>
      <c r="N37" s="999">
        <f>K31*K32*K33</f>
        <v>114390</v>
      </c>
      <c r="O37" s="999">
        <f>K33*K37</f>
        <v>18600</v>
      </c>
      <c r="P37" s="1022" t="s">
        <v>133</v>
      </c>
      <c r="Q37" s="1020">
        <f>L25*K42*K24*100</f>
        <v>24412.5</v>
      </c>
      <c r="R37" s="996" t="s">
        <v>943</v>
      </c>
      <c r="S37" s="994">
        <v>20000.0</v>
      </c>
    </row>
    <row r="38">
      <c r="J38" s="1029" t="s">
        <v>957</v>
      </c>
      <c r="K38" s="1030">
        <f>D4</f>
        <v>29.5</v>
      </c>
      <c r="L38" s="1032" t="s">
        <v>963</v>
      </c>
      <c r="M38" s="3"/>
      <c r="N38" s="999">
        <f>K34*K35*K36</f>
        <v>215250</v>
      </c>
      <c r="O38" s="999">
        <f>K36*K37</f>
        <v>21000</v>
      </c>
      <c r="P38" s="1019" t="s">
        <v>959</v>
      </c>
      <c r="Q38" s="1020">
        <f>L25*K43*K24*250</f>
        <v>74593.75</v>
      </c>
      <c r="R38" s="1023" t="s">
        <v>947</v>
      </c>
      <c r="S38" s="994">
        <v>19167.0</v>
      </c>
    </row>
    <row r="39">
      <c r="J39" s="985" t="s">
        <v>946</v>
      </c>
      <c r="K39" s="1007">
        <v>0.045</v>
      </c>
      <c r="L39" s="1001" t="s">
        <v>960</v>
      </c>
      <c r="M39" s="3"/>
      <c r="N39" s="999">
        <f>SUM(N34:O35)</f>
        <v>882568.1818</v>
      </c>
      <c r="O39" s="1031"/>
      <c r="P39" s="985" t="s">
        <v>344</v>
      </c>
      <c r="Q39" s="997">
        <f>SUM(Q32:Q37)+SUM(S32:S34)</f>
        <v>1383212.5</v>
      </c>
      <c r="R39" s="985" t="s">
        <v>344</v>
      </c>
      <c r="S39" s="994">
        <f>S36+S37+S38</f>
        <v>99167</v>
      </c>
    </row>
    <row r="40">
      <c r="J40" s="1023" t="s">
        <v>961</v>
      </c>
      <c r="K40" s="1007">
        <v>0.185</v>
      </c>
      <c r="L40" s="976"/>
      <c r="M40" s="976"/>
      <c r="N40" s="976"/>
      <c r="O40" s="976"/>
      <c r="P40" s="976"/>
      <c r="Q40" s="976"/>
      <c r="R40" s="976"/>
      <c r="S40" s="976"/>
    </row>
    <row r="41">
      <c r="J41" s="1023" t="s">
        <v>962</v>
      </c>
      <c r="K41" s="1007">
        <v>0.065</v>
      </c>
      <c r="L41" s="976"/>
      <c r="M41" s="976"/>
      <c r="N41" s="976"/>
      <c r="O41" s="976"/>
      <c r="P41" s="976"/>
      <c r="Q41" s="976"/>
      <c r="R41" s="976"/>
      <c r="S41" s="976"/>
    </row>
    <row r="42">
      <c r="J42" s="1023" t="s">
        <v>133</v>
      </c>
      <c r="K42" s="1007">
        <v>0.045</v>
      </c>
      <c r="L42" s="976"/>
      <c r="M42" s="976"/>
      <c r="N42" s="976"/>
      <c r="O42" s="976"/>
      <c r="P42" s="976"/>
      <c r="Q42" s="976"/>
      <c r="R42" s="976"/>
      <c r="S42" s="976"/>
    </row>
    <row r="43">
      <c r="J43" s="1023" t="s">
        <v>959</v>
      </c>
      <c r="K43" s="1007">
        <v>0.055</v>
      </c>
      <c r="L43" s="976"/>
      <c r="M43" s="976"/>
      <c r="N43" s="976"/>
      <c r="O43" s="976"/>
      <c r="P43" s="976"/>
      <c r="Q43" s="976"/>
      <c r="R43" s="976"/>
      <c r="S43" s="976"/>
    </row>
    <row r="45">
      <c r="J45" s="977" t="s">
        <v>915</v>
      </c>
      <c r="K45" s="978">
        <f>A5</f>
        <v>46113</v>
      </c>
      <c r="L45" s="977" t="str">
        <f>"①R"&amp;year(K45)-2018&amp;"_"&amp;month(K45)&amp;"集計"</f>
        <v>①R8_4集計</v>
      </c>
      <c r="M45" s="6"/>
      <c r="N45" s="6"/>
      <c r="O45" s="979">
        <f>S48</f>
        <v>4850400</v>
      </c>
      <c r="P45" s="979">
        <f>S51</f>
        <v>1398974.202</v>
      </c>
      <c r="Q45" s="980">
        <f>S52</f>
        <v>0.2884245015</v>
      </c>
      <c r="R45" s="980">
        <f>S50</f>
        <v>0.5655050713</v>
      </c>
      <c r="S45" s="976"/>
    </row>
    <row r="46">
      <c r="J46" s="985" t="s">
        <v>918</v>
      </c>
      <c r="K46" s="986">
        <f>DAY(EOMONTH(K45,0))</f>
        <v>30</v>
      </c>
      <c r="L46" s="987" t="s">
        <v>919</v>
      </c>
      <c r="M46" s="987" t="s">
        <v>277</v>
      </c>
      <c r="N46" s="987" t="s">
        <v>296</v>
      </c>
      <c r="O46" s="987" t="s">
        <v>298</v>
      </c>
      <c r="P46" s="987" t="s">
        <v>298</v>
      </c>
      <c r="Q46" s="987" t="s">
        <v>920</v>
      </c>
      <c r="R46" s="985" t="s">
        <v>921</v>
      </c>
      <c r="S46" s="988">
        <v>1130.0</v>
      </c>
    </row>
    <row r="47">
      <c r="J47" s="985" t="s">
        <v>277</v>
      </c>
      <c r="K47" s="993">
        <f t="array" ref="K47">xlookup(L45,$B$3:$B$14,$C$3:$C$14)*100</f>
        <v>85</v>
      </c>
      <c r="L47" s="994">
        <f>SUM(N47:P47)</f>
        <v>175</v>
      </c>
      <c r="M47" s="994">
        <v>100.0</v>
      </c>
      <c r="N47" s="988">
        <v>137.0</v>
      </c>
      <c r="O47" s="988">
        <v>38.0</v>
      </c>
      <c r="P47" s="995"/>
      <c r="Q47" s="994">
        <f>L47*K46</f>
        <v>5250</v>
      </c>
      <c r="R47" s="996" t="s">
        <v>922</v>
      </c>
      <c r="S47" s="997">
        <f>Q61</f>
        <v>1290900</v>
      </c>
    </row>
    <row r="48">
      <c r="J48" s="985" t="s">
        <v>923</v>
      </c>
      <c r="K48" s="988">
        <v>320000.0</v>
      </c>
      <c r="L48" s="994">
        <f>L47*M48%</f>
        <v>105</v>
      </c>
      <c r="M48" s="999">
        <f>K47-K60</f>
        <v>60</v>
      </c>
      <c r="N48" s="994">
        <f>N47*M48%</f>
        <v>82.2</v>
      </c>
      <c r="O48" s="994">
        <f>O47*M48%</f>
        <v>22.8</v>
      </c>
      <c r="P48" s="994">
        <f>P47*M48%</f>
        <v>0</v>
      </c>
      <c r="Q48" s="994">
        <f>L48*K46</f>
        <v>3150</v>
      </c>
      <c r="R48" s="985" t="s">
        <v>278</v>
      </c>
      <c r="S48" s="997">
        <f>S46*Q48+S47</f>
        <v>4850400</v>
      </c>
    </row>
    <row r="49">
      <c r="J49" s="985" t="s">
        <v>924</v>
      </c>
      <c r="K49" s="1033">
        <v>270000.0</v>
      </c>
      <c r="L49" s="1001" t="s">
        <v>925</v>
      </c>
      <c r="M49" s="3"/>
      <c r="N49" s="988">
        <v>22.926</v>
      </c>
      <c r="O49" s="988">
        <v>28.78</v>
      </c>
      <c r="P49" s="995"/>
      <c r="Q49" s="1002"/>
      <c r="R49" s="985" t="s">
        <v>926</v>
      </c>
      <c r="S49" s="994">
        <f>N54+SUM(N58:O60)+S61</f>
        <v>2742925.798</v>
      </c>
    </row>
    <row r="50">
      <c r="J50" s="1004" t="s">
        <v>927</v>
      </c>
      <c r="K50" s="1005">
        <v>1300.0</v>
      </c>
      <c r="L50" s="1006" t="s">
        <v>928</v>
      </c>
      <c r="M50" s="3"/>
      <c r="N50" s="994">
        <f t="shared" ref="N50:O50" si="23">N48/(360/N49)</f>
        <v>5.23477</v>
      </c>
      <c r="O50" s="994">
        <f t="shared" si="23"/>
        <v>1.822733333</v>
      </c>
      <c r="P50" s="1002"/>
      <c r="Q50" s="994">
        <f t="shared" ref="Q50:Q51" si="24">N50+O50+P50</f>
        <v>7.057503333</v>
      </c>
      <c r="R50" s="985" t="s">
        <v>276</v>
      </c>
      <c r="S50" s="1007">
        <f>S49/S48</f>
        <v>0.5655050713</v>
      </c>
    </row>
    <row r="51">
      <c r="J51" s="1009" t="s">
        <v>929</v>
      </c>
      <c r="K51" s="1005">
        <v>6.5</v>
      </c>
      <c r="L51" s="1010" t="s">
        <v>930</v>
      </c>
      <c r="M51" s="988">
        <v>1230.0</v>
      </c>
      <c r="N51" s="994">
        <f>N50*(M51*6)</f>
        <v>38632.6026</v>
      </c>
      <c r="O51" s="994">
        <f>O50*(M51*6)</f>
        <v>13451.772</v>
      </c>
      <c r="P51" s="1002"/>
      <c r="Q51" s="994">
        <f t="shared" si="24"/>
        <v>52084.3746</v>
      </c>
      <c r="R51" s="985" t="s">
        <v>931</v>
      </c>
      <c r="S51" s="997">
        <f>S48-S49-N61</f>
        <v>1398974.202</v>
      </c>
    </row>
    <row r="52">
      <c r="J52" s="1011" t="s">
        <v>932</v>
      </c>
      <c r="K52" s="995"/>
      <c r="L52" s="1012"/>
      <c r="M52" s="1002"/>
      <c r="N52" s="1002"/>
      <c r="O52" s="1002"/>
      <c r="P52" s="1002"/>
      <c r="Q52" s="1002"/>
      <c r="R52" s="985" t="s">
        <v>275</v>
      </c>
      <c r="S52" s="1007">
        <f>S51/S48</f>
        <v>0.2884245015</v>
      </c>
    </row>
    <row r="53">
      <c r="J53" s="1004" t="s">
        <v>933</v>
      </c>
      <c r="K53" s="1005">
        <v>1230.0</v>
      </c>
      <c r="L53" s="1006" t="s">
        <v>934</v>
      </c>
      <c r="M53" s="3"/>
      <c r="N53" s="994">
        <f>Q51+(Q50*K59)</f>
        <v>56318.8766</v>
      </c>
      <c r="O53" s="1002"/>
      <c r="P53" s="1013" t="s">
        <v>935</v>
      </c>
      <c r="Q53" s="232"/>
      <c r="R53" s="232"/>
      <c r="S53" s="3"/>
    </row>
    <row r="54">
      <c r="J54" s="1015" t="s">
        <v>936</v>
      </c>
      <c r="K54" s="1005">
        <v>3.0</v>
      </c>
      <c r="L54" s="1006" t="s">
        <v>937</v>
      </c>
      <c r="M54" s="3"/>
      <c r="N54" s="994">
        <f>N53*K46+L47*K65*K46*110</f>
        <v>1721328.798</v>
      </c>
      <c r="O54" s="1016"/>
      <c r="P54" s="1017" t="s">
        <v>938</v>
      </c>
      <c r="Q54" s="1018">
        <v>567400.0</v>
      </c>
      <c r="R54" s="985" t="s">
        <v>939</v>
      </c>
      <c r="S54" s="999">
        <v>100000.0</v>
      </c>
    </row>
    <row r="55">
      <c r="J55" s="1015" t="s">
        <v>940</v>
      </c>
      <c r="K55" s="1005">
        <f>K46</f>
        <v>30</v>
      </c>
      <c r="L55" s="1006" t="s">
        <v>941</v>
      </c>
      <c r="M55" s="3"/>
      <c r="N55" s="985" t="s">
        <v>374</v>
      </c>
      <c r="O55" s="1011" t="s">
        <v>348</v>
      </c>
      <c r="P55" s="1019" t="s">
        <v>942</v>
      </c>
      <c r="Q55" s="1020">
        <f>L47*K60%*K46*300</f>
        <v>393750</v>
      </c>
      <c r="R55" s="996" t="s">
        <v>943</v>
      </c>
      <c r="S55" s="994">
        <v>26250.0</v>
      </c>
    </row>
    <row r="56">
      <c r="J56" s="1004" t="s">
        <v>944</v>
      </c>
      <c r="K56" s="1005">
        <v>1230.0</v>
      </c>
      <c r="L56" s="1006" t="s">
        <v>945</v>
      </c>
      <c r="M56" s="3"/>
      <c r="N56" s="999">
        <f t="shared" ref="N56:N57" si="25">K48*1.15</f>
        <v>368000</v>
      </c>
      <c r="O56" s="1021">
        <v>15000.0</v>
      </c>
      <c r="P56" s="1022" t="s">
        <v>946</v>
      </c>
      <c r="Q56" s="1020">
        <f>L47*K61*K46*100</f>
        <v>23625</v>
      </c>
      <c r="R56" s="1023" t="s">
        <v>947</v>
      </c>
      <c r="S56" s="994">
        <v>25000.0</v>
      </c>
    </row>
    <row r="57">
      <c r="J57" s="1004" t="s">
        <v>948</v>
      </c>
      <c r="K57" s="1005">
        <v>5.0</v>
      </c>
      <c r="L57" s="1006" t="s">
        <v>949</v>
      </c>
      <c r="M57" s="3"/>
      <c r="N57" s="999">
        <f t="shared" si="25"/>
        <v>310500</v>
      </c>
      <c r="O57" s="999">
        <v>15000.0</v>
      </c>
      <c r="P57" s="1019" t="s">
        <v>950</v>
      </c>
      <c r="Q57" s="1025">
        <f>L47*K62*K46*100</f>
        <v>97125</v>
      </c>
      <c r="R57" s="1026" t="s">
        <v>951</v>
      </c>
      <c r="S57" s="3"/>
    </row>
    <row r="58">
      <c r="J58" s="1004" t="s">
        <v>952</v>
      </c>
      <c r="K58" s="1005">
        <v>35.0</v>
      </c>
      <c r="L58" s="1027" t="s">
        <v>953</v>
      </c>
      <c r="M58" s="3"/>
      <c r="N58" s="999">
        <f>(K46*3.5-43.4)*K50*K51</f>
        <v>520520</v>
      </c>
      <c r="O58" s="999">
        <f>(K46*3.5-43.4)*K59</f>
        <v>36960</v>
      </c>
      <c r="P58" s="1019" t="s">
        <v>954</v>
      </c>
      <c r="Q58" s="1020">
        <f>L47*K63*K46*100</f>
        <v>34125</v>
      </c>
      <c r="R58" s="985" t="s">
        <v>939</v>
      </c>
      <c r="S58" s="994">
        <v>60000.0</v>
      </c>
    </row>
    <row r="59">
      <c r="J59" s="1023" t="s">
        <v>955</v>
      </c>
      <c r="K59" s="1028">
        <v>600.0</v>
      </c>
      <c r="L59" s="1001" t="s">
        <v>956</v>
      </c>
      <c r="M59" s="3"/>
      <c r="N59" s="999">
        <f>K53*K54*K55</f>
        <v>110700</v>
      </c>
      <c r="O59" s="999">
        <f>K55*K59</f>
        <v>18000</v>
      </c>
      <c r="P59" s="1022" t="s">
        <v>133</v>
      </c>
      <c r="Q59" s="1020">
        <f>L47*K64*K46*100</f>
        <v>23625</v>
      </c>
      <c r="R59" s="996" t="s">
        <v>943</v>
      </c>
      <c r="S59" s="994">
        <v>20000.0</v>
      </c>
    </row>
    <row r="60">
      <c r="J60" s="1029" t="s">
        <v>957</v>
      </c>
      <c r="K60" s="1030">
        <v>25.0</v>
      </c>
      <c r="L60" s="1001" t="s">
        <v>958</v>
      </c>
      <c r="M60" s="3"/>
      <c r="N60" s="999">
        <f>K56*K57*K58</f>
        <v>215250</v>
      </c>
      <c r="O60" s="999">
        <f>K58*K59</f>
        <v>21000</v>
      </c>
      <c r="P60" s="1019" t="s">
        <v>959</v>
      </c>
      <c r="Q60" s="1020">
        <f>L47*K65*K46*250</f>
        <v>72187.5</v>
      </c>
      <c r="R60" s="1023" t="s">
        <v>947</v>
      </c>
      <c r="S60" s="994">
        <v>19167.0</v>
      </c>
    </row>
    <row r="61">
      <c r="J61" s="985" t="s">
        <v>946</v>
      </c>
      <c r="K61" s="1007">
        <v>0.045</v>
      </c>
      <c r="L61" s="1001" t="s">
        <v>960</v>
      </c>
      <c r="M61" s="3"/>
      <c r="N61" s="999">
        <f>SUM(N56:O57)</f>
        <v>708500</v>
      </c>
      <c r="O61" s="1031"/>
      <c r="P61" s="985" t="s">
        <v>344</v>
      </c>
      <c r="Q61" s="997">
        <f>SUM(Q54:Q59)+SUM(S54:S56)</f>
        <v>1290900</v>
      </c>
      <c r="R61" s="985" t="s">
        <v>344</v>
      </c>
      <c r="S61" s="994">
        <f>S58+S59+S60</f>
        <v>99167</v>
      </c>
    </row>
    <row r="62">
      <c r="J62" s="1023" t="s">
        <v>961</v>
      </c>
      <c r="K62" s="1007">
        <v>0.185</v>
      </c>
      <c r="L62" s="976"/>
      <c r="M62" s="976"/>
      <c r="N62" s="976"/>
      <c r="O62" s="976"/>
      <c r="P62" s="976"/>
      <c r="Q62" s="976"/>
      <c r="R62" s="976"/>
      <c r="S62" s="976"/>
    </row>
    <row r="63">
      <c r="J63" s="1023" t="s">
        <v>962</v>
      </c>
      <c r="K63" s="1007">
        <v>0.065</v>
      </c>
      <c r="L63" s="976"/>
      <c r="M63" s="976"/>
      <c r="N63" s="976"/>
      <c r="O63" s="976"/>
      <c r="P63" s="976"/>
      <c r="Q63" s="976"/>
      <c r="R63" s="976"/>
      <c r="S63" s="976"/>
    </row>
    <row r="64">
      <c r="J64" s="1023" t="s">
        <v>133</v>
      </c>
      <c r="K64" s="1007">
        <v>0.045</v>
      </c>
      <c r="L64" s="976"/>
      <c r="M64" s="976"/>
      <c r="N64" s="976"/>
      <c r="O64" s="976"/>
      <c r="P64" s="976"/>
      <c r="Q64" s="976"/>
      <c r="R64" s="976"/>
      <c r="S64" s="976"/>
    </row>
    <row r="65">
      <c r="J65" s="1023" t="s">
        <v>959</v>
      </c>
      <c r="K65" s="1007">
        <v>0.055</v>
      </c>
      <c r="L65" s="976"/>
      <c r="M65" s="976"/>
      <c r="N65" s="976"/>
      <c r="O65" s="976"/>
      <c r="P65" s="976"/>
      <c r="Q65" s="976"/>
      <c r="R65" s="976"/>
      <c r="S65" s="976"/>
    </row>
    <row r="67">
      <c r="J67" s="977" t="s">
        <v>915</v>
      </c>
      <c r="K67" s="978">
        <f>A6</f>
        <v>46143</v>
      </c>
      <c r="L67" s="977" t="str">
        <f>"①R"&amp;year(K67)-2018&amp;"_"&amp;month(K67)&amp;"集計"</f>
        <v>①R8_5集計</v>
      </c>
      <c r="M67" s="6"/>
      <c r="N67" s="6"/>
      <c r="O67" s="979">
        <f>S70</f>
        <v>-222587.5</v>
      </c>
      <c r="P67" s="979">
        <f>S73</f>
        <v>-1294018.594</v>
      </c>
      <c r="Q67" s="980">
        <f>S74</f>
        <v>5.813527686</v>
      </c>
      <c r="R67" s="980">
        <f>S72</f>
        <v>-1.630509772</v>
      </c>
      <c r="S67" s="976"/>
    </row>
    <row r="68">
      <c r="J68" s="985" t="s">
        <v>918</v>
      </c>
      <c r="K68" s="986">
        <f>DAY(EOMONTH(K67,0))</f>
        <v>31</v>
      </c>
      <c r="L68" s="987" t="s">
        <v>919</v>
      </c>
      <c r="M68" s="987" t="s">
        <v>277</v>
      </c>
      <c r="N68" s="987" t="s">
        <v>296</v>
      </c>
      <c r="O68" s="987" t="s">
        <v>298</v>
      </c>
      <c r="P68" s="987" t="s">
        <v>298</v>
      </c>
      <c r="Q68" s="987" t="s">
        <v>920</v>
      </c>
      <c r="R68" s="985" t="s">
        <v>921</v>
      </c>
      <c r="S68" s="988">
        <v>1130.0</v>
      </c>
    </row>
    <row r="69">
      <c r="J69" s="985" t="s">
        <v>277</v>
      </c>
      <c r="K69" s="993">
        <f t="array" ref="K69">xlookup(L67,$B$3:$B$14,$C$3:$C$14)*100</f>
        <v>0</v>
      </c>
      <c r="L69" s="994">
        <f>SUM(N69:P69)</f>
        <v>175</v>
      </c>
      <c r="M69" s="994">
        <v>100.0</v>
      </c>
      <c r="N69" s="988">
        <v>137.0</v>
      </c>
      <c r="O69" s="988">
        <v>38.0</v>
      </c>
      <c r="P69" s="995"/>
      <c r="Q69" s="994">
        <f>L69*K68</f>
        <v>5425</v>
      </c>
      <c r="R69" s="996" t="s">
        <v>922</v>
      </c>
      <c r="S69" s="997">
        <f>Q83</f>
        <v>1309975</v>
      </c>
    </row>
    <row r="70">
      <c r="J70" s="985" t="s">
        <v>923</v>
      </c>
      <c r="K70" s="988">
        <v>320000.0</v>
      </c>
      <c r="L70" s="994">
        <f>L69*M70%</f>
        <v>-43.75</v>
      </c>
      <c r="M70" s="999">
        <f>K69-K82</f>
        <v>-25</v>
      </c>
      <c r="N70" s="994">
        <f>N69*M70%</f>
        <v>-34.25</v>
      </c>
      <c r="O70" s="994">
        <f>O69*M70%</f>
        <v>-9.5</v>
      </c>
      <c r="P70" s="994">
        <f>P69*M70%</f>
        <v>0</v>
      </c>
      <c r="Q70" s="994">
        <f>L70*K68</f>
        <v>-1356.25</v>
      </c>
      <c r="R70" s="985" t="s">
        <v>278</v>
      </c>
      <c r="S70" s="997">
        <f>S68*Q70+S69</f>
        <v>-222587.5</v>
      </c>
    </row>
    <row r="71">
      <c r="J71" s="985" t="s">
        <v>924</v>
      </c>
      <c r="K71" s="1033">
        <v>270000.0</v>
      </c>
      <c r="L71" s="1001" t="s">
        <v>925</v>
      </c>
      <c r="M71" s="3"/>
      <c r="N71" s="988">
        <v>22.926</v>
      </c>
      <c r="O71" s="988">
        <v>28.78</v>
      </c>
      <c r="P71" s="995"/>
      <c r="Q71" s="1002"/>
      <c r="R71" s="985" t="s">
        <v>926</v>
      </c>
      <c r="S71" s="994">
        <f>N76+SUM(N80:O82)+S83</f>
        <v>362931.0939</v>
      </c>
    </row>
    <row r="72">
      <c r="J72" s="1004" t="s">
        <v>927</v>
      </c>
      <c r="K72" s="1005">
        <v>1300.0</v>
      </c>
      <c r="L72" s="1006" t="s">
        <v>928</v>
      </c>
      <c r="M72" s="3"/>
      <c r="N72" s="994">
        <f t="shared" ref="N72:O72" si="26">N70/(360/N71)</f>
        <v>-2.181154167</v>
      </c>
      <c r="O72" s="994">
        <f t="shared" si="26"/>
        <v>-0.7594722222</v>
      </c>
      <c r="P72" s="1002"/>
      <c r="Q72" s="994">
        <f t="shared" ref="Q72:Q73" si="27">N72+O72+P72</f>
        <v>-2.940626389</v>
      </c>
      <c r="R72" s="985" t="s">
        <v>276</v>
      </c>
      <c r="S72" s="1007">
        <f>S71/S70</f>
        <v>-1.630509772</v>
      </c>
    </row>
    <row r="73">
      <c r="J73" s="1009" t="s">
        <v>929</v>
      </c>
      <c r="K73" s="1005">
        <v>6.5</v>
      </c>
      <c r="L73" s="1010" t="s">
        <v>930</v>
      </c>
      <c r="M73" s="988">
        <v>1230.0</v>
      </c>
      <c r="N73" s="994">
        <f>N72*(M73*6)</f>
        <v>-16096.91775</v>
      </c>
      <c r="O73" s="994">
        <f>O72*(M73*6)</f>
        <v>-5604.905</v>
      </c>
      <c r="P73" s="1002"/>
      <c r="Q73" s="994">
        <f t="shared" si="27"/>
        <v>-21701.82275</v>
      </c>
      <c r="R73" s="985" t="s">
        <v>931</v>
      </c>
      <c r="S73" s="997">
        <f>S70-S71-N83</f>
        <v>-1294018.594</v>
      </c>
    </row>
    <row r="74">
      <c r="J74" s="1011" t="s">
        <v>932</v>
      </c>
      <c r="K74" s="995"/>
      <c r="L74" s="1012"/>
      <c r="M74" s="1002"/>
      <c r="N74" s="1002"/>
      <c r="O74" s="1002"/>
      <c r="P74" s="1002"/>
      <c r="Q74" s="1002"/>
      <c r="R74" s="985" t="s">
        <v>275</v>
      </c>
      <c r="S74" s="1007">
        <f>S73/S70</f>
        <v>5.813527686</v>
      </c>
    </row>
    <row r="75">
      <c r="J75" s="1004" t="s">
        <v>933</v>
      </c>
      <c r="K75" s="1005">
        <v>1230.0</v>
      </c>
      <c r="L75" s="1006" t="s">
        <v>934</v>
      </c>
      <c r="M75" s="3"/>
      <c r="N75" s="994">
        <f>Q73+(Q72*K81)</f>
        <v>-23466.19858</v>
      </c>
      <c r="O75" s="1002"/>
      <c r="P75" s="1013" t="s">
        <v>935</v>
      </c>
      <c r="Q75" s="232"/>
      <c r="R75" s="232"/>
      <c r="S75" s="3"/>
    </row>
    <row r="76">
      <c r="J76" s="1015" t="s">
        <v>936</v>
      </c>
      <c r="K76" s="1005">
        <v>3.0</v>
      </c>
      <c r="L76" s="1006" t="s">
        <v>937</v>
      </c>
      <c r="M76" s="3"/>
      <c r="N76" s="994">
        <f>N75*K68+L69*K87*K68*110</f>
        <v>-694630.9061</v>
      </c>
      <c r="O76" s="1016"/>
      <c r="P76" s="1017" t="s">
        <v>938</v>
      </c>
      <c r="Q76" s="1018">
        <v>567400.0</v>
      </c>
      <c r="R76" s="985" t="s">
        <v>939</v>
      </c>
      <c r="S76" s="999">
        <v>100000.0</v>
      </c>
    </row>
    <row r="77">
      <c r="J77" s="1015" t="s">
        <v>940</v>
      </c>
      <c r="K77" s="1005">
        <f>K68</f>
        <v>31</v>
      </c>
      <c r="L77" s="1006" t="s">
        <v>941</v>
      </c>
      <c r="M77" s="3"/>
      <c r="N77" s="985" t="s">
        <v>374</v>
      </c>
      <c r="O77" s="1011" t="s">
        <v>348</v>
      </c>
      <c r="P77" s="1019" t="s">
        <v>942</v>
      </c>
      <c r="Q77" s="1020">
        <f>L69*K82%*K68*300</f>
        <v>406875</v>
      </c>
      <c r="R77" s="996" t="s">
        <v>943</v>
      </c>
      <c r="S77" s="994">
        <v>26250.0</v>
      </c>
    </row>
    <row r="78">
      <c r="J78" s="1004" t="s">
        <v>944</v>
      </c>
      <c r="K78" s="1005">
        <v>1230.0</v>
      </c>
      <c r="L78" s="1006" t="s">
        <v>945</v>
      </c>
      <c r="M78" s="3"/>
      <c r="N78" s="999">
        <f t="shared" ref="N78:N79" si="28">K70*1.15</f>
        <v>368000</v>
      </c>
      <c r="O78" s="1021">
        <v>15000.0</v>
      </c>
      <c r="P78" s="1022" t="s">
        <v>946</v>
      </c>
      <c r="Q78" s="1020">
        <f>L69*K83*K68*100</f>
        <v>24412.5</v>
      </c>
      <c r="R78" s="1023" t="s">
        <v>947</v>
      </c>
      <c r="S78" s="994">
        <v>25000.0</v>
      </c>
    </row>
    <row r="79">
      <c r="J79" s="1004" t="s">
        <v>948</v>
      </c>
      <c r="K79" s="1005">
        <v>5.0</v>
      </c>
      <c r="L79" s="1006" t="s">
        <v>949</v>
      </c>
      <c r="M79" s="3"/>
      <c r="N79" s="999">
        <f t="shared" si="28"/>
        <v>310500</v>
      </c>
      <c r="O79" s="999">
        <v>15000.0</v>
      </c>
      <c r="P79" s="1019" t="s">
        <v>950</v>
      </c>
      <c r="Q79" s="1025">
        <f>L69*K84*K68*100</f>
        <v>100362.5</v>
      </c>
      <c r="R79" s="1026" t="s">
        <v>951</v>
      </c>
      <c r="S79" s="3"/>
    </row>
    <row r="80">
      <c r="J80" s="1004" t="s">
        <v>952</v>
      </c>
      <c r="K80" s="1005">
        <v>35.0</v>
      </c>
      <c r="L80" s="1027" t="s">
        <v>953</v>
      </c>
      <c r="M80" s="3"/>
      <c r="N80" s="999">
        <f>(K68*3.5-43.4)*K72*K73</f>
        <v>550095</v>
      </c>
      <c r="O80" s="999">
        <f>(K68*3.5-43.4)*K81</f>
        <v>39060</v>
      </c>
      <c r="P80" s="1019" t="s">
        <v>954</v>
      </c>
      <c r="Q80" s="1020">
        <f>L69*K85*K68*100</f>
        <v>35262.5</v>
      </c>
      <c r="R80" s="985" t="s">
        <v>939</v>
      </c>
      <c r="S80" s="994">
        <v>60000.0</v>
      </c>
    </row>
    <row r="81">
      <c r="J81" s="1023" t="s">
        <v>955</v>
      </c>
      <c r="K81" s="1028">
        <v>600.0</v>
      </c>
      <c r="L81" s="1001" t="s">
        <v>956</v>
      </c>
      <c r="M81" s="3"/>
      <c r="N81" s="999">
        <f>K75*K76*K77</f>
        <v>114390</v>
      </c>
      <c r="O81" s="999">
        <f>K77*K81</f>
        <v>18600</v>
      </c>
      <c r="P81" s="1022" t="s">
        <v>133</v>
      </c>
      <c r="Q81" s="1020">
        <f>L69*K86*K68*100</f>
        <v>24412.5</v>
      </c>
      <c r="R81" s="996" t="s">
        <v>943</v>
      </c>
      <c r="S81" s="994">
        <v>20000.0</v>
      </c>
    </row>
    <row r="82">
      <c r="J82" s="1029" t="s">
        <v>957</v>
      </c>
      <c r="K82" s="1030">
        <v>25.0</v>
      </c>
      <c r="L82" s="1001" t="s">
        <v>958</v>
      </c>
      <c r="M82" s="3"/>
      <c r="N82" s="999">
        <f>K78*K79*K80</f>
        <v>215250</v>
      </c>
      <c r="O82" s="999">
        <f>K80*K81</f>
        <v>21000</v>
      </c>
      <c r="P82" s="1019" t="s">
        <v>959</v>
      </c>
      <c r="Q82" s="1020">
        <f>L69*K87*K68*250</f>
        <v>74593.75</v>
      </c>
      <c r="R82" s="1023" t="s">
        <v>947</v>
      </c>
      <c r="S82" s="994">
        <v>19167.0</v>
      </c>
    </row>
    <row r="83">
      <c r="J83" s="985" t="s">
        <v>946</v>
      </c>
      <c r="K83" s="1007">
        <v>0.045</v>
      </c>
      <c r="L83" s="1001" t="s">
        <v>960</v>
      </c>
      <c r="M83" s="3"/>
      <c r="N83" s="999">
        <f>SUM(N78:O79)</f>
        <v>708500</v>
      </c>
      <c r="O83" s="1031"/>
      <c r="P83" s="985" t="s">
        <v>344</v>
      </c>
      <c r="Q83" s="997">
        <f>SUM(Q76:Q81)+SUM(S76:S78)</f>
        <v>1309975</v>
      </c>
      <c r="R83" s="985" t="s">
        <v>344</v>
      </c>
      <c r="S83" s="994">
        <f>S80+S81+S82</f>
        <v>99167</v>
      </c>
    </row>
    <row r="84">
      <c r="J84" s="1023" t="s">
        <v>961</v>
      </c>
      <c r="K84" s="1007">
        <v>0.185</v>
      </c>
      <c r="L84" s="976"/>
      <c r="M84" s="976"/>
      <c r="N84" s="976"/>
      <c r="O84" s="976"/>
      <c r="P84" s="976"/>
      <c r="Q84" s="976"/>
      <c r="R84" s="976"/>
      <c r="S84" s="976"/>
    </row>
    <row r="85">
      <c r="J85" s="1023" t="s">
        <v>962</v>
      </c>
      <c r="K85" s="1007">
        <v>0.065</v>
      </c>
      <c r="L85" s="976"/>
      <c r="M85" s="976"/>
      <c r="N85" s="976"/>
      <c r="O85" s="976"/>
      <c r="P85" s="976"/>
      <c r="Q85" s="976"/>
      <c r="R85" s="976"/>
      <c r="S85" s="976"/>
    </row>
    <row r="86">
      <c r="J86" s="1023" t="s">
        <v>133</v>
      </c>
      <c r="K86" s="1007">
        <v>0.045</v>
      </c>
      <c r="L86" s="976"/>
      <c r="M86" s="976"/>
      <c r="N86" s="976"/>
      <c r="O86" s="976"/>
      <c r="P86" s="976"/>
      <c r="Q86" s="976"/>
      <c r="R86" s="976"/>
      <c r="S86" s="976"/>
    </row>
    <row r="87">
      <c r="J87" s="1023" t="s">
        <v>959</v>
      </c>
      <c r="K87" s="1007">
        <v>0.055</v>
      </c>
      <c r="L87" s="976"/>
      <c r="M87" s="976"/>
      <c r="N87" s="976"/>
      <c r="O87" s="976"/>
      <c r="P87" s="976"/>
      <c r="Q87" s="976"/>
      <c r="R87" s="976"/>
      <c r="S87" s="976"/>
    </row>
    <row r="89">
      <c r="J89" s="977" t="s">
        <v>915</v>
      </c>
      <c r="K89" s="978">
        <f>A7</f>
        <v>46174</v>
      </c>
      <c r="L89" s="977" t="str">
        <f>"①R"&amp;year(K89)-2018&amp;"_"&amp;month(K89)&amp;"集計"</f>
        <v>①R8_6集計</v>
      </c>
      <c r="M89" s="6"/>
      <c r="N89" s="6"/>
      <c r="O89" s="979">
        <f>S92</f>
        <v>-192225</v>
      </c>
      <c r="P89" s="979">
        <f>S95</f>
        <v>-1250098.543</v>
      </c>
      <c r="Q89" s="980">
        <f>S96</f>
        <v>6.503308844</v>
      </c>
      <c r="R89" s="980">
        <f>S94</f>
        <v>-1.817523956</v>
      </c>
      <c r="S89" s="976"/>
    </row>
    <row r="90">
      <c r="J90" s="985" t="s">
        <v>918</v>
      </c>
      <c r="K90" s="986">
        <f>DAY(EOMONTH(K89,0))</f>
        <v>30</v>
      </c>
      <c r="L90" s="987" t="s">
        <v>919</v>
      </c>
      <c r="M90" s="987" t="s">
        <v>277</v>
      </c>
      <c r="N90" s="987" t="s">
        <v>296</v>
      </c>
      <c r="O90" s="987" t="s">
        <v>298</v>
      </c>
      <c r="P90" s="987" t="s">
        <v>298</v>
      </c>
      <c r="Q90" s="987" t="s">
        <v>920</v>
      </c>
      <c r="R90" s="985" t="s">
        <v>921</v>
      </c>
      <c r="S90" s="988">
        <v>1130.0</v>
      </c>
    </row>
    <row r="91">
      <c r="J91" s="985" t="s">
        <v>277</v>
      </c>
      <c r="K91" s="993">
        <f t="array" ref="K91">xlookup(L89,$B$3:$B$14,$C$3:$C$14)*100</f>
        <v>0</v>
      </c>
      <c r="L91" s="994">
        <f>SUM(N91:P91)</f>
        <v>175</v>
      </c>
      <c r="M91" s="994">
        <v>100.0</v>
      </c>
      <c r="N91" s="988">
        <v>137.0</v>
      </c>
      <c r="O91" s="988">
        <v>38.0</v>
      </c>
      <c r="P91" s="995"/>
      <c r="Q91" s="994">
        <f>L91*K90</f>
        <v>5250</v>
      </c>
      <c r="R91" s="996" t="s">
        <v>922</v>
      </c>
      <c r="S91" s="997">
        <f>Q105</f>
        <v>1290900</v>
      </c>
    </row>
    <row r="92">
      <c r="J92" s="985" t="s">
        <v>923</v>
      </c>
      <c r="K92" s="988">
        <v>320000.0</v>
      </c>
      <c r="L92" s="994">
        <f>L91*M92%</f>
        <v>-43.75</v>
      </c>
      <c r="M92" s="999">
        <f>K91-K104</f>
        <v>-25</v>
      </c>
      <c r="N92" s="994">
        <f>N91*M92%</f>
        <v>-34.25</v>
      </c>
      <c r="O92" s="994">
        <f>O91*M92%</f>
        <v>-9.5</v>
      </c>
      <c r="P92" s="994">
        <f>P91*M92%</f>
        <v>0</v>
      </c>
      <c r="Q92" s="994">
        <f>L92*K90</f>
        <v>-1312.5</v>
      </c>
      <c r="R92" s="985" t="s">
        <v>278</v>
      </c>
      <c r="S92" s="997">
        <f>S90*Q92+S91</f>
        <v>-192225</v>
      </c>
    </row>
    <row r="93">
      <c r="J93" s="985" t="s">
        <v>924</v>
      </c>
      <c r="K93" s="1033">
        <v>270000.0</v>
      </c>
      <c r="L93" s="1001" t="s">
        <v>925</v>
      </c>
      <c r="M93" s="3"/>
      <c r="N93" s="988">
        <v>22.926</v>
      </c>
      <c r="O93" s="988">
        <v>28.78</v>
      </c>
      <c r="P93" s="995"/>
      <c r="Q93" s="1002"/>
      <c r="R93" s="985" t="s">
        <v>926</v>
      </c>
      <c r="S93" s="994">
        <f>N98+SUM(N102:O104)+S105</f>
        <v>349373.5425</v>
      </c>
    </row>
    <row r="94">
      <c r="J94" s="1004" t="s">
        <v>927</v>
      </c>
      <c r="K94" s="1005">
        <v>1300.0</v>
      </c>
      <c r="L94" s="1006" t="s">
        <v>928</v>
      </c>
      <c r="M94" s="3"/>
      <c r="N94" s="994">
        <f t="shared" ref="N94:O94" si="29">N92/(360/N93)</f>
        <v>-2.181154167</v>
      </c>
      <c r="O94" s="994">
        <f t="shared" si="29"/>
        <v>-0.7594722222</v>
      </c>
      <c r="P94" s="1002"/>
      <c r="Q94" s="994">
        <f t="shared" ref="Q94:Q95" si="30">N94+O94+P94</f>
        <v>-2.940626389</v>
      </c>
      <c r="R94" s="985" t="s">
        <v>276</v>
      </c>
      <c r="S94" s="1007">
        <f>S93/S92</f>
        <v>-1.817523956</v>
      </c>
    </row>
    <row r="95">
      <c r="J95" s="1009" t="s">
        <v>929</v>
      </c>
      <c r="K95" s="1005">
        <v>6.5</v>
      </c>
      <c r="L95" s="1010" t="s">
        <v>930</v>
      </c>
      <c r="M95" s="988">
        <v>1230.0</v>
      </c>
      <c r="N95" s="994">
        <f>N94*(M95*6)</f>
        <v>-16096.91775</v>
      </c>
      <c r="O95" s="994">
        <f>O94*(M95*6)</f>
        <v>-5604.905</v>
      </c>
      <c r="P95" s="1002"/>
      <c r="Q95" s="994">
        <f t="shared" si="30"/>
        <v>-21701.82275</v>
      </c>
      <c r="R95" s="985" t="s">
        <v>931</v>
      </c>
      <c r="S95" s="997">
        <f>S92-S93-N105</f>
        <v>-1250098.543</v>
      </c>
    </row>
    <row r="96">
      <c r="J96" s="1011" t="s">
        <v>932</v>
      </c>
      <c r="K96" s="995"/>
      <c r="L96" s="1012"/>
      <c r="M96" s="1002"/>
      <c r="N96" s="1002"/>
      <c r="O96" s="1002"/>
      <c r="P96" s="1002"/>
      <c r="Q96" s="1002"/>
      <c r="R96" s="985" t="s">
        <v>275</v>
      </c>
      <c r="S96" s="1007">
        <f>S95/S92</f>
        <v>6.503308844</v>
      </c>
    </row>
    <row r="97">
      <c r="J97" s="1004" t="s">
        <v>933</v>
      </c>
      <c r="K97" s="1005">
        <v>1230.0</v>
      </c>
      <c r="L97" s="1006" t="s">
        <v>934</v>
      </c>
      <c r="M97" s="3"/>
      <c r="N97" s="994">
        <f>Q95+(Q94*K103)</f>
        <v>-23466.19858</v>
      </c>
      <c r="O97" s="1002"/>
      <c r="P97" s="1013" t="s">
        <v>935</v>
      </c>
      <c r="Q97" s="232"/>
      <c r="R97" s="232"/>
      <c r="S97" s="3"/>
    </row>
    <row r="98">
      <c r="J98" s="1015" t="s">
        <v>936</v>
      </c>
      <c r="K98" s="1005">
        <v>3.0</v>
      </c>
      <c r="L98" s="1006" t="s">
        <v>937</v>
      </c>
      <c r="M98" s="3"/>
      <c r="N98" s="994">
        <f>N97*K90+L91*K109*K90*110</f>
        <v>-672223.4575</v>
      </c>
      <c r="O98" s="1016"/>
      <c r="P98" s="1017" t="s">
        <v>938</v>
      </c>
      <c r="Q98" s="1018">
        <v>567400.0</v>
      </c>
      <c r="R98" s="985" t="s">
        <v>939</v>
      </c>
      <c r="S98" s="999">
        <v>100000.0</v>
      </c>
    </row>
    <row r="99">
      <c r="J99" s="1015" t="s">
        <v>940</v>
      </c>
      <c r="K99" s="1005">
        <f>K90</f>
        <v>30</v>
      </c>
      <c r="L99" s="1006" t="s">
        <v>941</v>
      </c>
      <c r="M99" s="3"/>
      <c r="N99" s="985" t="s">
        <v>374</v>
      </c>
      <c r="O99" s="1011" t="s">
        <v>348</v>
      </c>
      <c r="P99" s="1019" t="s">
        <v>942</v>
      </c>
      <c r="Q99" s="1020">
        <f>L91*K104%*K90*300</f>
        <v>393750</v>
      </c>
      <c r="R99" s="996" t="s">
        <v>943</v>
      </c>
      <c r="S99" s="994">
        <v>26250.0</v>
      </c>
    </row>
    <row r="100">
      <c r="J100" s="1004" t="s">
        <v>944</v>
      </c>
      <c r="K100" s="1005">
        <v>1230.0</v>
      </c>
      <c r="L100" s="1006" t="s">
        <v>945</v>
      </c>
      <c r="M100" s="3"/>
      <c r="N100" s="999">
        <f t="shared" ref="N100:N101" si="31">K92*1.15</f>
        <v>368000</v>
      </c>
      <c r="O100" s="1021">
        <v>15000.0</v>
      </c>
      <c r="P100" s="1022" t="s">
        <v>946</v>
      </c>
      <c r="Q100" s="1020">
        <f>L91*K105*K90*100</f>
        <v>23625</v>
      </c>
      <c r="R100" s="1023" t="s">
        <v>947</v>
      </c>
      <c r="S100" s="994">
        <v>25000.0</v>
      </c>
    </row>
    <row r="101">
      <c r="J101" s="1004" t="s">
        <v>948</v>
      </c>
      <c r="K101" s="1005">
        <v>5.0</v>
      </c>
      <c r="L101" s="1006" t="s">
        <v>949</v>
      </c>
      <c r="M101" s="3"/>
      <c r="N101" s="999">
        <f t="shared" si="31"/>
        <v>310500</v>
      </c>
      <c r="O101" s="999">
        <v>15000.0</v>
      </c>
      <c r="P101" s="1019" t="s">
        <v>950</v>
      </c>
      <c r="Q101" s="1025">
        <f>L91*K106*K90*100</f>
        <v>97125</v>
      </c>
      <c r="R101" s="1026" t="s">
        <v>951</v>
      </c>
      <c r="S101" s="3"/>
    </row>
    <row r="102">
      <c r="J102" s="1004" t="s">
        <v>952</v>
      </c>
      <c r="K102" s="1005">
        <v>35.0</v>
      </c>
      <c r="L102" s="1027" t="s">
        <v>953</v>
      </c>
      <c r="M102" s="3"/>
      <c r="N102" s="999">
        <f>(K90*3.5-43.4)*K94*K95</f>
        <v>520520</v>
      </c>
      <c r="O102" s="999">
        <f>(K90*3.5-43.4)*K103</f>
        <v>36960</v>
      </c>
      <c r="P102" s="1019" t="s">
        <v>954</v>
      </c>
      <c r="Q102" s="1020">
        <f>L91*K107*K90*100</f>
        <v>34125</v>
      </c>
      <c r="R102" s="985" t="s">
        <v>939</v>
      </c>
      <c r="S102" s="994">
        <v>60000.0</v>
      </c>
    </row>
    <row r="103">
      <c r="J103" s="1023" t="s">
        <v>955</v>
      </c>
      <c r="K103" s="1028">
        <v>600.0</v>
      </c>
      <c r="L103" s="1001" t="s">
        <v>956</v>
      </c>
      <c r="M103" s="3"/>
      <c r="N103" s="999">
        <f>K97*K98*K99</f>
        <v>110700</v>
      </c>
      <c r="O103" s="999">
        <f>K99*K103</f>
        <v>18000</v>
      </c>
      <c r="P103" s="1022" t="s">
        <v>133</v>
      </c>
      <c r="Q103" s="1020">
        <f>L91*K108*K90*100</f>
        <v>23625</v>
      </c>
      <c r="R103" s="996" t="s">
        <v>943</v>
      </c>
      <c r="S103" s="994">
        <v>20000.0</v>
      </c>
    </row>
    <row r="104">
      <c r="J104" s="1029" t="s">
        <v>957</v>
      </c>
      <c r="K104" s="1030">
        <v>25.0</v>
      </c>
      <c r="L104" s="1001" t="s">
        <v>958</v>
      </c>
      <c r="M104" s="3"/>
      <c r="N104" s="999">
        <f>K100*K101*K102</f>
        <v>215250</v>
      </c>
      <c r="O104" s="999">
        <f>K102*K103</f>
        <v>21000</v>
      </c>
      <c r="P104" s="1019" t="s">
        <v>959</v>
      </c>
      <c r="Q104" s="1020">
        <f>L91*K109*K90*250</f>
        <v>72187.5</v>
      </c>
      <c r="R104" s="1023" t="s">
        <v>947</v>
      </c>
      <c r="S104" s="994">
        <v>19167.0</v>
      </c>
    </row>
    <row r="105">
      <c r="J105" s="985" t="s">
        <v>946</v>
      </c>
      <c r="K105" s="1007">
        <v>0.045</v>
      </c>
      <c r="L105" s="1001" t="s">
        <v>960</v>
      </c>
      <c r="M105" s="3"/>
      <c r="N105" s="999">
        <f>SUM(N100:O101)</f>
        <v>708500</v>
      </c>
      <c r="O105" s="1031"/>
      <c r="P105" s="985" t="s">
        <v>344</v>
      </c>
      <c r="Q105" s="997">
        <f>SUM(Q98:Q103)+SUM(S98:S100)</f>
        <v>1290900</v>
      </c>
      <c r="R105" s="985" t="s">
        <v>344</v>
      </c>
      <c r="S105" s="994">
        <f>S102+S103+S104</f>
        <v>99167</v>
      </c>
    </row>
    <row r="106">
      <c r="J106" s="1023" t="s">
        <v>961</v>
      </c>
      <c r="K106" s="1007">
        <v>0.185</v>
      </c>
      <c r="L106" s="976"/>
      <c r="M106" s="976"/>
      <c r="N106" s="976"/>
      <c r="O106" s="976"/>
      <c r="P106" s="976"/>
      <c r="Q106" s="976"/>
      <c r="R106" s="976"/>
      <c r="S106" s="976"/>
    </row>
    <row r="107">
      <c r="J107" s="1023" t="s">
        <v>962</v>
      </c>
      <c r="K107" s="1007">
        <v>0.065</v>
      </c>
      <c r="L107" s="976"/>
      <c r="M107" s="976"/>
      <c r="N107" s="976"/>
      <c r="O107" s="976"/>
      <c r="P107" s="976"/>
      <c r="Q107" s="976"/>
      <c r="R107" s="976"/>
      <c r="S107" s="976"/>
    </row>
    <row r="108">
      <c r="J108" s="1023" t="s">
        <v>133</v>
      </c>
      <c r="K108" s="1007">
        <v>0.045</v>
      </c>
      <c r="L108" s="976"/>
      <c r="M108" s="976"/>
      <c r="N108" s="976"/>
      <c r="O108" s="976"/>
      <c r="P108" s="976"/>
      <c r="Q108" s="976"/>
      <c r="R108" s="976"/>
      <c r="S108" s="976"/>
    </row>
    <row r="109">
      <c r="J109" s="1023" t="s">
        <v>959</v>
      </c>
      <c r="K109" s="1007">
        <v>0.055</v>
      </c>
      <c r="L109" s="976"/>
      <c r="M109" s="976"/>
      <c r="N109" s="976"/>
      <c r="O109" s="976"/>
      <c r="P109" s="976"/>
      <c r="Q109" s="976"/>
      <c r="R109" s="976"/>
      <c r="S109" s="976"/>
    </row>
    <row r="111">
      <c r="J111" s="977" t="s">
        <v>915</v>
      </c>
      <c r="K111" s="978">
        <f>A8</f>
        <v>46204</v>
      </c>
      <c r="L111" s="977" t="str">
        <f>"①R"&amp;year(K111)-2018&amp;"_"&amp;month(K111)&amp;"集計"</f>
        <v>①R8_7集計</v>
      </c>
      <c r="M111" s="6"/>
      <c r="N111" s="6"/>
      <c r="O111" s="979">
        <f>S114</f>
        <v>-222587.5</v>
      </c>
      <c r="P111" s="979">
        <f>S117</f>
        <v>-1294018.594</v>
      </c>
      <c r="Q111" s="980">
        <f>S118</f>
        <v>5.813527686</v>
      </c>
      <c r="R111" s="980">
        <f>S116</f>
        <v>-1.630509772</v>
      </c>
      <c r="S111" s="976"/>
    </row>
    <row r="112">
      <c r="J112" s="985" t="s">
        <v>918</v>
      </c>
      <c r="K112" s="986">
        <f>DAY(EOMONTH(K111,0))</f>
        <v>31</v>
      </c>
      <c r="L112" s="987" t="s">
        <v>919</v>
      </c>
      <c r="M112" s="987" t="s">
        <v>277</v>
      </c>
      <c r="N112" s="987" t="s">
        <v>296</v>
      </c>
      <c r="O112" s="987" t="s">
        <v>298</v>
      </c>
      <c r="P112" s="987" t="s">
        <v>298</v>
      </c>
      <c r="Q112" s="987" t="s">
        <v>920</v>
      </c>
      <c r="R112" s="985" t="s">
        <v>921</v>
      </c>
      <c r="S112" s="988">
        <v>1130.0</v>
      </c>
    </row>
    <row r="113">
      <c r="J113" s="985" t="s">
        <v>277</v>
      </c>
      <c r="K113" s="993">
        <f t="array" ref="K113">xlookup(L111,$B$3:$B$14,$C$3:$C$14)*100</f>
        <v>0</v>
      </c>
      <c r="L113" s="994">
        <f>SUM(N113:P113)</f>
        <v>175</v>
      </c>
      <c r="M113" s="994">
        <v>100.0</v>
      </c>
      <c r="N113" s="988">
        <v>137.0</v>
      </c>
      <c r="O113" s="988">
        <v>38.0</v>
      </c>
      <c r="P113" s="995"/>
      <c r="Q113" s="994">
        <f>L113*K112</f>
        <v>5425</v>
      </c>
      <c r="R113" s="996" t="s">
        <v>922</v>
      </c>
      <c r="S113" s="997">
        <f>Q127</f>
        <v>1309975</v>
      </c>
    </row>
    <row r="114">
      <c r="J114" s="985" t="s">
        <v>923</v>
      </c>
      <c r="K114" s="988">
        <v>320000.0</v>
      </c>
      <c r="L114" s="994">
        <f>L113*M114%</f>
        <v>-43.75</v>
      </c>
      <c r="M114" s="999">
        <f>K113-K126</f>
        <v>-25</v>
      </c>
      <c r="N114" s="994">
        <f>N113*M114%</f>
        <v>-34.25</v>
      </c>
      <c r="O114" s="994">
        <f>O113*M114%</f>
        <v>-9.5</v>
      </c>
      <c r="P114" s="994">
        <f>P113*M114%</f>
        <v>0</v>
      </c>
      <c r="Q114" s="994">
        <f>L114*K112</f>
        <v>-1356.25</v>
      </c>
      <c r="R114" s="985" t="s">
        <v>278</v>
      </c>
      <c r="S114" s="997">
        <f>S112*Q114+S113</f>
        <v>-222587.5</v>
      </c>
    </row>
    <row r="115">
      <c r="J115" s="985" t="s">
        <v>924</v>
      </c>
      <c r="K115" s="1033">
        <v>270000.0</v>
      </c>
      <c r="L115" s="1001" t="s">
        <v>925</v>
      </c>
      <c r="M115" s="3"/>
      <c r="N115" s="988">
        <v>22.926</v>
      </c>
      <c r="O115" s="988">
        <v>28.78</v>
      </c>
      <c r="P115" s="995"/>
      <c r="Q115" s="1002"/>
      <c r="R115" s="985" t="s">
        <v>926</v>
      </c>
      <c r="S115" s="994">
        <f>N120+SUM(N124:O126)+S127</f>
        <v>362931.0939</v>
      </c>
    </row>
    <row r="116">
      <c r="J116" s="1004" t="s">
        <v>927</v>
      </c>
      <c r="K116" s="1005">
        <v>1300.0</v>
      </c>
      <c r="L116" s="1006" t="s">
        <v>928</v>
      </c>
      <c r="M116" s="3"/>
      <c r="N116" s="994">
        <f t="shared" ref="N116:O116" si="32">N114/(360/N115)</f>
        <v>-2.181154167</v>
      </c>
      <c r="O116" s="994">
        <f t="shared" si="32"/>
        <v>-0.7594722222</v>
      </c>
      <c r="P116" s="1002"/>
      <c r="Q116" s="994">
        <f t="shared" ref="Q116:Q117" si="33">N116+O116+P116</f>
        <v>-2.940626389</v>
      </c>
      <c r="R116" s="985" t="s">
        <v>276</v>
      </c>
      <c r="S116" s="1007">
        <f>S115/S114</f>
        <v>-1.630509772</v>
      </c>
    </row>
    <row r="117">
      <c r="J117" s="1009" t="s">
        <v>929</v>
      </c>
      <c r="K117" s="1005">
        <v>6.5</v>
      </c>
      <c r="L117" s="1010" t="s">
        <v>930</v>
      </c>
      <c r="M117" s="988">
        <v>1230.0</v>
      </c>
      <c r="N117" s="994">
        <f>N116*(M117*6)</f>
        <v>-16096.91775</v>
      </c>
      <c r="O117" s="994">
        <f>O116*(M117*6)</f>
        <v>-5604.905</v>
      </c>
      <c r="P117" s="1002"/>
      <c r="Q117" s="994">
        <f t="shared" si="33"/>
        <v>-21701.82275</v>
      </c>
      <c r="R117" s="985" t="s">
        <v>931</v>
      </c>
      <c r="S117" s="997">
        <f>S114-S115-N127</f>
        <v>-1294018.594</v>
      </c>
    </row>
    <row r="118">
      <c r="J118" s="1011" t="s">
        <v>932</v>
      </c>
      <c r="K118" s="995"/>
      <c r="L118" s="1012"/>
      <c r="M118" s="1002"/>
      <c r="N118" s="1002"/>
      <c r="O118" s="1002"/>
      <c r="P118" s="1002"/>
      <c r="Q118" s="1002"/>
      <c r="R118" s="985" t="s">
        <v>275</v>
      </c>
      <c r="S118" s="1007">
        <f>S117/S114</f>
        <v>5.813527686</v>
      </c>
    </row>
    <row r="119">
      <c r="J119" s="1004" t="s">
        <v>933</v>
      </c>
      <c r="K119" s="1005">
        <v>1230.0</v>
      </c>
      <c r="L119" s="1006" t="s">
        <v>934</v>
      </c>
      <c r="M119" s="3"/>
      <c r="N119" s="994">
        <f>Q117+(Q116*K125)</f>
        <v>-23466.19858</v>
      </c>
      <c r="O119" s="1002"/>
      <c r="P119" s="1013" t="s">
        <v>935</v>
      </c>
      <c r="Q119" s="232"/>
      <c r="R119" s="232"/>
      <c r="S119" s="3"/>
    </row>
    <row r="120">
      <c r="J120" s="1015" t="s">
        <v>936</v>
      </c>
      <c r="K120" s="1005">
        <v>3.0</v>
      </c>
      <c r="L120" s="1006" t="s">
        <v>937</v>
      </c>
      <c r="M120" s="3"/>
      <c r="N120" s="994">
        <f>N119*K112+L113*K131*K112*110</f>
        <v>-694630.9061</v>
      </c>
      <c r="O120" s="1016"/>
      <c r="P120" s="1017" t="s">
        <v>938</v>
      </c>
      <c r="Q120" s="1018">
        <v>567400.0</v>
      </c>
      <c r="R120" s="985" t="s">
        <v>939</v>
      </c>
      <c r="S120" s="999">
        <v>100000.0</v>
      </c>
    </row>
    <row r="121">
      <c r="J121" s="1015" t="s">
        <v>940</v>
      </c>
      <c r="K121" s="1005">
        <f>K112</f>
        <v>31</v>
      </c>
      <c r="L121" s="1006" t="s">
        <v>941</v>
      </c>
      <c r="M121" s="3"/>
      <c r="N121" s="985" t="s">
        <v>374</v>
      </c>
      <c r="O121" s="1011" t="s">
        <v>348</v>
      </c>
      <c r="P121" s="1019" t="s">
        <v>942</v>
      </c>
      <c r="Q121" s="1020">
        <f>L113*K126%*K112*300</f>
        <v>406875</v>
      </c>
      <c r="R121" s="996" t="s">
        <v>943</v>
      </c>
      <c r="S121" s="994">
        <v>26250.0</v>
      </c>
    </row>
    <row r="122">
      <c r="J122" s="1004" t="s">
        <v>944</v>
      </c>
      <c r="K122" s="1005">
        <v>1230.0</v>
      </c>
      <c r="L122" s="1006" t="s">
        <v>945</v>
      </c>
      <c r="M122" s="3"/>
      <c r="N122" s="999">
        <f t="shared" ref="N122:N123" si="34">K114*1.15</f>
        <v>368000</v>
      </c>
      <c r="O122" s="1021">
        <v>15000.0</v>
      </c>
      <c r="P122" s="1022" t="s">
        <v>946</v>
      </c>
      <c r="Q122" s="1020">
        <f>L113*K127*K112*100</f>
        <v>24412.5</v>
      </c>
      <c r="R122" s="1023" t="s">
        <v>947</v>
      </c>
      <c r="S122" s="994">
        <v>25000.0</v>
      </c>
    </row>
    <row r="123">
      <c r="J123" s="1004" t="s">
        <v>948</v>
      </c>
      <c r="K123" s="1005">
        <v>5.0</v>
      </c>
      <c r="L123" s="1006" t="s">
        <v>949</v>
      </c>
      <c r="M123" s="3"/>
      <c r="N123" s="999">
        <f t="shared" si="34"/>
        <v>310500</v>
      </c>
      <c r="O123" s="999">
        <v>15000.0</v>
      </c>
      <c r="P123" s="1019" t="s">
        <v>950</v>
      </c>
      <c r="Q123" s="1025">
        <f>L113*K128*K112*100</f>
        <v>100362.5</v>
      </c>
      <c r="R123" s="1026" t="s">
        <v>951</v>
      </c>
      <c r="S123" s="3"/>
    </row>
    <row r="124">
      <c r="J124" s="1004" t="s">
        <v>952</v>
      </c>
      <c r="K124" s="1005">
        <v>35.0</v>
      </c>
      <c r="L124" s="1027" t="s">
        <v>953</v>
      </c>
      <c r="M124" s="3"/>
      <c r="N124" s="999">
        <f>(K112*3.5-43.4)*K116*K117</f>
        <v>550095</v>
      </c>
      <c r="O124" s="999">
        <f>(K112*3.5-43.4)*K125</f>
        <v>39060</v>
      </c>
      <c r="P124" s="1019" t="s">
        <v>954</v>
      </c>
      <c r="Q124" s="1020">
        <f>L113*K129*K112*100</f>
        <v>35262.5</v>
      </c>
      <c r="R124" s="985" t="s">
        <v>939</v>
      </c>
      <c r="S124" s="994">
        <v>60000.0</v>
      </c>
    </row>
    <row r="125">
      <c r="J125" s="1023" t="s">
        <v>955</v>
      </c>
      <c r="K125" s="1028">
        <v>600.0</v>
      </c>
      <c r="L125" s="1001" t="s">
        <v>956</v>
      </c>
      <c r="M125" s="3"/>
      <c r="N125" s="999">
        <f>K119*K120*K121</f>
        <v>114390</v>
      </c>
      <c r="O125" s="999">
        <f>K121*K125</f>
        <v>18600</v>
      </c>
      <c r="P125" s="1022" t="s">
        <v>133</v>
      </c>
      <c r="Q125" s="1020">
        <f>L113*K130*K112*100</f>
        <v>24412.5</v>
      </c>
      <c r="R125" s="996" t="s">
        <v>943</v>
      </c>
      <c r="S125" s="994">
        <v>20000.0</v>
      </c>
    </row>
    <row r="126">
      <c r="J126" s="1029" t="s">
        <v>957</v>
      </c>
      <c r="K126" s="1030">
        <v>25.0</v>
      </c>
      <c r="L126" s="1001" t="s">
        <v>958</v>
      </c>
      <c r="M126" s="3"/>
      <c r="N126" s="999">
        <f>K122*K123*K124</f>
        <v>215250</v>
      </c>
      <c r="O126" s="999">
        <f>K124*K125</f>
        <v>21000</v>
      </c>
      <c r="P126" s="1019" t="s">
        <v>959</v>
      </c>
      <c r="Q126" s="1020">
        <f>L113*K131*K112*250</f>
        <v>74593.75</v>
      </c>
      <c r="R126" s="1023" t="s">
        <v>947</v>
      </c>
      <c r="S126" s="994">
        <v>19167.0</v>
      </c>
    </row>
    <row r="127">
      <c r="J127" s="985" t="s">
        <v>946</v>
      </c>
      <c r="K127" s="1007">
        <v>0.045</v>
      </c>
      <c r="L127" s="1001" t="s">
        <v>960</v>
      </c>
      <c r="M127" s="3"/>
      <c r="N127" s="999">
        <f>SUM(N122:O123)</f>
        <v>708500</v>
      </c>
      <c r="O127" s="1031"/>
      <c r="P127" s="985" t="s">
        <v>344</v>
      </c>
      <c r="Q127" s="997">
        <f>SUM(Q120:Q125)+SUM(S120:S122)</f>
        <v>1309975</v>
      </c>
      <c r="R127" s="985" t="s">
        <v>344</v>
      </c>
      <c r="S127" s="994">
        <f>S124+S125+S126</f>
        <v>99167</v>
      </c>
    </row>
    <row r="128">
      <c r="J128" s="1023" t="s">
        <v>961</v>
      </c>
      <c r="K128" s="1007">
        <v>0.185</v>
      </c>
      <c r="L128" s="976"/>
      <c r="M128" s="976"/>
      <c r="N128" s="976"/>
      <c r="O128" s="976"/>
      <c r="P128" s="976"/>
      <c r="Q128" s="976"/>
      <c r="R128" s="976"/>
      <c r="S128" s="976"/>
    </row>
    <row r="129">
      <c r="J129" s="1023" t="s">
        <v>962</v>
      </c>
      <c r="K129" s="1007">
        <v>0.065</v>
      </c>
      <c r="L129" s="976"/>
      <c r="M129" s="976"/>
      <c r="N129" s="976"/>
      <c r="O129" s="976"/>
      <c r="P129" s="976"/>
      <c r="Q129" s="976"/>
      <c r="R129" s="976"/>
      <c r="S129" s="976"/>
    </row>
    <row r="130">
      <c r="J130" s="1023" t="s">
        <v>133</v>
      </c>
      <c r="K130" s="1007">
        <v>0.045</v>
      </c>
      <c r="L130" s="976"/>
      <c r="M130" s="976"/>
      <c r="N130" s="976"/>
      <c r="O130" s="976"/>
      <c r="P130" s="976"/>
      <c r="Q130" s="976"/>
      <c r="R130" s="976"/>
      <c r="S130" s="976"/>
    </row>
    <row r="131">
      <c r="J131" s="1023" t="s">
        <v>959</v>
      </c>
      <c r="K131" s="1007">
        <v>0.055</v>
      </c>
      <c r="L131" s="976"/>
      <c r="M131" s="976"/>
      <c r="N131" s="976"/>
      <c r="O131" s="976"/>
      <c r="P131" s="976"/>
      <c r="Q131" s="976"/>
      <c r="R131" s="976"/>
      <c r="S131" s="976"/>
    </row>
    <row r="133">
      <c r="J133" s="977" t="s">
        <v>915</v>
      </c>
      <c r="K133" s="978">
        <f>A9</f>
        <v>46235</v>
      </c>
      <c r="L133" s="977" t="str">
        <f>"①R"&amp;year(K133)-2018&amp;"_"&amp;month(K133)&amp;"集計"</f>
        <v>①R8_8集計</v>
      </c>
      <c r="M133" s="6"/>
      <c r="N133" s="6"/>
      <c r="O133" s="979">
        <f>S136</f>
        <v>-222587.5</v>
      </c>
      <c r="P133" s="979">
        <f>S139</f>
        <v>-1294018.594</v>
      </c>
      <c r="Q133" s="980">
        <f>S140</f>
        <v>5.813527686</v>
      </c>
      <c r="R133" s="980">
        <f>S138</f>
        <v>-1.630509772</v>
      </c>
      <c r="S133" s="976"/>
    </row>
    <row r="134">
      <c r="J134" s="985" t="s">
        <v>918</v>
      </c>
      <c r="K134" s="986">
        <f>DAY(EOMONTH(K133,0))</f>
        <v>31</v>
      </c>
      <c r="L134" s="987" t="s">
        <v>919</v>
      </c>
      <c r="M134" s="987" t="s">
        <v>277</v>
      </c>
      <c r="N134" s="987" t="s">
        <v>296</v>
      </c>
      <c r="O134" s="987" t="s">
        <v>298</v>
      </c>
      <c r="P134" s="987" t="s">
        <v>298</v>
      </c>
      <c r="Q134" s="987" t="s">
        <v>920</v>
      </c>
      <c r="R134" s="985" t="s">
        <v>921</v>
      </c>
      <c r="S134" s="988">
        <v>1130.0</v>
      </c>
    </row>
    <row r="135">
      <c r="J135" s="985" t="s">
        <v>277</v>
      </c>
      <c r="K135" s="993">
        <f t="array" ref="K135">xlookup(L133,$B$3:$B$14,$C$3:$C$14)*100</f>
        <v>0</v>
      </c>
      <c r="L135" s="994">
        <f>SUM(N135:P135)</f>
        <v>175</v>
      </c>
      <c r="M135" s="994">
        <v>100.0</v>
      </c>
      <c r="N135" s="988">
        <v>137.0</v>
      </c>
      <c r="O135" s="988">
        <v>38.0</v>
      </c>
      <c r="P135" s="995"/>
      <c r="Q135" s="994">
        <f>L135*K134</f>
        <v>5425</v>
      </c>
      <c r="R135" s="996" t="s">
        <v>922</v>
      </c>
      <c r="S135" s="997">
        <f>Q149</f>
        <v>1309975</v>
      </c>
    </row>
    <row r="136">
      <c r="J136" s="985" t="s">
        <v>923</v>
      </c>
      <c r="K136" s="988">
        <v>320000.0</v>
      </c>
      <c r="L136" s="994">
        <f>L135*M136%</f>
        <v>-43.75</v>
      </c>
      <c r="M136" s="999">
        <f>K135-K148</f>
        <v>-25</v>
      </c>
      <c r="N136" s="994">
        <f>N135*M136%</f>
        <v>-34.25</v>
      </c>
      <c r="O136" s="994">
        <f>O135*M136%</f>
        <v>-9.5</v>
      </c>
      <c r="P136" s="994">
        <f>P135*M136%</f>
        <v>0</v>
      </c>
      <c r="Q136" s="994">
        <f>L136*K134</f>
        <v>-1356.25</v>
      </c>
      <c r="R136" s="985" t="s">
        <v>278</v>
      </c>
      <c r="S136" s="997">
        <f>S134*Q136+S135</f>
        <v>-222587.5</v>
      </c>
    </row>
    <row r="137">
      <c r="J137" s="985" t="s">
        <v>924</v>
      </c>
      <c r="K137" s="1033">
        <v>270000.0</v>
      </c>
      <c r="L137" s="1001" t="s">
        <v>925</v>
      </c>
      <c r="M137" s="3"/>
      <c r="N137" s="988">
        <v>22.926</v>
      </c>
      <c r="O137" s="988">
        <v>28.78</v>
      </c>
      <c r="P137" s="995"/>
      <c r="Q137" s="1002"/>
      <c r="R137" s="985" t="s">
        <v>926</v>
      </c>
      <c r="S137" s="994">
        <f>N142+SUM(N146:O148)+S149</f>
        <v>362931.0939</v>
      </c>
    </row>
    <row r="138">
      <c r="J138" s="1004" t="s">
        <v>927</v>
      </c>
      <c r="K138" s="1005">
        <v>1300.0</v>
      </c>
      <c r="L138" s="1006" t="s">
        <v>928</v>
      </c>
      <c r="M138" s="3"/>
      <c r="N138" s="994">
        <f t="shared" ref="N138:O138" si="35">N136/(360/N137)</f>
        <v>-2.181154167</v>
      </c>
      <c r="O138" s="994">
        <f t="shared" si="35"/>
        <v>-0.7594722222</v>
      </c>
      <c r="P138" s="1002"/>
      <c r="Q138" s="994">
        <f t="shared" ref="Q138:Q139" si="36">N138+O138+P138</f>
        <v>-2.940626389</v>
      </c>
      <c r="R138" s="985" t="s">
        <v>276</v>
      </c>
      <c r="S138" s="1007">
        <f>S137/S136</f>
        <v>-1.630509772</v>
      </c>
    </row>
    <row r="139">
      <c r="J139" s="1009" t="s">
        <v>929</v>
      </c>
      <c r="K139" s="1005">
        <v>6.5</v>
      </c>
      <c r="L139" s="1010" t="s">
        <v>930</v>
      </c>
      <c r="M139" s="988">
        <v>1230.0</v>
      </c>
      <c r="N139" s="994">
        <f>N138*(M139*6)</f>
        <v>-16096.91775</v>
      </c>
      <c r="O139" s="994">
        <f>O138*(M139*6)</f>
        <v>-5604.905</v>
      </c>
      <c r="P139" s="1002"/>
      <c r="Q139" s="994">
        <f t="shared" si="36"/>
        <v>-21701.82275</v>
      </c>
      <c r="R139" s="985" t="s">
        <v>931</v>
      </c>
      <c r="S139" s="997">
        <f>S136-S137-N149</f>
        <v>-1294018.594</v>
      </c>
    </row>
    <row r="140">
      <c r="J140" s="1011" t="s">
        <v>932</v>
      </c>
      <c r="K140" s="995"/>
      <c r="L140" s="1012"/>
      <c r="M140" s="1002"/>
      <c r="N140" s="1002"/>
      <c r="O140" s="1002"/>
      <c r="P140" s="1002"/>
      <c r="Q140" s="1002"/>
      <c r="R140" s="985" t="s">
        <v>275</v>
      </c>
      <c r="S140" s="1007">
        <f>S139/S136</f>
        <v>5.813527686</v>
      </c>
    </row>
    <row r="141">
      <c r="J141" s="1004" t="s">
        <v>933</v>
      </c>
      <c r="K141" s="1005">
        <v>1230.0</v>
      </c>
      <c r="L141" s="1006" t="s">
        <v>934</v>
      </c>
      <c r="M141" s="3"/>
      <c r="N141" s="994">
        <f>Q139+(Q138*K147)</f>
        <v>-23466.19858</v>
      </c>
      <c r="O141" s="1002"/>
      <c r="P141" s="1013" t="s">
        <v>935</v>
      </c>
      <c r="Q141" s="232"/>
      <c r="R141" s="232"/>
      <c r="S141" s="3"/>
    </row>
    <row r="142">
      <c r="J142" s="1015" t="s">
        <v>936</v>
      </c>
      <c r="K142" s="1005">
        <v>3.0</v>
      </c>
      <c r="L142" s="1006" t="s">
        <v>937</v>
      </c>
      <c r="M142" s="3"/>
      <c r="N142" s="994">
        <f>N141*K134+L135*K153*K134*110</f>
        <v>-694630.9061</v>
      </c>
      <c r="O142" s="1016"/>
      <c r="P142" s="1017" t="s">
        <v>938</v>
      </c>
      <c r="Q142" s="1018">
        <v>567400.0</v>
      </c>
      <c r="R142" s="985" t="s">
        <v>939</v>
      </c>
      <c r="S142" s="999">
        <v>100000.0</v>
      </c>
    </row>
    <row r="143">
      <c r="J143" s="1015" t="s">
        <v>940</v>
      </c>
      <c r="K143" s="1005">
        <f>K134</f>
        <v>31</v>
      </c>
      <c r="L143" s="1006" t="s">
        <v>941</v>
      </c>
      <c r="M143" s="3"/>
      <c r="N143" s="985" t="s">
        <v>374</v>
      </c>
      <c r="O143" s="1011" t="s">
        <v>348</v>
      </c>
      <c r="P143" s="1019" t="s">
        <v>942</v>
      </c>
      <c r="Q143" s="1020">
        <f>L135*K148%*K134*300</f>
        <v>406875</v>
      </c>
      <c r="R143" s="996" t="s">
        <v>943</v>
      </c>
      <c r="S143" s="994">
        <v>26250.0</v>
      </c>
    </row>
    <row r="144">
      <c r="J144" s="1004" t="s">
        <v>944</v>
      </c>
      <c r="K144" s="1005">
        <v>1230.0</v>
      </c>
      <c r="L144" s="1006" t="s">
        <v>945</v>
      </c>
      <c r="M144" s="3"/>
      <c r="N144" s="999">
        <f t="shared" ref="N144:N145" si="37">K136*1.15</f>
        <v>368000</v>
      </c>
      <c r="O144" s="1021">
        <v>15000.0</v>
      </c>
      <c r="P144" s="1022" t="s">
        <v>946</v>
      </c>
      <c r="Q144" s="1020">
        <f>L135*K149*K134*100</f>
        <v>24412.5</v>
      </c>
      <c r="R144" s="1023" t="s">
        <v>947</v>
      </c>
      <c r="S144" s="994">
        <v>25000.0</v>
      </c>
    </row>
    <row r="145">
      <c r="J145" s="1004" t="s">
        <v>948</v>
      </c>
      <c r="K145" s="1005">
        <v>5.0</v>
      </c>
      <c r="L145" s="1006" t="s">
        <v>949</v>
      </c>
      <c r="M145" s="3"/>
      <c r="N145" s="999">
        <f t="shared" si="37"/>
        <v>310500</v>
      </c>
      <c r="O145" s="999">
        <v>15000.0</v>
      </c>
      <c r="P145" s="1019" t="s">
        <v>950</v>
      </c>
      <c r="Q145" s="1025">
        <f>L135*K150*K134*100</f>
        <v>100362.5</v>
      </c>
      <c r="R145" s="1026" t="s">
        <v>951</v>
      </c>
      <c r="S145" s="3"/>
    </row>
    <row r="146">
      <c r="J146" s="1004" t="s">
        <v>952</v>
      </c>
      <c r="K146" s="1005">
        <v>35.0</v>
      </c>
      <c r="L146" s="1027" t="s">
        <v>953</v>
      </c>
      <c r="M146" s="3"/>
      <c r="N146" s="999">
        <f>(K134*3.5-43.4)*K138*K139</f>
        <v>550095</v>
      </c>
      <c r="O146" s="999">
        <f>(K134*3.5-43.4)*K147</f>
        <v>39060</v>
      </c>
      <c r="P146" s="1019" t="s">
        <v>954</v>
      </c>
      <c r="Q146" s="1020">
        <f>L135*K151*K134*100</f>
        <v>35262.5</v>
      </c>
      <c r="R146" s="985" t="s">
        <v>939</v>
      </c>
      <c r="S146" s="994">
        <v>60000.0</v>
      </c>
    </row>
    <row r="147">
      <c r="J147" s="1023" t="s">
        <v>955</v>
      </c>
      <c r="K147" s="1028">
        <v>600.0</v>
      </c>
      <c r="L147" s="1001" t="s">
        <v>956</v>
      </c>
      <c r="M147" s="3"/>
      <c r="N147" s="999">
        <f>K141*K142*K143</f>
        <v>114390</v>
      </c>
      <c r="O147" s="999">
        <f>K143*K147</f>
        <v>18600</v>
      </c>
      <c r="P147" s="1022" t="s">
        <v>133</v>
      </c>
      <c r="Q147" s="1020">
        <f>L135*K152*K134*100</f>
        <v>24412.5</v>
      </c>
      <c r="R147" s="996" t="s">
        <v>943</v>
      </c>
      <c r="S147" s="994">
        <v>20000.0</v>
      </c>
    </row>
    <row r="148">
      <c r="J148" s="1029" t="s">
        <v>957</v>
      </c>
      <c r="K148" s="1030">
        <v>25.0</v>
      </c>
      <c r="L148" s="1001" t="s">
        <v>958</v>
      </c>
      <c r="M148" s="3"/>
      <c r="N148" s="999">
        <f>K144*K145*K146</f>
        <v>215250</v>
      </c>
      <c r="O148" s="999">
        <f>K146*K147</f>
        <v>21000</v>
      </c>
      <c r="P148" s="1019" t="s">
        <v>959</v>
      </c>
      <c r="Q148" s="1020">
        <f>L135*K153*K134*250</f>
        <v>74593.75</v>
      </c>
      <c r="R148" s="1023" t="s">
        <v>947</v>
      </c>
      <c r="S148" s="994">
        <v>19167.0</v>
      </c>
    </row>
    <row r="149">
      <c r="J149" s="985" t="s">
        <v>946</v>
      </c>
      <c r="K149" s="1007">
        <v>0.045</v>
      </c>
      <c r="L149" s="1001" t="s">
        <v>960</v>
      </c>
      <c r="M149" s="3"/>
      <c r="N149" s="999">
        <f>SUM(N144:O145)</f>
        <v>708500</v>
      </c>
      <c r="O149" s="1031"/>
      <c r="P149" s="985" t="s">
        <v>344</v>
      </c>
      <c r="Q149" s="997">
        <f>SUM(Q142:Q147)+SUM(S142:S144)</f>
        <v>1309975</v>
      </c>
      <c r="R149" s="985" t="s">
        <v>344</v>
      </c>
      <c r="S149" s="994">
        <f>S146+S147+S148</f>
        <v>99167</v>
      </c>
    </row>
    <row r="150">
      <c r="J150" s="1023" t="s">
        <v>961</v>
      </c>
      <c r="K150" s="1007">
        <v>0.185</v>
      </c>
      <c r="L150" s="976"/>
      <c r="M150" s="976"/>
      <c r="N150" s="976"/>
      <c r="O150" s="976"/>
      <c r="P150" s="976"/>
      <c r="Q150" s="976"/>
      <c r="R150" s="976"/>
      <c r="S150" s="976"/>
    </row>
    <row r="151">
      <c r="J151" s="1023" t="s">
        <v>962</v>
      </c>
      <c r="K151" s="1007">
        <v>0.065</v>
      </c>
      <c r="L151" s="976"/>
      <c r="M151" s="976"/>
      <c r="N151" s="976"/>
      <c r="O151" s="976"/>
      <c r="P151" s="976"/>
      <c r="Q151" s="976"/>
      <c r="R151" s="976"/>
      <c r="S151" s="976"/>
    </row>
    <row r="152">
      <c r="J152" s="1023" t="s">
        <v>133</v>
      </c>
      <c r="K152" s="1007">
        <v>0.045</v>
      </c>
      <c r="L152" s="976"/>
      <c r="M152" s="976"/>
      <c r="N152" s="976"/>
      <c r="O152" s="976"/>
      <c r="P152" s="976"/>
      <c r="Q152" s="976"/>
      <c r="R152" s="976"/>
      <c r="S152" s="976"/>
    </row>
    <row r="153">
      <c r="J153" s="1023" t="s">
        <v>959</v>
      </c>
      <c r="K153" s="1007">
        <v>0.055</v>
      </c>
      <c r="L153" s="976"/>
      <c r="M153" s="976"/>
      <c r="N153" s="976"/>
      <c r="O153" s="976"/>
      <c r="P153" s="976"/>
      <c r="Q153" s="976"/>
      <c r="R153" s="976"/>
      <c r="S153" s="976"/>
    </row>
    <row r="155">
      <c r="J155" s="977" t="s">
        <v>915</v>
      </c>
      <c r="K155" s="978">
        <f>A9</f>
        <v>46235</v>
      </c>
      <c r="L155" s="977" t="str">
        <f>"①R"&amp;year(K155)-2018&amp;"_"&amp;month(K155)&amp;"集計"</f>
        <v>①R8_8集計</v>
      </c>
      <c r="M155" s="6"/>
      <c r="N155" s="6"/>
      <c r="O155" s="979">
        <f>S158</f>
        <v>-222587.5</v>
      </c>
      <c r="P155" s="979">
        <f>S161</f>
        <v>-1294018.594</v>
      </c>
      <c r="Q155" s="980">
        <f>S162</f>
        <v>5.813527686</v>
      </c>
      <c r="R155" s="980">
        <f>S160</f>
        <v>-1.630509772</v>
      </c>
      <c r="S155" s="976"/>
    </row>
    <row r="156">
      <c r="J156" s="985" t="s">
        <v>918</v>
      </c>
      <c r="K156" s="986">
        <f>DAY(EOMONTH(K155,0))</f>
        <v>31</v>
      </c>
      <c r="L156" s="987" t="s">
        <v>919</v>
      </c>
      <c r="M156" s="987" t="s">
        <v>277</v>
      </c>
      <c r="N156" s="987" t="s">
        <v>296</v>
      </c>
      <c r="O156" s="987" t="s">
        <v>298</v>
      </c>
      <c r="P156" s="987" t="s">
        <v>298</v>
      </c>
      <c r="Q156" s="987" t="s">
        <v>920</v>
      </c>
      <c r="R156" s="985" t="s">
        <v>921</v>
      </c>
      <c r="S156" s="988">
        <v>1130.0</v>
      </c>
    </row>
    <row r="157">
      <c r="J157" s="985" t="s">
        <v>277</v>
      </c>
      <c r="K157" s="993">
        <f t="array" ref="K157">xlookup(L155,$B$3:$B$14,$C$3:$C$14)*100</f>
        <v>0</v>
      </c>
      <c r="L157" s="994">
        <f>SUM(N157:P157)</f>
        <v>175</v>
      </c>
      <c r="M157" s="994">
        <v>100.0</v>
      </c>
      <c r="N157" s="988">
        <v>137.0</v>
      </c>
      <c r="O157" s="988">
        <v>38.0</v>
      </c>
      <c r="P157" s="995"/>
      <c r="Q157" s="994">
        <f>L157*K156</f>
        <v>5425</v>
      </c>
      <c r="R157" s="996" t="s">
        <v>922</v>
      </c>
      <c r="S157" s="997">
        <f>Q171</f>
        <v>1309975</v>
      </c>
    </row>
    <row r="158">
      <c r="J158" s="985" t="s">
        <v>923</v>
      </c>
      <c r="K158" s="988">
        <v>320000.0</v>
      </c>
      <c r="L158" s="994">
        <f>L157*M158%</f>
        <v>-43.75</v>
      </c>
      <c r="M158" s="999">
        <f>K157-K170</f>
        <v>-25</v>
      </c>
      <c r="N158" s="994">
        <f>N157*M158%</f>
        <v>-34.25</v>
      </c>
      <c r="O158" s="994">
        <f>O157*M158%</f>
        <v>-9.5</v>
      </c>
      <c r="P158" s="994">
        <f>P157*M158%</f>
        <v>0</v>
      </c>
      <c r="Q158" s="994">
        <f>L158*K156</f>
        <v>-1356.25</v>
      </c>
      <c r="R158" s="985" t="s">
        <v>278</v>
      </c>
      <c r="S158" s="997">
        <f>S156*Q158+S157</f>
        <v>-222587.5</v>
      </c>
    </row>
    <row r="159">
      <c r="J159" s="985" t="s">
        <v>924</v>
      </c>
      <c r="K159" s="1033">
        <v>270000.0</v>
      </c>
      <c r="L159" s="1001" t="s">
        <v>925</v>
      </c>
      <c r="M159" s="3"/>
      <c r="N159" s="988">
        <v>22.926</v>
      </c>
      <c r="O159" s="988">
        <v>28.78</v>
      </c>
      <c r="P159" s="995"/>
      <c r="Q159" s="1002"/>
      <c r="R159" s="985" t="s">
        <v>926</v>
      </c>
      <c r="S159" s="994">
        <f>N164+SUM(N168:O170)+S171</f>
        <v>362931.0939</v>
      </c>
    </row>
    <row r="160">
      <c r="J160" s="1004" t="s">
        <v>927</v>
      </c>
      <c r="K160" s="1005">
        <v>1300.0</v>
      </c>
      <c r="L160" s="1006" t="s">
        <v>928</v>
      </c>
      <c r="M160" s="3"/>
      <c r="N160" s="994">
        <f t="shared" ref="N160:O160" si="38">N158/(360/N159)</f>
        <v>-2.181154167</v>
      </c>
      <c r="O160" s="994">
        <f t="shared" si="38"/>
        <v>-0.7594722222</v>
      </c>
      <c r="P160" s="1002"/>
      <c r="Q160" s="994">
        <f t="shared" ref="Q160:Q161" si="39">N160+O160+P160</f>
        <v>-2.940626389</v>
      </c>
      <c r="R160" s="985" t="s">
        <v>276</v>
      </c>
      <c r="S160" s="1007">
        <f>S159/S158</f>
        <v>-1.630509772</v>
      </c>
    </row>
    <row r="161">
      <c r="J161" s="1009" t="s">
        <v>929</v>
      </c>
      <c r="K161" s="1005">
        <v>6.5</v>
      </c>
      <c r="L161" s="1010" t="s">
        <v>930</v>
      </c>
      <c r="M161" s="988">
        <v>1230.0</v>
      </c>
      <c r="N161" s="994">
        <f>N160*(M161*6)</f>
        <v>-16096.91775</v>
      </c>
      <c r="O161" s="994">
        <f>O160*(M161*6)</f>
        <v>-5604.905</v>
      </c>
      <c r="P161" s="1002"/>
      <c r="Q161" s="994">
        <f t="shared" si="39"/>
        <v>-21701.82275</v>
      </c>
      <c r="R161" s="985" t="s">
        <v>931</v>
      </c>
      <c r="S161" s="997">
        <f>S158-S159-N171</f>
        <v>-1294018.594</v>
      </c>
    </row>
    <row r="162">
      <c r="J162" s="1011" t="s">
        <v>932</v>
      </c>
      <c r="K162" s="995"/>
      <c r="L162" s="1012"/>
      <c r="M162" s="1002"/>
      <c r="N162" s="1002"/>
      <c r="O162" s="1002"/>
      <c r="P162" s="1002"/>
      <c r="Q162" s="1002"/>
      <c r="R162" s="985" t="s">
        <v>275</v>
      </c>
      <c r="S162" s="1007">
        <f>S161/S158</f>
        <v>5.813527686</v>
      </c>
    </row>
    <row r="163">
      <c r="J163" s="1004" t="s">
        <v>933</v>
      </c>
      <c r="K163" s="1005">
        <v>1230.0</v>
      </c>
      <c r="L163" s="1006" t="s">
        <v>934</v>
      </c>
      <c r="M163" s="3"/>
      <c r="N163" s="994">
        <f>Q161+(Q160*K169)</f>
        <v>-23466.19858</v>
      </c>
      <c r="O163" s="1002"/>
      <c r="P163" s="1013" t="s">
        <v>935</v>
      </c>
      <c r="Q163" s="232"/>
      <c r="R163" s="232"/>
      <c r="S163" s="3"/>
    </row>
    <row r="164">
      <c r="J164" s="1015" t="s">
        <v>936</v>
      </c>
      <c r="K164" s="1005">
        <v>3.0</v>
      </c>
      <c r="L164" s="1006" t="s">
        <v>937</v>
      </c>
      <c r="M164" s="3"/>
      <c r="N164" s="994">
        <f>N163*K156+L157*K175*K156*110</f>
        <v>-694630.9061</v>
      </c>
      <c r="O164" s="1016"/>
      <c r="P164" s="1017" t="s">
        <v>938</v>
      </c>
      <c r="Q164" s="1018">
        <v>567400.0</v>
      </c>
      <c r="R164" s="985" t="s">
        <v>939</v>
      </c>
      <c r="S164" s="999">
        <v>100000.0</v>
      </c>
    </row>
    <row r="165">
      <c r="J165" s="1015" t="s">
        <v>940</v>
      </c>
      <c r="K165" s="1005">
        <f>K156</f>
        <v>31</v>
      </c>
      <c r="L165" s="1006" t="s">
        <v>941</v>
      </c>
      <c r="M165" s="3"/>
      <c r="N165" s="985" t="s">
        <v>374</v>
      </c>
      <c r="O165" s="1011" t="s">
        <v>348</v>
      </c>
      <c r="P165" s="1019" t="s">
        <v>942</v>
      </c>
      <c r="Q165" s="1020">
        <f>L157*K170%*K156*300</f>
        <v>406875</v>
      </c>
      <c r="R165" s="996" t="s">
        <v>943</v>
      </c>
      <c r="S165" s="994">
        <v>26250.0</v>
      </c>
    </row>
    <row r="166">
      <c r="J166" s="1004" t="s">
        <v>944</v>
      </c>
      <c r="K166" s="1005">
        <v>1230.0</v>
      </c>
      <c r="L166" s="1006" t="s">
        <v>945</v>
      </c>
      <c r="M166" s="3"/>
      <c r="N166" s="999">
        <f t="shared" ref="N166:N167" si="40">K158*1.15</f>
        <v>368000</v>
      </c>
      <c r="O166" s="1021">
        <v>15000.0</v>
      </c>
      <c r="P166" s="1022" t="s">
        <v>946</v>
      </c>
      <c r="Q166" s="1020">
        <f>L157*K171*K156*100</f>
        <v>24412.5</v>
      </c>
      <c r="R166" s="1023" t="s">
        <v>947</v>
      </c>
      <c r="S166" s="994">
        <v>25000.0</v>
      </c>
    </row>
    <row r="167">
      <c r="J167" s="1004" t="s">
        <v>948</v>
      </c>
      <c r="K167" s="1005">
        <v>5.0</v>
      </c>
      <c r="L167" s="1006" t="s">
        <v>949</v>
      </c>
      <c r="M167" s="3"/>
      <c r="N167" s="999">
        <f t="shared" si="40"/>
        <v>310500</v>
      </c>
      <c r="O167" s="999">
        <v>15000.0</v>
      </c>
      <c r="P167" s="1019" t="s">
        <v>950</v>
      </c>
      <c r="Q167" s="1025">
        <f>L157*K172*K156*100</f>
        <v>100362.5</v>
      </c>
      <c r="R167" s="1026" t="s">
        <v>951</v>
      </c>
      <c r="S167" s="3"/>
    </row>
    <row r="168">
      <c r="J168" s="1004" t="s">
        <v>952</v>
      </c>
      <c r="K168" s="1005">
        <v>35.0</v>
      </c>
      <c r="L168" s="1027" t="s">
        <v>953</v>
      </c>
      <c r="M168" s="3"/>
      <c r="N168" s="999">
        <f>(K156*3.5-43.4)*K160*K161</f>
        <v>550095</v>
      </c>
      <c r="O168" s="999">
        <f>(K156*3.5-43.4)*K169</f>
        <v>39060</v>
      </c>
      <c r="P168" s="1019" t="s">
        <v>954</v>
      </c>
      <c r="Q168" s="1020">
        <f>L157*K173*K156*100</f>
        <v>35262.5</v>
      </c>
      <c r="R168" s="985" t="s">
        <v>939</v>
      </c>
      <c r="S168" s="994">
        <v>60000.0</v>
      </c>
    </row>
    <row r="169">
      <c r="J169" s="1023" t="s">
        <v>955</v>
      </c>
      <c r="K169" s="1028">
        <v>600.0</v>
      </c>
      <c r="L169" s="1001" t="s">
        <v>956</v>
      </c>
      <c r="M169" s="3"/>
      <c r="N169" s="999">
        <f>K163*K164*K165</f>
        <v>114390</v>
      </c>
      <c r="O169" s="999">
        <f>K165*K169</f>
        <v>18600</v>
      </c>
      <c r="P169" s="1022" t="s">
        <v>133</v>
      </c>
      <c r="Q169" s="1020">
        <f>L157*K174*K156*100</f>
        <v>24412.5</v>
      </c>
      <c r="R169" s="996" t="s">
        <v>943</v>
      </c>
      <c r="S169" s="994">
        <v>20000.0</v>
      </c>
    </row>
    <row r="170">
      <c r="J170" s="1029" t="s">
        <v>957</v>
      </c>
      <c r="K170" s="1030">
        <v>25.0</v>
      </c>
      <c r="L170" s="1001" t="s">
        <v>958</v>
      </c>
      <c r="M170" s="3"/>
      <c r="N170" s="999">
        <f>K166*K167*K168</f>
        <v>215250</v>
      </c>
      <c r="O170" s="999">
        <f>K168*K169</f>
        <v>21000</v>
      </c>
      <c r="P170" s="1019" t="s">
        <v>959</v>
      </c>
      <c r="Q170" s="1020">
        <f>L157*K175*K156*250</f>
        <v>74593.75</v>
      </c>
      <c r="R170" s="1023" t="s">
        <v>947</v>
      </c>
      <c r="S170" s="994">
        <v>19167.0</v>
      </c>
    </row>
    <row r="171">
      <c r="J171" s="985" t="s">
        <v>946</v>
      </c>
      <c r="K171" s="1007">
        <v>0.045</v>
      </c>
      <c r="L171" s="1001" t="s">
        <v>960</v>
      </c>
      <c r="M171" s="3"/>
      <c r="N171" s="999">
        <f>SUM(N166:O167)</f>
        <v>708500</v>
      </c>
      <c r="O171" s="1031"/>
      <c r="P171" s="985" t="s">
        <v>344</v>
      </c>
      <c r="Q171" s="997">
        <f>SUM(Q164:Q169)+SUM(S164:S166)</f>
        <v>1309975</v>
      </c>
      <c r="R171" s="985" t="s">
        <v>344</v>
      </c>
      <c r="S171" s="994">
        <f>S168+S169+S170</f>
        <v>99167</v>
      </c>
    </row>
    <row r="172">
      <c r="J172" s="1023" t="s">
        <v>961</v>
      </c>
      <c r="K172" s="1007">
        <v>0.185</v>
      </c>
      <c r="L172" s="976"/>
      <c r="M172" s="976"/>
      <c r="N172" s="976"/>
      <c r="O172" s="976"/>
      <c r="P172" s="976"/>
      <c r="Q172" s="976"/>
      <c r="R172" s="976"/>
      <c r="S172" s="976"/>
    </row>
    <row r="173">
      <c r="J173" s="1023" t="s">
        <v>962</v>
      </c>
      <c r="K173" s="1007">
        <v>0.065</v>
      </c>
      <c r="L173" s="976"/>
      <c r="M173" s="976"/>
      <c r="N173" s="976"/>
      <c r="O173" s="976"/>
      <c r="P173" s="976"/>
      <c r="Q173" s="976"/>
      <c r="R173" s="976"/>
      <c r="S173" s="976"/>
    </row>
    <row r="174">
      <c r="J174" s="1023" t="s">
        <v>133</v>
      </c>
      <c r="K174" s="1007">
        <v>0.045</v>
      </c>
      <c r="L174" s="976"/>
      <c r="M174" s="976"/>
      <c r="N174" s="976"/>
      <c r="O174" s="976"/>
      <c r="P174" s="976"/>
      <c r="Q174" s="976"/>
      <c r="R174" s="976"/>
      <c r="S174" s="976"/>
    </row>
    <row r="175">
      <c r="J175" s="1023" t="s">
        <v>959</v>
      </c>
      <c r="K175" s="1007">
        <v>0.055</v>
      </c>
      <c r="L175" s="976"/>
      <c r="M175" s="976"/>
      <c r="N175" s="976"/>
      <c r="O175" s="976"/>
      <c r="P175" s="976"/>
      <c r="Q175" s="976"/>
      <c r="R175" s="976"/>
      <c r="S175" s="976"/>
    </row>
    <row r="177">
      <c r="J177" s="977" t="s">
        <v>915</v>
      </c>
      <c r="K177" s="978">
        <f>A10</f>
        <v>46266</v>
      </c>
      <c r="L177" s="977" t="str">
        <f>"①R"&amp;year(K177)-2018&amp;"_"&amp;month(K177)&amp;"集計"</f>
        <v>①R8_9集計</v>
      </c>
      <c r="M177" s="6"/>
      <c r="N177" s="6"/>
      <c r="O177" s="979">
        <f>S180</f>
        <v>-192225</v>
      </c>
      <c r="P177" s="979">
        <f>S183</f>
        <v>-1250098.543</v>
      </c>
      <c r="Q177" s="980">
        <f>S184</f>
        <v>6.503308844</v>
      </c>
      <c r="R177" s="980">
        <f>S182</f>
        <v>-1.817523956</v>
      </c>
      <c r="S177" s="976"/>
    </row>
    <row r="178">
      <c r="J178" s="985" t="s">
        <v>918</v>
      </c>
      <c r="K178" s="986">
        <f>DAY(EOMONTH(K177,0))</f>
        <v>30</v>
      </c>
      <c r="L178" s="987" t="s">
        <v>919</v>
      </c>
      <c r="M178" s="987" t="s">
        <v>277</v>
      </c>
      <c r="N178" s="987" t="s">
        <v>296</v>
      </c>
      <c r="O178" s="987" t="s">
        <v>298</v>
      </c>
      <c r="P178" s="987" t="s">
        <v>298</v>
      </c>
      <c r="Q178" s="987" t="s">
        <v>920</v>
      </c>
      <c r="R178" s="985" t="s">
        <v>921</v>
      </c>
      <c r="S178" s="988">
        <v>1130.0</v>
      </c>
    </row>
    <row r="179">
      <c r="J179" s="985" t="s">
        <v>277</v>
      </c>
      <c r="K179" s="993">
        <f t="array" ref="K179">xlookup(L177,$B$3:$B$14,$C$3:$C$14)*100</f>
        <v>0</v>
      </c>
      <c r="L179" s="994">
        <f>SUM(N179:P179)</f>
        <v>175</v>
      </c>
      <c r="M179" s="994">
        <v>100.0</v>
      </c>
      <c r="N179" s="988">
        <v>137.0</v>
      </c>
      <c r="O179" s="988">
        <v>38.0</v>
      </c>
      <c r="P179" s="995"/>
      <c r="Q179" s="994">
        <f>L179*K178</f>
        <v>5250</v>
      </c>
      <c r="R179" s="996" t="s">
        <v>922</v>
      </c>
      <c r="S179" s="997">
        <f>Q193</f>
        <v>1290900</v>
      </c>
    </row>
    <row r="180">
      <c r="J180" s="985" t="s">
        <v>923</v>
      </c>
      <c r="K180" s="988">
        <v>320000.0</v>
      </c>
      <c r="L180" s="994">
        <f>L179*M180%</f>
        <v>-43.75</v>
      </c>
      <c r="M180" s="999">
        <f>K179-K192</f>
        <v>-25</v>
      </c>
      <c r="N180" s="994">
        <f>N179*M180%</f>
        <v>-34.25</v>
      </c>
      <c r="O180" s="994">
        <f>O179*M180%</f>
        <v>-9.5</v>
      </c>
      <c r="P180" s="994">
        <f>P179*M180%</f>
        <v>0</v>
      </c>
      <c r="Q180" s="994">
        <f>L180*K178</f>
        <v>-1312.5</v>
      </c>
      <c r="R180" s="985" t="s">
        <v>278</v>
      </c>
      <c r="S180" s="997">
        <f>S178*Q180+S179</f>
        <v>-192225</v>
      </c>
    </row>
    <row r="181">
      <c r="J181" s="985" t="s">
        <v>924</v>
      </c>
      <c r="K181" s="1033">
        <v>270000.0</v>
      </c>
      <c r="L181" s="1001" t="s">
        <v>925</v>
      </c>
      <c r="M181" s="3"/>
      <c r="N181" s="988">
        <v>22.926</v>
      </c>
      <c r="O181" s="988">
        <v>28.78</v>
      </c>
      <c r="P181" s="995"/>
      <c r="Q181" s="1002"/>
      <c r="R181" s="985" t="s">
        <v>926</v>
      </c>
      <c r="S181" s="994">
        <f>N186+SUM(N190:O192)+S193</f>
        <v>349373.5425</v>
      </c>
    </row>
    <row r="182">
      <c r="J182" s="1004" t="s">
        <v>927</v>
      </c>
      <c r="K182" s="1005">
        <v>1300.0</v>
      </c>
      <c r="L182" s="1006" t="s">
        <v>928</v>
      </c>
      <c r="M182" s="3"/>
      <c r="N182" s="994">
        <f t="shared" ref="N182:O182" si="41">N180/(360/N181)</f>
        <v>-2.181154167</v>
      </c>
      <c r="O182" s="994">
        <f t="shared" si="41"/>
        <v>-0.7594722222</v>
      </c>
      <c r="P182" s="1002"/>
      <c r="Q182" s="994">
        <f t="shared" ref="Q182:Q183" si="42">N182+O182+P182</f>
        <v>-2.940626389</v>
      </c>
      <c r="R182" s="985" t="s">
        <v>276</v>
      </c>
      <c r="S182" s="1007">
        <f>S181/S180</f>
        <v>-1.817523956</v>
      </c>
    </row>
    <row r="183">
      <c r="J183" s="1009" t="s">
        <v>929</v>
      </c>
      <c r="K183" s="1005">
        <v>6.5</v>
      </c>
      <c r="L183" s="1010" t="s">
        <v>930</v>
      </c>
      <c r="M183" s="988">
        <v>1230.0</v>
      </c>
      <c r="N183" s="994">
        <f>N182*(M183*6)</f>
        <v>-16096.91775</v>
      </c>
      <c r="O183" s="994">
        <f>O182*(M183*6)</f>
        <v>-5604.905</v>
      </c>
      <c r="P183" s="1002"/>
      <c r="Q183" s="994">
        <f t="shared" si="42"/>
        <v>-21701.82275</v>
      </c>
      <c r="R183" s="985" t="s">
        <v>931</v>
      </c>
      <c r="S183" s="997">
        <f>S180-S181-N193</f>
        <v>-1250098.543</v>
      </c>
    </row>
    <row r="184">
      <c r="J184" s="1011" t="s">
        <v>932</v>
      </c>
      <c r="K184" s="995"/>
      <c r="L184" s="1012"/>
      <c r="M184" s="1002"/>
      <c r="N184" s="1002"/>
      <c r="O184" s="1002"/>
      <c r="P184" s="1002"/>
      <c r="Q184" s="1002"/>
      <c r="R184" s="985" t="s">
        <v>275</v>
      </c>
      <c r="S184" s="1007">
        <f>S183/S180</f>
        <v>6.503308844</v>
      </c>
    </row>
    <row r="185">
      <c r="J185" s="1004" t="s">
        <v>933</v>
      </c>
      <c r="K185" s="1005">
        <v>1230.0</v>
      </c>
      <c r="L185" s="1006" t="s">
        <v>934</v>
      </c>
      <c r="M185" s="3"/>
      <c r="N185" s="994">
        <f>Q183+(Q182*K191)</f>
        <v>-23466.19858</v>
      </c>
      <c r="O185" s="1002"/>
      <c r="P185" s="1013" t="s">
        <v>935</v>
      </c>
      <c r="Q185" s="232"/>
      <c r="R185" s="232"/>
      <c r="S185" s="3"/>
    </row>
    <row r="186">
      <c r="J186" s="1015" t="s">
        <v>936</v>
      </c>
      <c r="K186" s="1005">
        <v>3.0</v>
      </c>
      <c r="L186" s="1006" t="s">
        <v>937</v>
      </c>
      <c r="M186" s="3"/>
      <c r="N186" s="994">
        <f>N185*K178+L179*K197*K178*110</f>
        <v>-672223.4575</v>
      </c>
      <c r="O186" s="1016"/>
      <c r="P186" s="1017" t="s">
        <v>938</v>
      </c>
      <c r="Q186" s="1018">
        <v>567400.0</v>
      </c>
      <c r="R186" s="985" t="s">
        <v>939</v>
      </c>
      <c r="S186" s="999">
        <v>100000.0</v>
      </c>
    </row>
    <row r="187">
      <c r="J187" s="1015" t="s">
        <v>940</v>
      </c>
      <c r="K187" s="1005">
        <f>K178</f>
        <v>30</v>
      </c>
      <c r="L187" s="1006" t="s">
        <v>941</v>
      </c>
      <c r="M187" s="3"/>
      <c r="N187" s="985" t="s">
        <v>374</v>
      </c>
      <c r="O187" s="1011" t="s">
        <v>348</v>
      </c>
      <c r="P187" s="1019" t="s">
        <v>942</v>
      </c>
      <c r="Q187" s="1020">
        <f>L179*K192%*K178*300</f>
        <v>393750</v>
      </c>
      <c r="R187" s="996" t="s">
        <v>943</v>
      </c>
      <c r="S187" s="994">
        <v>26250.0</v>
      </c>
    </row>
    <row r="188">
      <c r="J188" s="1004" t="s">
        <v>944</v>
      </c>
      <c r="K188" s="1005">
        <v>1230.0</v>
      </c>
      <c r="L188" s="1006" t="s">
        <v>945</v>
      </c>
      <c r="M188" s="3"/>
      <c r="N188" s="999">
        <f t="shared" ref="N188:N189" si="43">K180*1.15</f>
        <v>368000</v>
      </c>
      <c r="O188" s="1021">
        <v>15000.0</v>
      </c>
      <c r="P188" s="1022" t="s">
        <v>946</v>
      </c>
      <c r="Q188" s="1020">
        <f>L179*K193*K178*100</f>
        <v>23625</v>
      </c>
      <c r="R188" s="1023" t="s">
        <v>947</v>
      </c>
      <c r="S188" s="994">
        <v>25000.0</v>
      </c>
    </row>
    <row r="189">
      <c r="J189" s="1004" t="s">
        <v>948</v>
      </c>
      <c r="K189" s="1005">
        <v>5.0</v>
      </c>
      <c r="L189" s="1006" t="s">
        <v>949</v>
      </c>
      <c r="M189" s="3"/>
      <c r="N189" s="999">
        <f t="shared" si="43"/>
        <v>310500</v>
      </c>
      <c r="O189" s="999">
        <v>15000.0</v>
      </c>
      <c r="P189" s="1019" t="s">
        <v>950</v>
      </c>
      <c r="Q189" s="1025">
        <f>L179*K194*K178*100</f>
        <v>97125</v>
      </c>
      <c r="R189" s="1026" t="s">
        <v>951</v>
      </c>
      <c r="S189" s="3"/>
    </row>
    <row r="190">
      <c r="J190" s="1004" t="s">
        <v>952</v>
      </c>
      <c r="K190" s="1005">
        <v>35.0</v>
      </c>
      <c r="L190" s="1027" t="s">
        <v>953</v>
      </c>
      <c r="M190" s="3"/>
      <c r="N190" s="999">
        <f>(K178*3.5-43.4)*K182*K183</f>
        <v>520520</v>
      </c>
      <c r="O190" s="999">
        <f>(K178*3.5-43.4)*K191</f>
        <v>36960</v>
      </c>
      <c r="P190" s="1019" t="s">
        <v>954</v>
      </c>
      <c r="Q190" s="1020">
        <f>L179*K195*K178*100</f>
        <v>34125</v>
      </c>
      <c r="R190" s="985" t="s">
        <v>939</v>
      </c>
      <c r="S190" s="994">
        <v>60000.0</v>
      </c>
    </row>
    <row r="191">
      <c r="J191" s="1023" t="s">
        <v>955</v>
      </c>
      <c r="K191" s="1028">
        <v>600.0</v>
      </c>
      <c r="L191" s="1001" t="s">
        <v>956</v>
      </c>
      <c r="M191" s="3"/>
      <c r="N191" s="999">
        <f>K185*K186*K187</f>
        <v>110700</v>
      </c>
      <c r="O191" s="999">
        <f>K187*K191</f>
        <v>18000</v>
      </c>
      <c r="P191" s="1022" t="s">
        <v>133</v>
      </c>
      <c r="Q191" s="1020">
        <f>L179*K196*K178*100</f>
        <v>23625</v>
      </c>
      <c r="R191" s="996" t="s">
        <v>943</v>
      </c>
      <c r="S191" s="994">
        <v>20000.0</v>
      </c>
    </row>
    <row r="192">
      <c r="J192" s="1029" t="s">
        <v>957</v>
      </c>
      <c r="K192" s="1030">
        <v>25.0</v>
      </c>
      <c r="L192" s="1001" t="s">
        <v>958</v>
      </c>
      <c r="M192" s="3"/>
      <c r="N192" s="999">
        <f>K188*K189*K190</f>
        <v>215250</v>
      </c>
      <c r="O192" s="999">
        <f>K190*K191</f>
        <v>21000</v>
      </c>
      <c r="P192" s="1019" t="s">
        <v>959</v>
      </c>
      <c r="Q192" s="1020">
        <f>L179*K197*K178*250</f>
        <v>72187.5</v>
      </c>
      <c r="R192" s="1023" t="s">
        <v>947</v>
      </c>
      <c r="S192" s="994">
        <v>19167.0</v>
      </c>
    </row>
    <row r="193">
      <c r="J193" s="985" t="s">
        <v>946</v>
      </c>
      <c r="K193" s="1007">
        <v>0.045</v>
      </c>
      <c r="L193" s="1001" t="s">
        <v>960</v>
      </c>
      <c r="M193" s="3"/>
      <c r="N193" s="999">
        <f>SUM(N188:O189)</f>
        <v>708500</v>
      </c>
      <c r="O193" s="1031"/>
      <c r="P193" s="985" t="s">
        <v>344</v>
      </c>
      <c r="Q193" s="997">
        <f>SUM(Q186:Q191)+SUM(S186:S188)</f>
        <v>1290900</v>
      </c>
      <c r="R193" s="985" t="s">
        <v>344</v>
      </c>
      <c r="S193" s="994">
        <f>S190+S191+S192</f>
        <v>99167</v>
      </c>
    </row>
    <row r="194">
      <c r="J194" s="1023" t="s">
        <v>961</v>
      </c>
      <c r="K194" s="1007">
        <v>0.185</v>
      </c>
      <c r="L194" s="976"/>
      <c r="M194" s="976"/>
      <c r="N194" s="976"/>
      <c r="O194" s="976"/>
      <c r="P194" s="976"/>
      <c r="Q194" s="976"/>
      <c r="R194" s="976"/>
      <c r="S194" s="976"/>
    </row>
    <row r="195">
      <c r="J195" s="1023" t="s">
        <v>962</v>
      </c>
      <c r="K195" s="1007">
        <v>0.065</v>
      </c>
      <c r="L195" s="976"/>
      <c r="M195" s="976"/>
      <c r="N195" s="976"/>
      <c r="O195" s="976"/>
      <c r="P195" s="976"/>
      <c r="Q195" s="976"/>
      <c r="R195" s="976"/>
      <c r="S195" s="976"/>
    </row>
    <row r="196">
      <c r="J196" s="1023" t="s">
        <v>133</v>
      </c>
      <c r="K196" s="1007">
        <v>0.045</v>
      </c>
      <c r="L196" s="976"/>
      <c r="M196" s="976"/>
      <c r="N196" s="976"/>
      <c r="O196" s="976"/>
      <c r="P196" s="976"/>
      <c r="Q196" s="976"/>
      <c r="R196" s="976"/>
      <c r="S196" s="976"/>
    </row>
    <row r="197">
      <c r="J197" s="1023" t="s">
        <v>959</v>
      </c>
      <c r="K197" s="1007">
        <v>0.055</v>
      </c>
      <c r="L197" s="976"/>
      <c r="M197" s="976"/>
      <c r="N197" s="976"/>
      <c r="O197" s="976"/>
      <c r="P197" s="976"/>
      <c r="Q197" s="976"/>
      <c r="R197" s="976"/>
      <c r="S197" s="976"/>
    </row>
    <row r="199">
      <c r="J199" s="977" t="s">
        <v>915</v>
      </c>
      <c r="K199" s="978">
        <f>A11</f>
        <v>46296</v>
      </c>
      <c r="L199" s="977" t="str">
        <f>"①R"&amp;year(K199)-2018&amp;"_"&amp;month(K199)&amp;"集計"</f>
        <v>①R8_10集計</v>
      </c>
      <c r="M199" s="6"/>
      <c r="N199" s="6"/>
      <c r="O199" s="979">
        <f>S202</f>
        <v>-222587.5</v>
      </c>
      <c r="P199" s="979">
        <f>S205</f>
        <v>-1294018.594</v>
      </c>
      <c r="Q199" s="980">
        <f>S206</f>
        <v>5.813527686</v>
      </c>
      <c r="R199" s="980">
        <f>S204</f>
        <v>-1.630509772</v>
      </c>
      <c r="S199" s="976"/>
    </row>
    <row r="200">
      <c r="J200" s="985" t="s">
        <v>918</v>
      </c>
      <c r="K200" s="986">
        <f>DAY(EOMONTH(K199,0))</f>
        <v>31</v>
      </c>
      <c r="L200" s="987" t="s">
        <v>919</v>
      </c>
      <c r="M200" s="987" t="s">
        <v>277</v>
      </c>
      <c r="N200" s="987" t="s">
        <v>296</v>
      </c>
      <c r="O200" s="987" t="s">
        <v>298</v>
      </c>
      <c r="P200" s="987" t="s">
        <v>298</v>
      </c>
      <c r="Q200" s="987" t="s">
        <v>920</v>
      </c>
      <c r="R200" s="985" t="s">
        <v>921</v>
      </c>
      <c r="S200" s="988">
        <v>1130.0</v>
      </c>
    </row>
    <row r="201">
      <c r="J201" s="985" t="s">
        <v>277</v>
      </c>
      <c r="K201" s="993">
        <f t="array" ref="K201">xlookup(L199,$B$3:$B$14,$C$3:$C$14)*100</f>
        <v>0</v>
      </c>
      <c r="L201" s="994">
        <f>SUM(N201:P201)</f>
        <v>175</v>
      </c>
      <c r="M201" s="994">
        <v>100.0</v>
      </c>
      <c r="N201" s="988">
        <v>137.0</v>
      </c>
      <c r="O201" s="988">
        <v>38.0</v>
      </c>
      <c r="P201" s="995"/>
      <c r="Q201" s="994">
        <f>L201*K200</f>
        <v>5425</v>
      </c>
      <c r="R201" s="996" t="s">
        <v>922</v>
      </c>
      <c r="S201" s="997">
        <f>Q215</f>
        <v>1309975</v>
      </c>
    </row>
    <row r="202">
      <c r="J202" s="985" t="s">
        <v>923</v>
      </c>
      <c r="K202" s="988">
        <v>320000.0</v>
      </c>
      <c r="L202" s="994">
        <f>L201*M202%</f>
        <v>-43.75</v>
      </c>
      <c r="M202" s="999">
        <f>K201-K214</f>
        <v>-25</v>
      </c>
      <c r="N202" s="994">
        <f>N201*M202%</f>
        <v>-34.25</v>
      </c>
      <c r="O202" s="994">
        <f>O201*M202%</f>
        <v>-9.5</v>
      </c>
      <c r="P202" s="994">
        <f>P201*M202%</f>
        <v>0</v>
      </c>
      <c r="Q202" s="994">
        <f>L202*K200</f>
        <v>-1356.25</v>
      </c>
      <c r="R202" s="985" t="s">
        <v>278</v>
      </c>
      <c r="S202" s="997">
        <f>S200*Q202+S201</f>
        <v>-222587.5</v>
      </c>
    </row>
    <row r="203">
      <c r="J203" s="985" t="s">
        <v>924</v>
      </c>
      <c r="K203" s="1033">
        <v>270000.0</v>
      </c>
      <c r="L203" s="1001" t="s">
        <v>925</v>
      </c>
      <c r="M203" s="3"/>
      <c r="N203" s="988">
        <v>22.926</v>
      </c>
      <c r="O203" s="988">
        <v>28.78</v>
      </c>
      <c r="P203" s="995"/>
      <c r="Q203" s="1002"/>
      <c r="R203" s="985" t="s">
        <v>926</v>
      </c>
      <c r="S203" s="994">
        <f>N208+SUM(N212:O214)+S215</f>
        <v>362931.0939</v>
      </c>
    </row>
    <row r="204">
      <c r="J204" s="1004" t="s">
        <v>927</v>
      </c>
      <c r="K204" s="1005">
        <v>1300.0</v>
      </c>
      <c r="L204" s="1006" t="s">
        <v>928</v>
      </c>
      <c r="M204" s="3"/>
      <c r="N204" s="994">
        <f t="shared" ref="N204:O204" si="44">N202/(360/N203)</f>
        <v>-2.181154167</v>
      </c>
      <c r="O204" s="994">
        <f t="shared" si="44"/>
        <v>-0.7594722222</v>
      </c>
      <c r="P204" s="1002"/>
      <c r="Q204" s="994">
        <f t="shared" ref="Q204:Q205" si="45">N204+O204+P204</f>
        <v>-2.940626389</v>
      </c>
      <c r="R204" s="985" t="s">
        <v>276</v>
      </c>
      <c r="S204" s="1007">
        <f>S203/S202</f>
        <v>-1.630509772</v>
      </c>
    </row>
    <row r="205">
      <c r="J205" s="1009" t="s">
        <v>929</v>
      </c>
      <c r="K205" s="1005">
        <v>6.5</v>
      </c>
      <c r="L205" s="1010" t="s">
        <v>930</v>
      </c>
      <c r="M205" s="988">
        <v>1230.0</v>
      </c>
      <c r="N205" s="994">
        <f>N204*(M205*6)</f>
        <v>-16096.91775</v>
      </c>
      <c r="O205" s="994">
        <f>O204*(M205*6)</f>
        <v>-5604.905</v>
      </c>
      <c r="P205" s="1002"/>
      <c r="Q205" s="994">
        <f t="shared" si="45"/>
        <v>-21701.82275</v>
      </c>
      <c r="R205" s="985" t="s">
        <v>931</v>
      </c>
      <c r="S205" s="997">
        <f>S202-S203-N215</f>
        <v>-1294018.594</v>
      </c>
    </row>
    <row r="206">
      <c r="J206" s="1011" t="s">
        <v>932</v>
      </c>
      <c r="K206" s="995"/>
      <c r="L206" s="1012"/>
      <c r="M206" s="1002"/>
      <c r="N206" s="1002"/>
      <c r="O206" s="1002"/>
      <c r="P206" s="1002"/>
      <c r="Q206" s="1002"/>
      <c r="R206" s="985" t="s">
        <v>275</v>
      </c>
      <c r="S206" s="1007">
        <f>S205/S202</f>
        <v>5.813527686</v>
      </c>
    </row>
    <row r="207">
      <c r="J207" s="1004" t="s">
        <v>933</v>
      </c>
      <c r="K207" s="1005">
        <v>1230.0</v>
      </c>
      <c r="L207" s="1006" t="s">
        <v>934</v>
      </c>
      <c r="M207" s="3"/>
      <c r="N207" s="994">
        <f>Q205+(Q204*K213)</f>
        <v>-23466.19858</v>
      </c>
      <c r="O207" s="1002"/>
      <c r="P207" s="1013" t="s">
        <v>935</v>
      </c>
      <c r="Q207" s="232"/>
      <c r="R207" s="232"/>
      <c r="S207" s="3"/>
    </row>
    <row r="208">
      <c r="J208" s="1015" t="s">
        <v>936</v>
      </c>
      <c r="K208" s="1005">
        <v>3.0</v>
      </c>
      <c r="L208" s="1006" t="s">
        <v>937</v>
      </c>
      <c r="M208" s="3"/>
      <c r="N208" s="994">
        <f>N207*K200+L201*K219*K200*110</f>
        <v>-694630.9061</v>
      </c>
      <c r="O208" s="1016"/>
      <c r="P208" s="1017" t="s">
        <v>938</v>
      </c>
      <c r="Q208" s="1018">
        <v>567400.0</v>
      </c>
      <c r="R208" s="985" t="s">
        <v>939</v>
      </c>
      <c r="S208" s="999">
        <v>100000.0</v>
      </c>
    </row>
    <row r="209">
      <c r="J209" s="1015" t="s">
        <v>940</v>
      </c>
      <c r="K209" s="1005">
        <f>K200</f>
        <v>31</v>
      </c>
      <c r="L209" s="1006" t="s">
        <v>941</v>
      </c>
      <c r="M209" s="3"/>
      <c r="N209" s="985" t="s">
        <v>374</v>
      </c>
      <c r="O209" s="1011" t="s">
        <v>348</v>
      </c>
      <c r="P209" s="1019" t="s">
        <v>942</v>
      </c>
      <c r="Q209" s="1020">
        <f>L201*K214%*K200*300</f>
        <v>406875</v>
      </c>
      <c r="R209" s="996" t="s">
        <v>943</v>
      </c>
      <c r="S209" s="994">
        <v>26250.0</v>
      </c>
    </row>
    <row r="210">
      <c r="J210" s="1004" t="s">
        <v>944</v>
      </c>
      <c r="K210" s="1005">
        <v>1230.0</v>
      </c>
      <c r="L210" s="1006" t="s">
        <v>945</v>
      </c>
      <c r="M210" s="3"/>
      <c r="N210" s="999">
        <f t="shared" ref="N210:N211" si="46">K202*1.15</f>
        <v>368000</v>
      </c>
      <c r="O210" s="1021">
        <v>15000.0</v>
      </c>
      <c r="P210" s="1022" t="s">
        <v>946</v>
      </c>
      <c r="Q210" s="1020">
        <f>L201*K215*K200*100</f>
        <v>24412.5</v>
      </c>
      <c r="R210" s="1023" t="s">
        <v>947</v>
      </c>
      <c r="S210" s="994">
        <v>25000.0</v>
      </c>
    </row>
    <row r="211">
      <c r="J211" s="1004" t="s">
        <v>948</v>
      </c>
      <c r="K211" s="1005">
        <v>5.0</v>
      </c>
      <c r="L211" s="1006" t="s">
        <v>949</v>
      </c>
      <c r="M211" s="3"/>
      <c r="N211" s="999">
        <f t="shared" si="46"/>
        <v>310500</v>
      </c>
      <c r="O211" s="999">
        <v>15000.0</v>
      </c>
      <c r="P211" s="1019" t="s">
        <v>950</v>
      </c>
      <c r="Q211" s="1025">
        <f>L201*K216*K200*100</f>
        <v>100362.5</v>
      </c>
      <c r="R211" s="1026" t="s">
        <v>951</v>
      </c>
      <c r="S211" s="3"/>
    </row>
    <row r="212">
      <c r="J212" s="1004" t="s">
        <v>952</v>
      </c>
      <c r="K212" s="1005">
        <v>35.0</v>
      </c>
      <c r="L212" s="1027" t="s">
        <v>953</v>
      </c>
      <c r="M212" s="3"/>
      <c r="N212" s="999">
        <f>(K200*3.5-43.4)*K204*K205</f>
        <v>550095</v>
      </c>
      <c r="O212" s="999">
        <f>(K200*3.5-43.4)*K213</f>
        <v>39060</v>
      </c>
      <c r="P212" s="1019" t="s">
        <v>954</v>
      </c>
      <c r="Q212" s="1020">
        <f>L201*K217*K200*100</f>
        <v>35262.5</v>
      </c>
      <c r="R212" s="985" t="s">
        <v>939</v>
      </c>
      <c r="S212" s="994">
        <v>60000.0</v>
      </c>
    </row>
    <row r="213">
      <c r="J213" s="1023" t="s">
        <v>955</v>
      </c>
      <c r="K213" s="1028">
        <v>600.0</v>
      </c>
      <c r="L213" s="1001" t="s">
        <v>956</v>
      </c>
      <c r="M213" s="3"/>
      <c r="N213" s="999">
        <f>K207*K208*K209</f>
        <v>114390</v>
      </c>
      <c r="O213" s="999">
        <f>K209*K213</f>
        <v>18600</v>
      </c>
      <c r="P213" s="1022" t="s">
        <v>133</v>
      </c>
      <c r="Q213" s="1020">
        <f>L201*K218*K200*100</f>
        <v>24412.5</v>
      </c>
      <c r="R213" s="996" t="s">
        <v>943</v>
      </c>
      <c r="S213" s="994">
        <v>20000.0</v>
      </c>
    </row>
    <row r="214">
      <c r="J214" s="1029" t="s">
        <v>957</v>
      </c>
      <c r="K214" s="1030">
        <v>25.0</v>
      </c>
      <c r="L214" s="1001" t="s">
        <v>958</v>
      </c>
      <c r="M214" s="3"/>
      <c r="N214" s="999">
        <f>K210*K211*K212</f>
        <v>215250</v>
      </c>
      <c r="O214" s="999">
        <f>K212*K213</f>
        <v>21000</v>
      </c>
      <c r="P214" s="1019" t="s">
        <v>959</v>
      </c>
      <c r="Q214" s="1020">
        <f>L201*K219*K200*250</f>
        <v>74593.75</v>
      </c>
      <c r="R214" s="1023" t="s">
        <v>947</v>
      </c>
      <c r="S214" s="994">
        <v>19167.0</v>
      </c>
    </row>
    <row r="215">
      <c r="J215" s="985" t="s">
        <v>946</v>
      </c>
      <c r="K215" s="1007">
        <v>0.045</v>
      </c>
      <c r="L215" s="1001" t="s">
        <v>960</v>
      </c>
      <c r="M215" s="3"/>
      <c r="N215" s="999">
        <f>SUM(N210:O211)</f>
        <v>708500</v>
      </c>
      <c r="O215" s="1031"/>
      <c r="P215" s="985" t="s">
        <v>344</v>
      </c>
      <c r="Q215" s="997">
        <f>SUM(Q208:Q213)+SUM(S208:S210)</f>
        <v>1309975</v>
      </c>
      <c r="R215" s="985" t="s">
        <v>344</v>
      </c>
      <c r="S215" s="994">
        <f>S212+S213+S214</f>
        <v>99167</v>
      </c>
    </row>
    <row r="216">
      <c r="J216" s="1023" t="s">
        <v>961</v>
      </c>
      <c r="K216" s="1007">
        <v>0.185</v>
      </c>
      <c r="L216" s="976"/>
      <c r="M216" s="976"/>
      <c r="N216" s="976"/>
      <c r="O216" s="976"/>
      <c r="P216" s="976"/>
      <c r="Q216" s="976"/>
      <c r="R216" s="976"/>
      <c r="S216" s="976"/>
    </row>
    <row r="217">
      <c r="J217" s="1023" t="s">
        <v>962</v>
      </c>
      <c r="K217" s="1007">
        <v>0.065</v>
      </c>
      <c r="L217" s="976"/>
      <c r="M217" s="976"/>
      <c r="N217" s="976"/>
      <c r="O217" s="976"/>
      <c r="P217" s="976"/>
      <c r="Q217" s="976"/>
      <c r="R217" s="976"/>
      <c r="S217" s="976"/>
    </row>
    <row r="218">
      <c r="J218" s="1023" t="s">
        <v>133</v>
      </c>
      <c r="K218" s="1007">
        <v>0.045</v>
      </c>
      <c r="L218" s="976"/>
      <c r="M218" s="976"/>
      <c r="N218" s="976"/>
      <c r="O218" s="976"/>
      <c r="P218" s="976"/>
      <c r="Q218" s="976"/>
      <c r="R218" s="976"/>
      <c r="S218" s="976"/>
    </row>
    <row r="219">
      <c r="J219" s="1023" t="s">
        <v>959</v>
      </c>
      <c r="K219" s="1007">
        <v>0.055</v>
      </c>
      <c r="L219" s="976"/>
      <c r="M219" s="976"/>
      <c r="N219" s="976"/>
      <c r="O219" s="976"/>
      <c r="P219" s="976"/>
      <c r="Q219" s="976"/>
      <c r="R219" s="976"/>
      <c r="S219" s="976"/>
    </row>
    <row r="221">
      <c r="J221" s="977" t="s">
        <v>915</v>
      </c>
      <c r="K221" s="978">
        <f>A12</f>
        <v>46327</v>
      </c>
      <c r="L221" s="977" t="str">
        <f>"①R"&amp;year(K221)-2018&amp;"_"&amp;month(K221)&amp;"集計"</f>
        <v>①R8_11集計</v>
      </c>
      <c r="M221" s="6"/>
      <c r="N221" s="6"/>
      <c r="O221" s="979">
        <f>S224</f>
        <v>-120037.5</v>
      </c>
      <c r="P221" s="979">
        <f>S227</f>
        <v>-1173411.043</v>
      </c>
      <c r="Q221" s="980">
        <f>S228</f>
        <v>9.775370551</v>
      </c>
      <c r="R221" s="980">
        <f>S226</f>
        <v>-2.87304836</v>
      </c>
      <c r="S221" s="976"/>
    </row>
    <row r="222">
      <c r="J222" s="985" t="s">
        <v>918</v>
      </c>
      <c r="K222" s="986">
        <f>DAY(EOMONTH(K221,0))</f>
        <v>30</v>
      </c>
      <c r="L222" s="987" t="s">
        <v>919</v>
      </c>
      <c r="M222" s="987" t="s">
        <v>277</v>
      </c>
      <c r="N222" s="987" t="s">
        <v>296</v>
      </c>
      <c r="O222" s="987" t="s">
        <v>298</v>
      </c>
      <c r="P222" s="987" t="s">
        <v>298</v>
      </c>
      <c r="Q222" s="987" t="s">
        <v>920</v>
      </c>
      <c r="R222" s="985" t="s">
        <v>921</v>
      </c>
      <c r="S222" s="988">
        <v>1130.0</v>
      </c>
    </row>
    <row r="223">
      <c r="J223" s="985" t="s">
        <v>277</v>
      </c>
      <c r="K223" s="993">
        <f t="array" ref="K223">xlookup(L221,$B$3:$B$14,$C$3:$C$14)*100</f>
        <v>0</v>
      </c>
      <c r="L223" s="994">
        <f>SUM(N223:P223)</f>
        <v>175</v>
      </c>
      <c r="M223" s="994">
        <v>100.0</v>
      </c>
      <c r="N223" s="988">
        <v>137.0</v>
      </c>
      <c r="O223" s="988">
        <v>38.0</v>
      </c>
      <c r="P223" s="995"/>
      <c r="Q223" s="994">
        <f>L223*K222</f>
        <v>5250</v>
      </c>
      <c r="R223" s="996" t="s">
        <v>922</v>
      </c>
      <c r="S223" s="997">
        <f>Q237</f>
        <v>1363087.5</v>
      </c>
    </row>
    <row r="224">
      <c r="J224" s="985" t="s">
        <v>923</v>
      </c>
      <c r="K224" s="988">
        <v>320000.0</v>
      </c>
      <c r="L224" s="994">
        <f>L223*M224%</f>
        <v>-43.75</v>
      </c>
      <c r="M224" s="999">
        <f>K223-K236</f>
        <v>-25</v>
      </c>
      <c r="N224" s="994">
        <f>N223*M224%</f>
        <v>-34.25</v>
      </c>
      <c r="O224" s="994">
        <f>O223*M224%</f>
        <v>-9.5</v>
      </c>
      <c r="P224" s="994">
        <f>P223*M224%</f>
        <v>0</v>
      </c>
      <c r="Q224" s="994">
        <f>L224*K222</f>
        <v>-1312.5</v>
      </c>
      <c r="R224" s="985" t="s">
        <v>278</v>
      </c>
      <c r="S224" s="997">
        <f>S222*Q224+S223</f>
        <v>-120037.5</v>
      </c>
    </row>
    <row r="225">
      <c r="J225" s="985" t="s">
        <v>924</v>
      </c>
      <c r="K225" s="1033">
        <v>270000.0</v>
      </c>
      <c r="L225" s="1001" t="s">
        <v>925</v>
      </c>
      <c r="M225" s="3"/>
      <c r="N225" s="988">
        <v>22.926</v>
      </c>
      <c r="O225" s="988">
        <v>28.78</v>
      </c>
      <c r="P225" s="995"/>
      <c r="Q225" s="1002"/>
      <c r="R225" s="985" t="s">
        <v>926</v>
      </c>
      <c r="S225" s="994">
        <f>N230+SUM(N234:O236)+S237</f>
        <v>344873.5425</v>
      </c>
    </row>
    <row r="226">
      <c r="J226" s="1004" t="s">
        <v>927</v>
      </c>
      <c r="K226" s="1005">
        <v>1300.0</v>
      </c>
      <c r="L226" s="1006" t="s">
        <v>928</v>
      </c>
      <c r="M226" s="3"/>
      <c r="N226" s="994">
        <f t="shared" ref="N226:O226" si="47">N224/(360/N225)</f>
        <v>-2.181154167</v>
      </c>
      <c r="O226" s="994">
        <f t="shared" si="47"/>
        <v>-0.7594722222</v>
      </c>
      <c r="P226" s="1002"/>
      <c r="Q226" s="994">
        <f t="shared" ref="Q226:Q227" si="48">N226+O226+P226</f>
        <v>-2.940626389</v>
      </c>
      <c r="R226" s="985" t="s">
        <v>276</v>
      </c>
      <c r="S226" s="1007">
        <f>S225/S224</f>
        <v>-2.87304836</v>
      </c>
    </row>
    <row r="227">
      <c r="J227" s="1009" t="s">
        <v>929</v>
      </c>
      <c r="K227" s="1005">
        <v>6.5</v>
      </c>
      <c r="L227" s="1010" t="s">
        <v>930</v>
      </c>
      <c r="M227" s="988">
        <v>1230.0</v>
      </c>
      <c r="N227" s="994">
        <f>N226*(M227*6)</f>
        <v>-16096.91775</v>
      </c>
      <c r="O227" s="994">
        <f>O226*(M227*6)</f>
        <v>-5604.905</v>
      </c>
      <c r="P227" s="1002"/>
      <c r="Q227" s="994">
        <f t="shared" si="48"/>
        <v>-21701.82275</v>
      </c>
      <c r="R227" s="985" t="s">
        <v>931</v>
      </c>
      <c r="S227" s="997">
        <f>S224-S225-N237</f>
        <v>-1173411.043</v>
      </c>
    </row>
    <row r="228">
      <c r="J228" s="1011" t="s">
        <v>932</v>
      </c>
      <c r="K228" s="995"/>
      <c r="L228" s="1012"/>
      <c r="M228" s="1002"/>
      <c r="N228" s="1002"/>
      <c r="O228" s="1002"/>
      <c r="P228" s="1002"/>
      <c r="Q228" s="1002"/>
      <c r="R228" s="985" t="s">
        <v>275</v>
      </c>
      <c r="S228" s="1007">
        <f>S227/S224</f>
        <v>9.775370551</v>
      </c>
    </row>
    <row r="229">
      <c r="J229" s="1004" t="s">
        <v>933</v>
      </c>
      <c r="K229" s="1005">
        <v>1230.0</v>
      </c>
      <c r="L229" s="1006" t="s">
        <v>934</v>
      </c>
      <c r="M229" s="3"/>
      <c r="N229" s="994">
        <f>Q227+(Q226*K235)</f>
        <v>-23466.19858</v>
      </c>
      <c r="O229" s="1002"/>
      <c r="P229" s="1013" t="s">
        <v>935</v>
      </c>
      <c r="Q229" s="232"/>
      <c r="R229" s="232"/>
      <c r="S229" s="3"/>
    </row>
    <row r="230">
      <c r="J230" s="1015" t="s">
        <v>936</v>
      </c>
      <c r="K230" s="1005">
        <v>3.0</v>
      </c>
      <c r="L230" s="1006" t="s">
        <v>937</v>
      </c>
      <c r="M230" s="3"/>
      <c r="N230" s="994">
        <f>N229*K222+(L223*K241*K222*110)+(L223*K236%*K222*100)</f>
        <v>-540973.4575</v>
      </c>
      <c r="O230" s="1016"/>
      <c r="P230" s="1017" t="s">
        <v>938</v>
      </c>
      <c r="Q230" s="1018">
        <v>567400.0</v>
      </c>
      <c r="R230" s="985" t="s">
        <v>939</v>
      </c>
      <c r="S230" s="999">
        <v>100000.0</v>
      </c>
    </row>
    <row r="231">
      <c r="J231" s="1015" t="s">
        <v>940</v>
      </c>
      <c r="K231" s="1005">
        <f>K222</f>
        <v>30</v>
      </c>
      <c r="L231" s="1006" t="s">
        <v>941</v>
      </c>
      <c r="M231" s="3"/>
      <c r="N231" s="985" t="s">
        <v>374</v>
      </c>
      <c r="O231" s="1011" t="s">
        <v>348</v>
      </c>
      <c r="P231" s="1019" t="s">
        <v>942</v>
      </c>
      <c r="Q231" s="1020">
        <f>L223*K236%*K222*300</f>
        <v>393750</v>
      </c>
      <c r="R231" s="996" t="s">
        <v>943</v>
      </c>
      <c r="S231" s="994">
        <v>26250.0</v>
      </c>
    </row>
    <row r="232">
      <c r="J232" s="1004" t="s">
        <v>944</v>
      </c>
      <c r="K232" s="1005">
        <v>1230.0</v>
      </c>
      <c r="L232" s="1006" t="s">
        <v>945</v>
      </c>
      <c r="M232" s="3"/>
      <c r="N232" s="999">
        <f t="shared" ref="N232:N233" si="49">K224*1.15</f>
        <v>368000</v>
      </c>
      <c r="O232" s="1021">
        <v>15000.0</v>
      </c>
      <c r="P232" s="1022" t="s">
        <v>946</v>
      </c>
      <c r="Q232" s="1020">
        <f>L223*K237*K222*100</f>
        <v>23625</v>
      </c>
      <c r="R232" s="1023" t="s">
        <v>947</v>
      </c>
      <c r="S232" s="994">
        <v>25000.0</v>
      </c>
    </row>
    <row r="233">
      <c r="J233" s="1004" t="s">
        <v>948</v>
      </c>
      <c r="K233" s="1005">
        <v>5.0</v>
      </c>
      <c r="L233" s="1006" t="s">
        <v>949</v>
      </c>
      <c r="M233" s="3"/>
      <c r="N233" s="999">
        <f t="shared" si="49"/>
        <v>310500</v>
      </c>
      <c r="O233" s="999">
        <v>15000.0</v>
      </c>
      <c r="P233" s="1019" t="s">
        <v>950</v>
      </c>
      <c r="Q233" s="1025">
        <f>L223*K238*K222*100</f>
        <v>97125</v>
      </c>
      <c r="R233" s="1026" t="s">
        <v>951</v>
      </c>
      <c r="S233" s="3"/>
    </row>
    <row r="234">
      <c r="J234" s="1004" t="s">
        <v>952</v>
      </c>
      <c r="K234" s="1005">
        <v>35.0</v>
      </c>
      <c r="L234" s="1027" t="s">
        <v>953</v>
      </c>
      <c r="M234" s="3"/>
      <c r="N234" s="999">
        <f>(K222*3-43.4)*K226*K227</f>
        <v>393770</v>
      </c>
      <c r="O234" s="999">
        <f>(K222*3-43.4)*K235</f>
        <v>27960</v>
      </c>
      <c r="P234" s="1019" t="s">
        <v>954</v>
      </c>
      <c r="Q234" s="1020">
        <f>L223*K239*K222*100</f>
        <v>34125</v>
      </c>
      <c r="R234" s="985" t="s">
        <v>939</v>
      </c>
      <c r="S234" s="994">
        <v>60000.0</v>
      </c>
    </row>
    <row r="235">
      <c r="J235" s="1023" t="s">
        <v>955</v>
      </c>
      <c r="K235" s="1028">
        <v>600.0</v>
      </c>
      <c r="L235" s="1001" t="s">
        <v>956</v>
      </c>
      <c r="M235" s="3"/>
      <c r="N235" s="999">
        <f>K229*K230*K231</f>
        <v>110700</v>
      </c>
      <c r="O235" s="999">
        <f>K231*K235</f>
        <v>18000</v>
      </c>
      <c r="P235" s="1022" t="s">
        <v>133</v>
      </c>
      <c r="Q235" s="1020">
        <f>L223*K240*K222*100</f>
        <v>23625</v>
      </c>
      <c r="R235" s="996" t="s">
        <v>943</v>
      </c>
      <c r="S235" s="994">
        <v>20000.0</v>
      </c>
    </row>
    <row r="236">
      <c r="J236" s="1029" t="s">
        <v>957</v>
      </c>
      <c r="K236" s="1030">
        <v>25.0</v>
      </c>
      <c r="L236" s="1001" t="s">
        <v>958</v>
      </c>
      <c r="M236" s="3"/>
      <c r="N236" s="999">
        <f>K232*K233*K234</f>
        <v>215250</v>
      </c>
      <c r="O236" s="999">
        <f>K234*K235</f>
        <v>21000</v>
      </c>
      <c r="P236" s="1019" t="s">
        <v>959</v>
      </c>
      <c r="Q236" s="1020">
        <f>L223*K241*K222*250</f>
        <v>72187.5</v>
      </c>
      <c r="R236" s="1023" t="s">
        <v>947</v>
      </c>
      <c r="S236" s="994">
        <v>19167.0</v>
      </c>
    </row>
    <row r="237">
      <c r="J237" s="985" t="s">
        <v>946</v>
      </c>
      <c r="K237" s="1007">
        <v>0.045</v>
      </c>
      <c r="L237" s="1001" t="s">
        <v>960</v>
      </c>
      <c r="M237" s="3"/>
      <c r="N237" s="999">
        <f>SUM(N232:O233)</f>
        <v>708500</v>
      </c>
      <c r="O237" s="1031"/>
      <c r="P237" s="985" t="s">
        <v>344</v>
      </c>
      <c r="Q237" s="997">
        <f>SUM(Q230:Q236)+SUM(S230:S232)</f>
        <v>1363087.5</v>
      </c>
      <c r="R237" s="985" t="s">
        <v>344</v>
      </c>
      <c r="S237" s="994">
        <f>S234+S235+S236</f>
        <v>99167</v>
      </c>
    </row>
    <row r="238">
      <c r="J238" s="1023" t="s">
        <v>961</v>
      </c>
      <c r="K238" s="1007">
        <v>0.185</v>
      </c>
      <c r="L238" s="976"/>
      <c r="M238" s="976"/>
      <c r="N238" s="976"/>
      <c r="O238" s="976"/>
      <c r="P238" s="976"/>
      <c r="Q238" s="976"/>
      <c r="R238" s="976"/>
      <c r="S238" s="976"/>
    </row>
    <row r="239">
      <c r="J239" s="1023" t="s">
        <v>962</v>
      </c>
      <c r="K239" s="1007">
        <v>0.065</v>
      </c>
      <c r="L239" s="976"/>
      <c r="M239" s="976"/>
      <c r="N239" s="976"/>
      <c r="O239" s="976"/>
      <c r="P239" s="976"/>
      <c r="Q239" s="976"/>
      <c r="R239" s="976"/>
      <c r="S239" s="976"/>
    </row>
    <row r="240">
      <c r="J240" s="1023" t="s">
        <v>133</v>
      </c>
      <c r="K240" s="1007">
        <v>0.045</v>
      </c>
      <c r="L240" s="976"/>
      <c r="M240" s="976"/>
      <c r="N240" s="976"/>
      <c r="O240" s="976"/>
      <c r="P240" s="976"/>
      <c r="Q240" s="976"/>
      <c r="R240" s="976"/>
      <c r="S240" s="976"/>
    </row>
    <row r="241">
      <c r="J241" s="1023" t="s">
        <v>959</v>
      </c>
      <c r="K241" s="1007">
        <v>0.055</v>
      </c>
      <c r="L241" s="976"/>
      <c r="M241" s="976"/>
      <c r="N241" s="976"/>
      <c r="O241" s="976"/>
      <c r="P241" s="976"/>
      <c r="Q241" s="976"/>
      <c r="R241" s="976"/>
      <c r="S241" s="976"/>
    </row>
    <row r="243">
      <c r="J243" s="977" t="s">
        <v>915</v>
      </c>
      <c r="K243" s="978">
        <f>A13</f>
        <v>46357</v>
      </c>
      <c r="L243" s="977" t="str">
        <f>"①R"&amp;year(K243)-2018&amp;"_"&amp;month(K243)&amp;"集計"</f>
        <v>①R8_12集計</v>
      </c>
      <c r="M243" s="6"/>
      <c r="N243" s="6"/>
      <c r="O243" s="979">
        <f>S246</f>
        <v>-147993.75</v>
      </c>
      <c r="P243" s="979">
        <f>S249</f>
        <v>-1214774.844</v>
      </c>
      <c r="Q243" s="980">
        <f>S250</f>
        <v>8.208284768</v>
      </c>
      <c r="R243" s="980">
        <f>S248</f>
        <v>-2.420920437</v>
      </c>
      <c r="S243" s="976"/>
    </row>
    <row r="244">
      <c r="J244" s="985" t="s">
        <v>918</v>
      </c>
      <c r="K244" s="986">
        <f>DAY(EOMONTH(K243,0))</f>
        <v>31</v>
      </c>
      <c r="L244" s="987" t="s">
        <v>919</v>
      </c>
      <c r="M244" s="987" t="s">
        <v>277</v>
      </c>
      <c r="N244" s="987" t="s">
        <v>296</v>
      </c>
      <c r="O244" s="987" t="s">
        <v>298</v>
      </c>
      <c r="P244" s="987" t="s">
        <v>298</v>
      </c>
      <c r="Q244" s="987" t="s">
        <v>920</v>
      </c>
      <c r="R244" s="985" t="s">
        <v>921</v>
      </c>
      <c r="S244" s="988">
        <v>1130.0</v>
      </c>
    </row>
    <row r="245">
      <c r="J245" s="985" t="s">
        <v>277</v>
      </c>
      <c r="K245" s="993">
        <f t="array" ref="K245">xlookup(L243,$B$3:$B$14,$C$3:$C$14)*100</f>
        <v>0</v>
      </c>
      <c r="L245" s="994">
        <f>SUM(N245:P245)</f>
        <v>175</v>
      </c>
      <c r="M245" s="994">
        <v>100.0</v>
      </c>
      <c r="N245" s="988">
        <v>137.0</v>
      </c>
      <c r="O245" s="988">
        <v>38.0</v>
      </c>
      <c r="P245" s="995"/>
      <c r="Q245" s="994">
        <f>L245*K244</f>
        <v>5425</v>
      </c>
      <c r="R245" s="996" t="s">
        <v>922</v>
      </c>
      <c r="S245" s="997">
        <f>Q259</f>
        <v>1384568.75</v>
      </c>
    </row>
    <row r="246">
      <c r="J246" s="985" t="s">
        <v>923</v>
      </c>
      <c r="K246" s="988">
        <v>320000.0</v>
      </c>
      <c r="L246" s="994">
        <f>L245*M246%</f>
        <v>-43.75</v>
      </c>
      <c r="M246" s="999">
        <f>K245-K258</f>
        <v>-25</v>
      </c>
      <c r="N246" s="994">
        <f>N245*M246%</f>
        <v>-34.25</v>
      </c>
      <c r="O246" s="994">
        <f>O245*M246%</f>
        <v>-9.5</v>
      </c>
      <c r="P246" s="994">
        <f>P245*M246%</f>
        <v>0</v>
      </c>
      <c r="Q246" s="994">
        <f>L246*K244</f>
        <v>-1356.25</v>
      </c>
      <c r="R246" s="985" t="s">
        <v>278</v>
      </c>
      <c r="S246" s="997">
        <f>S244*Q246+S245</f>
        <v>-147993.75</v>
      </c>
    </row>
    <row r="247">
      <c r="J247" s="985" t="s">
        <v>924</v>
      </c>
      <c r="K247" s="1033">
        <v>270000.0</v>
      </c>
      <c r="L247" s="1001" t="s">
        <v>925</v>
      </c>
      <c r="M247" s="3"/>
      <c r="N247" s="988">
        <v>22.926</v>
      </c>
      <c r="O247" s="988">
        <v>28.78</v>
      </c>
      <c r="P247" s="995"/>
      <c r="Q247" s="1002"/>
      <c r="R247" s="985" t="s">
        <v>926</v>
      </c>
      <c r="S247" s="994">
        <f>N252+SUM(N256:O258)+S259</f>
        <v>358281.0939</v>
      </c>
    </row>
    <row r="248">
      <c r="J248" s="1004" t="s">
        <v>927</v>
      </c>
      <c r="K248" s="1005">
        <v>1300.0</v>
      </c>
      <c r="L248" s="1006" t="s">
        <v>928</v>
      </c>
      <c r="M248" s="3"/>
      <c r="N248" s="994">
        <f t="shared" ref="N248:O248" si="50">N246/(360/N247)</f>
        <v>-2.181154167</v>
      </c>
      <c r="O248" s="994">
        <f t="shared" si="50"/>
        <v>-0.7594722222</v>
      </c>
      <c r="P248" s="1002"/>
      <c r="Q248" s="994">
        <f t="shared" ref="Q248:Q249" si="51">N248+O248+P248</f>
        <v>-2.940626389</v>
      </c>
      <c r="R248" s="985" t="s">
        <v>276</v>
      </c>
      <c r="S248" s="1007">
        <f>S247/S246</f>
        <v>-2.420920437</v>
      </c>
    </row>
    <row r="249">
      <c r="J249" s="1009" t="s">
        <v>929</v>
      </c>
      <c r="K249" s="1005">
        <v>6.5</v>
      </c>
      <c r="L249" s="1010" t="s">
        <v>930</v>
      </c>
      <c r="M249" s="988">
        <v>1230.0</v>
      </c>
      <c r="N249" s="994">
        <f>N248*(M249*6)</f>
        <v>-16096.91775</v>
      </c>
      <c r="O249" s="994">
        <f>O248*(M249*6)</f>
        <v>-5604.905</v>
      </c>
      <c r="P249" s="1002"/>
      <c r="Q249" s="994">
        <f t="shared" si="51"/>
        <v>-21701.82275</v>
      </c>
      <c r="R249" s="985" t="s">
        <v>931</v>
      </c>
      <c r="S249" s="997">
        <f>S246-S247-N259</f>
        <v>-1214774.844</v>
      </c>
    </row>
    <row r="250">
      <c r="J250" s="1011" t="s">
        <v>932</v>
      </c>
      <c r="K250" s="995"/>
      <c r="L250" s="1012"/>
      <c r="M250" s="1002"/>
      <c r="N250" s="1002"/>
      <c r="O250" s="1002"/>
      <c r="P250" s="1002"/>
      <c r="Q250" s="1002"/>
      <c r="R250" s="985" t="s">
        <v>275</v>
      </c>
      <c r="S250" s="1007">
        <f>S249/S246</f>
        <v>8.208284768</v>
      </c>
    </row>
    <row r="251">
      <c r="J251" s="1004" t="s">
        <v>933</v>
      </c>
      <c r="K251" s="1005">
        <v>1230.0</v>
      </c>
      <c r="L251" s="1006" t="s">
        <v>934</v>
      </c>
      <c r="M251" s="3"/>
      <c r="N251" s="994">
        <f>Q249+(Q248*K257)</f>
        <v>-23466.19858</v>
      </c>
      <c r="O251" s="1002"/>
      <c r="P251" s="1013" t="s">
        <v>935</v>
      </c>
      <c r="Q251" s="232"/>
      <c r="R251" s="232"/>
      <c r="S251" s="3"/>
    </row>
    <row r="252">
      <c r="J252" s="1015" t="s">
        <v>936</v>
      </c>
      <c r="K252" s="1005">
        <v>3.0</v>
      </c>
      <c r="L252" s="1006" t="s">
        <v>937</v>
      </c>
      <c r="M252" s="3"/>
      <c r="N252" s="994">
        <f>N251*K244+(L245*K263*K244*110)+(L245*K258%*K244*100)</f>
        <v>-559005.9061</v>
      </c>
      <c r="O252" s="1016"/>
      <c r="P252" s="1017" t="s">
        <v>938</v>
      </c>
      <c r="Q252" s="1018">
        <v>567400.0</v>
      </c>
      <c r="R252" s="985" t="s">
        <v>939</v>
      </c>
      <c r="S252" s="999">
        <v>100000.0</v>
      </c>
    </row>
    <row r="253">
      <c r="J253" s="1015" t="s">
        <v>940</v>
      </c>
      <c r="K253" s="1005">
        <f>K244</f>
        <v>31</v>
      </c>
      <c r="L253" s="1006" t="s">
        <v>941</v>
      </c>
      <c r="M253" s="3"/>
      <c r="N253" s="985" t="s">
        <v>374</v>
      </c>
      <c r="O253" s="1011" t="s">
        <v>348</v>
      </c>
      <c r="P253" s="1019" t="s">
        <v>942</v>
      </c>
      <c r="Q253" s="1020">
        <f>L245*K258%*K244*300</f>
        <v>406875</v>
      </c>
      <c r="R253" s="996" t="s">
        <v>943</v>
      </c>
      <c r="S253" s="994">
        <v>26250.0</v>
      </c>
    </row>
    <row r="254">
      <c r="J254" s="1004" t="s">
        <v>944</v>
      </c>
      <c r="K254" s="1005">
        <v>1230.0</v>
      </c>
      <c r="L254" s="1006" t="s">
        <v>945</v>
      </c>
      <c r="M254" s="3"/>
      <c r="N254" s="999">
        <f t="shared" ref="N254:N255" si="52">K246*1.15</f>
        <v>368000</v>
      </c>
      <c r="O254" s="1021">
        <v>15000.0</v>
      </c>
      <c r="P254" s="1022" t="s">
        <v>946</v>
      </c>
      <c r="Q254" s="1020">
        <f>L245*K259*K244*100</f>
        <v>24412.5</v>
      </c>
      <c r="R254" s="1023" t="s">
        <v>947</v>
      </c>
      <c r="S254" s="994">
        <v>25000.0</v>
      </c>
    </row>
    <row r="255">
      <c r="J255" s="1004" t="s">
        <v>948</v>
      </c>
      <c r="K255" s="1005">
        <v>5.0</v>
      </c>
      <c r="L255" s="1006" t="s">
        <v>949</v>
      </c>
      <c r="M255" s="3"/>
      <c r="N255" s="999">
        <f t="shared" si="52"/>
        <v>310500</v>
      </c>
      <c r="O255" s="999">
        <v>15000.0</v>
      </c>
      <c r="P255" s="1019" t="s">
        <v>950</v>
      </c>
      <c r="Q255" s="1025">
        <f>L245*K260*K244*100</f>
        <v>100362.5</v>
      </c>
      <c r="R255" s="1026" t="s">
        <v>951</v>
      </c>
      <c r="S255" s="3"/>
    </row>
    <row r="256">
      <c r="J256" s="1004" t="s">
        <v>952</v>
      </c>
      <c r="K256" s="1005">
        <v>35.0</v>
      </c>
      <c r="L256" s="1027" t="s">
        <v>953</v>
      </c>
      <c r="M256" s="3"/>
      <c r="N256" s="999">
        <f>(K244*3-43.4)*K248*K249</f>
        <v>419120</v>
      </c>
      <c r="O256" s="999">
        <f>(K244*3-43.4)*K257</f>
        <v>29760</v>
      </c>
      <c r="P256" s="1019" t="s">
        <v>954</v>
      </c>
      <c r="Q256" s="1020">
        <f>L245*K261*K244*100</f>
        <v>35262.5</v>
      </c>
      <c r="R256" s="985" t="s">
        <v>939</v>
      </c>
      <c r="S256" s="994">
        <v>60000.0</v>
      </c>
    </row>
    <row r="257">
      <c r="J257" s="1023" t="s">
        <v>955</v>
      </c>
      <c r="K257" s="1028">
        <v>600.0</v>
      </c>
      <c r="L257" s="1001" t="s">
        <v>956</v>
      </c>
      <c r="M257" s="3"/>
      <c r="N257" s="999">
        <f>K251*K252*K253</f>
        <v>114390</v>
      </c>
      <c r="O257" s="999">
        <f>K253*K257</f>
        <v>18600</v>
      </c>
      <c r="P257" s="1022" t="s">
        <v>133</v>
      </c>
      <c r="Q257" s="1020">
        <f>L245*K262*K244*100</f>
        <v>24412.5</v>
      </c>
      <c r="R257" s="996" t="s">
        <v>943</v>
      </c>
      <c r="S257" s="994">
        <v>20000.0</v>
      </c>
    </row>
    <row r="258">
      <c r="J258" s="1029" t="s">
        <v>957</v>
      </c>
      <c r="K258" s="1030">
        <v>25.0</v>
      </c>
      <c r="L258" s="1032" t="s">
        <v>963</v>
      </c>
      <c r="M258" s="3"/>
      <c r="N258" s="999">
        <f>K254*K255*K256</f>
        <v>215250</v>
      </c>
      <c r="O258" s="999">
        <f>K256*K257</f>
        <v>21000</v>
      </c>
      <c r="P258" s="1019" t="s">
        <v>959</v>
      </c>
      <c r="Q258" s="1020">
        <f>L245*K263*K244*250</f>
        <v>74593.75</v>
      </c>
      <c r="R258" s="1023" t="s">
        <v>947</v>
      </c>
      <c r="S258" s="994">
        <v>19167.0</v>
      </c>
    </row>
    <row r="259">
      <c r="J259" s="985" t="s">
        <v>946</v>
      </c>
      <c r="K259" s="1007">
        <v>0.045</v>
      </c>
      <c r="L259" s="1001" t="s">
        <v>960</v>
      </c>
      <c r="M259" s="3"/>
      <c r="N259" s="999">
        <f>SUM(N254:O255)</f>
        <v>708500</v>
      </c>
      <c r="O259" s="1031"/>
      <c r="P259" s="985" t="s">
        <v>344</v>
      </c>
      <c r="Q259" s="997">
        <f>SUM(Q252:Q258)+SUM(S252:S254)</f>
        <v>1384568.75</v>
      </c>
      <c r="R259" s="985" t="s">
        <v>344</v>
      </c>
      <c r="S259" s="994">
        <f>S256+S257+S258</f>
        <v>99167</v>
      </c>
    </row>
    <row r="260">
      <c r="J260" s="1023" t="s">
        <v>961</v>
      </c>
      <c r="K260" s="1007">
        <v>0.185</v>
      </c>
      <c r="L260" s="976"/>
      <c r="M260" s="976"/>
      <c r="N260" s="976"/>
      <c r="O260" s="976"/>
      <c r="P260" s="976"/>
      <c r="Q260" s="976"/>
      <c r="R260" s="976"/>
      <c r="S260" s="976"/>
    </row>
    <row r="261">
      <c r="J261" s="1023" t="s">
        <v>962</v>
      </c>
      <c r="K261" s="1007">
        <v>0.065</v>
      </c>
      <c r="L261" s="976"/>
      <c r="M261" s="976"/>
      <c r="N261" s="976"/>
      <c r="O261" s="976"/>
      <c r="P261" s="976"/>
      <c r="Q261" s="976"/>
      <c r="R261" s="976"/>
      <c r="S261" s="976"/>
    </row>
    <row r="262">
      <c r="J262" s="1023" t="s">
        <v>133</v>
      </c>
      <c r="K262" s="1007">
        <v>0.045</v>
      </c>
      <c r="L262" s="976"/>
      <c r="M262" s="976"/>
      <c r="N262" s="976"/>
      <c r="O262" s="976"/>
      <c r="P262" s="976"/>
      <c r="Q262" s="976"/>
      <c r="R262" s="976"/>
      <c r="S262" s="976"/>
    </row>
    <row r="263">
      <c r="J263" s="1023" t="s">
        <v>959</v>
      </c>
      <c r="K263" s="1007">
        <v>0.055</v>
      </c>
      <c r="L263" s="976"/>
      <c r="M263" s="976"/>
      <c r="N263" s="976"/>
      <c r="O263" s="976"/>
      <c r="P263" s="976"/>
      <c r="Q263" s="976"/>
      <c r="R263" s="976"/>
      <c r="S263" s="976"/>
    </row>
    <row r="265">
      <c r="J265" s="977" t="s">
        <v>915</v>
      </c>
      <c r="K265" s="978">
        <f>A14</f>
        <v>46388</v>
      </c>
      <c r="L265" s="977" t="str">
        <f>"①R"&amp;year(K265)-2018&amp;"_"&amp;month(K265)&amp;"集計"</f>
        <v>①R9_1集計</v>
      </c>
      <c r="M265" s="6"/>
      <c r="N265" s="6"/>
      <c r="O265" s="979">
        <f>S268</f>
        <v>-147993.75</v>
      </c>
      <c r="P265" s="979">
        <f>S271</f>
        <v>-1214774.844</v>
      </c>
      <c r="Q265" s="980">
        <f>S272</f>
        <v>8.208284768</v>
      </c>
      <c r="R265" s="980">
        <f>S270</f>
        <v>-2.420920437</v>
      </c>
      <c r="S265" s="976"/>
    </row>
    <row r="266">
      <c r="J266" s="985" t="s">
        <v>918</v>
      </c>
      <c r="K266" s="986">
        <f>DAY(EOMONTH(K265,0))</f>
        <v>31</v>
      </c>
      <c r="L266" s="987" t="s">
        <v>919</v>
      </c>
      <c r="M266" s="987" t="s">
        <v>277</v>
      </c>
      <c r="N266" s="987" t="s">
        <v>296</v>
      </c>
      <c r="O266" s="987" t="s">
        <v>298</v>
      </c>
      <c r="P266" s="987" t="s">
        <v>298</v>
      </c>
      <c r="Q266" s="987" t="s">
        <v>920</v>
      </c>
      <c r="R266" s="985" t="s">
        <v>921</v>
      </c>
      <c r="S266" s="988">
        <v>1130.0</v>
      </c>
    </row>
    <row r="267">
      <c r="J267" s="985" t="s">
        <v>277</v>
      </c>
      <c r="K267" s="993">
        <f t="array" ref="K267">xlookup(L265,$B$3:$B$14,$C$3:$C$14)*100</f>
        <v>0</v>
      </c>
      <c r="L267" s="994">
        <f>SUM(N267:P267)</f>
        <v>175</v>
      </c>
      <c r="M267" s="994">
        <v>100.0</v>
      </c>
      <c r="N267" s="988">
        <v>137.0</v>
      </c>
      <c r="O267" s="988">
        <v>38.0</v>
      </c>
      <c r="P267" s="995"/>
      <c r="Q267" s="994">
        <f>L267*K266</f>
        <v>5425</v>
      </c>
      <c r="R267" s="996" t="s">
        <v>922</v>
      </c>
      <c r="S267" s="997">
        <f>Q281</f>
        <v>1384568.75</v>
      </c>
    </row>
    <row r="268">
      <c r="J268" s="985" t="s">
        <v>923</v>
      </c>
      <c r="K268" s="988">
        <v>320000.0</v>
      </c>
      <c r="L268" s="994">
        <f>L267*M268%</f>
        <v>-43.75</v>
      </c>
      <c r="M268" s="999">
        <f>K267-K280</f>
        <v>-25</v>
      </c>
      <c r="N268" s="994">
        <f>N267*M268%</f>
        <v>-34.25</v>
      </c>
      <c r="O268" s="994">
        <f>O267*M268%</f>
        <v>-9.5</v>
      </c>
      <c r="P268" s="994">
        <f>P267*M268%</f>
        <v>0</v>
      </c>
      <c r="Q268" s="994">
        <f>L268*K266</f>
        <v>-1356.25</v>
      </c>
      <c r="R268" s="985" t="s">
        <v>278</v>
      </c>
      <c r="S268" s="997">
        <f>S266*Q268+S267</f>
        <v>-147993.75</v>
      </c>
    </row>
    <row r="269">
      <c r="J269" s="985" t="s">
        <v>924</v>
      </c>
      <c r="K269" s="1033">
        <v>270000.0</v>
      </c>
      <c r="L269" s="1001" t="s">
        <v>925</v>
      </c>
      <c r="M269" s="3"/>
      <c r="N269" s="988">
        <v>22.926</v>
      </c>
      <c r="O269" s="988">
        <v>28.78</v>
      </c>
      <c r="P269" s="995"/>
      <c r="Q269" s="1002"/>
      <c r="R269" s="985" t="s">
        <v>926</v>
      </c>
      <c r="S269" s="994">
        <f>N274+SUM(N278:O280)+S281</f>
        <v>358281.0939</v>
      </c>
    </row>
    <row r="270">
      <c r="J270" s="1004" t="s">
        <v>927</v>
      </c>
      <c r="K270" s="1005">
        <v>1300.0</v>
      </c>
      <c r="L270" s="1006" t="s">
        <v>928</v>
      </c>
      <c r="M270" s="3"/>
      <c r="N270" s="994">
        <f t="shared" ref="N270:O270" si="53">N268/(360/N269)</f>
        <v>-2.181154167</v>
      </c>
      <c r="O270" s="994">
        <f t="shared" si="53"/>
        <v>-0.7594722222</v>
      </c>
      <c r="P270" s="1002"/>
      <c r="Q270" s="994">
        <f t="shared" ref="Q270:Q271" si="54">N270+O270+P270</f>
        <v>-2.940626389</v>
      </c>
      <c r="R270" s="985" t="s">
        <v>276</v>
      </c>
      <c r="S270" s="1007">
        <f>S269/S268</f>
        <v>-2.420920437</v>
      </c>
    </row>
    <row r="271">
      <c r="J271" s="1009" t="s">
        <v>929</v>
      </c>
      <c r="K271" s="1005">
        <v>6.5</v>
      </c>
      <c r="L271" s="1010" t="s">
        <v>930</v>
      </c>
      <c r="M271" s="988">
        <v>1230.0</v>
      </c>
      <c r="N271" s="994">
        <f>N270*(M271*6)</f>
        <v>-16096.91775</v>
      </c>
      <c r="O271" s="994">
        <f>O270*(M271*6)</f>
        <v>-5604.905</v>
      </c>
      <c r="P271" s="1002"/>
      <c r="Q271" s="994">
        <f t="shared" si="54"/>
        <v>-21701.82275</v>
      </c>
      <c r="R271" s="985" t="s">
        <v>931</v>
      </c>
      <c r="S271" s="997">
        <f>S268-S269-N281</f>
        <v>-1214774.844</v>
      </c>
    </row>
    <row r="272">
      <c r="J272" s="1011" t="s">
        <v>932</v>
      </c>
      <c r="K272" s="995"/>
      <c r="L272" s="1012"/>
      <c r="M272" s="1002"/>
      <c r="N272" s="1002"/>
      <c r="O272" s="1002"/>
      <c r="P272" s="1002"/>
      <c r="Q272" s="1002"/>
      <c r="R272" s="985" t="s">
        <v>275</v>
      </c>
      <c r="S272" s="1007">
        <f>S271/S268</f>
        <v>8.208284768</v>
      </c>
    </row>
    <row r="273">
      <c r="J273" s="1004" t="s">
        <v>933</v>
      </c>
      <c r="K273" s="1005">
        <v>1230.0</v>
      </c>
      <c r="L273" s="1006" t="s">
        <v>934</v>
      </c>
      <c r="M273" s="3"/>
      <c r="N273" s="994">
        <f>Q271+(Q270*K279)</f>
        <v>-23466.19858</v>
      </c>
      <c r="O273" s="1002"/>
      <c r="P273" s="1013" t="s">
        <v>935</v>
      </c>
      <c r="Q273" s="232"/>
      <c r="R273" s="232"/>
      <c r="S273" s="3"/>
    </row>
    <row r="274">
      <c r="J274" s="1015" t="s">
        <v>936</v>
      </c>
      <c r="K274" s="1005">
        <v>3.0</v>
      </c>
      <c r="L274" s="1006" t="s">
        <v>937</v>
      </c>
      <c r="M274" s="3"/>
      <c r="N274" s="994">
        <f>N273*K266+(L267*K285*K266*110)+(L267*K280%*K266*100)</f>
        <v>-559005.9061</v>
      </c>
      <c r="O274" s="1016"/>
      <c r="P274" s="1017" t="s">
        <v>938</v>
      </c>
      <c r="Q274" s="1018">
        <v>567400.0</v>
      </c>
      <c r="R274" s="985" t="s">
        <v>939</v>
      </c>
      <c r="S274" s="999">
        <v>100000.0</v>
      </c>
    </row>
    <row r="275">
      <c r="J275" s="1015" t="s">
        <v>940</v>
      </c>
      <c r="K275" s="1005">
        <f>K266</f>
        <v>31</v>
      </c>
      <c r="L275" s="1006" t="s">
        <v>941</v>
      </c>
      <c r="M275" s="3"/>
      <c r="N275" s="985" t="s">
        <v>374</v>
      </c>
      <c r="O275" s="1011" t="s">
        <v>348</v>
      </c>
      <c r="P275" s="1019" t="s">
        <v>942</v>
      </c>
      <c r="Q275" s="1020">
        <f>L267*K280%*K266*300</f>
        <v>406875</v>
      </c>
      <c r="R275" s="996" t="s">
        <v>943</v>
      </c>
      <c r="S275" s="994">
        <v>26250.0</v>
      </c>
    </row>
    <row r="276">
      <c r="J276" s="1004" t="s">
        <v>944</v>
      </c>
      <c r="K276" s="1005">
        <v>1230.0</v>
      </c>
      <c r="L276" s="1006" t="s">
        <v>945</v>
      </c>
      <c r="M276" s="3"/>
      <c r="N276" s="999">
        <f t="shared" ref="N276:N277" si="55">K268*1.15</f>
        <v>368000</v>
      </c>
      <c r="O276" s="1021">
        <v>15000.0</v>
      </c>
      <c r="P276" s="1022" t="s">
        <v>946</v>
      </c>
      <c r="Q276" s="1020">
        <f>L267*K281*K266*100</f>
        <v>24412.5</v>
      </c>
      <c r="R276" s="1023" t="s">
        <v>947</v>
      </c>
      <c r="S276" s="994">
        <v>25000.0</v>
      </c>
    </row>
    <row r="277">
      <c r="J277" s="1004" t="s">
        <v>948</v>
      </c>
      <c r="K277" s="1005">
        <v>5.0</v>
      </c>
      <c r="L277" s="1006" t="s">
        <v>949</v>
      </c>
      <c r="M277" s="3"/>
      <c r="N277" s="999">
        <f t="shared" si="55"/>
        <v>310500</v>
      </c>
      <c r="O277" s="999">
        <v>15000.0</v>
      </c>
      <c r="P277" s="1019" t="s">
        <v>950</v>
      </c>
      <c r="Q277" s="1025">
        <f>L267*K282*K266*100</f>
        <v>100362.5</v>
      </c>
      <c r="R277" s="1026" t="s">
        <v>951</v>
      </c>
      <c r="S277" s="3"/>
    </row>
    <row r="278">
      <c r="J278" s="1004" t="s">
        <v>952</v>
      </c>
      <c r="K278" s="1005">
        <v>35.0</v>
      </c>
      <c r="L278" s="1027" t="s">
        <v>953</v>
      </c>
      <c r="M278" s="3"/>
      <c r="N278" s="999">
        <f>(K266*3-43.4)*K270*K271</f>
        <v>419120</v>
      </c>
      <c r="O278" s="999">
        <f>(K266*3-43.4)*K279</f>
        <v>29760</v>
      </c>
      <c r="P278" s="1019" t="s">
        <v>954</v>
      </c>
      <c r="Q278" s="1020">
        <f>L267*K283*K266*100</f>
        <v>35262.5</v>
      </c>
      <c r="R278" s="985" t="s">
        <v>939</v>
      </c>
      <c r="S278" s="994">
        <v>60000.0</v>
      </c>
    </row>
    <row r="279">
      <c r="J279" s="1023" t="s">
        <v>955</v>
      </c>
      <c r="K279" s="1028">
        <v>600.0</v>
      </c>
      <c r="L279" s="1001" t="s">
        <v>956</v>
      </c>
      <c r="M279" s="3"/>
      <c r="N279" s="999">
        <f>K273*K274*K275</f>
        <v>114390</v>
      </c>
      <c r="O279" s="999">
        <f>K275*K279</f>
        <v>18600</v>
      </c>
      <c r="P279" s="1022" t="s">
        <v>133</v>
      </c>
      <c r="Q279" s="1020">
        <f>L267*K284*K266*100</f>
        <v>24412.5</v>
      </c>
      <c r="R279" s="996" t="s">
        <v>943</v>
      </c>
      <c r="S279" s="994">
        <v>20000.0</v>
      </c>
    </row>
    <row r="280">
      <c r="J280" s="1029" t="s">
        <v>957</v>
      </c>
      <c r="K280" s="1030">
        <v>25.0</v>
      </c>
      <c r="L280" s="1001" t="s">
        <v>958</v>
      </c>
      <c r="M280" s="3"/>
      <c r="N280" s="999">
        <f>K276*K277*K278</f>
        <v>215250</v>
      </c>
      <c r="O280" s="999">
        <f>K278*K279</f>
        <v>21000</v>
      </c>
      <c r="P280" s="1019" t="s">
        <v>959</v>
      </c>
      <c r="Q280" s="1020">
        <f>L267*K285*K266*250</f>
        <v>74593.75</v>
      </c>
      <c r="R280" s="1023" t="s">
        <v>947</v>
      </c>
      <c r="S280" s="994">
        <v>19167.0</v>
      </c>
    </row>
    <row r="281">
      <c r="J281" s="985" t="s">
        <v>946</v>
      </c>
      <c r="K281" s="1007">
        <v>0.045</v>
      </c>
      <c r="L281" s="1001" t="s">
        <v>960</v>
      </c>
      <c r="M281" s="3"/>
      <c r="N281" s="999">
        <f>SUM(N276:O277)</f>
        <v>708500</v>
      </c>
      <c r="O281" s="1031"/>
      <c r="P281" s="985" t="s">
        <v>344</v>
      </c>
      <c r="Q281" s="997">
        <f>SUM(Q274:Q280)+SUM(S274:S276)</f>
        <v>1384568.75</v>
      </c>
      <c r="R281" s="985" t="s">
        <v>344</v>
      </c>
      <c r="S281" s="994">
        <f>S278+S279+S280</f>
        <v>99167</v>
      </c>
    </row>
    <row r="282">
      <c r="J282" s="1023" t="s">
        <v>961</v>
      </c>
      <c r="K282" s="1007">
        <v>0.185</v>
      </c>
      <c r="L282" s="976"/>
      <c r="M282" s="976"/>
      <c r="N282" s="976"/>
      <c r="O282" s="976"/>
      <c r="P282" s="976"/>
      <c r="Q282" s="976"/>
      <c r="R282" s="976"/>
      <c r="S282" s="976"/>
    </row>
    <row r="283">
      <c r="J283" s="1023" t="s">
        <v>962</v>
      </c>
      <c r="K283" s="1007">
        <v>0.065</v>
      </c>
      <c r="L283" s="976"/>
      <c r="M283" s="976"/>
      <c r="N283" s="976"/>
      <c r="O283" s="976"/>
      <c r="P283" s="976"/>
      <c r="Q283" s="976"/>
      <c r="R283" s="976"/>
      <c r="S283" s="976"/>
    </row>
    <row r="284">
      <c r="J284" s="1023" t="s">
        <v>133</v>
      </c>
      <c r="K284" s="1007">
        <v>0.045</v>
      </c>
      <c r="L284" s="976"/>
      <c r="M284" s="976"/>
      <c r="N284" s="976"/>
      <c r="O284" s="976"/>
      <c r="P284" s="976"/>
      <c r="Q284" s="976"/>
      <c r="R284" s="976"/>
      <c r="S284" s="976"/>
    </row>
    <row r="285">
      <c r="J285" s="1023" t="s">
        <v>959</v>
      </c>
      <c r="K285" s="1007">
        <v>0.055</v>
      </c>
      <c r="L285" s="976"/>
      <c r="M285" s="976"/>
      <c r="N285" s="976"/>
      <c r="O285" s="976"/>
      <c r="P285" s="976"/>
      <c r="Q285" s="976"/>
      <c r="R285" s="976"/>
      <c r="S285" s="976"/>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964</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965</v>
      </c>
      <c r="C2" s="200"/>
      <c r="D2" s="223"/>
      <c r="E2" s="223"/>
      <c r="F2" s="223"/>
      <c r="G2" s="223"/>
      <c r="H2" s="223"/>
      <c r="I2" s="223"/>
      <c r="J2" s="223"/>
      <c r="K2" s="200"/>
      <c r="L2" s="200"/>
      <c r="M2" s="200"/>
      <c r="N2" s="200"/>
      <c r="O2" s="1036"/>
      <c r="P2" s="1044">
        <f>month(P3)</f>
        <v>2</v>
      </c>
      <c r="Q2" s="1045" t="s">
        <v>966</v>
      </c>
      <c r="R2" s="1046" t="s">
        <v>967</v>
      </c>
      <c r="S2" s="1047" t="s">
        <v>968</v>
      </c>
      <c r="T2" s="1047" t="s">
        <v>969</v>
      </c>
      <c r="U2" s="1047" t="s">
        <v>970</v>
      </c>
      <c r="V2" s="1048" t="s">
        <v>971</v>
      </c>
      <c r="W2" s="1047" t="s">
        <v>972</v>
      </c>
      <c r="X2" s="1047" t="s">
        <v>973</v>
      </c>
      <c r="Y2" s="1044"/>
      <c r="Z2" s="1044">
        <f>month(Z3)</f>
        <v>3</v>
      </c>
      <c r="AA2" s="1045" t="s">
        <v>966</v>
      </c>
      <c r="AB2" s="1046" t="s">
        <v>967</v>
      </c>
      <c r="AC2" s="1047" t="s">
        <v>968</v>
      </c>
      <c r="AD2" s="1047" t="s">
        <v>969</v>
      </c>
      <c r="AE2" s="1047" t="s">
        <v>970</v>
      </c>
      <c r="AF2" s="1048" t="s">
        <v>974</v>
      </c>
      <c r="AG2" s="1047" t="s">
        <v>972</v>
      </c>
      <c r="AH2" s="1047" t="s">
        <v>973</v>
      </c>
      <c r="AI2" s="1044"/>
      <c r="AJ2" s="1044">
        <f>month(AJ3)</f>
        <v>4</v>
      </c>
      <c r="AK2" s="1045" t="s">
        <v>966</v>
      </c>
      <c r="AL2" s="1046" t="s">
        <v>967</v>
      </c>
      <c r="AM2" s="1047" t="s">
        <v>968</v>
      </c>
      <c r="AN2" s="1047" t="s">
        <v>969</v>
      </c>
      <c r="AO2" s="1047" t="s">
        <v>970</v>
      </c>
      <c r="AP2" s="1048" t="s">
        <v>975</v>
      </c>
      <c r="AQ2" s="1047" t="s">
        <v>972</v>
      </c>
      <c r="AR2" s="1047" t="s">
        <v>973</v>
      </c>
      <c r="AS2" s="1047"/>
      <c r="AT2" s="1044">
        <f>month(AT3)</f>
        <v>5</v>
      </c>
      <c r="AU2" s="1049" t="s">
        <v>966</v>
      </c>
      <c r="AV2" s="1050" t="s">
        <v>967</v>
      </c>
      <c r="AW2" s="1051" t="s">
        <v>968</v>
      </c>
      <c r="AX2" s="1051" t="s">
        <v>969</v>
      </c>
      <c r="AY2" s="1051" t="s">
        <v>970</v>
      </c>
      <c r="AZ2" s="1052" t="s">
        <v>976</v>
      </c>
      <c r="BA2" s="1051" t="s">
        <v>972</v>
      </c>
      <c r="BB2" s="1051" t="s">
        <v>973</v>
      </c>
      <c r="BC2" s="1044"/>
      <c r="BD2" s="1044">
        <f>month(BD3)</f>
        <v>6</v>
      </c>
      <c r="BE2" s="1045" t="s">
        <v>966</v>
      </c>
      <c r="BF2" s="1046" t="s">
        <v>967</v>
      </c>
      <c r="BG2" s="1047" t="s">
        <v>968</v>
      </c>
      <c r="BH2" s="1047" t="s">
        <v>969</v>
      </c>
      <c r="BI2" s="1047" t="s">
        <v>970</v>
      </c>
      <c r="BJ2" s="1048" t="s">
        <v>977</v>
      </c>
      <c r="BK2" s="1047" t="s">
        <v>972</v>
      </c>
      <c r="BL2" s="1047" t="s">
        <v>973</v>
      </c>
      <c r="BM2" s="1044"/>
      <c r="BN2" s="1044">
        <f>month(BN3)</f>
        <v>7</v>
      </c>
      <c r="BO2" s="1045" t="s">
        <v>966</v>
      </c>
      <c r="BP2" s="1046" t="s">
        <v>967</v>
      </c>
      <c r="BQ2" s="1047" t="s">
        <v>968</v>
      </c>
      <c r="BR2" s="1047" t="s">
        <v>969</v>
      </c>
      <c r="BS2" s="1047" t="s">
        <v>970</v>
      </c>
      <c r="BT2" s="1048" t="s">
        <v>978</v>
      </c>
      <c r="BU2" s="1047" t="s">
        <v>972</v>
      </c>
      <c r="BV2" s="1047" t="s">
        <v>973</v>
      </c>
      <c r="BW2" s="1047"/>
      <c r="BX2" s="1044">
        <f>month(BX3)</f>
        <v>8</v>
      </c>
      <c r="BY2" s="1045" t="s">
        <v>966</v>
      </c>
      <c r="BZ2" s="1046" t="s">
        <v>967</v>
      </c>
      <c r="CA2" s="1047" t="s">
        <v>968</v>
      </c>
      <c r="CB2" s="1047" t="s">
        <v>969</v>
      </c>
      <c r="CC2" s="1047" t="s">
        <v>970</v>
      </c>
      <c r="CD2" s="1048" t="s">
        <v>979</v>
      </c>
      <c r="CE2" s="1047" t="s">
        <v>972</v>
      </c>
      <c r="CF2" s="1047" t="s">
        <v>973</v>
      </c>
      <c r="CG2" s="1044"/>
      <c r="CH2" s="1044">
        <f>month(CH3)</f>
        <v>9</v>
      </c>
      <c r="CI2" s="1045" t="s">
        <v>966</v>
      </c>
      <c r="CJ2" s="1046" t="s">
        <v>967</v>
      </c>
      <c r="CK2" s="1047" t="s">
        <v>968</v>
      </c>
      <c r="CL2" s="1047" t="s">
        <v>969</v>
      </c>
      <c r="CM2" s="1047" t="s">
        <v>970</v>
      </c>
      <c r="CN2" s="1048" t="s">
        <v>980</v>
      </c>
      <c r="CO2" s="1047" t="s">
        <v>972</v>
      </c>
      <c r="CP2" s="1047" t="s">
        <v>973</v>
      </c>
      <c r="CQ2" s="1044"/>
      <c r="CR2" s="1044">
        <f>month(CR3)</f>
        <v>10</v>
      </c>
      <c r="CS2" s="1045" t="s">
        <v>966</v>
      </c>
      <c r="CT2" s="1046" t="s">
        <v>967</v>
      </c>
      <c r="CU2" s="1047" t="s">
        <v>968</v>
      </c>
      <c r="CV2" s="1047" t="s">
        <v>969</v>
      </c>
      <c r="CW2" s="1047" t="s">
        <v>970</v>
      </c>
      <c r="CX2" s="1048" t="s">
        <v>981</v>
      </c>
      <c r="CY2" s="1047" t="s">
        <v>972</v>
      </c>
      <c r="CZ2" s="1047" t="s">
        <v>973</v>
      </c>
      <c r="DA2" s="1047"/>
      <c r="DB2" s="1044">
        <f>month(DB3)</f>
        <v>11</v>
      </c>
      <c r="DC2" s="1045" t="s">
        <v>966</v>
      </c>
      <c r="DD2" s="1046" t="s">
        <v>967</v>
      </c>
      <c r="DE2" s="1047" t="s">
        <v>968</v>
      </c>
      <c r="DF2" s="1047" t="s">
        <v>969</v>
      </c>
      <c r="DG2" s="1047" t="s">
        <v>970</v>
      </c>
      <c r="DH2" s="1048" t="s">
        <v>982</v>
      </c>
      <c r="DI2" s="1047" t="s">
        <v>972</v>
      </c>
      <c r="DJ2" s="1047" t="s">
        <v>973</v>
      </c>
      <c r="DK2" s="1044"/>
      <c r="DL2" s="1044">
        <f>month(DL3)</f>
        <v>12</v>
      </c>
      <c r="DM2" s="1045" t="s">
        <v>966</v>
      </c>
      <c r="DN2" s="1046" t="s">
        <v>967</v>
      </c>
      <c r="DO2" s="1047" t="s">
        <v>968</v>
      </c>
      <c r="DP2" s="1047" t="s">
        <v>969</v>
      </c>
      <c r="DQ2" s="1047" t="s">
        <v>970</v>
      </c>
      <c r="DR2" s="1048" t="s">
        <v>983</v>
      </c>
      <c r="DS2" s="1047" t="s">
        <v>972</v>
      </c>
      <c r="DT2" s="1047" t="s">
        <v>973</v>
      </c>
      <c r="DU2" s="1044"/>
      <c r="DV2" s="1044">
        <f>month(DV3)</f>
        <v>1</v>
      </c>
      <c r="DW2" s="1045" t="s">
        <v>966</v>
      </c>
      <c r="DX2" s="1046" t="s">
        <v>967</v>
      </c>
      <c r="DY2" s="1047" t="s">
        <v>968</v>
      </c>
      <c r="DZ2" s="1047" t="s">
        <v>969</v>
      </c>
      <c r="EA2" s="1047" t="s">
        <v>970</v>
      </c>
      <c r="EB2" s="1048" t="s">
        <v>984</v>
      </c>
      <c r="EC2" s="1047" t="s">
        <v>972</v>
      </c>
      <c r="ED2" s="1047" t="s">
        <v>973</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985</v>
      </c>
      <c r="D3" s="1057" t="s">
        <v>564</v>
      </c>
      <c r="E3" s="1057" t="s">
        <v>986</v>
      </c>
      <c r="F3" s="1058" t="s">
        <v>987</v>
      </c>
      <c r="G3" s="1059" t="s">
        <v>988</v>
      </c>
      <c r="H3" s="1060" t="s">
        <v>989</v>
      </c>
      <c r="I3" s="1057" t="s">
        <v>990</v>
      </c>
      <c r="J3" s="1057" t="s">
        <v>991</v>
      </c>
      <c r="K3" s="200"/>
      <c r="L3" s="1061" t="s">
        <v>96</v>
      </c>
      <c r="M3" s="1061" t="s">
        <v>533</v>
      </c>
      <c r="N3" s="200"/>
      <c r="O3" s="1036"/>
      <c r="P3" s="1062">
        <v>46054.0</v>
      </c>
      <c r="Q3" s="1063" t="s">
        <v>80</v>
      </c>
      <c r="R3" s="1064" t="s">
        <v>985</v>
      </c>
      <c r="S3" s="1063" t="s">
        <v>564</v>
      </c>
      <c r="T3" s="1063" t="s">
        <v>992</v>
      </c>
      <c r="U3" s="1063" t="s">
        <v>993</v>
      </c>
      <c r="V3" s="1063" t="s">
        <v>994</v>
      </c>
      <c r="W3" s="1063" t="s">
        <v>995</v>
      </c>
      <c r="X3" s="1063" t="s">
        <v>996</v>
      </c>
      <c r="Y3" s="1065"/>
      <c r="Z3" s="1062">
        <v>46082.0</v>
      </c>
      <c r="AA3" s="1063" t="s">
        <v>80</v>
      </c>
      <c r="AB3" s="1064" t="s">
        <v>985</v>
      </c>
      <c r="AC3" s="1063" t="s">
        <v>564</v>
      </c>
      <c r="AD3" s="1063" t="s">
        <v>992</v>
      </c>
      <c r="AE3" s="1063" t="s">
        <v>993</v>
      </c>
      <c r="AF3" s="1063" t="s">
        <v>994</v>
      </c>
      <c r="AG3" s="1063" t="s">
        <v>995</v>
      </c>
      <c r="AH3" s="1063" t="s">
        <v>996</v>
      </c>
      <c r="AI3" s="1066"/>
      <c r="AJ3" s="1067">
        <v>46113.0</v>
      </c>
      <c r="AK3" s="1063" t="s">
        <v>80</v>
      </c>
      <c r="AL3" s="1064" t="s">
        <v>985</v>
      </c>
      <c r="AM3" s="1063" t="s">
        <v>564</v>
      </c>
      <c r="AN3" s="1063" t="s">
        <v>992</v>
      </c>
      <c r="AO3" s="1063" t="s">
        <v>993</v>
      </c>
      <c r="AP3" s="1063" t="s">
        <v>994</v>
      </c>
      <c r="AQ3" s="1063" t="s">
        <v>995</v>
      </c>
      <c r="AR3" s="1063" t="s">
        <v>996</v>
      </c>
      <c r="AS3" s="1065"/>
      <c r="AT3" s="1067">
        <v>46143.0</v>
      </c>
      <c r="AU3" s="1068" t="s">
        <v>80</v>
      </c>
      <c r="AV3" s="1069" t="s">
        <v>985</v>
      </c>
      <c r="AW3" s="1068" t="s">
        <v>564</v>
      </c>
      <c r="AX3" s="1068" t="s">
        <v>992</v>
      </c>
      <c r="AY3" s="1068" t="s">
        <v>993</v>
      </c>
      <c r="AZ3" s="1068" t="s">
        <v>994</v>
      </c>
      <c r="BA3" s="1068" t="s">
        <v>995</v>
      </c>
      <c r="BB3" s="1068" t="s">
        <v>996</v>
      </c>
      <c r="BC3" s="1065"/>
      <c r="BD3" s="1067">
        <v>46174.0</v>
      </c>
      <c r="BE3" s="1063" t="s">
        <v>80</v>
      </c>
      <c r="BF3" s="1064" t="s">
        <v>985</v>
      </c>
      <c r="BG3" s="1063" t="s">
        <v>564</v>
      </c>
      <c r="BH3" s="1063" t="s">
        <v>992</v>
      </c>
      <c r="BI3" s="1063" t="s">
        <v>993</v>
      </c>
      <c r="BJ3" s="1063" t="s">
        <v>994</v>
      </c>
      <c r="BK3" s="1063" t="s">
        <v>995</v>
      </c>
      <c r="BL3" s="1063" t="s">
        <v>996</v>
      </c>
      <c r="BM3" s="1066"/>
      <c r="BN3" s="1067">
        <v>46205.0</v>
      </c>
      <c r="BO3" s="1063" t="s">
        <v>80</v>
      </c>
      <c r="BP3" s="1064" t="s">
        <v>985</v>
      </c>
      <c r="BQ3" s="1063" t="s">
        <v>564</v>
      </c>
      <c r="BR3" s="1063" t="s">
        <v>992</v>
      </c>
      <c r="BS3" s="1063" t="s">
        <v>993</v>
      </c>
      <c r="BT3" s="1063" t="s">
        <v>994</v>
      </c>
      <c r="BU3" s="1063" t="s">
        <v>995</v>
      </c>
      <c r="BV3" s="1063" t="s">
        <v>996</v>
      </c>
      <c r="BW3" s="1065"/>
      <c r="BX3" s="1067">
        <v>46235.0</v>
      </c>
      <c r="BY3" s="1063" t="s">
        <v>80</v>
      </c>
      <c r="BZ3" s="1064" t="s">
        <v>985</v>
      </c>
      <c r="CA3" s="1063" t="s">
        <v>564</v>
      </c>
      <c r="CB3" s="1063" t="s">
        <v>992</v>
      </c>
      <c r="CC3" s="1063" t="s">
        <v>993</v>
      </c>
      <c r="CD3" s="1063" t="s">
        <v>994</v>
      </c>
      <c r="CE3" s="1063" t="s">
        <v>995</v>
      </c>
      <c r="CF3" s="1063" t="s">
        <v>996</v>
      </c>
      <c r="CG3" s="1065"/>
      <c r="CH3" s="1067">
        <v>46266.0</v>
      </c>
      <c r="CI3" s="1063" t="s">
        <v>80</v>
      </c>
      <c r="CJ3" s="1064" t="s">
        <v>985</v>
      </c>
      <c r="CK3" s="1063" t="s">
        <v>564</v>
      </c>
      <c r="CL3" s="1063" t="s">
        <v>992</v>
      </c>
      <c r="CM3" s="1063" t="s">
        <v>993</v>
      </c>
      <c r="CN3" s="1063" t="s">
        <v>994</v>
      </c>
      <c r="CO3" s="1063" t="s">
        <v>995</v>
      </c>
      <c r="CP3" s="1063" t="s">
        <v>996</v>
      </c>
      <c r="CQ3" s="1066"/>
      <c r="CR3" s="1067">
        <v>46296.0</v>
      </c>
      <c r="CS3" s="1063" t="s">
        <v>80</v>
      </c>
      <c r="CT3" s="1064" t="s">
        <v>985</v>
      </c>
      <c r="CU3" s="1063" t="s">
        <v>564</v>
      </c>
      <c r="CV3" s="1063" t="s">
        <v>992</v>
      </c>
      <c r="CW3" s="1063" t="s">
        <v>993</v>
      </c>
      <c r="CX3" s="1063" t="s">
        <v>994</v>
      </c>
      <c r="CY3" s="1063" t="s">
        <v>995</v>
      </c>
      <c r="CZ3" s="1063" t="s">
        <v>996</v>
      </c>
      <c r="DA3" s="1065"/>
      <c r="DB3" s="1067">
        <v>46327.0</v>
      </c>
      <c r="DC3" s="1063" t="s">
        <v>80</v>
      </c>
      <c r="DD3" s="1064" t="s">
        <v>985</v>
      </c>
      <c r="DE3" s="1063" t="s">
        <v>564</v>
      </c>
      <c r="DF3" s="1063" t="s">
        <v>992</v>
      </c>
      <c r="DG3" s="1063" t="s">
        <v>993</v>
      </c>
      <c r="DH3" s="1063" t="s">
        <v>994</v>
      </c>
      <c r="DI3" s="1063" t="s">
        <v>995</v>
      </c>
      <c r="DJ3" s="1063" t="s">
        <v>996</v>
      </c>
      <c r="DK3" s="1065"/>
      <c r="DL3" s="1067">
        <v>46357.0</v>
      </c>
      <c r="DM3" s="1063" t="s">
        <v>80</v>
      </c>
      <c r="DN3" s="1064" t="s">
        <v>985</v>
      </c>
      <c r="DO3" s="1063" t="s">
        <v>564</v>
      </c>
      <c r="DP3" s="1063" t="s">
        <v>992</v>
      </c>
      <c r="DQ3" s="1063" t="s">
        <v>993</v>
      </c>
      <c r="DR3" s="1063" t="s">
        <v>994</v>
      </c>
      <c r="DS3" s="1063" t="s">
        <v>995</v>
      </c>
      <c r="DT3" s="1063" t="s">
        <v>996</v>
      </c>
      <c r="DU3" s="1065"/>
      <c r="DV3" s="1067">
        <v>46388.0</v>
      </c>
      <c r="DW3" s="1063" t="s">
        <v>80</v>
      </c>
      <c r="DX3" s="1064" t="s">
        <v>985</v>
      </c>
      <c r="DY3" s="1063" t="s">
        <v>564</v>
      </c>
      <c r="DZ3" s="1063" t="s">
        <v>992</v>
      </c>
      <c r="EA3" s="1063" t="s">
        <v>993</v>
      </c>
      <c r="EB3" s="1063" t="s">
        <v>994</v>
      </c>
      <c r="EC3" s="1063" t="s">
        <v>995</v>
      </c>
      <c r="ED3" s="1063" t="s">
        <v>996</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150.5166667</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997</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f>
        <v/>
      </c>
      <c r="AO4" s="1082">
        <f>IFERROR(__xludf.DUMMYFUNCTION("IMPORTRANGE($P$7,$P$4&amp;AO$2)"),0.0)</f>
        <v>0</v>
      </c>
      <c r="AP4" s="228">
        <f t="shared" ref="AP4:AP299" si="7">COUNTIF(INDIRECT(AP$2 &amp; "L9:L"), AL4)</f>
        <v>0</v>
      </c>
      <c r="AQ4" s="1083">
        <f>IFERROR(__xludf.DUMMYFUNCTION("IMPORTRANGE($P$7,$P$4&amp;AQ$2)"),0.0)</f>
        <v>0</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3"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3"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3"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3"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3"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3"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3"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3"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446</v>
      </c>
      <c r="D5" s="1073" t="s">
        <v>89</v>
      </c>
      <c r="E5" s="1073" t="s">
        <v>998</v>
      </c>
      <c r="F5" s="1074">
        <f t="shared" si="2"/>
        <v>23</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141.3833333</v>
      </c>
      <c r="J5" s="1077">
        <f t="shared" si="4"/>
        <v>0</v>
      </c>
      <c r="K5" s="200"/>
      <c r="L5" s="228" t="str">
        <f t="array" ref="L5">IFERROR(INDEX('💻シート作成'!$D$6:$D999, MATCH(M5, '💻シート作成'!$E$6:$E999, 0)), "")</f>
        <v/>
      </c>
      <c r="M5" s="957" t="str">
        <f>IFERROR(__xludf.DUMMYFUNCTION("""COMPUTED_VALUE"""),"🔵クレーム")</f>
        <v>🔵クレーム</v>
      </c>
      <c r="N5" s="200"/>
      <c r="O5" s="1090">
        <v>2.0</v>
      </c>
      <c r="P5" s="1091" t="s">
        <v>999</v>
      </c>
      <c r="Q5" s="1080">
        <f>IFERROR(__xludf.DUMMYFUNCTION("""COMPUTED_VALUE"""),1165.0)</f>
        <v>1165</v>
      </c>
      <c r="R5" s="171" t="str">
        <f>IFERROR(__xludf.DUMMYFUNCTION("""COMPUTED_VALUE"""),"宇佐見")</f>
        <v>宇佐見</v>
      </c>
      <c r="S5" s="956" t="str">
        <f>IFERROR(__xludf.DUMMYFUNCTION("""COMPUTED_VALUE"""),"宇佐見 史香")</f>
        <v>宇佐見 史香</v>
      </c>
      <c r="T5" s="956"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6" t="str">
        <f>IFERROR(__xludf.DUMMYFUNCTION("""COMPUTED_VALUE"""),"チェッカー")</f>
        <v>チェッカー</v>
      </c>
      <c r="AD5" s="956"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6" t="str">
        <f>IFERROR(__xludf.DUMMYFUNCTION("""COMPUTED_VALUE"""),"チェッカー")</f>
        <v>チェッカー</v>
      </c>
      <c r="AN5" s="956" t="str">
        <f>IFERROR(__xludf.DUMMYFUNCTION("""COMPUTED_VALUE"""),"")</f>
        <v/>
      </c>
      <c r="AO5" s="1082">
        <f>IFERROR(__xludf.DUMMYFUNCTION("""COMPUTED_VALUE"""),0.0)</f>
        <v>0</v>
      </c>
      <c r="AP5" s="228">
        <f t="shared" si="7"/>
        <v>0</v>
      </c>
      <c r="AQ5" s="1083">
        <f>IFERROR(__xludf.DUMMYFUNCTION("""COMPUTED_VALUE"""),0.0)</f>
        <v>0</v>
      </c>
      <c r="AR5" s="228">
        <f>IFERROR(__xludf.DUMMYFUNCTION("""COMPUTED_VALUE"""),0.0)</f>
        <v>0</v>
      </c>
      <c r="AS5" s="223"/>
      <c r="AT5" s="526"/>
      <c r="AU5" s="1087"/>
      <c r="AV5" s="1092"/>
      <c r="AW5" s="1093"/>
      <c r="AX5" s="1093"/>
      <c r="AY5" s="1094"/>
      <c r="AZ5" s="1089">
        <f t="shared" si="8"/>
        <v>0</v>
      </c>
      <c r="BA5" s="1095"/>
      <c r="BB5" s="1089"/>
      <c r="BC5" s="200"/>
      <c r="BD5" s="526"/>
      <c r="BE5" s="1080"/>
      <c r="BF5" s="172"/>
      <c r="BG5" s="956"/>
      <c r="BH5" s="956"/>
      <c r="BI5" s="1082"/>
      <c r="BJ5" s="228">
        <f t="shared" si="9"/>
        <v>0</v>
      </c>
      <c r="BK5" s="1083"/>
      <c r="BL5" s="228"/>
      <c r="BM5" s="200"/>
      <c r="BN5" s="526"/>
      <c r="BO5" s="1080"/>
      <c r="BP5" s="172"/>
      <c r="BQ5" s="956"/>
      <c r="BR5" s="956"/>
      <c r="BS5" s="1082"/>
      <c r="BT5" s="228">
        <f t="shared" si="10"/>
        <v>0</v>
      </c>
      <c r="BU5" s="1083"/>
      <c r="BV5" s="228"/>
      <c r="BW5" s="223"/>
      <c r="BX5" s="526"/>
      <c r="BY5" s="1080"/>
      <c r="BZ5" s="172"/>
      <c r="CA5" s="956"/>
      <c r="CB5" s="956"/>
      <c r="CC5" s="1082"/>
      <c r="CD5" s="228">
        <f t="shared" si="11"/>
        <v>0</v>
      </c>
      <c r="CE5" s="1083"/>
      <c r="CF5" s="228"/>
      <c r="CG5" s="200"/>
      <c r="CH5" s="526"/>
      <c r="CI5" s="1080"/>
      <c r="CJ5" s="172"/>
      <c r="CK5" s="956"/>
      <c r="CL5" s="956"/>
      <c r="CM5" s="1082"/>
      <c r="CN5" s="228">
        <f t="shared" si="12"/>
        <v>0</v>
      </c>
      <c r="CO5" s="1083"/>
      <c r="CP5" s="228"/>
      <c r="CQ5" s="200"/>
      <c r="CR5" s="526"/>
      <c r="CS5" s="1080"/>
      <c r="CT5" s="172"/>
      <c r="CU5" s="956"/>
      <c r="CV5" s="956"/>
      <c r="CW5" s="1082"/>
      <c r="CX5" s="228">
        <f t="shared" si="13"/>
        <v>0</v>
      </c>
      <c r="CY5" s="1083"/>
      <c r="CZ5" s="228"/>
      <c r="DA5" s="223"/>
      <c r="DB5" s="526"/>
      <c r="DC5" s="1080"/>
      <c r="DD5" s="172"/>
      <c r="DE5" s="956"/>
      <c r="DF5" s="956"/>
      <c r="DG5" s="1082"/>
      <c r="DH5" s="228">
        <f t="shared" si="14"/>
        <v>0</v>
      </c>
      <c r="DI5" s="1083"/>
      <c r="DJ5" s="228"/>
      <c r="DK5" s="200"/>
      <c r="DL5" s="526"/>
      <c r="DM5" s="1080"/>
      <c r="DN5" s="172"/>
      <c r="DO5" s="956"/>
      <c r="DP5" s="956"/>
      <c r="DQ5" s="1082"/>
      <c r="DR5" s="228">
        <f t="shared" si="15"/>
        <v>0</v>
      </c>
      <c r="DS5" s="1083"/>
      <c r="DT5" s="228"/>
      <c r="DU5" s="200"/>
      <c r="DV5" s="526"/>
      <c r="DW5" s="1080"/>
      <c r="DX5" s="172"/>
      <c r="DY5" s="956"/>
      <c r="DZ5" s="956"/>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930</v>
      </c>
      <c r="F6" s="1074">
        <f t="shared" si="2"/>
        <v>25</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168.2</v>
      </c>
      <c r="J6" s="1077">
        <f t="shared" si="17"/>
        <v>0</v>
      </c>
      <c r="K6" s="200"/>
      <c r="L6" s="228" t="str">
        <f t="array" ref="L6">IFERROR(INDEX('💻シート作成'!$D$6:$D999, MATCH(M6, '💻シート作成'!$E$6:$E999, 0)), "")</f>
        <v/>
      </c>
      <c r="M6" s="963" t="str">
        <f>IFERROR(__xludf.DUMMYFUNCTION("""COMPUTED_VALUE"""),"✅安全チェック")</f>
        <v>✅安全チェック</v>
      </c>
      <c r="N6" s="200"/>
      <c r="O6" s="1090">
        <v>3.0</v>
      </c>
      <c r="P6" s="1096" t="s">
        <v>1000</v>
      </c>
      <c r="Q6" s="1080">
        <f>IFERROR(__xludf.DUMMYFUNCTION("""COMPUTED_VALUE"""),1187.0)</f>
        <v>1187</v>
      </c>
      <c r="R6" s="171" t="str">
        <f>IFERROR(__xludf.DUMMYFUNCTION("""COMPUTED_VALUE"""),"カヴィンダ")</f>
        <v>カヴィンダ</v>
      </c>
      <c r="S6" s="956" t="str">
        <f>IFERROR(__xludf.DUMMYFUNCTION("""COMPUTED_VALUE"""),"デワプラ デワゲ シデシュ　 カヴィンダ")</f>
        <v>デワプラ デワゲ シデシュ　 カヴィンダ</v>
      </c>
      <c r="T6" s="956"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6" t="str">
        <f>IFERROR(__xludf.DUMMYFUNCTION("""COMPUTED_VALUE"""),"チェッカー")</f>
        <v>チェッカー</v>
      </c>
      <c r="AD6" s="956"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6" t="str">
        <f>IFERROR(__xludf.DUMMYFUNCTION("""COMPUTED_VALUE"""),"チェッカー")</f>
        <v>チェッカー</v>
      </c>
      <c r="AN6" s="956" t="str">
        <f>IFERROR(__xludf.DUMMYFUNCTION("""COMPUTED_VALUE"""),"時給")</f>
        <v>時給</v>
      </c>
      <c r="AO6" s="1082">
        <f>IFERROR(__xludf.DUMMYFUNCTION("""COMPUTED_VALUE"""),1.0)</f>
        <v>1</v>
      </c>
      <c r="AP6" s="228">
        <f t="shared" si="7"/>
        <v>0</v>
      </c>
      <c r="AQ6" s="1083">
        <f>IFERROR(__xludf.DUMMYFUNCTION("""COMPUTED_VALUE"""),5.516666666666667)</f>
        <v>5.516666667</v>
      </c>
      <c r="AR6" s="228">
        <f>IFERROR(__xludf.DUMMYFUNCTION("""COMPUTED_VALUE"""),0.0)</f>
        <v>0</v>
      </c>
      <c r="AS6" s="223"/>
      <c r="AT6" s="200"/>
      <c r="AU6" s="1087"/>
      <c r="AV6" s="1092"/>
      <c r="AW6" s="1093"/>
      <c r="AX6" s="1093"/>
      <c r="AY6" s="1094"/>
      <c r="AZ6" s="1089">
        <f t="shared" si="8"/>
        <v>0</v>
      </c>
      <c r="BA6" s="1095"/>
      <c r="BB6" s="1089"/>
      <c r="BC6" s="200"/>
      <c r="BD6" s="200"/>
      <c r="BE6" s="1080"/>
      <c r="BF6" s="172"/>
      <c r="BG6" s="956"/>
      <c r="BH6" s="956"/>
      <c r="BI6" s="1082"/>
      <c r="BJ6" s="228">
        <f t="shared" si="9"/>
        <v>0</v>
      </c>
      <c r="BK6" s="1083"/>
      <c r="BL6" s="228"/>
      <c r="BM6" s="200"/>
      <c r="BN6" s="200"/>
      <c r="BO6" s="1080"/>
      <c r="BP6" s="172"/>
      <c r="BQ6" s="956"/>
      <c r="BR6" s="956"/>
      <c r="BS6" s="1082"/>
      <c r="BT6" s="228">
        <f t="shared" si="10"/>
        <v>0</v>
      </c>
      <c r="BU6" s="1083"/>
      <c r="BV6" s="228"/>
      <c r="BW6" s="223"/>
      <c r="BX6" s="200"/>
      <c r="BY6" s="1080"/>
      <c r="BZ6" s="172"/>
      <c r="CA6" s="956"/>
      <c r="CB6" s="956"/>
      <c r="CC6" s="1082"/>
      <c r="CD6" s="228">
        <f t="shared" si="11"/>
        <v>0</v>
      </c>
      <c r="CE6" s="1083"/>
      <c r="CF6" s="228"/>
      <c r="CG6" s="200"/>
      <c r="CH6" s="200"/>
      <c r="CI6" s="1080"/>
      <c r="CJ6" s="172"/>
      <c r="CK6" s="956"/>
      <c r="CL6" s="956"/>
      <c r="CM6" s="1082"/>
      <c r="CN6" s="228">
        <f t="shared" si="12"/>
        <v>0</v>
      </c>
      <c r="CO6" s="1083"/>
      <c r="CP6" s="228"/>
      <c r="CQ6" s="200"/>
      <c r="CR6" s="200"/>
      <c r="CS6" s="1080"/>
      <c r="CT6" s="172"/>
      <c r="CU6" s="956"/>
      <c r="CV6" s="956"/>
      <c r="CW6" s="1082"/>
      <c r="CX6" s="228">
        <f t="shared" si="13"/>
        <v>0</v>
      </c>
      <c r="CY6" s="1083"/>
      <c r="CZ6" s="228"/>
      <c r="DA6" s="223"/>
      <c r="DB6" s="200"/>
      <c r="DC6" s="1080"/>
      <c r="DD6" s="172"/>
      <c r="DE6" s="956"/>
      <c r="DF6" s="956"/>
      <c r="DG6" s="1082"/>
      <c r="DH6" s="228">
        <f t="shared" si="14"/>
        <v>0</v>
      </c>
      <c r="DI6" s="1083"/>
      <c r="DJ6" s="228"/>
      <c r="DK6" s="200"/>
      <c r="DL6" s="200"/>
      <c r="DM6" s="1080"/>
      <c r="DN6" s="172"/>
      <c r="DO6" s="956"/>
      <c r="DP6" s="956"/>
      <c r="DQ6" s="1082"/>
      <c r="DR6" s="228">
        <f t="shared" si="15"/>
        <v>0</v>
      </c>
      <c r="DS6" s="1083"/>
      <c r="DT6" s="228"/>
      <c r="DU6" s="200"/>
      <c r="DV6" s="200"/>
      <c r="DW6" s="1080"/>
      <c r="DX6" s="172"/>
      <c r="DY6" s="956"/>
      <c r="DZ6" s="956"/>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450</v>
      </c>
      <c r="D7" s="1073" t="s">
        <v>89</v>
      </c>
      <c r="E7" s="1073" t="s">
        <v>998</v>
      </c>
      <c r="F7" s="1074">
        <f t="shared" si="2"/>
        <v>20</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133.6166667</v>
      </c>
      <c r="J7" s="1077">
        <f t="shared" si="18"/>
        <v>0</v>
      </c>
      <c r="K7" s="200"/>
      <c r="L7" s="228" t="str">
        <f t="array" ref="L7">IFERROR(INDEX('💻シート作成'!$D$6:$D999, MATCH(M7, '💻シート作成'!$E$6:$E999, 0)), "")</f>
        <v/>
      </c>
      <c r="M7" s="963" t="str">
        <f>IFERROR(__xludf.DUMMYFUNCTION("""COMPUTED_VALUE"""),"👭メイド人数計算")</f>
        <v>👭メイド人数計算</v>
      </c>
      <c r="N7" s="200"/>
      <c r="O7" s="1090">
        <v>4.0</v>
      </c>
      <c r="P7" s="1097" t="s">
        <v>1001</v>
      </c>
      <c r="Q7" s="1080">
        <f>IFERROR(__xludf.DUMMYFUNCTION("""COMPUTED_VALUE"""),1201.0)</f>
        <v>1201</v>
      </c>
      <c r="R7" s="171" t="str">
        <f>IFERROR(__xludf.DUMMYFUNCTION("""COMPUTED_VALUE"""),"ガルセス")</f>
        <v>ガルセス</v>
      </c>
      <c r="S7" s="956" t="str">
        <f>IFERROR(__xludf.DUMMYFUNCTION("""COMPUTED_VALUE"""),"ガルセス　ロサリオ")</f>
        <v>ガルセス　ロサリオ</v>
      </c>
      <c r="T7" s="956"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6" t="str">
        <f>IFERROR(__xludf.DUMMYFUNCTION("""COMPUTED_VALUE"""),"チェッカー")</f>
        <v>チェッカー</v>
      </c>
      <c r="AD7" s="956" t="str">
        <f>IFERROR(__xludf.DUMMYFUNCTION("""COMPUTED_VALUE"""),"時給")</f>
        <v>時給</v>
      </c>
      <c r="AE7" s="1082">
        <f>IFERROR(__xludf.DUMMYFUNCTION("""COMPUTED_VALUE"""),18.0)</f>
        <v>18</v>
      </c>
      <c r="AF7" s="228">
        <f t="shared" si="6"/>
        <v>0</v>
      </c>
      <c r="AG7" s="1083">
        <f>IFERROR(__xludf.DUMMYFUNCTION("""COMPUTED_VALUE"""),121.18333333333334)</f>
        <v>121.1833333</v>
      </c>
      <c r="AH7" s="228">
        <f>IFERROR(__xludf.DUMMYFUNCTION("""COMPUTED_VALUE"""),0.0)</f>
        <v>0</v>
      </c>
      <c r="AI7" s="200"/>
      <c r="AJ7" s="200"/>
      <c r="AK7" s="1085">
        <f>IFERROR(__xludf.DUMMYFUNCTION("""COMPUTED_VALUE"""),1358.0)</f>
        <v>1358</v>
      </c>
      <c r="AL7" s="171" t="str">
        <f>IFERROR(__xludf.DUMMYFUNCTION("""COMPUTED_VALUE"""),"カン")</f>
        <v>カン</v>
      </c>
      <c r="AM7" s="956" t="str">
        <f>IFERROR(__xludf.DUMMYFUNCTION("""COMPUTED_VALUE"""),"チェッカー")</f>
        <v>チェッカー</v>
      </c>
      <c r="AN7" s="956" t="str">
        <f>IFERROR(__xludf.DUMMYFUNCTION("""COMPUTED_VALUE"""),"")</f>
        <v/>
      </c>
      <c r="AO7" s="1082">
        <f>IFERROR(__xludf.DUMMYFUNCTION("""COMPUTED_VALUE"""),0.0)</f>
        <v>0</v>
      </c>
      <c r="AP7" s="228">
        <f t="shared" si="7"/>
        <v>0</v>
      </c>
      <c r="AQ7" s="1083">
        <f>IFERROR(__xludf.DUMMYFUNCTION("""COMPUTED_VALUE"""),0.0)</f>
        <v>0</v>
      </c>
      <c r="AR7" s="228">
        <f>IFERROR(__xludf.DUMMYFUNCTION("""COMPUTED_VALUE"""),0.0)</f>
        <v>0</v>
      </c>
      <c r="AS7" s="223"/>
      <c r="AT7" s="200"/>
      <c r="AU7" s="1087"/>
      <c r="AV7" s="1092"/>
      <c r="AW7" s="1093"/>
      <c r="AX7" s="1093"/>
      <c r="AY7" s="1094"/>
      <c r="AZ7" s="1089">
        <f t="shared" si="8"/>
        <v>0</v>
      </c>
      <c r="BA7" s="1095"/>
      <c r="BB7" s="1089"/>
      <c r="BC7" s="200"/>
      <c r="BD7" s="200"/>
      <c r="BE7" s="1080"/>
      <c r="BF7" s="172"/>
      <c r="BG7" s="956"/>
      <c r="BH7" s="956"/>
      <c r="BI7" s="1082"/>
      <c r="BJ7" s="228">
        <f t="shared" si="9"/>
        <v>0</v>
      </c>
      <c r="BK7" s="1083"/>
      <c r="BL7" s="228"/>
      <c r="BM7" s="200"/>
      <c r="BN7" s="200"/>
      <c r="BO7" s="1080"/>
      <c r="BP7" s="172"/>
      <c r="BQ7" s="956"/>
      <c r="BR7" s="956"/>
      <c r="BS7" s="1082"/>
      <c r="BT7" s="228">
        <f t="shared" si="10"/>
        <v>0</v>
      </c>
      <c r="BU7" s="1083"/>
      <c r="BV7" s="228"/>
      <c r="BW7" s="223"/>
      <c r="BX7" s="200"/>
      <c r="BY7" s="1080"/>
      <c r="BZ7" s="172"/>
      <c r="CA7" s="956"/>
      <c r="CB7" s="956"/>
      <c r="CC7" s="1082"/>
      <c r="CD7" s="228">
        <f t="shared" si="11"/>
        <v>0</v>
      </c>
      <c r="CE7" s="1083"/>
      <c r="CF7" s="228"/>
      <c r="CG7" s="200"/>
      <c r="CH7" s="200"/>
      <c r="CI7" s="1080"/>
      <c r="CJ7" s="172"/>
      <c r="CK7" s="956"/>
      <c r="CL7" s="956"/>
      <c r="CM7" s="1082"/>
      <c r="CN7" s="228">
        <f t="shared" si="12"/>
        <v>0</v>
      </c>
      <c r="CO7" s="1083"/>
      <c r="CP7" s="228"/>
      <c r="CQ7" s="200"/>
      <c r="CR7" s="200"/>
      <c r="CS7" s="1080"/>
      <c r="CT7" s="172"/>
      <c r="CU7" s="956"/>
      <c r="CV7" s="956"/>
      <c r="CW7" s="1082"/>
      <c r="CX7" s="228">
        <f t="shared" si="13"/>
        <v>0</v>
      </c>
      <c r="CY7" s="1083"/>
      <c r="CZ7" s="228"/>
      <c r="DA7" s="223"/>
      <c r="DB7" s="200"/>
      <c r="DC7" s="1080"/>
      <c r="DD7" s="172"/>
      <c r="DE7" s="956"/>
      <c r="DF7" s="956"/>
      <c r="DG7" s="1082"/>
      <c r="DH7" s="228">
        <f t="shared" si="14"/>
        <v>0</v>
      </c>
      <c r="DI7" s="1083"/>
      <c r="DJ7" s="228"/>
      <c r="DK7" s="200"/>
      <c r="DL7" s="200"/>
      <c r="DM7" s="1080"/>
      <c r="DN7" s="172"/>
      <c r="DO7" s="956"/>
      <c r="DP7" s="956"/>
      <c r="DQ7" s="1082"/>
      <c r="DR7" s="228">
        <f t="shared" si="15"/>
        <v>0</v>
      </c>
      <c r="DS7" s="1083"/>
      <c r="DT7" s="228"/>
      <c r="DU7" s="200"/>
      <c r="DV7" s="200"/>
      <c r="DW7" s="1080"/>
      <c r="DX7" s="172"/>
      <c r="DY7" s="956"/>
      <c r="DZ7" s="956"/>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452</v>
      </c>
      <c r="D8" s="1073" t="s">
        <v>89</v>
      </c>
      <c r="E8" s="1073" t="s">
        <v>930</v>
      </c>
      <c r="F8" s="1074">
        <f t="shared" si="2"/>
        <v>27</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167.6833333</v>
      </c>
      <c r="J8" s="1077">
        <f t="shared" si="19"/>
        <v>0</v>
      </c>
      <c r="K8" s="200"/>
      <c r="L8" s="228" t="str">
        <f t="array" ref="L8">IFERROR(INDEX('💻シート作成'!$D$6:$D999, MATCH(M8, '💻シート作成'!$E$6:$E999, 0)), "")</f>
        <v>1月</v>
      </c>
      <c r="M8" s="963"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6" t="str">
        <f>IFERROR(__xludf.DUMMYFUNCTION("""COMPUTED_VALUE"""),"塚田　グレース")</f>
        <v>塚田　グレース</v>
      </c>
      <c r="T8" s="956"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6" t="str">
        <f>IFERROR(__xludf.DUMMYFUNCTION("""COMPUTED_VALUE"""),"チェッカー")</f>
        <v>チェッカー</v>
      </c>
      <c r="AD8" s="956" t="str">
        <f>IFERROR(__xludf.DUMMYFUNCTION("""COMPUTED_VALUE"""),"時給")</f>
        <v>時給</v>
      </c>
      <c r="AE8" s="1082">
        <f>IFERROR(__xludf.DUMMYFUNCTION("""COMPUTED_VALUE"""),13.0)</f>
        <v>13</v>
      </c>
      <c r="AF8" s="228">
        <f t="shared" si="6"/>
        <v>0</v>
      </c>
      <c r="AG8" s="1083">
        <f>IFERROR(__xludf.DUMMYFUNCTION("""COMPUTED_VALUE"""),78.5)</f>
        <v>78.5</v>
      </c>
      <c r="AH8" s="228">
        <f>IFERROR(__xludf.DUMMYFUNCTION("""COMPUTED_VALUE"""),0.0)</f>
        <v>0</v>
      </c>
      <c r="AI8" s="200"/>
      <c r="AJ8" s="200"/>
      <c r="AK8" s="1085">
        <f>IFERROR(__xludf.DUMMYFUNCTION("""COMPUTED_VALUE"""),1388.0)</f>
        <v>1388</v>
      </c>
      <c r="AL8" s="171" t="str">
        <f>IFERROR(__xludf.DUMMYFUNCTION("""COMPUTED_VALUE"""),"エリー")</f>
        <v>エリー</v>
      </c>
      <c r="AM8" s="956" t="str">
        <f>IFERROR(__xludf.DUMMYFUNCTION("""COMPUTED_VALUE"""),"チェッカー")</f>
        <v>チェッカー</v>
      </c>
      <c r="AN8" s="956" t="str">
        <f>IFERROR(__xludf.DUMMYFUNCTION("""COMPUTED_VALUE"""),"時給")</f>
        <v>時給</v>
      </c>
      <c r="AO8" s="1082">
        <f>IFERROR(__xludf.DUMMYFUNCTION("""COMPUTED_VALUE"""),1.0)</f>
        <v>1</v>
      </c>
      <c r="AP8" s="228">
        <f t="shared" si="7"/>
        <v>0</v>
      </c>
      <c r="AQ8" s="1083">
        <f>IFERROR(__xludf.DUMMYFUNCTION("""COMPUTED_VALUE"""),6.016666666666667)</f>
        <v>6.016666667</v>
      </c>
      <c r="AR8" s="228">
        <f>IFERROR(__xludf.DUMMYFUNCTION("""COMPUTED_VALUE"""),0.0)</f>
        <v>0</v>
      </c>
      <c r="AS8" s="223"/>
      <c r="AT8" s="200"/>
      <c r="AU8" s="1087"/>
      <c r="AV8" s="1092"/>
      <c r="AW8" s="1093"/>
      <c r="AX8" s="1093"/>
      <c r="AY8" s="1094"/>
      <c r="AZ8" s="1089">
        <f t="shared" si="8"/>
        <v>0</v>
      </c>
      <c r="BA8" s="1095"/>
      <c r="BB8" s="1089"/>
      <c r="BC8" s="200"/>
      <c r="BD8" s="200"/>
      <c r="BE8" s="1080"/>
      <c r="BF8" s="172"/>
      <c r="BG8" s="956"/>
      <c r="BH8" s="956"/>
      <c r="BI8" s="1082"/>
      <c r="BJ8" s="228">
        <f t="shared" si="9"/>
        <v>0</v>
      </c>
      <c r="BK8" s="1083"/>
      <c r="BL8" s="228"/>
      <c r="BM8" s="200"/>
      <c r="BN8" s="200"/>
      <c r="BO8" s="1080"/>
      <c r="BP8" s="172"/>
      <c r="BQ8" s="956"/>
      <c r="BR8" s="956"/>
      <c r="BS8" s="1082"/>
      <c r="BT8" s="228">
        <f t="shared" si="10"/>
        <v>0</v>
      </c>
      <c r="BU8" s="1083"/>
      <c r="BV8" s="228"/>
      <c r="BW8" s="223"/>
      <c r="BX8" s="200"/>
      <c r="BY8" s="1080"/>
      <c r="BZ8" s="172"/>
      <c r="CA8" s="956"/>
      <c r="CB8" s="956"/>
      <c r="CC8" s="1082"/>
      <c r="CD8" s="228">
        <f t="shared" si="11"/>
        <v>0</v>
      </c>
      <c r="CE8" s="1083"/>
      <c r="CF8" s="228"/>
      <c r="CG8" s="200"/>
      <c r="CH8" s="200"/>
      <c r="CI8" s="1080"/>
      <c r="CJ8" s="172"/>
      <c r="CK8" s="956"/>
      <c r="CL8" s="956"/>
      <c r="CM8" s="1082"/>
      <c r="CN8" s="228">
        <f t="shared" si="12"/>
        <v>0</v>
      </c>
      <c r="CO8" s="1083"/>
      <c r="CP8" s="228"/>
      <c r="CQ8" s="200"/>
      <c r="CR8" s="200"/>
      <c r="CS8" s="1080"/>
      <c r="CT8" s="172"/>
      <c r="CU8" s="956"/>
      <c r="CV8" s="956"/>
      <c r="CW8" s="1082"/>
      <c r="CX8" s="228">
        <f t="shared" si="13"/>
        <v>0</v>
      </c>
      <c r="CY8" s="1083"/>
      <c r="CZ8" s="228"/>
      <c r="DA8" s="223"/>
      <c r="DB8" s="200"/>
      <c r="DC8" s="1080"/>
      <c r="DD8" s="172"/>
      <c r="DE8" s="956"/>
      <c r="DF8" s="956"/>
      <c r="DG8" s="1082"/>
      <c r="DH8" s="228">
        <f t="shared" si="14"/>
        <v>0</v>
      </c>
      <c r="DI8" s="1083"/>
      <c r="DJ8" s="228"/>
      <c r="DK8" s="200"/>
      <c r="DL8" s="200"/>
      <c r="DM8" s="1080"/>
      <c r="DN8" s="172"/>
      <c r="DO8" s="956"/>
      <c r="DP8" s="956"/>
      <c r="DQ8" s="1082"/>
      <c r="DR8" s="228">
        <f t="shared" si="15"/>
        <v>0</v>
      </c>
      <c r="DS8" s="1083"/>
      <c r="DT8" s="228"/>
      <c r="DU8" s="200"/>
      <c r="DV8" s="200"/>
      <c r="DW8" s="1080"/>
      <c r="DX8" s="172"/>
      <c r="DY8" s="956"/>
      <c r="DZ8" s="956"/>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454</v>
      </c>
      <c r="D9" s="1073" t="s">
        <v>89</v>
      </c>
      <c r="E9" s="1073" t="s">
        <v>998</v>
      </c>
      <c r="F9" s="1074">
        <f t="shared" si="2"/>
        <v>17</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107.3666667</v>
      </c>
      <c r="J9" s="1077">
        <f t="shared" si="20"/>
        <v>0</v>
      </c>
      <c r="K9" s="200"/>
      <c r="L9" s="228" t="str">
        <f t="array" ref="L9">IFERROR(INDEX('💻シート作成'!$D$6:$D999, MATCH(M9, '💻シート作成'!$E$6:$E999, 0)), "")</f>
        <v>1月</v>
      </c>
      <c r="M9" s="957"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6" t="str">
        <f>IFERROR(__xludf.DUMMYFUNCTION("""COMPUTED_VALUE"""),"大沼　ジェナリン")</f>
        <v>大沼　ジェナリン</v>
      </c>
      <c r="T9" s="956"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IFERROR(__xludf.DUMMYFUNCTION("""COMPUTED_VALUE"""),255.0)</f>
        <v>255</v>
      </c>
      <c r="Y9" s="200"/>
      <c r="Z9" s="200"/>
      <c r="AA9" s="1085">
        <f>IFERROR(__xludf.DUMMYFUNCTION("""COMPUTED_VALUE"""),2345.0)</f>
        <v>2345</v>
      </c>
      <c r="AB9" s="171" t="str">
        <f>IFERROR(__xludf.DUMMYFUNCTION("""COMPUTED_VALUE"""),"梅澤")</f>
        <v>梅澤</v>
      </c>
      <c r="AC9" s="956" t="str">
        <f>IFERROR(__xludf.DUMMYFUNCTION("""COMPUTED_VALUE"""),"チェッカー")</f>
        <v>チェッカー</v>
      </c>
      <c r="AD9" s="956"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6" t="str">
        <f>IFERROR(__xludf.DUMMYFUNCTION("""COMPUTED_VALUE"""),"チェッカー")</f>
        <v>チェッカー</v>
      </c>
      <c r="AN9" s="956" t="str">
        <f>IFERROR(__xludf.DUMMYFUNCTION("""COMPUTED_VALUE"""),"")</f>
        <v/>
      </c>
      <c r="AO9" s="1082">
        <f>IFERROR(__xludf.DUMMYFUNCTION("""COMPUTED_VALUE"""),0.0)</f>
        <v>0</v>
      </c>
      <c r="AP9" s="228">
        <f t="shared" si="7"/>
        <v>0</v>
      </c>
      <c r="AQ9" s="1083">
        <f>IFERROR(__xludf.DUMMYFUNCTION("""COMPUTED_VALUE"""),0.0)</f>
        <v>0</v>
      </c>
      <c r="AR9" s="228">
        <f>IFERROR(__xludf.DUMMYFUNCTION("""COMPUTED_VALUE"""),0.0)</f>
        <v>0</v>
      </c>
      <c r="AS9" s="223"/>
      <c r="AT9" s="200"/>
      <c r="AU9" s="1087"/>
      <c r="AV9" s="1092"/>
      <c r="AW9" s="1093"/>
      <c r="AX9" s="1093"/>
      <c r="AY9" s="1094"/>
      <c r="AZ9" s="1089">
        <f t="shared" si="8"/>
        <v>0</v>
      </c>
      <c r="BA9" s="1095"/>
      <c r="BB9" s="1089"/>
      <c r="BC9" s="200"/>
      <c r="BD9" s="200"/>
      <c r="BE9" s="1080"/>
      <c r="BF9" s="172"/>
      <c r="BG9" s="956"/>
      <c r="BH9" s="956"/>
      <c r="BI9" s="1082"/>
      <c r="BJ9" s="228">
        <f t="shared" si="9"/>
        <v>0</v>
      </c>
      <c r="BK9" s="1083"/>
      <c r="BL9" s="228"/>
      <c r="BM9" s="200"/>
      <c r="BN9" s="200"/>
      <c r="BO9" s="1080"/>
      <c r="BP9" s="172"/>
      <c r="BQ9" s="956"/>
      <c r="BR9" s="956"/>
      <c r="BS9" s="1082"/>
      <c r="BT9" s="228">
        <f t="shared" si="10"/>
        <v>0</v>
      </c>
      <c r="BU9" s="1083"/>
      <c r="BV9" s="228"/>
      <c r="BW9" s="223"/>
      <c r="BX9" s="200"/>
      <c r="BY9" s="1080"/>
      <c r="BZ9" s="172"/>
      <c r="CA9" s="956"/>
      <c r="CB9" s="956"/>
      <c r="CC9" s="1082"/>
      <c r="CD9" s="228">
        <f t="shared" si="11"/>
        <v>0</v>
      </c>
      <c r="CE9" s="1083"/>
      <c r="CF9" s="228"/>
      <c r="CG9" s="200"/>
      <c r="CH9" s="200"/>
      <c r="CI9" s="1080"/>
      <c r="CJ9" s="172"/>
      <c r="CK9" s="956"/>
      <c r="CL9" s="956"/>
      <c r="CM9" s="1082"/>
      <c r="CN9" s="228">
        <f t="shared" si="12"/>
        <v>0</v>
      </c>
      <c r="CO9" s="1083"/>
      <c r="CP9" s="228"/>
      <c r="CQ9" s="200"/>
      <c r="CR9" s="200"/>
      <c r="CS9" s="1080"/>
      <c r="CT9" s="172"/>
      <c r="CU9" s="956"/>
      <c r="CV9" s="956"/>
      <c r="CW9" s="1082"/>
      <c r="CX9" s="228">
        <f t="shared" si="13"/>
        <v>0</v>
      </c>
      <c r="CY9" s="1083"/>
      <c r="CZ9" s="228"/>
      <c r="DA9" s="223"/>
      <c r="DB9" s="200"/>
      <c r="DC9" s="1080"/>
      <c r="DD9" s="172"/>
      <c r="DE9" s="956"/>
      <c r="DF9" s="956"/>
      <c r="DG9" s="1082"/>
      <c r="DH9" s="228">
        <f t="shared" si="14"/>
        <v>0</v>
      </c>
      <c r="DI9" s="1083"/>
      <c r="DJ9" s="228"/>
      <c r="DK9" s="200"/>
      <c r="DL9" s="200"/>
      <c r="DM9" s="1080"/>
      <c r="DN9" s="172"/>
      <c r="DO9" s="956"/>
      <c r="DP9" s="956"/>
      <c r="DQ9" s="1082"/>
      <c r="DR9" s="228">
        <f t="shared" si="15"/>
        <v>0</v>
      </c>
      <c r="DS9" s="1083"/>
      <c r="DT9" s="228"/>
      <c r="DU9" s="200"/>
      <c r="DV9" s="200"/>
      <c r="DW9" s="1080"/>
      <c r="DX9" s="172"/>
      <c r="DY9" s="956"/>
      <c r="DZ9" s="956"/>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515</v>
      </c>
      <c r="D10" s="1073" t="s">
        <v>544</v>
      </c>
      <c r="E10" s="1073" t="s">
        <v>998</v>
      </c>
      <c r="F10" s="1074">
        <f t="shared" si="2"/>
        <v>35</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105.45</v>
      </c>
      <c r="J10" s="1077">
        <f t="shared" si="21"/>
        <v>0</v>
      </c>
      <c r="K10" s="200"/>
      <c r="L10" s="228" t="str">
        <f t="array" ref="L10">IFERROR(INDEX('💻シート作成'!$D$6:$D999, MATCH(M10, '💻シート作成'!$E$6:$E999, 0)), "")</f>
        <v>1月</v>
      </c>
      <c r="M10" s="963"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6" t="str">
        <f>IFERROR(__xludf.DUMMYFUNCTION("""COMPUTED_VALUE"""),"ソノダ　ミツヨ")</f>
        <v>ソノダ　ミツヨ</v>
      </c>
      <c r="T10" s="956"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6" t="str">
        <f>IFERROR(__xludf.DUMMYFUNCTION("""COMPUTED_VALUE"""),"パブリック")</f>
        <v>パブリック</v>
      </c>
      <c r="AD10" s="956"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6" t="str">
        <f>IFERROR(__xludf.DUMMYFUNCTION("""COMPUTED_VALUE"""),"パブリック")</f>
        <v>パブリック</v>
      </c>
      <c r="AN10" s="956" t="str">
        <f>IFERROR(__xludf.DUMMYFUNCTION("""COMPUTED_VALUE"""),"")</f>
        <v/>
      </c>
      <c r="AO10" s="1082">
        <f>IFERROR(__xludf.DUMMYFUNCTION("""COMPUTED_VALUE"""),0.0)</f>
        <v>0</v>
      </c>
      <c r="AP10" s="228">
        <f t="shared" si="7"/>
        <v>0</v>
      </c>
      <c r="AQ10" s="1083">
        <f>IFERROR(__xludf.DUMMYFUNCTION("""COMPUTED_VALUE"""),0.0)</f>
        <v>0</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6"/>
      <c r="BH10" s="956"/>
      <c r="BI10" s="1082"/>
      <c r="BJ10" s="228">
        <f t="shared" si="9"/>
        <v>0</v>
      </c>
      <c r="BK10" s="1083"/>
      <c r="BL10" s="228"/>
      <c r="BM10" s="200"/>
      <c r="BN10" s="200"/>
      <c r="BO10" s="1080"/>
      <c r="BP10" s="172"/>
      <c r="BQ10" s="956"/>
      <c r="BR10" s="956"/>
      <c r="BS10" s="1082"/>
      <c r="BT10" s="228">
        <f t="shared" si="10"/>
        <v>0</v>
      </c>
      <c r="BU10" s="1083"/>
      <c r="BV10" s="228"/>
      <c r="BW10" s="223"/>
      <c r="BX10" s="200"/>
      <c r="BY10" s="1080"/>
      <c r="BZ10" s="172"/>
      <c r="CA10" s="956"/>
      <c r="CB10" s="956"/>
      <c r="CC10" s="1082"/>
      <c r="CD10" s="228">
        <f t="shared" si="11"/>
        <v>0</v>
      </c>
      <c r="CE10" s="1083"/>
      <c r="CF10" s="228"/>
      <c r="CG10" s="200"/>
      <c r="CH10" s="200"/>
      <c r="CI10" s="1080"/>
      <c r="CJ10" s="172"/>
      <c r="CK10" s="956"/>
      <c r="CL10" s="956"/>
      <c r="CM10" s="1082"/>
      <c r="CN10" s="228">
        <f t="shared" si="12"/>
        <v>0</v>
      </c>
      <c r="CO10" s="1083"/>
      <c r="CP10" s="228"/>
      <c r="CQ10" s="200"/>
      <c r="CR10" s="200"/>
      <c r="CS10" s="1080"/>
      <c r="CT10" s="172"/>
      <c r="CU10" s="956"/>
      <c r="CV10" s="956"/>
      <c r="CW10" s="1082"/>
      <c r="CX10" s="228">
        <f t="shared" si="13"/>
        <v>0</v>
      </c>
      <c r="CY10" s="1083"/>
      <c r="CZ10" s="228"/>
      <c r="DA10" s="223"/>
      <c r="DB10" s="200"/>
      <c r="DC10" s="1080"/>
      <c r="DD10" s="172"/>
      <c r="DE10" s="956"/>
      <c r="DF10" s="956"/>
      <c r="DG10" s="1082"/>
      <c r="DH10" s="228">
        <f t="shared" si="14"/>
        <v>0</v>
      </c>
      <c r="DI10" s="1083"/>
      <c r="DJ10" s="228"/>
      <c r="DK10" s="200"/>
      <c r="DL10" s="200"/>
      <c r="DM10" s="1080"/>
      <c r="DN10" s="172"/>
      <c r="DO10" s="956"/>
      <c r="DP10" s="956"/>
      <c r="DQ10" s="1082"/>
      <c r="DR10" s="228">
        <f t="shared" si="15"/>
        <v>0</v>
      </c>
      <c r="DS10" s="1083"/>
      <c r="DT10" s="228"/>
      <c r="DU10" s="200"/>
      <c r="DV10" s="200"/>
      <c r="DW10" s="1080"/>
      <c r="DX10" s="172"/>
      <c r="DY10" s="956"/>
      <c r="DZ10" s="956"/>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488</v>
      </c>
      <c r="D11" s="1073" t="s">
        <v>544</v>
      </c>
      <c r="E11" s="1073" t="s">
        <v>930</v>
      </c>
      <c r="F11" s="1074">
        <f t="shared" si="2"/>
        <v>19</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61.41666667</v>
      </c>
      <c r="J11" s="1077">
        <f t="shared" si="22"/>
        <v>0</v>
      </c>
      <c r="K11" s="200"/>
      <c r="L11" s="228" t="str">
        <f t="array" ref="L11">IFERROR(INDEX('💻シート作成'!$D$6:$D999, MATCH(M11, '💻シート作成'!$E$6:$E999, 0)), "")</f>
        <v>1月</v>
      </c>
      <c r="M11" s="963"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6" t="str">
        <f>IFERROR(__xludf.DUMMYFUNCTION("""COMPUTED_VALUE"""),"ハヤカワ　マウリン")</f>
        <v>ハヤカワ　マウリン</v>
      </c>
      <c r="T11" s="956"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IFERROR(__xludf.DUMMYFUNCTION("""COMPUTED_VALUE"""),305.0)</f>
        <v>305</v>
      </c>
      <c r="Y11" s="200"/>
      <c r="Z11" s="200"/>
      <c r="AA11" s="1085">
        <f>IFERROR(__xludf.DUMMYFUNCTION("""COMPUTED_VALUE"""),1416.0)</f>
        <v>1416</v>
      </c>
      <c r="AB11" s="171" t="str">
        <f>IFERROR(__xludf.DUMMYFUNCTION("""COMPUTED_VALUE"""),"サルマ")</f>
        <v>サルマ</v>
      </c>
      <c r="AC11" s="956" t="str">
        <f>IFERROR(__xludf.DUMMYFUNCTION("""COMPUTED_VALUE"""),"パブリック")</f>
        <v>パブリック</v>
      </c>
      <c r="AD11" s="956"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6" t="str">
        <f>IFERROR(__xludf.DUMMYFUNCTION("""COMPUTED_VALUE"""),"パブリック")</f>
        <v>パブリック</v>
      </c>
      <c r="AN11" s="956" t="str">
        <f>IFERROR(__xludf.DUMMYFUNCTION("""COMPUTED_VALUE"""),"時給")</f>
        <v>時給</v>
      </c>
      <c r="AO11" s="1082">
        <f>IFERROR(__xludf.DUMMYFUNCTION("""COMPUTED_VALUE"""),1.0)</f>
        <v>1</v>
      </c>
      <c r="AP11" s="228">
        <f t="shared" si="7"/>
        <v>0</v>
      </c>
      <c r="AQ11" s="1083">
        <f>IFERROR(__xludf.DUMMYFUNCTION("""COMPUTED_VALUE"""),2.466666666666667)</f>
        <v>2.466666667</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6"/>
      <c r="BH11" s="956"/>
      <c r="BI11" s="1082"/>
      <c r="BJ11" s="228">
        <f t="shared" si="9"/>
        <v>0</v>
      </c>
      <c r="BK11" s="1083"/>
      <c r="BL11" s="228"/>
      <c r="BM11" s="200"/>
      <c r="BN11" s="200"/>
      <c r="BO11" s="1080"/>
      <c r="BP11" s="172"/>
      <c r="BQ11" s="956"/>
      <c r="BR11" s="956"/>
      <c r="BS11" s="1082"/>
      <c r="BT11" s="228">
        <f t="shared" si="10"/>
        <v>0</v>
      </c>
      <c r="BU11" s="1083"/>
      <c r="BV11" s="228"/>
      <c r="BW11" s="223"/>
      <c r="BX11" s="200"/>
      <c r="BY11" s="1080"/>
      <c r="BZ11" s="172"/>
      <c r="CA11" s="956"/>
      <c r="CB11" s="956"/>
      <c r="CC11" s="1082"/>
      <c r="CD11" s="228">
        <f t="shared" si="11"/>
        <v>0</v>
      </c>
      <c r="CE11" s="1083"/>
      <c r="CF11" s="228"/>
      <c r="CG11" s="200"/>
      <c r="CH11" s="200"/>
      <c r="CI11" s="1080"/>
      <c r="CJ11" s="172"/>
      <c r="CK11" s="956"/>
      <c r="CL11" s="956"/>
      <c r="CM11" s="1082"/>
      <c r="CN11" s="228">
        <f t="shared" si="12"/>
        <v>0</v>
      </c>
      <c r="CO11" s="1083"/>
      <c r="CP11" s="228"/>
      <c r="CQ11" s="200"/>
      <c r="CR11" s="200"/>
      <c r="CS11" s="1080"/>
      <c r="CT11" s="172"/>
      <c r="CU11" s="956"/>
      <c r="CV11" s="956"/>
      <c r="CW11" s="1082"/>
      <c r="CX11" s="228">
        <f t="shared" si="13"/>
        <v>0</v>
      </c>
      <c r="CY11" s="1083"/>
      <c r="CZ11" s="228"/>
      <c r="DA11" s="223"/>
      <c r="DB11" s="200"/>
      <c r="DC11" s="1080"/>
      <c r="DD11" s="172"/>
      <c r="DE11" s="956"/>
      <c r="DF11" s="956"/>
      <c r="DG11" s="1082"/>
      <c r="DH11" s="228">
        <f t="shared" si="14"/>
        <v>0</v>
      </c>
      <c r="DI11" s="1083"/>
      <c r="DJ11" s="228"/>
      <c r="DK11" s="200"/>
      <c r="DL11" s="200"/>
      <c r="DM11" s="1080"/>
      <c r="DN11" s="172"/>
      <c r="DO11" s="956"/>
      <c r="DP11" s="956"/>
      <c r="DQ11" s="1082"/>
      <c r="DR11" s="228">
        <f t="shared" si="15"/>
        <v>0</v>
      </c>
      <c r="DS11" s="1083"/>
      <c r="DT11" s="228"/>
      <c r="DU11" s="200"/>
      <c r="DV11" s="200"/>
      <c r="DW11" s="1080"/>
      <c r="DX11" s="172"/>
      <c r="DY11" s="956"/>
      <c r="DZ11" s="956"/>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516</v>
      </c>
      <c r="D12" s="1073" t="s">
        <v>90</v>
      </c>
      <c r="E12" s="1073" t="s">
        <v>998</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3"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6" t="str">
        <f>IFERROR(__xludf.DUMMYFUNCTION("""COMPUTED_VALUE"""),"シャルマ　シャンタ")</f>
        <v>シャルマ　シャンタ</v>
      </c>
      <c r="T12" s="956"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IFERROR(__xludf.DUMMYFUNCTION("""COMPUTED_VALUE"""),408.0)</f>
        <v>408</v>
      </c>
      <c r="Y12" s="200"/>
      <c r="Z12" s="200"/>
      <c r="AA12" s="1085">
        <f>IFERROR(__xludf.DUMMYFUNCTION("""COMPUTED_VALUE"""),1187.0)</f>
        <v>1187</v>
      </c>
      <c r="AB12" s="171" t="str">
        <f>IFERROR(__xludf.DUMMYFUNCTION("""COMPUTED_VALUE"""),"カヴィンダ")</f>
        <v>カヴィンダ</v>
      </c>
      <c r="AC12" s="956" t="str">
        <f>IFERROR(__xludf.DUMMYFUNCTION("""COMPUTED_VALUE"""),"メイド")</f>
        <v>メイド</v>
      </c>
      <c r="AD12" s="956" t="str">
        <f>IFERROR(__xludf.DUMMYFUNCTION("""COMPUTED_VALUE"""),"")</f>
        <v/>
      </c>
      <c r="AE12" s="1082">
        <f>IFERROR(__xludf.DUMMYFUNCTION("""COMPUTED_VALUE"""),0.0)</f>
        <v>0</v>
      </c>
      <c r="AF12" s="228">
        <f t="shared" si="6"/>
        <v>0</v>
      </c>
      <c r="AG12" s="1083">
        <f>IFERROR(__xludf.DUMMYFUNCTION("""COMPUTED_VALUE"""),0.0)</f>
        <v>0</v>
      </c>
      <c r="AH12" s="228">
        <f>IFERROR(__xludf.DUMMYFUNCTION("""COMPUTED_VALUE"""),0.0)</f>
        <v>0</v>
      </c>
      <c r="AI12" s="200"/>
      <c r="AJ12" s="200"/>
      <c r="AK12" s="1085">
        <f>IFERROR(__xludf.DUMMYFUNCTION("""COMPUTED_VALUE"""),1187.0)</f>
        <v>1187</v>
      </c>
      <c r="AL12" s="171" t="str">
        <f>IFERROR(__xludf.DUMMYFUNCTION("""COMPUTED_VALUE"""),"カヴィンダ")</f>
        <v>カヴィンダ</v>
      </c>
      <c r="AM12" s="956" t="str">
        <f>IFERROR(__xludf.DUMMYFUNCTION("""COMPUTED_VALUE"""),"メイド")</f>
        <v>メイド</v>
      </c>
      <c r="AN12" s="956"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6"/>
      <c r="BH12" s="956"/>
      <c r="BI12" s="1082"/>
      <c r="BJ12" s="228">
        <f t="shared" si="9"/>
        <v>0</v>
      </c>
      <c r="BK12" s="1083"/>
      <c r="BL12" s="228"/>
      <c r="BM12" s="200"/>
      <c r="BN12" s="200"/>
      <c r="BO12" s="1080"/>
      <c r="BP12" s="172"/>
      <c r="BQ12" s="956"/>
      <c r="BR12" s="956"/>
      <c r="BS12" s="1082"/>
      <c r="BT12" s="228">
        <f t="shared" si="10"/>
        <v>0</v>
      </c>
      <c r="BU12" s="1083"/>
      <c r="BV12" s="228"/>
      <c r="BW12" s="223"/>
      <c r="BX12" s="200"/>
      <c r="BY12" s="1080"/>
      <c r="BZ12" s="172"/>
      <c r="CA12" s="956"/>
      <c r="CB12" s="956"/>
      <c r="CC12" s="1082"/>
      <c r="CD12" s="228">
        <f t="shared" si="11"/>
        <v>0</v>
      </c>
      <c r="CE12" s="1083"/>
      <c r="CF12" s="228"/>
      <c r="CG12" s="200"/>
      <c r="CH12" s="200"/>
      <c r="CI12" s="1080"/>
      <c r="CJ12" s="172"/>
      <c r="CK12" s="956"/>
      <c r="CL12" s="956"/>
      <c r="CM12" s="1082"/>
      <c r="CN12" s="228">
        <f t="shared" si="12"/>
        <v>0</v>
      </c>
      <c r="CO12" s="1083"/>
      <c r="CP12" s="228"/>
      <c r="CQ12" s="200"/>
      <c r="CR12" s="200"/>
      <c r="CS12" s="1080"/>
      <c r="CT12" s="172"/>
      <c r="CU12" s="956"/>
      <c r="CV12" s="956"/>
      <c r="CW12" s="1082"/>
      <c r="CX12" s="228">
        <f t="shared" si="13"/>
        <v>0</v>
      </c>
      <c r="CY12" s="1083"/>
      <c r="CZ12" s="228"/>
      <c r="DA12" s="223"/>
      <c r="DB12" s="200"/>
      <c r="DC12" s="1080"/>
      <c r="DD12" s="172"/>
      <c r="DE12" s="956"/>
      <c r="DF12" s="956"/>
      <c r="DG12" s="1082"/>
      <c r="DH12" s="228">
        <f t="shared" si="14"/>
        <v>0</v>
      </c>
      <c r="DI12" s="1083"/>
      <c r="DJ12" s="228"/>
      <c r="DK12" s="200"/>
      <c r="DL12" s="200"/>
      <c r="DM12" s="1080"/>
      <c r="DN12" s="172"/>
      <c r="DO12" s="956"/>
      <c r="DP12" s="956"/>
      <c r="DQ12" s="1082"/>
      <c r="DR12" s="228">
        <f t="shared" si="15"/>
        <v>0</v>
      </c>
      <c r="DS12" s="1083"/>
      <c r="DT12" s="228"/>
      <c r="DU12" s="200"/>
      <c r="DV12" s="200"/>
      <c r="DW12" s="1080"/>
      <c r="DX12" s="172"/>
      <c r="DY12" s="956"/>
      <c r="DZ12" s="956"/>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456</v>
      </c>
      <c r="D13" s="1073" t="s">
        <v>90</v>
      </c>
      <c r="E13" s="1073" t="s">
        <v>998</v>
      </c>
      <c r="F13" s="1074">
        <f t="shared" si="2"/>
        <v>41</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221.7</v>
      </c>
      <c r="J13" s="1077">
        <f t="shared" si="24"/>
        <v>0</v>
      </c>
      <c r="K13" s="200"/>
      <c r="L13" s="228" t="str">
        <f t="array" ref="L13">IFERROR(INDEX('💻シート作成'!$D$6:$D999, MATCH(M13, '💻シート作成'!$E$6:$E999, 0)), "")</f>
        <v>12月</v>
      </c>
      <c r="M13" s="963"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6" t="str">
        <f>IFERROR(__xludf.DUMMYFUNCTION("""COMPUTED_VALUE"""),"佐藤　志保")</f>
        <v>佐藤　志保</v>
      </c>
      <c r="T13" s="956"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IFERROR(__xludf.DUMMYFUNCTION("""COMPUTED_VALUE"""),1201.0)</f>
        <v>1201</v>
      </c>
      <c r="AB13" s="171" t="str">
        <f>IFERROR(__xludf.DUMMYFUNCTION("""COMPUTED_VALUE"""),"ガルセス")</f>
        <v>ガルセス</v>
      </c>
      <c r="AC13" s="956" t="str">
        <f>IFERROR(__xludf.DUMMYFUNCTION("""COMPUTED_VALUE"""),"メイド")</f>
        <v>メイド</v>
      </c>
      <c r="AD13" s="956" t="str">
        <f>IFERROR(__xludf.DUMMYFUNCTION("""COMPUTED_VALUE"""),"歩合")</f>
        <v>歩合</v>
      </c>
      <c r="AE13" s="1082">
        <f>IFERROR(__xludf.DUMMYFUNCTION("""COMPUTED_VALUE"""),22.0)</f>
        <v>22</v>
      </c>
      <c r="AF13" s="228">
        <f t="shared" si="6"/>
        <v>0</v>
      </c>
      <c r="AG13" s="1083">
        <f>IFERROR(__xludf.DUMMYFUNCTION("""COMPUTED_VALUE"""),114.51666666666667)</f>
        <v>114.5166667</v>
      </c>
      <c r="AH13" s="228">
        <f>IFERROR(__xludf.DUMMYFUNCTION("""COMPUTED_VALUE"""),0.0)</f>
        <v>0</v>
      </c>
      <c r="AI13" s="200"/>
      <c r="AJ13" s="200"/>
      <c r="AK13" s="1085">
        <f>IFERROR(__xludf.DUMMYFUNCTION("""COMPUTED_VALUE"""),1201.0)</f>
        <v>1201</v>
      </c>
      <c r="AL13" s="171" t="str">
        <f>IFERROR(__xludf.DUMMYFUNCTION("""COMPUTED_VALUE"""),"ガルセス")</f>
        <v>ガルセス</v>
      </c>
      <c r="AM13" s="956" t="str">
        <f>IFERROR(__xludf.DUMMYFUNCTION("""COMPUTED_VALUE"""),"メイド")</f>
        <v>メイド</v>
      </c>
      <c r="AN13" s="956" t="str">
        <f>IFERROR(__xludf.DUMMYFUNCTION("""COMPUTED_VALUE"""),"")</f>
        <v/>
      </c>
      <c r="AO13" s="1082">
        <f>IFERROR(__xludf.DUMMYFUNCTION("""COMPUTED_VALUE"""),0.0)</f>
        <v>0</v>
      </c>
      <c r="AP13" s="228">
        <f t="shared" si="7"/>
        <v>0</v>
      </c>
      <c r="AQ13" s="1083">
        <f>IFERROR(__xludf.DUMMYFUNCTION("""COMPUTED_VALUE"""),4.916666666666667)</f>
        <v>4.916666667</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6"/>
      <c r="BH13" s="956"/>
      <c r="BI13" s="1082"/>
      <c r="BJ13" s="228">
        <f t="shared" si="9"/>
        <v>0</v>
      </c>
      <c r="BK13" s="1083"/>
      <c r="BL13" s="228"/>
      <c r="BM13" s="200"/>
      <c r="BN13" s="200"/>
      <c r="BO13" s="1080"/>
      <c r="BP13" s="172"/>
      <c r="BQ13" s="956"/>
      <c r="BR13" s="956"/>
      <c r="BS13" s="1082"/>
      <c r="BT13" s="228">
        <f t="shared" si="10"/>
        <v>0</v>
      </c>
      <c r="BU13" s="1083"/>
      <c r="BV13" s="228"/>
      <c r="BW13" s="223"/>
      <c r="BX13" s="200"/>
      <c r="BY13" s="1080"/>
      <c r="BZ13" s="172"/>
      <c r="CA13" s="956"/>
      <c r="CB13" s="956"/>
      <c r="CC13" s="1082"/>
      <c r="CD13" s="228">
        <f t="shared" si="11"/>
        <v>0</v>
      </c>
      <c r="CE13" s="1083"/>
      <c r="CF13" s="228"/>
      <c r="CG13" s="200"/>
      <c r="CH13" s="200"/>
      <c r="CI13" s="1080"/>
      <c r="CJ13" s="172"/>
      <c r="CK13" s="956"/>
      <c r="CL13" s="956"/>
      <c r="CM13" s="1082"/>
      <c r="CN13" s="228">
        <f t="shared" si="12"/>
        <v>0</v>
      </c>
      <c r="CO13" s="1083"/>
      <c r="CP13" s="228"/>
      <c r="CQ13" s="200"/>
      <c r="CR13" s="200"/>
      <c r="CS13" s="1080"/>
      <c r="CT13" s="172"/>
      <c r="CU13" s="956"/>
      <c r="CV13" s="956"/>
      <c r="CW13" s="1082"/>
      <c r="CX13" s="228">
        <f t="shared" si="13"/>
        <v>0</v>
      </c>
      <c r="CY13" s="1083"/>
      <c r="CZ13" s="228"/>
      <c r="DA13" s="223"/>
      <c r="DB13" s="200"/>
      <c r="DC13" s="1080"/>
      <c r="DD13" s="172"/>
      <c r="DE13" s="956"/>
      <c r="DF13" s="956"/>
      <c r="DG13" s="1082"/>
      <c r="DH13" s="228">
        <f t="shared" si="14"/>
        <v>0</v>
      </c>
      <c r="DI13" s="1083"/>
      <c r="DJ13" s="228"/>
      <c r="DK13" s="200"/>
      <c r="DL13" s="200"/>
      <c r="DM13" s="1080"/>
      <c r="DN13" s="172"/>
      <c r="DO13" s="956"/>
      <c r="DP13" s="956"/>
      <c r="DQ13" s="1082"/>
      <c r="DR13" s="228">
        <f t="shared" si="15"/>
        <v>0</v>
      </c>
      <c r="DS13" s="1083"/>
      <c r="DT13" s="228"/>
      <c r="DU13" s="200"/>
      <c r="DV13" s="200"/>
      <c r="DW13" s="1080"/>
      <c r="DX13" s="172"/>
      <c r="DY13" s="956"/>
      <c r="DZ13" s="956"/>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459</v>
      </c>
      <c r="D14" s="1073" t="s">
        <v>90</v>
      </c>
      <c r="E14" s="1073" t="s">
        <v>998</v>
      </c>
      <c r="F14" s="1074">
        <f t="shared" si="2"/>
        <v>25</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130.8833333</v>
      </c>
      <c r="J14" s="1077">
        <f t="shared" si="25"/>
        <v>0</v>
      </c>
      <c r="K14" s="200"/>
      <c r="L14" s="228" t="str">
        <f t="array" ref="L14">IFERROR(INDEX('💻シート作成'!$D$6:$D999, MATCH(M14, '💻シート作成'!$E$6:$E999, 0)), "")</f>
        <v>12月</v>
      </c>
      <c r="M14" s="963"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6" t="str">
        <f>IFERROR(__xludf.DUMMYFUNCTION("""COMPUTED_VALUE"""),"ハン　ホンメイ")</f>
        <v>ハン　ホンメイ</v>
      </c>
      <c r="T14" s="956"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IFERROR(__xludf.DUMMYFUNCTION("""COMPUTED_VALUE"""),1202.0)</f>
        <v>1202</v>
      </c>
      <c r="AB14" s="171" t="str">
        <f>IFERROR(__xludf.DUMMYFUNCTION("""COMPUTED_VALUE"""),"グレース")</f>
        <v>グレース</v>
      </c>
      <c r="AC14" s="956" t="str">
        <f>IFERROR(__xludf.DUMMYFUNCTION("""COMPUTED_VALUE"""),"メイド")</f>
        <v>メイド</v>
      </c>
      <c r="AD14" s="956" t="str">
        <f>IFERROR(__xludf.DUMMYFUNCTION("""COMPUTED_VALUE"""),"歩合")</f>
        <v>歩合</v>
      </c>
      <c r="AE14" s="1082">
        <f>IFERROR(__xludf.DUMMYFUNCTION("""COMPUTED_VALUE"""),13.0)</f>
        <v>13</v>
      </c>
      <c r="AF14" s="228">
        <f t="shared" si="6"/>
        <v>0</v>
      </c>
      <c r="AG14" s="1083">
        <f>IFERROR(__xludf.DUMMYFUNCTION("""COMPUTED_VALUE"""),67.91666666666667)</f>
        <v>67.91666667</v>
      </c>
      <c r="AH14" s="228">
        <f>IFERROR(__xludf.DUMMYFUNCTION("""COMPUTED_VALUE"""),0.0)</f>
        <v>0</v>
      </c>
      <c r="AI14" s="200"/>
      <c r="AJ14" s="200"/>
      <c r="AK14" s="1085">
        <f>IFERROR(__xludf.DUMMYFUNCTION("""COMPUTED_VALUE"""),1202.0)</f>
        <v>1202</v>
      </c>
      <c r="AL14" s="171" t="str">
        <f>IFERROR(__xludf.DUMMYFUNCTION("""COMPUTED_VALUE"""),"グレース")</f>
        <v>グレース</v>
      </c>
      <c r="AM14" s="956" t="str">
        <f>IFERROR(__xludf.DUMMYFUNCTION("""COMPUTED_VALUE"""),"メイド")</f>
        <v>メイド</v>
      </c>
      <c r="AN14" s="956" t="str">
        <f>IFERROR(__xludf.DUMMYFUNCTION("""COMPUTED_VALUE"""),"")</f>
        <v/>
      </c>
      <c r="AO14" s="1082">
        <f>IFERROR(__xludf.DUMMYFUNCTION("""COMPUTED_VALUE"""),0.0)</f>
        <v>0</v>
      </c>
      <c r="AP14" s="228">
        <f t="shared" si="7"/>
        <v>0</v>
      </c>
      <c r="AQ14" s="1083">
        <f>IFERROR(__xludf.DUMMYFUNCTION("""COMPUTED_VALUE"""),0.0)</f>
        <v>0</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6"/>
      <c r="BH14" s="956"/>
      <c r="BI14" s="1082"/>
      <c r="BJ14" s="228">
        <f t="shared" si="9"/>
        <v>0</v>
      </c>
      <c r="BK14" s="1083"/>
      <c r="BL14" s="228"/>
      <c r="BM14" s="200"/>
      <c r="BN14" s="200"/>
      <c r="BO14" s="1080"/>
      <c r="BP14" s="172"/>
      <c r="BQ14" s="956"/>
      <c r="BR14" s="956"/>
      <c r="BS14" s="1082"/>
      <c r="BT14" s="228">
        <f t="shared" si="10"/>
        <v>0</v>
      </c>
      <c r="BU14" s="1083"/>
      <c r="BV14" s="228"/>
      <c r="BW14" s="223"/>
      <c r="BX14" s="200"/>
      <c r="BY14" s="1080"/>
      <c r="BZ14" s="172"/>
      <c r="CA14" s="956"/>
      <c r="CB14" s="956"/>
      <c r="CC14" s="1082"/>
      <c r="CD14" s="228">
        <f t="shared" si="11"/>
        <v>0</v>
      </c>
      <c r="CE14" s="1083"/>
      <c r="CF14" s="228"/>
      <c r="CG14" s="200"/>
      <c r="CH14" s="200"/>
      <c r="CI14" s="1080"/>
      <c r="CJ14" s="172"/>
      <c r="CK14" s="956"/>
      <c r="CL14" s="956"/>
      <c r="CM14" s="1082"/>
      <c r="CN14" s="228">
        <f t="shared" si="12"/>
        <v>0</v>
      </c>
      <c r="CO14" s="1083"/>
      <c r="CP14" s="228"/>
      <c r="CQ14" s="200"/>
      <c r="CR14" s="200"/>
      <c r="CS14" s="1080"/>
      <c r="CT14" s="172"/>
      <c r="CU14" s="956"/>
      <c r="CV14" s="956"/>
      <c r="CW14" s="1082"/>
      <c r="CX14" s="228">
        <f t="shared" si="13"/>
        <v>0</v>
      </c>
      <c r="CY14" s="1083"/>
      <c r="CZ14" s="228"/>
      <c r="DA14" s="223"/>
      <c r="DB14" s="200"/>
      <c r="DC14" s="1080"/>
      <c r="DD14" s="172"/>
      <c r="DE14" s="956"/>
      <c r="DF14" s="956"/>
      <c r="DG14" s="1082"/>
      <c r="DH14" s="228">
        <f t="shared" si="14"/>
        <v>0</v>
      </c>
      <c r="DI14" s="1083"/>
      <c r="DJ14" s="228"/>
      <c r="DK14" s="200"/>
      <c r="DL14" s="200"/>
      <c r="DM14" s="1080"/>
      <c r="DN14" s="172"/>
      <c r="DO14" s="956"/>
      <c r="DP14" s="956"/>
      <c r="DQ14" s="1082"/>
      <c r="DR14" s="228">
        <f t="shared" si="15"/>
        <v>0</v>
      </c>
      <c r="DS14" s="1083"/>
      <c r="DT14" s="228"/>
      <c r="DU14" s="200"/>
      <c r="DV14" s="200"/>
      <c r="DW14" s="1080"/>
      <c r="DX14" s="172"/>
      <c r="DY14" s="956"/>
      <c r="DZ14" s="956"/>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468</v>
      </c>
      <c r="D15" s="1073" t="s">
        <v>90</v>
      </c>
      <c r="E15" s="1073" t="s">
        <v>1002</v>
      </c>
      <c r="F15" s="1074">
        <f t="shared" si="2"/>
        <v>40</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210.0166667</v>
      </c>
      <c r="J15" s="1077">
        <f t="shared" si="26"/>
        <v>554</v>
      </c>
      <c r="K15" s="200"/>
      <c r="L15" s="228" t="str">
        <f t="array" ref="L15">IFERROR(INDEX('💻シート作成'!$D$6:$D999, MATCH(M15, '💻シート作成'!$E$6:$E999, 0)), "")</f>
        <v>12月</v>
      </c>
      <c r="M15" s="963"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6" t="str">
        <f>IFERROR(__xludf.DUMMYFUNCTION("""COMPUTED_VALUE"""),"黒柳エリザベス")</f>
        <v>黒柳エリザベス</v>
      </c>
      <c r="T15" s="956"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IFERROR(__xludf.DUMMYFUNCTION("""COMPUTED_VALUE"""),1213.0)</f>
        <v>1213</v>
      </c>
      <c r="AB15" s="171" t="str">
        <f>IFERROR(__xludf.DUMMYFUNCTION("""COMPUTED_VALUE"""),"大沼")</f>
        <v>大沼</v>
      </c>
      <c r="AC15" s="956" t="str">
        <f>IFERROR(__xludf.DUMMYFUNCTION("""COMPUTED_VALUE"""),"メイド")</f>
        <v>メイド</v>
      </c>
      <c r="AD15" s="956" t="str">
        <f>IFERROR(__xludf.DUMMYFUNCTION("""COMPUTED_VALUE"""),"歩合")</f>
        <v>歩合</v>
      </c>
      <c r="AE15" s="1082">
        <f>IFERROR(__xludf.DUMMYFUNCTION("""COMPUTED_VALUE"""),20.0)</f>
        <v>20</v>
      </c>
      <c r="AF15" s="228">
        <f t="shared" si="6"/>
        <v>2</v>
      </c>
      <c r="AG15" s="1083">
        <f>IFERROR(__xludf.DUMMYFUNCTION("""COMPUTED_VALUE"""),107.06666666666666)</f>
        <v>107.0666667</v>
      </c>
      <c r="AH15" s="228">
        <f>IFERROR(__xludf.DUMMYFUNCTION("""COMPUTED_VALUE"""),287.0)</f>
        <v>287</v>
      </c>
      <c r="AI15" s="200"/>
      <c r="AJ15" s="200"/>
      <c r="AK15" s="1085">
        <f>IFERROR(__xludf.DUMMYFUNCTION("""COMPUTED_VALUE"""),1213.0)</f>
        <v>1213</v>
      </c>
      <c r="AL15" s="171" t="str">
        <f>IFERROR(__xludf.DUMMYFUNCTION("""COMPUTED_VALUE"""),"大沼")</f>
        <v>大沼</v>
      </c>
      <c r="AM15" s="956" t="str">
        <f>IFERROR(__xludf.DUMMYFUNCTION("""COMPUTED_VALUE"""),"メイド")</f>
        <v>メイド</v>
      </c>
      <c r="AN15" s="956" t="str">
        <f>IFERROR(__xludf.DUMMYFUNCTION("""COMPUTED_VALUE"""),"歩合")</f>
        <v>歩合</v>
      </c>
      <c r="AO15" s="1082">
        <f>IFERROR(__xludf.DUMMYFUNCTION("""COMPUTED_VALUE"""),1.0)</f>
        <v>1</v>
      </c>
      <c r="AP15" s="228">
        <f t="shared" si="7"/>
        <v>0</v>
      </c>
      <c r="AQ15" s="1083">
        <f>IFERROR(__xludf.DUMMYFUNCTION("""COMPUTED_VALUE"""),5.566666666666666)</f>
        <v>5.566666667</v>
      </c>
      <c r="AR15" s="228">
        <f>IFERROR(__xludf.DUMMYFUNCTION("""COMPUTED_VALUE"""),12.0)</f>
        <v>12</v>
      </c>
      <c r="AS15" s="223"/>
      <c r="AT15" s="200"/>
      <c r="AU15" s="1087"/>
      <c r="AV15" s="1092"/>
      <c r="AW15" s="1093"/>
      <c r="AX15" s="1093"/>
      <c r="AY15" s="1094"/>
      <c r="AZ15" s="1089">
        <f t="shared" si="8"/>
        <v>0</v>
      </c>
      <c r="BA15" s="1095"/>
      <c r="BB15" s="1089"/>
      <c r="BC15" s="200"/>
      <c r="BD15" s="200"/>
      <c r="BE15" s="1080"/>
      <c r="BF15" s="172"/>
      <c r="BG15" s="956"/>
      <c r="BH15" s="956"/>
      <c r="BI15" s="1082"/>
      <c r="BJ15" s="228">
        <f t="shared" si="9"/>
        <v>0</v>
      </c>
      <c r="BK15" s="1083"/>
      <c r="BL15" s="228"/>
      <c r="BM15" s="200"/>
      <c r="BN15" s="200"/>
      <c r="BO15" s="1080"/>
      <c r="BP15" s="172"/>
      <c r="BQ15" s="956"/>
      <c r="BR15" s="956"/>
      <c r="BS15" s="1082"/>
      <c r="BT15" s="228">
        <f t="shared" si="10"/>
        <v>0</v>
      </c>
      <c r="BU15" s="1083"/>
      <c r="BV15" s="228"/>
      <c r="BW15" s="223"/>
      <c r="BX15" s="200"/>
      <c r="BY15" s="1080"/>
      <c r="BZ15" s="172"/>
      <c r="CA15" s="956"/>
      <c r="CB15" s="956"/>
      <c r="CC15" s="1082"/>
      <c r="CD15" s="228">
        <f t="shared" si="11"/>
        <v>0</v>
      </c>
      <c r="CE15" s="1083"/>
      <c r="CF15" s="228"/>
      <c r="CG15" s="200"/>
      <c r="CH15" s="200"/>
      <c r="CI15" s="1080"/>
      <c r="CJ15" s="172"/>
      <c r="CK15" s="956"/>
      <c r="CL15" s="956"/>
      <c r="CM15" s="1082"/>
      <c r="CN15" s="228">
        <f t="shared" si="12"/>
        <v>0</v>
      </c>
      <c r="CO15" s="1083"/>
      <c r="CP15" s="228"/>
      <c r="CQ15" s="200"/>
      <c r="CR15" s="200"/>
      <c r="CS15" s="1080"/>
      <c r="CT15" s="172"/>
      <c r="CU15" s="956"/>
      <c r="CV15" s="956"/>
      <c r="CW15" s="1082"/>
      <c r="CX15" s="228">
        <f t="shared" si="13"/>
        <v>0</v>
      </c>
      <c r="CY15" s="1083"/>
      <c r="CZ15" s="228"/>
      <c r="DA15" s="223"/>
      <c r="DB15" s="200"/>
      <c r="DC15" s="1080"/>
      <c r="DD15" s="172"/>
      <c r="DE15" s="956"/>
      <c r="DF15" s="956"/>
      <c r="DG15" s="1082"/>
      <c r="DH15" s="228">
        <f t="shared" si="14"/>
        <v>0</v>
      </c>
      <c r="DI15" s="1083"/>
      <c r="DJ15" s="228"/>
      <c r="DK15" s="200"/>
      <c r="DL15" s="200"/>
      <c r="DM15" s="1080"/>
      <c r="DN15" s="172"/>
      <c r="DO15" s="956"/>
      <c r="DP15" s="956"/>
      <c r="DQ15" s="1082"/>
      <c r="DR15" s="228">
        <f t="shared" si="15"/>
        <v>0</v>
      </c>
      <c r="DS15" s="1083"/>
      <c r="DT15" s="228"/>
      <c r="DU15" s="200"/>
      <c r="DV15" s="200"/>
      <c r="DW15" s="1080"/>
      <c r="DX15" s="172"/>
      <c r="DY15" s="956"/>
      <c r="DZ15" s="956"/>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466</v>
      </c>
      <c r="D16" s="1073" t="s">
        <v>90</v>
      </c>
      <c r="E16" s="1073" t="s">
        <v>1002</v>
      </c>
      <c r="F16" s="1074">
        <f t="shared" si="2"/>
        <v>43</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76">
        <f t="shared" si="27"/>
        <v>211.4666667</v>
      </c>
      <c r="J16" s="1077">
        <f t="shared" si="27"/>
        <v>623</v>
      </c>
      <c r="K16" s="200"/>
      <c r="L16" s="228" t="str">
        <f t="array" ref="L16">IFERROR(INDEX('💻シート作成'!$D$6:$D999, MATCH(M16, '💻シート作成'!$E$6:$E999, 0)), "")</f>
        <v>11月</v>
      </c>
      <c r="M16" s="957"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6" t="str">
        <f>IFERROR(__xludf.DUMMYFUNCTION("""COMPUTED_VALUE"""),"マスト　サルマ　アクトル")</f>
        <v>マスト　サルマ　アクトル</v>
      </c>
      <c r="T16" s="956"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IFERROR(__xludf.DUMMYFUNCTION("""COMPUTED_VALUE"""),1271.0)</f>
        <v>1271</v>
      </c>
      <c r="AB16" s="171" t="str">
        <f>IFERROR(__xludf.DUMMYFUNCTION("""COMPUTED_VALUE"""),"早川")</f>
        <v>早川</v>
      </c>
      <c r="AC16" s="956" t="str">
        <f>IFERROR(__xludf.DUMMYFUNCTION("""COMPUTED_VALUE"""),"メイド")</f>
        <v>メイド</v>
      </c>
      <c r="AD16" s="956" t="str">
        <f>IFERROR(__xludf.DUMMYFUNCTION("""COMPUTED_VALUE"""),"歩合")</f>
        <v>歩合</v>
      </c>
      <c r="AE16" s="1082">
        <f>IFERROR(__xludf.DUMMYFUNCTION("""COMPUTED_VALUE"""),21.0)</f>
        <v>21</v>
      </c>
      <c r="AF16" s="228">
        <f t="shared" si="6"/>
        <v>1</v>
      </c>
      <c r="AG16" s="1083">
        <f>IFERROR(__xludf.DUMMYFUNCTION("""COMPUTED_VALUE"""),102.73333333333333)</f>
        <v>102.7333333</v>
      </c>
      <c r="AH16" s="228">
        <f>IFERROR(__xludf.DUMMYFUNCTION("""COMPUTED_VALUE"""),307.0)</f>
        <v>307</v>
      </c>
      <c r="AI16" s="200"/>
      <c r="AJ16" s="200"/>
      <c r="AK16" s="1085">
        <f>IFERROR(__xludf.DUMMYFUNCTION("""COMPUTED_VALUE"""),1271.0)</f>
        <v>1271</v>
      </c>
      <c r="AL16" s="171" t="str">
        <f>IFERROR(__xludf.DUMMYFUNCTION("""COMPUTED_VALUE"""),"早川")</f>
        <v>早川</v>
      </c>
      <c r="AM16" s="956" t="str">
        <f>IFERROR(__xludf.DUMMYFUNCTION("""COMPUTED_VALUE"""),"メイド")</f>
        <v>メイド</v>
      </c>
      <c r="AN16" s="956" t="str">
        <f>IFERROR(__xludf.DUMMYFUNCTION("""COMPUTED_VALUE"""),"歩合")</f>
        <v>歩合</v>
      </c>
      <c r="AO16" s="1082">
        <f>IFERROR(__xludf.DUMMYFUNCTION("""COMPUTED_VALUE"""),1.0)</f>
        <v>1</v>
      </c>
      <c r="AP16" s="228">
        <f t="shared" si="7"/>
        <v>0</v>
      </c>
      <c r="AQ16" s="1083">
        <f>IFERROR(__xludf.DUMMYFUNCTION("""COMPUTED_VALUE"""),5.566666666666666)</f>
        <v>5.566666667</v>
      </c>
      <c r="AR16" s="228">
        <f>IFERROR(__xludf.DUMMYFUNCTION("""COMPUTED_VALUE"""),11.0)</f>
        <v>11</v>
      </c>
      <c r="AS16" s="223"/>
      <c r="AT16" s="200"/>
      <c r="AU16" s="1087"/>
      <c r="AV16" s="1092"/>
      <c r="AW16" s="1093"/>
      <c r="AX16" s="1093"/>
      <c r="AY16" s="1094"/>
      <c r="AZ16" s="1089">
        <f t="shared" si="8"/>
        <v>0</v>
      </c>
      <c r="BA16" s="1095"/>
      <c r="BB16" s="1089"/>
      <c r="BC16" s="200"/>
      <c r="BD16" s="200"/>
      <c r="BE16" s="1080"/>
      <c r="BF16" s="172"/>
      <c r="BG16" s="956"/>
      <c r="BH16" s="956"/>
      <c r="BI16" s="1082"/>
      <c r="BJ16" s="228">
        <f t="shared" si="9"/>
        <v>0</v>
      </c>
      <c r="BK16" s="1083"/>
      <c r="BL16" s="228"/>
      <c r="BM16" s="200"/>
      <c r="BN16" s="200"/>
      <c r="BO16" s="1080"/>
      <c r="BP16" s="172"/>
      <c r="BQ16" s="956"/>
      <c r="BR16" s="956"/>
      <c r="BS16" s="1082"/>
      <c r="BT16" s="228">
        <f t="shared" si="10"/>
        <v>0</v>
      </c>
      <c r="BU16" s="1083"/>
      <c r="BV16" s="228"/>
      <c r="BW16" s="223"/>
      <c r="BX16" s="200"/>
      <c r="BY16" s="1080"/>
      <c r="BZ16" s="172"/>
      <c r="CA16" s="956"/>
      <c r="CB16" s="956"/>
      <c r="CC16" s="1082"/>
      <c r="CD16" s="228">
        <f t="shared" si="11"/>
        <v>0</v>
      </c>
      <c r="CE16" s="1083"/>
      <c r="CF16" s="228"/>
      <c r="CG16" s="200"/>
      <c r="CH16" s="200"/>
      <c r="CI16" s="1080"/>
      <c r="CJ16" s="172"/>
      <c r="CK16" s="956"/>
      <c r="CL16" s="956"/>
      <c r="CM16" s="1082"/>
      <c r="CN16" s="228">
        <f t="shared" si="12"/>
        <v>0</v>
      </c>
      <c r="CO16" s="1083"/>
      <c r="CP16" s="228"/>
      <c r="CQ16" s="200"/>
      <c r="CR16" s="200"/>
      <c r="CS16" s="1080"/>
      <c r="CT16" s="172"/>
      <c r="CU16" s="956"/>
      <c r="CV16" s="956"/>
      <c r="CW16" s="1082"/>
      <c r="CX16" s="228">
        <f t="shared" si="13"/>
        <v>0</v>
      </c>
      <c r="CY16" s="1083"/>
      <c r="CZ16" s="228"/>
      <c r="DA16" s="223"/>
      <c r="DB16" s="200"/>
      <c r="DC16" s="1080"/>
      <c r="DD16" s="172"/>
      <c r="DE16" s="956"/>
      <c r="DF16" s="956"/>
      <c r="DG16" s="1082"/>
      <c r="DH16" s="228">
        <f t="shared" si="14"/>
        <v>0</v>
      </c>
      <c r="DI16" s="1083"/>
      <c r="DJ16" s="228"/>
      <c r="DK16" s="200"/>
      <c r="DL16" s="200"/>
      <c r="DM16" s="1080"/>
      <c r="DN16" s="172"/>
      <c r="DO16" s="956"/>
      <c r="DP16" s="956"/>
      <c r="DQ16" s="1082"/>
      <c r="DR16" s="228">
        <f t="shared" si="15"/>
        <v>0</v>
      </c>
      <c r="DS16" s="1083"/>
      <c r="DT16" s="228"/>
      <c r="DU16" s="200"/>
      <c r="DV16" s="200"/>
      <c r="DW16" s="1080"/>
      <c r="DX16" s="172"/>
      <c r="DY16" s="956"/>
      <c r="DZ16" s="956"/>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998</v>
      </c>
      <c r="F17" s="1074">
        <f t="shared" si="2"/>
        <v>51</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322.2833333</v>
      </c>
      <c r="J17" s="1077">
        <f t="shared" si="28"/>
        <v>880</v>
      </c>
      <c r="K17" s="200"/>
      <c r="L17" s="228" t="str">
        <f t="array" ref="L17">IFERROR(INDEX('💻シート作成'!$D$6:$D999, MATCH(M17, '💻シート作成'!$E$6:$E999, 0)), "")</f>
        <v>11月</v>
      </c>
      <c r="M17" s="957"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IFERROR(__xludf.DUMMYFUNCTION("""COMPUTED_VALUE"""),1323.0)</f>
        <v>1323</v>
      </c>
      <c r="AB17" s="1101" t="str">
        <f>IFERROR(__xludf.DUMMYFUNCTION("""COMPUTED_VALUE"""),"サンタ")</f>
        <v>サンタ</v>
      </c>
      <c r="AC17" s="228" t="str">
        <f>IFERROR(__xludf.DUMMYFUNCTION("""COMPUTED_VALUE"""),"メイド")</f>
        <v>メイド</v>
      </c>
      <c r="AD17" s="228" t="str">
        <f>IFERROR(__xludf.DUMMYFUNCTION("""COMPUTED_VALUE"""),"歩合")</f>
        <v>歩合</v>
      </c>
      <c r="AE17" s="1082">
        <f>IFERROR(__xludf.DUMMYFUNCTION("""COMPUTED_VALUE"""),27.0)</f>
        <v>27</v>
      </c>
      <c r="AF17" s="228">
        <f t="shared" si="6"/>
        <v>1</v>
      </c>
      <c r="AG17" s="1083">
        <f>IFERROR(__xludf.DUMMYFUNCTION("""COMPUTED_VALUE"""),171.66666666666666)</f>
        <v>171.6666667</v>
      </c>
      <c r="AH17" s="228">
        <f>IFERROR(__xludf.DUMMYFUNCTION("""COMPUTED_VALUE"""),472.0)</f>
        <v>472</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f>
        <v/>
      </c>
      <c r="AO17" s="1082">
        <f>IFERROR(__xludf.DUMMYFUNCTION("""COMPUTED_VALUE"""),0.0)</f>
        <v>0</v>
      </c>
      <c r="AP17" s="228">
        <f t="shared" si="7"/>
        <v>0</v>
      </c>
      <c r="AQ17" s="1083">
        <f>IFERROR(__xludf.DUMMYFUNCTION("""COMPUTED_VALUE"""),0.0)</f>
        <v>0</v>
      </c>
      <c r="AR17" s="228">
        <f>IFERROR(__xludf.DUMMYFUNCTION("""COMPUTED_VALUE"""),0.0)</f>
        <v>0</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520</v>
      </c>
      <c r="D18" s="1073" t="s">
        <v>90</v>
      </c>
      <c r="E18" s="1073" t="s">
        <v>998</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3"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IFERROR(__xludf.DUMMYFUNCTION("""COMPUTED_VALUE"""),77.0)</f>
        <v>77</v>
      </c>
      <c r="Y18" s="200"/>
      <c r="Z18" s="200"/>
      <c r="AA18" s="1085">
        <f>IFERROR(__xludf.DUMMYFUNCTION("""COMPUTED_VALUE"""),1546.0)</f>
        <v>1546</v>
      </c>
      <c r="AB18" s="1101" t="str">
        <f>IFERROR(__xludf.DUMMYFUNCTION("""COMPUTED_VALUE"""),"オウ")</f>
        <v>オウ</v>
      </c>
      <c r="AC18" s="228" t="str">
        <f>IFERROR(__xludf.DUMMYFUNCTION("""COMPUTED_VALUE"""),"メイド")</f>
        <v>メイド</v>
      </c>
      <c r="AD18" s="228" t="str">
        <f>IFERROR(__xludf.DUMMYFUNCTION("""COMPUTED_VALUE"""),"")</f>
        <v/>
      </c>
      <c r="AE18" s="1082">
        <f>IFERROR(__xludf.DUMMYFUNCTION("""COMPUTED_VALUE"""),0.0)</f>
        <v>0</v>
      </c>
      <c r="AF18" s="228">
        <f t="shared" si="6"/>
        <v>0</v>
      </c>
      <c r="AG18" s="1083">
        <f>IFERROR(__xludf.DUMMYFUNCTION("""COMPUTED_VALUE"""),0.0)</f>
        <v>0</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478</v>
      </c>
      <c r="D19" s="1073" t="s">
        <v>90</v>
      </c>
      <c r="E19" s="1073" t="s">
        <v>998</v>
      </c>
      <c r="F19" s="1074">
        <f t="shared" si="2"/>
        <v>27</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152.2166667</v>
      </c>
      <c r="J19" s="1077">
        <f t="shared" si="30"/>
        <v>318</v>
      </c>
      <c r="K19" s="200"/>
      <c r="L19" s="228" t="str">
        <f t="array" ref="L19">IFERROR(INDEX('💻シート作成'!$D$6:$D999, MATCH(M19, '💻シート作成'!$E$6:$E999, 0)), "")</f>
        <v>11月</v>
      </c>
      <c r="M19" s="963"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IFERROR(__xludf.DUMMYFUNCTION("""COMPUTED_VALUE"""),128.0)</f>
        <v>128</v>
      </c>
      <c r="Y19" s="200"/>
      <c r="Z19" s="200"/>
      <c r="AA19" s="1085">
        <f>IFERROR(__xludf.DUMMYFUNCTION("""COMPUTED_VALUE"""),1656.0)</f>
        <v>1656</v>
      </c>
      <c r="AB19" s="1101" t="str">
        <f>IFERROR(__xludf.DUMMYFUNCTION("""COMPUTED_VALUE"""),"バンダリ")</f>
        <v>バンダリ</v>
      </c>
      <c r="AC19" s="228" t="str">
        <f>IFERROR(__xludf.DUMMYFUNCTION("""COMPUTED_VALUE"""),"メイド")</f>
        <v>メイド</v>
      </c>
      <c r="AD19" s="228" t="str">
        <f>IFERROR(__xludf.DUMMYFUNCTION("""COMPUTED_VALUE"""),"歩合")</f>
        <v>歩合</v>
      </c>
      <c r="AE19" s="1082">
        <f>IFERROR(__xludf.DUMMYFUNCTION("""COMPUTED_VALUE"""),15.0)</f>
        <v>15</v>
      </c>
      <c r="AF19" s="228">
        <f t="shared" si="6"/>
        <v>0</v>
      </c>
      <c r="AG19" s="1083">
        <f>IFERROR(__xludf.DUMMYFUNCTION("""COMPUTED_VALUE"""),87.16666666666667)</f>
        <v>87.16666667</v>
      </c>
      <c r="AH19" s="228">
        <f>IFERROR(__xludf.DUMMYFUNCTION("""COMPUTED_VALUE"""),190.0)</f>
        <v>190</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f>
        <v/>
      </c>
      <c r="AO19" s="1082">
        <f>IFERROR(__xludf.DUMMYFUNCTION("""COMPUTED_VALUE"""),0.0)</f>
        <v>0</v>
      </c>
      <c r="AP19" s="228">
        <f t="shared" si="7"/>
        <v>0</v>
      </c>
      <c r="AQ19" s="1083">
        <f>IFERROR(__xludf.DUMMYFUNCTION("""COMPUTED_VALUE"""),0.0)</f>
        <v>0</v>
      </c>
      <c r="AR19" s="228">
        <f>IFERROR(__xludf.DUMMYFUNCTION("""COMPUTED_VALUE"""),0.0)</f>
        <v>0</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473</v>
      </c>
      <c r="D20" s="1073" t="s">
        <v>90</v>
      </c>
      <c r="E20" s="1073" t="s">
        <v>930</v>
      </c>
      <c r="F20" s="1074">
        <f t="shared" si="2"/>
        <v>25</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129.0666667</v>
      </c>
      <c r="J20" s="1077">
        <f t="shared" si="31"/>
        <v>0</v>
      </c>
      <c r="K20" s="200"/>
      <c r="L20" s="228" t="str">
        <f t="array" ref="L20">IFERROR(INDEX('💻シート作成'!$D$6:$D999, MATCH(M20, '💻シート作成'!$E$6:$E999, 0)), "")</f>
        <v>10月</v>
      </c>
      <c r="M20" s="963"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IFERROR(__xludf.DUMMYFUNCTION("""COMPUTED_VALUE"""),1737.0)</f>
        <v>1737</v>
      </c>
      <c r="AB20" s="1101" t="str">
        <f>IFERROR(__xludf.DUMMYFUNCTION("""COMPUTED_VALUE"""),"ウィン")</f>
        <v>ウィン</v>
      </c>
      <c r="AC20" s="228" t="str">
        <f>IFERROR(__xludf.DUMMYFUNCTION("""COMPUTED_VALUE"""),"メイド")</f>
        <v>メイド</v>
      </c>
      <c r="AD20" s="228" t="str">
        <f>IFERROR(__xludf.DUMMYFUNCTION("""COMPUTED_VALUE"""),"時給")</f>
        <v>時給</v>
      </c>
      <c r="AE20" s="1082">
        <f>IFERROR(__xludf.DUMMYFUNCTION("""COMPUTED_VALUE"""),12.0)</f>
        <v>12</v>
      </c>
      <c r="AF20" s="228">
        <f t="shared" si="6"/>
        <v>0</v>
      </c>
      <c r="AG20" s="1083">
        <f>IFERROR(__xludf.DUMMYFUNCTION("""COMPUTED_VALUE"""),62.416666666666664)</f>
        <v>62.41666667</v>
      </c>
      <c r="AH20" s="228">
        <f>IFERROR(__xludf.DUMMYFUNCTION("""COMPUTED_VALUE"""),0.0)</f>
        <v>0</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IFERROR(__xludf.DUMMYFUNCTION("""COMPUTED_VALUE"""),1.0)</f>
        <v>1</v>
      </c>
      <c r="AP20" s="228">
        <f t="shared" si="7"/>
        <v>0</v>
      </c>
      <c r="AQ20" s="1083">
        <f>IFERROR(__xludf.DUMMYFUNCTION("""COMPUTED_VALUE"""),5.033333333333333)</f>
        <v>5.033333333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471</v>
      </c>
      <c r="D21" s="1073" t="s">
        <v>90</v>
      </c>
      <c r="E21" s="1073" t="s">
        <v>998</v>
      </c>
      <c r="F21" s="1074">
        <f t="shared" si="2"/>
        <v>47</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141.1166667</v>
      </c>
      <c r="J21" s="1077">
        <f t="shared" si="32"/>
        <v>653</v>
      </c>
      <c r="K21" s="200"/>
      <c r="L21" s="228" t="str">
        <f t="array" ref="L21">IFERROR(INDEX('💻シート作成'!$D$6:$D999, MATCH(M21, '💻シート作成'!$E$6:$E999, 0)), "")</f>
        <v>10月</v>
      </c>
      <c r="M21" s="963"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IFERROR(__xludf.DUMMYFUNCTION("""COMPUTED_VALUE"""),2048.0)</f>
        <v>2048</v>
      </c>
      <c r="AB21" s="1101" t="str">
        <f>IFERROR(__xludf.DUMMYFUNCTION("""COMPUTED_VALUE"""),"タン")</f>
        <v>タン</v>
      </c>
      <c r="AC21" s="228" t="str">
        <f>IFERROR(__xludf.DUMMYFUNCTION("""COMPUTED_VALUE"""),"メイド")</f>
        <v>メイド</v>
      </c>
      <c r="AD21" s="228" t="str">
        <f>IFERROR(__xludf.DUMMYFUNCTION("""COMPUTED_VALUE"""),"歩合")</f>
        <v>歩合</v>
      </c>
      <c r="AE21" s="1082">
        <f>IFERROR(__xludf.DUMMYFUNCTION("""COMPUTED_VALUE"""),24.0)</f>
        <v>24</v>
      </c>
      <c r="AF21" s="228">
        <f t="shared" si="6"/>
        <v>0</v>
      </c>
      <c r="AG21" s="1083">
        <f>IFERROR(__xludf.DUMMYFUNCTION("""COMPUTED_VALUE"""),0.0)</f>
        <v>0</v>
      </c>
      <c r="AH21" s="228">
        <f>IFERROR(__xludf.DUMMYFUNCTION("""COMPUTED_VALUE"""),348.0)</f>
        <v>348</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f>
        <v/>
      </c>
      <c r="AO21" s="1082">
        <f>IFERROR(__xludf.DUMMYFUNCTION("""COMPUTED_VALUE"""),0.0)</f>
        <v>0</v>
      </c>
      <c r="AP21" s="228">
        <f t="shared" si="7"/>
        <v>0</v>
      </c>
      <c r="AQ21" s="1083">
        <f>IFERROR(__xludf.DUMMYFUNCTION("""COMPUTED_VALUE"""),0.0)</f>
        <v>0</v>
      </c>
      <c r="AR21" s="228">
        <f>IFERROR(__xludf.DUMMYFUNCTION("""COMPUTED_VALUE"""),0.0)</f>
        <v>0</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470</v>
      </c>
      <c r="D22" s="1073" t="s">
        <v>90</v>
      </c>
      <c r="E22" s="1073" t="s">
        <v>1002</v>
      </c>
      <c r="F22" s="1074">
        <f t="shared" si="2"/>
        <v>42</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248.0333333</v>
      </c>
      <c r="J22" s="1077">
        <f t="shared" si="33"/>
        <v>670</v>
      </c>
      <c r="K22" s="200"/>
      <c r="L22" s="228" t="str">
        <f t="array" ref="L22">IFERROR(INDEX('💻シート作成'!$D$6:$D999, MATCH(M22, '💻シート作成'!$E$6:$E999, 0)), "")</f>
        <v>10月</v>
      </c>
      <c r="M22" s="963"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IFERROR(__xludf.DUMMYFUNCTION("""COMPUTED_VALUE"""),305.0)</f>
        <v>305</v>
      </c>
      <c r="Y22" s="200"/>
      <c r="Z22" s="200"/>
      <c r="AA22" s="1085">
        <f>IFERROR(__xludf.DUMMYFUNCTION("""COMPUTED_VALUE"""),2208.0)</f>
        <v>2208</v>
      </c>
      <c r="AB22" s="1101" t="str">
        <f>IFERROR(__xludf.DUMMYFUNCTION("""COMPUTED_VALUE"""),"タラ")</f>
        <v>タラ</v>
      </c>
      <c r="AC22" s="228" t="str">
        <f>IFERROR(__xludf.DUMMYFUNCTION("""COMPUTED_VALUE"""),"メイド")</f>
        <v>メイド</v>
      </c>
      <c r="AD22" s="228" t="str">
        <f>IFERROR(__xludf.DUMMYFUNCTION("""COMPUTED_VALUE"""),"歩合")</f>
        <v>歩合</v>
      </c>
      <c r="AE22" s="1082">
        <f>IFERROR(__xludf.DUMMYFUNCTION("""COMPUTED_VALUE"""),20.0)</f>
        <v>20</v>
      </c>
      <c r="AF22" s="228">
        <f t="shared" si="6"/>
        <v>1</v>
      </c>
      <c r="AG22" s="1083">
        <f>IFERROR(__xludf.DUMMYFUNCTION("""COMPUTED_VALUE"""),127.25)</f>
        <v>127.25</v>
      </c>
      <c r="AH22" s="228">
        <f>IFERROR(__xludf.DUMMYFUNCTION("""COMPUTED_VALUE"""),319.0)</f>
        <v>319</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IFERROR(__xludf.DUMMYFUNCTION("""COMPUTED_VALUE"""),1.0)</f>
        <v>1</v>
      </c>
      <c r="AP22" s="228">
        <f t="shared" si="7"/>
        <v>0</v>
      </c>
      <c r="AQ22" s="1083">
        <f>IFERROR(__xludf.DUMMYFUNCTION("""COMPUTED_VALUE"""),5.45)</f>
        <v>5.45</v>
      </c>
      <c r="AR22" s="228">
        <f>IFERROR(__xludf.DUMMYFUNCTION("""COMPUTED_VALUE"""),13.0)</f>
        <v>13</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998</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076">
        <f t="shared" si="34"/>
        <v>160.55</v>
      </c>
      <c r="J23" s="1077">
        <f t="shared" si="34"/>
        <v>25</v>
      </c>
      <c r="K23" s="200"/>
      <c r="L23" s="228" t="str">
        <f t="array" ref="L23">IFERROR(INDEX('💻シート作成'!$D$6:$D999, MATCH(M23, '💻シート作成'!$E$6:$E999, 0)), "")</f>
        <v>10月</v>
      </c>
      <c r="M23" s="957"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IFERROR(__xludf.DUMMYFUNCTION("""COMPUTED_VALUE"""),338.0)</f>
        <v>338</v>
      </c>
      <c r="Y23" s="200"/>
      <c r="Z23" s="200"/>
      <c r="AA23" s="1085">
        <f>IFERROR(__xludf.DUMMYFUNCTION("""COMPUTED_VALUE"""),2232.0)</f>
        <v>2232</v>
      </c>
      <c r="AB23" s="1101" t="str">
        <f>IFERROR(__xludf.DUMMYFUNCTION("""COMPUTED_VALUE"""),"アラム")</f>
        <v>アラム</v>
      </c>
      <c r="AC23" s="228" t="str">
        <f>IFERROR(__xludf.DUMMYFUNCTION("""COMPUTED_VALUE"""),"メイド")</f>
        <v>メイド</v>
      </c>
      <c r="AD23" s="228" t="str">
        <f>IFERROR(__xludf.DUMMYFUNCTION("""COMPUTED_VALUE"""),"歩+時")</f>
        <v>歩+時</v>
      </c>
      <c r="AE23" s="1082">
        <f>IFERROR(__xludf.DUMMYFUNCTION("""COMPUTED_VALUE"""),5.0)</f>
        <v>5</v>
      </c>
      <c r="AF23" s="228">
        <f t="shared" si="6"/>
        <v>2</v>
      </c>
      <c r="AG23" s="1083">
        <f>IFERROR(__xludf.DUMMYFUNCTION("""COMPUTED_VALUE"""),26.783333333333335)</f>
        <v>26.78333333</v>
      </c>
      <c r="AH23" s="228">
        <f>IFERROR(__xludf.DUMMYFUNCTION("""COMPUTED_VALUE"""),25.0)</f>
        <v>25</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0</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476</v>
      </c>
      <c r="D24" s="1073" t="s">
        <v>90</v>
      </c>
      <c r="E24" s="1073" t="s">
        <v>1002</v>
      </c>
      <c r="F24" s="1074">
        <f t="shared" si="2"/>
        <v>33</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194.55</v>
      </c>
      <c r="J24" s="1077">
        <f t="shared" si="35"/>
        <v>11</v>
      </c>
      <c r="K24" s="200"/>
      <c r="L24" s="228" t="str">
        <f t="array" ref="L24">IFERROR(INDEX('💻シート作成'!$D$6:$D999, MATCH(M24, '💻シート作成'!$E$6:$E999, 0)), "")</f>
        <v>9月</v>
      </c>
      <c r="M24" s="957"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IFERROR(__xludf.DUMMYFUNCTION("""COMPUTED_VALUE"""),2290.0)</f>
        <v>2290</v>
      </c>
      <c r="AB24" s="1101" t="str">
        <f>IFERROR(__xludf.DUMMYFUNCTION("""COMPUTED_VALUE"""),"スレスタ")</f>
        <v>スレスタ</v>
      </c>
      <c r="AC24" s="228" t="str">
        <f>IFERROR(__xludf.DUMMYFUNCTION("""COMPUTED_VALUE"""),"メイド")</f>
        <v>メイド</v>
      </c>
      <c r="AD24" s="228" t="str">
        <f>IFERROR(__xludf.DUMMYFUNCTION("""COMPUTED_VALUE"""),"時給")</f>
        <v>時給</v>
      </c>
      <c r="AE24" s="1082">
        <f>IFERROR(__xludf.DUMMYFUNCTION("""COMPUTED_VALUE"""),17.0)</f>
        <v>17</v>
      </c>
      <c r="AF24" s="228">
        <f t="shared" si="6"/>
        <v>1</v>
      </c>
      <c r="AG24" s="1083">
        <f>IFERROR(__xludf.DUMMYFUNCTION("""COMPUTED_VALUE"""),104.31666666666666)</f>
        <v>104.3166667</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IFERROR(__xludf.DUMMYFUNCTION("""COMPUTED_VALUE"""),1.0)</f>
        <v>1</v>
      </c>
      <c r="AP24" s="228">
        <f t="shared" si="7"/>
        <v>0</v>
      </c>
      <c r="AQ24" s="1083">
        <f>IFERROR(__xludf.DUMMYFUNCTION("""COMPUTED_VALUE"""),6.45)</f>
        <v>6.45</v>
      </c>
      <c r="AR24" s="228">
        <f>IFERROR(__xludf.DUMMYFUNCTION("""COMPUTED_VALUE"""),11.0)</f>
        <v>11</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483</v>
      </c>
      <c r="D25" s="1073" t="s">
        <v>90</v>
      </c>
      <c r="E25" s="1073" t="s">
        <v>998</v>
      </c>
      <c r="F25" s="1074">
        <f t="shared" si="2"/>
        <v>11</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70.15</v>
      </c>
      <c r="J25" s="1077">
        <f t="shared" si="36"/>
        <v>0</v>
      </c>
      <c r="K25" s="200"/>
      <c r="L25" s="228" t="str">
        <f t="array" ref="L25">IFERROR(INDEX('💻シート作成'!$D$6:$D999, MATCH(M25, '💻シート作成'!$E$6:$E999, 0)), "")</f>
        <v>9月</v>
      </c>
      <c r="M25" s="963"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IFERROR(__xludf.DUMMYFUNCTION("""COMPUTED_VALUE"""),2300.0)</f>
        <v>2300</v>
      </c>
      <c r="AB25" s="1101" t="str">
        <f>IFERROR(__xludf.DUMMYFUNCTION("""COMPUTED_VALUE"""),"アリ")</f>
        <v>アリ</v>
      </c>
      <c r="AC25" s="228" t="str">
        <f>IFERROR(__xludf.DUMMYFUNCTION("""COMPUTED_VALUE"""),"メイド")</f>
        <v>メイド</v>
      </c>
      <c r="AD25" s="228" t="str">
        <f>IFERROR(__xludf.DUMMYFUNCTION("""COMPUTED_VALUE"""),"時給")</f>
        <v>時給</v>
      </c>
      <c r="AE25" s="1082">
        <f>IFERROR(__xludf.DUMMYFUNCTION("""COMPUTED_VALUE"""),5.0)</f>
        <v>5</v>
      </c>
      <c r="AF25" s="228">
        <f t="shared" si="6"/>
        <v>0</v>
      </c>
      <c r="AG25" s="1083">
        <f>IFERROR(__xludf.DUMMYFUNCTION("""COMPUTED_VALUE"""),30.533333333333335)</f>
        <v>30.53333333</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f>
        <v/>
      </c>
      <c r="AO25" s="1082">
        <f>IFERROR(__xludf.DUMMYFUNCTION("""COMPUTED_VALUE"""),0.0)</f>
        <v>0</v>
      </c>
      <c r="AP25" s="228">
        <f t="shared" si="7"/>
        <v>0</v>
      </c>
      <c r="AQ25" s="1083">
        <f>IFERROR(__xludf.DUMMYFUNCTION("""COMPUTED_VALUE"""),0.0)</f>
        <v>0</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998</v>
      </c>
      <c r="F26" s="1074">
        <f t="shared" si="2"/>
        <v>29</v>
      </c>
      <c r="G26" s="1075" t="str">
        <f t="shared" si="3"/>
        <v>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6">
        <f t="shared" si="37"/>
        <v>197</v>
      </c>
      <c r="J26" s="1077">
        <f t="shared" si="37"/>
        <v>0</v>
      </c>
      <c r="K26" s="200"/>
      <c r="L26" s="228" t="str">
        <f t="array" ref="L26">IFERROR(INDEX('💻シート作成'!$D$6:$D999, MATCH(M26, '💻シート作成'!$E$6:$E999, 0)), "")</f>
        <v>9月</v>
      </c>
      <c r="M26" s="963"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IFERROR(__xludf.DUMMYFUNCTION("""COMPUTED_VALUE"""),2308.0)</f>
        <v>2308</v>
      </c>
      <c r="AB26" s="1101" t="str">
        <f>IFERROR(__xludf.DUMMYFUNCTION("""COMPUTED_VALUE"""),"ランジュ")</f>
        <v>ランジュ</v>
      </c>
      <c r="AC26" s="228" t="str">
        <f>IFERROR(__xludf.DUMMYFUNCTION("""COMPUTED_VALUE"""),"メイド")</f>
        <v>メイド</v>
      </c>
      <c r="AD26" s="228" t="str">
        <f>IFERROR(__xludf.DUMMYFUNCTION("""COMPUTED_VALUE"""),"時給")</f>
        <v>時給</v>
      </c>
      <c r="AE26" s="1082">
        <f>IFERROR(__xludf.DUMMYFUNCTION("""COMPUTED_VALUE"""),14.0)</f>
        <v>14</v>
      </c>
      <c r="AF26" s="228">
        <f t="shared" si="6"/>
        <v>0</v>
      </c>
      <c r="AG26" s="1083">
        <f>IFERROR(__xludf.DUMMYFUNCTION("""COMPUTED_VALUE"""),96.81666666666666)</f>
        <v>96.81666667</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0</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1002</v>
      </c>
      <c r="F27" s="1074">
        <f t="shared" si="2"/>
        <v>32</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206.45</v>
      </c>
      <c r="J27" s="1077">
        <f t="shared" si="38"/>
        <v>10</v>
      </c>
      <c r="K27" s="200"/>
      <c r="L27" s="228" t="str">
        <f t="array" ref="L27">IFERROR(INDEX('💻シート作成'!$D$6:$D999, MATCH(M27, '💻シート作成'!$E$6:$E999, 0)), "")</f>
        <v>9月</v>
      </c>
      <c r="M27" s="963"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IFERROR(__xludf.DUMMYFUNCTION("""COMPUTED_VALUE"""),2320.0)</f>
        <v>2320</v>
      </c>
      <c r="AB27" s="1101" t="str">
        <f>IFERROR(__xludf.DUMMYFUNCTION("""COMPUTED_VALUE"""),"ギミレ")</f>
        <v>ギミレ</v>
      </c>
      <c r="AC27" s="228" t="str">
        <f>IFERROR(__xludf.DUMMYFUNCTION("""COMPUTED_VALUE"""),"メイド")</f>
        <v>メイド</v>
      </c>
      <c r="AD27" s="228" t="str">
        <f>IFERROR(__xludf.DUMMYFUNCTION("""COMPUTED_VALUE"""),"時給")</f>
        <v>時給</v>
      </c>
      <c r="AE27" s="1082">
        <f>IFERROR(__xludf.DUMMYFUNCTION("""COMPUTED_VALUE"""),15.0)</f>
        <v>15</v>
      </c>
      <c r="AF27" s="228">
        <f t="shared" si="6"/>
        <v>0</v>
      </c>
      <c r="AG27" s="1083">
        <f>IFERROR(__xludf.DUMMYFUNCTION("""COMPUTED_VALUE"""),102.91666666666667)</f>
        <v>102.9166667</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IFERROR(__xludf.DUMMYFUNCTION("""COMPUTED_VALUE"""),1.0)</f>
        <v>1</v>
      </c>
      <c r="AP27" s="228">
        <f t="shared" si="7"/>
        <v>0</v>
      </c>
      <c r="AQ27" s="1083">
        <f>IFERROR(__xludf.DUMMYFUNCTION("""COMPUTED_VALUE"""),6.016666666666667)</f>
        <v>6.016666667</v>
      </c>
      <c r="AR27" s="228">
        <f>IFERROR(__xludf.DUMMYFUNCTION("""COMPUTED_VALUE"""),10.0)</f>
        <v>10</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480</v>
      </c>
      <c r="D28" s="1073" t="s">
        <v>90</v>
      </c>
      <c r="E28" s="1073" t="s">
        <v>998</v>
      </c>
      <c r="F28" s="1074">
        <f t="shared" si="2"/>
        <v>42</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276.5833333</v>
      </c>
      <c r="J28" s="1077">
        <f t="shared" si="39"/>
        <v>0</v>
      </c>
      <c r="K28" s="200"/>
      <c r="L28" s="228" t="str">
        <f t="array" ref="L28">IFERROR(INDEX('💻シート作成'!$D$6:$D999, MATCH(M28, '💻シート作成'!$E$6:$E999, 0)), "")</f>
        <v>8月</v>
      </c>
      <c r="M28" s="963"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IFERROR(__xludf.DUMMYFUNCTION("""COMPUTED_VALUE"""),2321.0)</f>
        <v>2321</v>
      </c>
      <c r="AB28" s="1101" t="str">
        <f>IFERROR(__xludf.DUMMYFUNCTION("""COMPUTED_VALUE"""),"GT")</f>
        <v>GT</v>
      </c>
      <c r="AC28" s="228" t="str">
        <f>IFERROR(__xludf.DUMMYFUNCTION("""COMPUTED_VALUE"""),"メイド")</f>
        <v>メイド</v>
      </c>
      <c r="AD28" s="228" t="str">
        <f>IFERROR(__xludf.DUMMYFUNCTION("""COMPUTED_VALUE"""),"時給")</f>
        <v>時給</v>
      </c>
      <c r="AE28" s="1082">
        <f>IFERROR(__xludf.DUMMYFUNCTION("""COMPUTED_VALUE"""),22.0)</f>
        <v>22</v>
      </c>
      <c r="AF28" s="228">
        <f t="shared" si="6"/>
        <v>1</v>
      </c>
      <c r="AG28" s="1083">
        <f>IFERROR(__xludf.DUMMYFUNCTION("""COMPUTED_VALUE"""),145.8)</f>
        <v>145.8</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f>
        <v/>
      </c>
      <c r="AO28" s="1082">
        <f>IFERROR(__xludf.DUMMYFUNCTION("""COMPUTED_VALUE"""),0.0)</f>
        <v>0</v>
      </c>
      <c r="AP28" s="228">
        <f t="shared" si="7"/>
        <v>0</v>
      </c>
      <c r="AQ28" s="1083">
        <f>IFERROR(__xludf.DUMMYFUNCTION("""COMPUTED_VALUE"""),0.0)</f>
        <v>0</v>
      </c>
      <c r="AR28" s="228">
        <f>IFERROR(__xludf.DUMMYFUNCTION("""COMPUTED_VALUE"""),0.0)</f>
        <v>0</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998</v>
      </c>
      <c r="F29" s="1074">
        <f t="shared" si="2"/>
        <v>34</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228.2666667</v>
      </c>
      <c r="J29" s="1077">
        <f t="shared" si="40"/>
        <v>0</v>
      </c>
      <c r="K29" s="200"/>
      <c r="L29" s="228" t="str">
        <f t="array" ref="L29">IFERROR(INDEX('💻シート作成'!$D$6:$D999, MATCH(M29, '💻シート作成'!$E$6:$E999, 0)), "")</f>
        <v>8月</v>
      </c>
      <c r="M29" s="963"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IFERROR(__xludf.DUMMYFUNCTION("""COMPUTED_VALUE"""),2335.0)</f>
        <v>2335</v>
      </c>
      <c r="AB29" s="1101" t="str">
        <f>IFERROR(__xludf.DUMMYFUNCTION("""COMPUTED_VALUE"""),"カトリ")</f>
        <v>カトリ</v>
      </c>
      <c r="AC29" s="228" t="str">
        <f>IFERROR(__xludf.DUMMYFUNCTION("""COMPUTED_VALUE"""),"メイド")</f>
        <v>メイド</v>
      </c>
      <c r="AD29" s="228" t="str">
        <f>IFERROR(__xludf.DUMMYFUNCTION("""COMPUTED_VALUE"""),"時給")</f>
        <v>時給</v>
      </c>
      <c r="AE29" s="1082">
        <f>IFERROR(__xludf.DUMMYFUNCTION("""COMPUTED_VALUE"""),18.0)</f>
        <v>18</v>
      </c>
      <c r="AF29" s="228">
        <f t="shared" si="6"/>
        <v>0</v>
      </c>
      <c r="AG29" s="1083">
        <f>IFERROR(__xludf.DUMMYFUNCTION("""COMPUTED_VALUE"""),120.75)</f>
        <v>120.75</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f>
        <v/>
      </c>
      <c r="AO29" s="1082">
        <f>IFERROR(__xludf.DUMMYFUNCTION("""COMPUTED_VALUE"""),0.0)</f>
        <v>0</v>
      </c>
      <c r="AP29" s="228">
        <f t="shared" si="7"/>
        <v>0</v>
      </c>
      <c r="AQ29" s="1083">
        <f>IFERROR(__xludf.DUMMYFUNCTION("""COMPUTED_VALUE"""),0.0)</f>
        <v>0</v>
      </c>
      <c r="AR29" s="228">
        <f>IFERROR(__xludf.DUMMYFUNCTION("""COMPUTED_VALUE"""),0.0)</f>
        <v>0</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521</v>
      </c>
      <c r="D30" s="1073" t="s">
        <v>90</v>
      </c>
      <c r="E30" s="1073" t="s">
        <v>998</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3"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IFERROR(__xludf.DUMMYFUNCTION("""COMPUTED_VALUE"""),2340.0)</f>
        <v>2340</v>
      </c>
      <c r="AB30" s="1101" t="str">
        <f>IFERROR(__xludf.DUMMYFUNCTION("""COMPUTED_VALUE"""),"ライン")</f>
        <v>ライン</v>
      </c>
      <c r="AC30" s="228" t="str">
        <f>IFERROR(__xludf.DUMMYFUNCTION("""COMPUTED_VALUE"""),"メイド")</f>
        <v>メイド</v>
      </c>
      <c r="AD30" s="228" t="str">
        <f>IFERROR(__xludf.DUMMYFUNCTION("""COMPUTED_VALUE"""),"")</f>
        <v/>
      </c>
      <c r="AE30" s="1082">
        <f>IFERROR(__xludf.DUMMYFUNCTION("""COMPUTED_VALUE"""),0.0)</f>
        <v>0</v>
      </c>
      <c r="AF30" s="228">
        <f t="shared" si="6"/>
        <v>3</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481</v>
      </c>
      <c r="D31" s="1073" t="s">
        <v>90</v>
      </c>
      <c r="E31" s="1073" t="s">
        <v>930</v>
      </c>
      <c r="F31" s="1074">
        <f t="shared" si="2"/>
        <v>8</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52.28333333</v>
      </c>
      <c r="J31" s="1077">
        <f t="shared" si="42"/>
        <v>0</v>
      </c>
      <c r="K31" s="200"/>
      <c r="L31" s="228" t="str">
        <f t="array" ref="L31">IFERROR(INDEX('💻シート作成'!$D$6:$D999, MATCH(M31, '💻シート作成'!$E$6:$E999, 0)), "")</f>
        <v>8月</v>
      </c>
      <c r="M31" s="963"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IFERROR(__xludf.DUMMYFUNCTION("""COMPUTED_VALUE"""),2405.0)</f>
        <v>2405</v>
      </c>
      <c r="AB31" s="1101" t="str">
        <f>IFERROR(__xludf.DUMMYFUNCTION("""COMPUTED_VALUE"""),"スザナ")</f>
        <v>スザナ</v>
      </c>
      <c r="AC31" s="228" t="str">
        <f>IFERROR(__xludf.DUMMYFUNCTION("""COMPUTED_VALUE"""),"メイド")</f>
        <v>メイド</v>
      </c>
      <c r="AD31" s="228" t="str">
        <f>IFERROR(__xludf.DUMMYFUNCTION("""COMPUTED_VALUE"""),"時給")</f>
        <v>時給</v>
      </c>
      <c r="AE31" s="1082">
        <f>IFERROR(__xludf.DUMMYFUNCTION("""COMPUTED_VALUE"""),7.0)</f>
        <v>7</v>
      </c>
      <c r="AF31" s="228">
        <f t="shared" si="6"/>
        <v>1</v>
      </c>
      <c r="AG31" s="1083">
        <f>IFERROR(__xludf.DUMMYFUNCTION("""COMPUTED_VALUE"""),46.266666666666666)</f>
        <v>46.26666667</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IFERROR(__xludf.DUMMYFUNCTION("""COMPUTED_VALUE"""),1.0)</f>
        <v>1</v>
      </c>
      <c r="AP31" s="228">
        <f t="shared" si="7"/>
        <v>0</v>
      </c>
      <c r="AQ31" s="1083">
        <f>IFERROR(__xludf.DUMMYFUNCTION("""COMPUTED_VALUE"""),6.016666666666667)</f>
        <v>6.016666667</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482</v>
      </c>
      <c r="D32" s="1073"/>
      <c r="E32" s="1073" t="s">
        <v>998</v>
      </c>
      <c r="F32" s="1074">
        <f t="shared" si="2"/>
        <v>4</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25.41666667</v>
      </c>
      <c r="J32" s="1077">
        <f t="shared" si="43"/>
        <v>0</v>
      </c>
      <c r="K32" s="200"/>
      <c r="L32" s="228" t="str">
        <f t="array" ref="L32">IFERROR(INDEX('💻シート作成'!$D$6:$D999, MATCH(M32, '💻シート作成'!$E$6:$E999, 0)), "")</f>
        <v>7月</v>
      </c>
      <c r="M32" s="963"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IFERROR(__xludf.DUMMYFUNCTION("""COMPUTED_VALUE"""),2406.0)</f>
        <v>2406</v>
      </c>
      <c r="AB32" s="184" t="str">
        <f>IFERROR(__xludf.DUMMYFUNCTION("""COMPUTED_VALUE"""),"サナム")</f>
        <v>サナム</v>
      </c>
      <c r="AC32" s="228"/>
      <c r="AD32" s="228" t="str">
        <f>IFERROR(__xludf.DUMMYFUNCTION("""COMPUTED_VALUE"""),"時給")</f>
        <v>時給</v>
      </c>
      <c r="AE32" s="1082">
        <f>IFERROR(__xludf.DUMMYFUNCTION("""COMPUTED_VALUE"""),4.0)</f>
        <v>4</v>
      </c>
      <c r="AF32" s="228">
        <f t="shared" si="6"/>
        <v>0</v>
      </c>
      <c r="AG32" s="1083">
        <f>IFERROR(__xludf.DUMMYFUNCTION("""COMPUTED_VALUE"""),25.416666666666668)</f>
        <v>25.41666667</v>
      </c>
      <c r="AH32" s="228">
        <f>IFERROR(__xludf.DUMMYFUNCTION("""COMPUTED_VALUE"""),0.0)</f>
        <v>0</v>
      </c>
      <c r="AI32" s="200"/>
      <c r="AJ32" s="200"/>
      <c r="AK32" s="1085">
        <f>IFERROR(__xludf.DUMMYFUNCTION("""COMPUTED_VALUE"""),2406.0)</f>
        <v>2406</v>
      </c>
      <c r="AL32" s="1101" t="str">
        <f>IFERROR(__xludf.DUMMYFUNCTION("""COMPUTED_VALUE"""),"サナム")</f>
        <v>サナム</v>
      </c>
      <c r="AM32" s="228"/>
      <c r="AN32" s="228" t="str">
        <f>IFERROR(__xludf.DUMMYFUNCTION("""COMPUTED_VALUE"""),"")</f>
        <v/>
      </c>
      <c r="AO32" s="1082">
        <f>IFERROR(__xludf.DUMMYFUNCTION("""COMPUTED_VALUE"""),0.0)</f>
        <v>0</v>
      </c>
      <c r="AP32" s="228">
        <f t="shared" si="7"/>
        <v>0</v>
      </c>
      <c r="AQ32" s="1083">
        <f>IFERROR(__xludf.DUMMYFUNCTION("""COMPUTED_VALUE"""),0.0)</f>
        <v>0</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c r="C33" s="1105" t="s">
        <v>485</v>
      </c>
      <c r="D33" s="1073"/>
      <c r="E33" s="1073" t="s">
        <v>998</v>
      </c>
      <c r="F33" s="1074">
        <f t="shared" si="2"/>
        <v>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200"/>
      <c r="L33" s="228" t="str">
        <f t="array" ref="L33">IFERROR(INDEX('💻シート作成'!$D$6:$D999, MATCH(M33, '💻シート作成'!$E$6:$E999, 0)), "")</f>
        <v>7月</v>
      </c>
      <c r="M33" s="963"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0"/>
      <c r="AL33" s="184" t="str">
        <f>IFERROR(__xludf.DUMMYFUNCTION("""COMPUTED_VALUE"""),"アスミタ")</f>
        <v>アスミタ</v>
      </c>
      <c r="AM33" s="228"/>
      <c r="AN33" s="228" t="str">
        <f>IFERROR(__xludf.DUMMYFUNCTION("""COMPUTED_VALUE"""),"")</f>
        <v/>
      </c>
      <c r="AO33" s="1082">
        <f>IFERROR(__xludf.DUMMYFUNCTION("""COMPUTED_VALUE"""),0.0)</f>
        <v>0</v>
      </c>
      <c r="AP33" s="228">
        <f t="shared" si="7"/>
        <v>0</v>
      </c>
      <c r="AQ33" s="1083">
        <f>IFERROR(__xludf.DUMMYFUNCTION("""COMPUTED_VALUE"""),0.0)</f>
        <v>0</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c r="C34" s="1105"/>
      <c r="D34" s="1073"/>
      <c r="E34" s="1073" t="s">
        <v>998</v>
      </c>
      <c r="F34" s="1074">
        <f t="shared" si="2"/>
        <v>0</v>
      </c>
      <c r="G34" s="1075" t="str">
        <f t="shared" si="3"/>
        <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200"/>
      <c r="L34" s="228" t="str">
        <f t="array" ref="L34">IFERROR(INDEX('💻シート作成'!$D$6:$D999, MATCH(M34, '💻シート作成'!$E$6:$E999, 0)), "")</f>
        <v>7月</v>
      </c>
      <c r="M34" s="963"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0"/>
      <c r="AL34" s="184"/>
      <c r="AM34" s="228"/>
      <c r="AN34" s="228" t="str">
        <f>IFERROR(__xludf.DUMMYFUNCTION("""COMPUTED_VALUE"""),"")</f>
        <v/>
      </c>
      <c r="AO34" s="1082" t="str">
        <f>IFERROR(__xludf.DUMMYFUNCTION("""COMPUTED_VALUE"""),"")</f>
        <v/>
      </c>
      <c r="AP34" s="228">
        <f t="shared" si="7"/>
        <v>0</v>
      </c>
      <c r="AQ34" s="1083" t="str">
        <f>IFERROR(__xludf.DUMMYFUNCTION("""COMPUTED_VALUE"""),"")</f>
        <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c r="D35" s="1073"/>
      <c r="E35" s="1073" t="s">
        <v>998</v>
      </c>
      <c r="F35" s="1074">
        <f t="shared" si="2"/>
        <v>0</v>
      </c>
      <c r="G35" s="1075" t="str">
        <f t="shared" si="3"/>
        <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3"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c r="AM35" s="228"/>
      <c r="AN35" s="228" t="str">
        <f>IFERROR(__xludf.DUMMYFUNCTION("""COMPUTED_VALUE"""),"")</f>
        <v/>
      </c>
      <c r="AO35" s="1082" t="str">
        <f>IFERROR(__xludf.DUMMYFUNCTION("""COMPUTED_VALUE"""),"")</f>
        <v/>
      </c>
      <c r="AP35" s="228">
        <f t="shared" si="7"/>
        <v>0</v>
      </c>
      <c r="AQ35" s="1083" t="str">
        <f>IFERROR(__xludf.DUMMYFUNCTION("""COMPUTED_VALUE"""),"")</f>
        <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998</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3"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998</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3"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998</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3"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998</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3"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998</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3"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998</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3"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998</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3"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998</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3"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998</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3"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998</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3"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998</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3"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998</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3"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998</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3"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998</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3"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998</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3"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998</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3"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998</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3"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998</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3"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998</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3"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998</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3"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998</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3"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998</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3"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998</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3"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998</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3"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998</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3"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998</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3"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998</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3"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998</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3"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998</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3"/>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998</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3"/>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998</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3"/>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998</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3"/>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998</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3"/>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998</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3"/>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998</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3"/>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998</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3"/>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998</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3"/>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998</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3"/>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998</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3"/>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998</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3"/>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998</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3"/>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998</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3"/>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998</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3"/>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998</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3"/>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998</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3"/>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998</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3"/>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998</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3"/>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998</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3"/>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998</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3"/>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998</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3"/>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998</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3"/>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998</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3"/>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998</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3"/>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998</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3"/>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998</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3"/>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998</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3"/>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998</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3"/>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998</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3"/>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998</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3"/>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998</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3"/>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998</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3"/>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998</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3"/>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998</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3"/>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3"/>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7"/>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7"/>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7"/>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7"/>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3"/>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7"/>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3"/>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3"/>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3"/>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3"/>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3"/>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3"/>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3"/>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3"/>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3"/>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3"/>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3"/>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3"/>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3"/>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3"/>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3"/>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3"/>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3"/>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3"/>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3"/>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3"/>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3"/>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3"/>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3"/>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3"/>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3"/>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3"/>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3"/>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3"/>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3"/>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3"/>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3"/>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3"/>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3"/>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3"/>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3"/>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3"/>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3"/>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3"/>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3"/>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3"/>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3"/>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3"/>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3"/>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3"/>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3"/>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3"/>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3"/>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3"/>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3"/>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3"/>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3"/>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3"/>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3"/>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3"/>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3"/>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3"/>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3"/>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3"/>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3"/>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3"/>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3"/>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3"/>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3"/>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3"/>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3"/>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3"/>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3"/>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3"/>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3"/>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3"/>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3"/>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3"/>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3"/>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3"/>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3"/>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3"/>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3"/>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3"/>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3"/>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3"/>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3"/>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3"/>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3"/>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3"/>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3"/>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3"/>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3"/>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3"/>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3"/>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3"/>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3"/>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3"/>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3"/>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3"/>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3"/>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3"/>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3"/>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3"/>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574360543" ref="AB12"/>
    <hyperlink r:id="rId39" location="gid=1574360543" ref="AL12"/>
    <hyperlink r:id="rId40" location="gid=1297144717" ref="C13"/>
    <hyperlink r:id="rId41" location="gid=474544616" ref="R13"/>
    <hyperlink r:id="rId42" location="gid=1297144717" ref="AB13"/>
    <hyperlink r:id="rId43" location="gid=1297144717" ref="AL13"/>
    <hyperlink r:id="rId44" location="gid=1389092672" ref="C14"/>
    <hyperlink r:id="rId45" location="gid=101121312" ref="R14"/>
    <hyperlink r:id="rId46" location="gid=1389092672" ref="AB14"/>
    <hyperlink r:id="rId47" location="gid=1389092672" ref="AL14"/>
    <hyperlink r:id="rId48" location="gid=1651039724" ref="C15"/>
    <hyperlink r:id="rId49" location="gid=211169867" ref="R15"/>
    <hyperlink r:id="rId50" location="gid=1651039724" ref="AB15"/>
    <hyperlink r:id="rId51" location="gid=1651039724" ref="AL15"/>
    <hyperlink r:id="rId52" location="gid=1601559799" ref="C16"/>
    <hyperlink r:id="rId53" location="gid=404438178" ref="R16"/>
    <hyperlink r:id="rId54" location="gid=1601559799" ref="AB16"/>
    <hyperlink r:id="rId55" location="gid=1601559799" ref="AL16"/>
    <hyperlink r:id="rId56" location="gid=1299007814" ref="C17"/>
    <hyperlink r:id="rId57" location="gid=1626253560" ref="R17"/>
    <hyperlink r:id="rId58" location="gid=1299007814" ref="AB17"/>
    <hyperlink r:id="rId59" location="gid=1299007814" ref="AL17"/>
    <hyperlink r:id="rId60" location="gid=1626253560" ref="C18"/>
    <hyperlink r:id="rId61" location="gid=91980106" ref="R18"/>
    <hyperlink r:id="rId62" location="gid=1626253560" ref="AB18"/>
    <hyperlink r:id="rId63" location="gid=1626253560" ref="AL18"/>
    <hyperlink r:id="rId64" location="gid=447200588" ref="C19"/>
    <hyperlink r:id="rId65" location="gid=447200588" ref="R19"/>
    <hyperlink r:id="rId66" location="gid=447200588" ref="AB19"/>
    <hyperlink r:id="rId67" location="gid=447200588" ref="AL19"/>
    <hyperlink r:id="rId68" location="gid=1241498263" ref="C20"/>
    <hyperlink r:id="rId69" location="gid=904757931" ref="R20"/>
    <hyperlink r:id="rId70" location="gid=1241498263" ref="AB20"/>
    <hyperlink r:id="rId71" location="gid=1241498263" ref="AL20"/>
    <hyperlink r:id="rId72" location="gid=706079354" ref="C21"/>
    <hyperlink r:id="rId73" location="gid=1241498263" ref="R21"/>
    <hyperlink r:id="rId74" location="gid=706079354" ref="AB21"/>
    <hyperlink r:id="rId75" location="gid=706079354" ref="AL21"/>
    <hyperlink r:id="rId76" location="gid=292497182" ref="C22"/>
    <hyperlink r:id="rId77" location="gid=706079354" ref="R22"/>
    <hyperlink r:id="rId78" location="gid=292497182" ref="AB22"/>
    <hyperlink r:id="rId79" location="gid=292497182" ref="AL22"/>
    <hyperlink r:id="rId80" location="gid=2137010562" ref="C23"/>
    <hyperlink r:id="rId81" location="gid=292497182" ref="R23"/>
    <hyperlink r:id="rId82" location="gid=2137010562" ref="AB23"/>
    <hyperlink r:id="rId83" location="gid=2137010562" ref="AL23"/>
    <hyperlink r:id="rId84" location="gid=879781303" ref="C24"/>
    <hyperlink r:id="rId85" location="gid=2137010562" ref="R24"/>
    <hyperlink r:id="rId86" location="gid=879781303" ref="AB24"/>
    <hyperlink r:id="rId87" location="gid=879781303" ref="AL24"/>
    <hyperlink r:id="rId88" location="gid=134143724" ref="C25"/>
    <hyperlink r:id="rId89" location="gid=879781303" ref="R25"/>
    <hyperlink r:id="rId90" location="gid=134143724" ref="AB25"/>
    <hyperlink r:id="rId91" location="gid=134143724" ref="AL25"/>
    <hyperlink r:id="rId92" location="gid=30515264" ref="C26"/>
    <hyperlink r:id="rId93" location="gid=134143724" ref="R26"/>
    <hyperlink r:id="rId94" location="gid=30515264" ref="AB26"/>
    <hyperlink r:id="rId95" location="gid=30515264" ref="AL26"/>
    <hyperlink r:id="rId96" location="gid=56211455" ref="C27"/>
    <hyperlink r:id="rId97" location="gid=30515264" ref="R27"/>
    <hyperlink r:id="rId98" location="gid=56211455" ref="AB27"/>
    <hyperlink r:id="rId99" location="gid=56211455" ref="AL27"/>
    <hyperlink r:id="rId100" location="gid=569583776" ref="C28"/>
    <hyperlink r:id="rId101" location="gid=56211455" ref="R28"/>
    <hyperlink r:id="rId102" location="gid=569583776" ref="AB28"/>
    <hyperlink r:id="rId103" location="gid=569583776" ref="AL28"/>
    <hyperlink r:id="rId104" location="gid=466686637" ref="C29"/>
    <hyperlink r:id="rId105" location="gid=569583776" ref="R29"/>
    <hyperlink r:id="rId106" location="gid=466686637" ref="AB29"/>
    <hyperlink r:id="rId107" location="gid=466686637" ref="AL29"/>
    <hyperlink r:id="rId108" location="gid=1101850425" ref="C30"/>
    <hyperlink r:id="rId109" location="gid=466686637" ref="R30"/>
    <hyperlink r:id="rId110" location="gid=1101850425" ref="AB30"/>
    <hyperlink r:id="rId111" location="gid=1101850425" ref="AL30"/>
    <hyperlink r:id="rId112" location="gid=1636820167" ref="C31"/>
    <hyperlink r:id="rId113" location="gid=1636820167" ref="AB31"/>
    <hyperlink r:id="rId114" location="gid=1636820167" ref="AL31"/>
    <hyperlink r:id="rId115" location="gid=217090474" ref="C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5" t="s">
        <v>81</v>
      </c>
      <c r="B2" s="1110" t="s">
        <v>1003</v>
      </c>
    </row>
    <row r="3">
      <c r="A3" s="1111">
        <v>2.0</v>
      </c>
      <c r="B3" s="979">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""日別集計!D5:AH5""),""ファイルなし"")"),105065.5)</f>
        <v>105065.5</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""日別集計!D5:AH5""),""ファイルなし"")"),67997.66666666667)</f>
        <v>67997.66667</v>
      </c>
      <c r="C5" s="24">
        <f>IFERROR(__xludf.DUMMYFUNCTION("""COMPUTED_VALUE"""),0.0)</f>
        <v>0</v>
      </c>
      <c r="D5" s="24">
        <f>IFERROR(__xludf.DUMMYFUNCTION("""COMPUTED_VALUE"""),0.0)</f>
        <v>0</v>
      </c>
      <c r="E5" s="24">
        <f>IFERROR(__xludf.DUMMYFUNCTION("""COMPUTED_VALUE"""),0.0)</f>
        <v>0</v>
      </c>
      <c r="F5" s="24">
        <f>IFERROR(__xludf.DUMMYFUNCTION("""COMPUTED_VALUE"""),0.0)</f>
        <v>0</v>
      </c>
      <c r="G5" s="24">
        <f>IFERROR(__xludf.DUMMYFUNCTION("""COMPUTED_VALUE"""),0.0)</f>
        <v>0</v>
      </c>
      <c r="H5" s="24">
        <f>IFERROR(__xludf.DUMMYFUNCTION("""COMPUTED_VALUE"""),0.0)</f>
        <v>0</v>
      </c>
      <c r="I5" s="24">
        <f>IFERROR(__xludf.DUMMYFUNCTION("""COMPUTED_VALUE"""),0.0)</f>
        <v>0</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1004</v>
      </c>
      <c r="C30" s="247"/>
      <c r="D30" s="247"/>
      <c r="E30" s="247"/>
      <c r="F30" s="250"/>
    </row>
    <row r="31">
      <c r="B31" s="1116" t="s">
        <v>1005</v>
      </c>
      <c r="C31" s="1117" t="s">
        <v>277</v>
      </c>
      <c r="D31" s="1117" t="s">
        <v>278</v>
      </c>
      <c r="E31" s="1117" t="s">
        <v>931</v>
      </c>
      <c r="F31" s="1118" t="s">
        <v>275</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1006</v>
      </c>
      <c r="E44" s="1123" t="s">
        <v>1006</v>
      </c>
      <c r="F44" s="1123" t="s">
        <v>1006</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339</v>
      </c>
      <c r="AZ13" s="413" t="s">
        <v>340</v>
      </c>
      <c r="BA13" s="413" t="s">
        <v>341</v>
      </c>
      <c r="BB13" s="413" t="s">
        <v>342</v>
      </c>
      <c r="BC13" s="329"/>
      <c r="BD13" s="412" t="s">
        <v>90</v>
      </c>
      <c r="BE13" s="413" t="s">
        <v>343</v>
      </c>
      <c r="BF13" s="413" t="s">
        <v>341</v>
      </c>
      <c r="BG13" s="413" t="s">
        <v>342</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8"/>
      <c r="I14" s="418"/>
      <c r="J14" s="418"/>
      <c r="K14" s="418"/>
      <c r="L14" s="418"/>
      <c r="M14" s="418"/>
      <c r="N14" s="467"/>
      <c r="O14" s="467"/>
      <c r="P14" s="467"/>
      <c r="Q14" s="467"/>
      <c r="R14" s="467"/>
      <c r="S14" s="467"/>
      <c r="T14" s="467"/>
      <c r="U14" s="467"/>
      <c r="V14" s="467"/>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4"/>
      <c r="AZ14" s="422"/>
      <c r="BA14" s="422"/>
      <c r="BB14" s="423"/>
      <c r="BC14" s="315"/>
      <c r="BD14" s="424"/>
      <c r="BE14" s="422"/>
      <c r="BF14" s="422"/>
      <c r="BG14" s="423"/>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4"/>
      <c r="AZ15" s="422"/>
      <c r="BA15" s="422"/>
      <c r="BB15" s="423"/>
      <c r="BC15" s="315"/>
      <c r="BD15" s="424"/>
      <c r="BE15" s="422"/>
      <c r="BF15" s="422"/>
      <c r="BG15" s="423"/>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8"/>
      <c r="I16" s="418"/>
      <c r="J16" s="418"/>
      <c r="K16" s="418"/>
      <c r="L16" s="418"/>
      <c r="M16" s="418"/>
      <c r="N16" s="467"/>
      <c r="O16" s="467"/>
      <c r="P16" s="467"/>
      <c r="Q16" s="467"/>
      <c r="R16" s="467"/>
      <c r="S16" s="467"/>
      <c r="T16" s="467"/>
      <c r="U16" s="467"/>
      <c r="V16" s="467"/>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4"/>
      <c r="AZ16" s="422"/>
      <c r="BA16" s="422"/>
      <c r="BB16" s="423"/>
      <c r="BC16" s="315"/>
      <c r="BD16" s="424"/>
      <c r="BE16" s="422"/>
      <c r="BF16" s="422"/>
      <c r="BG16" s="423"/>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4"/>
      <c r="AZ17" s="422"/>
      <c r="BA17" s="422"/>
      <c r="BB17" s="423"/>
      <c r="BC17" s="315"/>
      <c r="BD17" s="424"/>
      <c r="BE17" s="422"/>
      <c r="BF17" s="422"/>
      <c r="BG17" s="423"/>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8"/>
      <c r="I18" s="418"/>
      <c r="J18" s="418"/>
      <c r="K18" s="418"/>
      <c r="L18" s="418"/>
      <c r="M18" s="418"/>
      <c r="N18" s="467"/>
      <c r="O18" s="467"/>
      <c r="P18" s="467"/>
      <c r="Q18" s="467"/>
      <c r="R18" s="467"/>
      <c r="S18" s="467"/>
      <c r="T18" s="467"/>
      <c r="U18" s="467"/>
      <c r="V18" s="467"/>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4"/>
      <c r="AZ18" s="422"/>
      <c r="BA18" s="422"/>
      <c r="BB18" s="423"/>
      <c r="BC18" s="315"/>
      <c r="BD18" s="424"/>
      <c r="BE18" s="422"/>
      <c r="BF18" s="422"/>
      <c r="BG18" s="423"/>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7"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8"/>
      <c r="AZ19" s="429"/>
      <c r="BA19" s="429"/>
      <c r="BB19" s="430"/>
      <c r="BC19" s="315"/>
      <c r="BD19" s="428"/>
      <c r="BE19" s="429"/>
      <c r="BF19" s="429"/>
      <c r="BG19" s="430"/>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1" t="b">
        <v>0</v>
      </c>
      <c r="C20" s="400">
        <f t="shared" si="9"/>
        <v>46061</v>
      </c>
      <c r="D20" s="401" t="str">
        <f t="shared" si="2"/>
        <v>日</v>
      </c>
      <c r="E20" s="401" t="str">
        <f t="shared" si="3"/>
        <v/>
      </c>
      <c r="F20" s="401" t="str">
        <f t="shared" si="4"/>
        <v/>
      </c>
      <c r="G20" s="401" t="str">
        <f t="shared" si="5"/>
        <v/>
      </c>
      <c r="H20" s="418"/>
      <c r="I20" s="418"/>
      <c r="J20" s="418"/>
      <c r="K20" s="418"/>
      <c r="L20" s="418"/>
      <c r="M20" s="418"/>
      <c r="N20" s="467"/>
      <c r="O20" s="467"/>
      <c r="P20" s="467"/>
      <c r="Q20" s="467"/>
      <c r="R20" s="467"/>
      <c r="S20" s="467"/>
      <c r="T20" s="467"/>
      <c r="U20" s="467"/>
      <c r="V20" s="467"/>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2" t="s">
        <v>344</v>
      </c>
      <c r="AZ20" s="433">
        <f>IFERROR(__xludf.DUMMYFUNCTION("IMPORTRANGE(""https://docs.google.com/spreadsheets/d/1QbHfX9wvC_RRupa4CCe_ZxA6O4e2Ap9vqX5hrZPeQRg/edit?gid=284905409#gid=284905409"",""date2_1!B7"")/G5*COUNTIFS($E$13:$E$43,""&gt;0"")+sum(AZ14:BA19)"),0.0)</f>
        <v>0</v>
      </c>
      <c r="BA20" s="434"/>
      <c r="BB20" s="435"/>
      <c r="BC20" s="315"/>
      <c r="BD20" s="432" t="s">
        <v>344</v>
      </c>
      <c r="BE20" s="433">
        <f>sum(BE14:BF19)</f>
        <v>0</v>
      </c>
      <c r="BF20" s="434"/>
      <c r="BG20" s="435"/>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7"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1" t="b">
        <v>0</v>
      </c>
      <c r="C22" s="400">
        <f t="shared" si="9"/>
        <v>46063</v>
      </c>
      <c r="D22" s="401" t="str">
        <f t="shared" si="2"/>
        <v>火</v>
      </c>
      <c r="E22" s="401" t="str">
        <f t="shared" si="3"/>
        <v/>
      </c>
      <c r="F22" s="401" t="str">
        <f t="shared" si="4"/>
        <v/>
      </c>
      <c r="G22" s="401" t="str">
        <f t="shared" si="5"/>
        <v/>
      </c>
      <c r="H22" s="418"/>
      <c r="I22" s="418"/>
      <c r="J22" s="418"/>
      <c r="K22" s="418"/>
      <c r="L22" s="418"/>
      <c r="M22" s="418"/>
      <c r="N22" s="467"/>
      <c r="O22" s="467"/>
      <c r="P22" s="467"/>
      <c r="Q22" s="467"/>
      <c r="R22" s="467"/>
      <c r="S22" s="467"/>
      <c r="T22" s="467"/>
      <c r="U22" s="467"/>
      <c r="V22" s="467"/>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6" t="s">
        <v>345</v>
      </c>
      <c r="AZ22" s="437"/>
      <c r="BA22" s="437"/>
      <c r="BB22" s="438" t="s">
        <v>346</v>
      </c>
      <c r="BC22" s="329"/>
      <c r="BD22" s="439"/>
      <c r="BE22" s="438" t="s">
        <v>347</v>
      </c>
      <c r="BF22" s="438" t="s">
        <v>348</v>
      </c>
      <c r="BG22" s="438" t="s">
        <v>344</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7"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0" t="s">
        <v>349</v>
      </c>
      <c r="AZ23" s="441">
        <f>AR44</f>
        <v>0</v>
      </c>
      <c r="BA23" s="77"/>
      <c r="BB23" s="442">
        <f>AZ23-AZ24</f>
        <v>0</v>
      </c>
      <c r="BC23" s="315"/>
      <c r="BD23" s="443" t="s">
        <v>350</v>
      </c>
      <c r="BE23" s="444">
        <f>IFERROR(__xludf.DUMMYFUNCTION("IMPORTRANGE(AT9,""total!ai2"")"),2854202.833333333)</f>
        <v>2854202.833</v>
      </c>
      <c r="BF23" s="444">
        <f>IFERROR(__xludf.DUMMYFUNCTION("IMPORTRANGE(AT9,""total!an2"")"),211287.0)</f>
        <v>211287</v>
      </c>
      <c r="BG23" s="442">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1" t="b">
        <v>0</v>
      </c>
      <c r="C24" s="400">
        <f t="shared" si="9"/>
        <v>46065</v>
      </c>
      <c r="D24" s="401" t="str">
        <f t="shared" si="2"/>
        <v>木</v>
      </c>
      <c r="E24" s="401" t="str">
        <f t="shared" si="3"/>
        <v/>
      </c>
      <c r="F24" s="401" t="str">
        <f t="shared" si="4"/>
        <v/>
      </c>
      <c r="G24" s="401" t="str">
        <f t="shared" si="5"/>
        <v/>
      </c>
      <c r="H24" s="418"/>
      <c r="I24" s="418"/>
      <c r="J24" s="418"/>
      <c r="K24" s="418"/>
      <c r="L24" s="418"/>
      <c r="M24" s="418"/>
      <c r="N24" s="467"/>
      <c r="O24" s="467"/>
      <c r="P24" s="467"/>
      <c r="Q24" s="467"/>
      <c r="R24" s="467"/>
      <c r="S24" s="467"/>
      <c r="T24" s="467"/>
      <c r="U24" s="467"/>
      <c r="V24" s="467"/>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0" t="s">
        <v>351</v>
      </c>
      <c r="AZ24" s="441">
        <f>BE36</f>
        <v>0</v>
      </c>
      <c r="BA24" s="77"/>
      <c r="BB24" s="445"/>
      <c r="BC24" s="315"/>
      <c r="BD24" s="440" t="s">
        <v>352</v>
      </c>
      <c r="BE24" s="441">
        <f>IFERROR(__xludf.DUMMYFUNCTION("IMPORTRANGE(AT9,""total!as2"")"),10328.0)</f>
        <v>10328</v>
      </c>
      <c r="BF24" s="77"/>
      <c r="BG24" s="445"/>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7"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3"/>
      <c r="AZ25" s="446"/>
      <c r="BA25" s="77"/>
      <c r="BB25" s="445"/>
      <c r="BC25" s="315"/>
      <c r="BD25" s="440" t="s">
        <v>353</v>
      </c>
      <c r="BE25" s="441"/>
      <c r="BF25" s="77"/>
      <c r="BG25" s="445"/>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1" t="b">
        <v>0</v>
      </c>
      <c r="C26" s="400">
        <f t="shared" si="9"/>
        <v>46067</v>
      </c>
      <c r="D26" s="401" t="str">
        <f t="shared" si="2"/>
        <v>土</v>
      </c>
      <c r="E26" s="401" t="str">
        <f t="shared" si="3"/>
        <v/>
      </c>
      <c r="F26" s="401" t="str">
        <f t="shared" si="4"/>
        <v/>
      </c>
      <c r="G26" s="401" t="str">
        <f t="shared" si="5"/>
        <v/>
      </c>
      <c r="H26" s="418"/>
      <c r="I26" s="418"/>
      <c r="J26" s="418"/>
      <c r="K26" s="418"/>
      <c r="L26" s="418"/>
      <c r="M26" s="418"/>
      <c r="N26" s="467"/>
      <c r="O26" s="467"/>
      <c r="P26" s="467"/>
      <c r="Q26" s="467"/>
      <c r="R26" s="467"/>
      <c r="S26" s="467"/>
      <c r="T26" s="467"/>
      <c r="U26" s="467"/>
      <c r="V26" s="467"/>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3"/>
      <c r="AZ26" s="446"/>
      <c r="BA26" s="77"/>
      <c r="BB26" s="445"/>
      <c r="BC26" s="315"/>
      <c r="BD26" s="440"/>
      <c r="BE26" s="447"/>
      <c r="BF26" s="77"/>
      <c r="BG26" s="445"/>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7"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3"/>
      <c r="AZ27" s="446"/>
      <c r="BA27" s="77"/>
      <c r="BB27" s="222"/>
      <c r="BC27" s="315"/>
      <c r="BD27" s="424"/>
      <c r="BE27" s="447"/>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1" t="b">
        <v>0</v>
      </c>
      <c r="C28" s="400">
        <f t="shared" si="9"/>
        <v>46069</v>
      </c>
      <c r="D28" s="401" t="str">
        <f t="shared" si="2"/>
        <v>月</v>
      </c>
      <c r="E28" s="401" t="str">
        <f t="shared" si="3"/>
        <v/>
      </c>
      <c r="F28" s="401" t="str">
        <f t="shared" si="4"/>
        <v/>
      </c>
      <c r="G28" s="401" t="str">
        <f t="shared" si="5"/>
        <v/>
      </c>
      <c r="H28" s="418"/>
      <c r="I28" s="418"/>
      <c r="J28" s="418"/>
      <c r="K28" s="418"/>
      <c r="L28" s="418"/>
      <c r="M28" s="418"/>
      <c r="N28" s="467"/>
      <c r="O28" s="467"/>
      <c r="P28" s="467"/>
      <c r="Q28" s="467"/>
      <c r="R28" s="467"/>
      <c r="S28" s="467"/>
      <c r="T28" s="467"/>
      <c r="U28" s="467"/>
      <c r="V28" s="467"/>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8"/>
      <c r="BL28" s="449"/>
      <c r="BM28" s="172"/>
      <c r="BN28" s="448"/>
      <c r="BO28" s="448"/>
      <c r="BP28" s="448"/>
      <c r="BQ28" s="448"/>
      <c r="BR28" s="448"/>
      <c r="BS28" s="448"/>
      <c r="BT28" s="448"/>
      <c r="BU28" s="448"/>
      <c r="BV28" s="448"/>
      <c r="BW28" s="448"/>
      <c r="BX28" s="448"/>
      <c r="BY28" s="448"/>
      <c r="BZ28" s="448"/>
      <c r="CA28" s="448"/>
    </row>
    <row r="29" ht="15.75" customHeight="1">
      <c r="A29" s="315"/>
      <c r="B29" s="427"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0" t="s">
        <v>354</v>
      </c>
      <c r="AZ29" s="451" t="s">
        <v>278</v>
      </c>
      <c r="BA29" s="451" t="s">
        <v>355</v>
      </c>
      <c r="BB29" s="451" t="s">
        <v>356</v>
      </c>
      <c r="BC29" s="315"/>
      <c r="BD29" s="452" t="s">
        <v>357</v>
      </c>
      <c r="BE29" s="80"/>
      <c r="BF29" s="80"/>
      <c r="BG29" s="77"/>
      <c r="BH29" s="315"/>
      <c r="BI29" s="228" t="str">
        <f t="array" ref="BI29">IFERROR(INDEX('💻シート作成'!$D$6:$D162, MATCH(BJ29, '💻シート作成'!$E$6:$E162, 0)), "")</f>
        <v>10月</v>
      </c>
      <c r="BJ29" s="172" t="str">
        <f>IFERROR(__xludf.DUMMYFUNCTION("""COMPUTED_VALUE"""),"①R8_10集計")</f>
        <v>①R8_10集計</v>
      </c>
      <c r="BK29" s="448"/>
      <c r="BL29" s="453"/>
      <c r="BM29" s="172"/>
      <c r="BN29" s="448"/>
      <c r="BO29" s="448"/>
      <c r="BP29" s="448"/>
      <c r="BQ29" s="448"/>
      <c r="BR29" s="448"/>
      <c r="BS29" s="448"/>
      <c r="BT29" s="448"/>
      <c r="BU29" s="448"/>
      <c r="BV29" s="448"/>
      <c r="BW29" s="448"/>
      <c r="BX29" s="448"/>
      <c r="BY29" s="448"/>
      <c r="BZ29" s="448"/>
      <c r="CA29" s="448"/>
    </row>
    <row r="30" ht="15.75" customHeight="1">
      <c r="A30" s="315"/>
      <c r="B30" s="431" t="b">
        <v>0</v>
      </c>
      <c r="C30" s="400">
        <f t="shared" si="9"/>
        <v>46071</v>
      </c>
      <c r="D30" s="401" t="str">
        <f t="shared" si="2"/>
        <v>水</v>
      </c>
      <c r="E30" s="401" t="str">
        <f t="shared" si="3"/>
        <v/>
      </c>
      <c r="F30" s="401" t="str">
        <f t="shared" si="4"/>
        <v/>
      </c>
      <c r="G30" s="401" t="str">
        <f t="shared" si="5"/>
        <v/>
      </c>
      <c r="H30" s="418"/>
      <c r="I30" s="418"/>
      <c r="J30" s="418"/>
      <c r="K30" s="418"/>
      <c r="L30" s="418"/>
      <c r="M30" s="418"/>
      <c r="N30" s="467"/>
      <c r="O30" s="467"/>
      <c r="P30" s="467"/>
      <c r="Q30" s="467"/>
      <c r="R30" s="467"/>
      <c r="S30" s="467"/>
      <c r="T30" s="467"/>
      <c r="U30" s="467"/>
      <c r="V30" s="467"/>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4" t="s">
        <v>358</v>
      </c>
      <c r="AZ30" s="444">
        <f>AS46</f>
        <v>0</v>
      </c>
      <c r="BA30" s="455" t="s">
        <v>286</v>
      </c>
      <c r="BB30" s="442">
        <f>SUM(AZ30:AZ36)</f>
        <v>0</v>
      </c>
      <c r="BC30" s="315"/>
      <c r="BD30" s="456" t="s">
        <v>359</v>
      </c>
      <c r="BE30" s="457" t="s">
        <v>360</v>
      </c>
      <c r="BF30" s="457" t="s">
        <v>361</v>
      </c>
      <c r="BG30" s="458" t="s">
        <v>344</v>
      </c>
      <c r="BH30" s="315"/>
      <c r="BI30" s="228" t="str">
        <f t="array" ref="BI30">IFERROR(INDEX('💻シート作成'!$D$6:$D162, MATCH(BJ30, '💻シート作成'!$E$6:$E162, 0)), "")</f>
        <v>10月</v>
      </c>
      <c r="BJ30" s="172" t="str">
        <f>IFERROR(__xludf.DUMMYFUNCTION("""COMPUTED_VALUE"""),"②R8_10シフト")</f>
        <v>②R8_10シフト</v>
      </c>
      <c r="BK30" s="448"/>
      <c r="BL30" s="453"/>
      <c r="BM30" s="172"/>
      <c r="BN30" s="448"/>
      <c r="BO30" s="448"/>
      <c r="BP30" s="448"/>
      <c r="BQ30" s="448"/>
      <c r="BR30" s="448"/>
      <c r="BS30" s="448"/>
      <c r="BT30" s="448"/>
      <c r="BU30" s="448"/>
      <c r="BV30" s="448"/>
      <c r="BW30" s="448"/>
      <c r="BX30" s="448"/>
      <c r="BY30" s="448"/>
      <c r="BZ30" s="448"/>
      <c r="CA30" s="448"/>
    </row>
    <row r="31" ht="15.75" customHeight="1">
      <c r="A31" s="315"/>
      <c r="B31" s="427" t="b">
        <v>0</v>
      </c>
      <c r="C31" s="400">
        <f t="shared" si="9"/>
        <v>46072</v>
      </c>
      <c r="D31" s="401" t="str">
        <f t="shared" si="2"/>
        <v>木</v>
      </c>
      <c r="E31" s="401" t="str">
        <f t="shared" si="3"/>
        <v/>
      </c>
      <c r="F31" s="401" t="str">
        <f t="shared" si="4"/>
        <v/>
      </c>
      <c r="G31" s="401" t="str">
        <f t="shared" si="5"/>
        <v/>
      </c>
      <c r="H31" s="418"/>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3"/>
      <c r="AZ31" s="444">
        <f t="shared" ref="AZ31:AZ33" si="10">BA31/$G$5*COUNTIFS($E$13:$E$43,"&gt;0")</f>
        <v>0</v>
      </c>
      <c r="BA31" s="460"/>
      <c r="BB31" s="445"/>
      <c r="BC31" s="315"/>
      <c r="BD31" s="461" t="s">
        <v>363</v>
      </c>
      <c r="BE31" s="462">
        <v>2000.0</v>
      </c>
      <c r="BF31" s="463"/>
      <c r="BG31" s="444">
        <f t="shared" ref="BG31:BG35" si="11">BF31*BE31</f>
        <v>0</v>
      </c>
      <c r="BH31" s="315"/>
      <c r="BI31" s="228" t="str">
        <f t="array" ref="BI31">IFERROR(INDEX('💻シート作成'!$D$6:$D162, MATCH(BJ31, '💻シート作成'!$E$6:$E162, 0)), "")</f>
        <v>10月</v>
      </c>
      <c r="BJ31" s="172" t="str">
        <f>IFERROR(__xludf.DUMMYFUNCTION("""COMPUTED_VALUE"""),"③R8_10日報")</f>
        <v>③R8_10日報</v>
      </c>
      <c r="BK31" s="448"/>
      <c r="BL31" s="453"/>
      <c r="BM31" s="172"/>
      <c r="BN31" s="448"/>
      <c r="BO31" s="448"/>
      <c r="BP31" s="448"/>
      <c r="BQ31" s="448"/>
      <c r="BR31" s="448"/>
      <c r="BS31" s="448"/>
      <c r="BT31" s="448"/>
      <c r="BU31" s="448"/>
      <c r="BV31" s="448"/>
      <c r="BW31" s="448"/>
      <c r="BX31" s="448"/>
      <c r="BY31" s="448"/>
      <c r="BZ31" s="448"/>
      <c r="CA31" s="448"/>
    </row>
    <row r="32" ht="15.75" customHeight="1">
      <c r="A32" s="315"/>
      <c r="B32" s="431" t="b">
        <v>0</v>
      </c>
      <c r="C32" s="400">
        <f t="shared" si="9"/>
        <v>46073</v>
      </c>
      <c r="D32" s="401" t="str">
        <f t="shared" si="2"/>
        <v>金</v>
      </c>
      <c r="E32" s="401" t="str">
        <f t="shared" si="3"/>
        <v/>
      </c>
      <c r="F32" s="401" t="str">
        <f t="shared" si="4"/>
        <v/>
      </c>
      <c r="G32" s="401" t="str">
        <f t="shared" si="5"/>
        <v/>
      </c>
      <c r="H32" s="418"/>
      <c r="I32" s="418"/>
      <c r="J32" s="418"/>
      <c r="K32" s="418"/>
      <c r="L32" s="418"/>
      <c r="M32" s="418"/>
      <c r="N32" s="467"/>
      <c r="O32" s="467"/>
      <c r="P32" s="467"/>
      <c r="Q32" s="467"/>
      <c r="R32" s="467"/>
      <c r="S32" s="467"/>
      <c r="T32" s="467"/>
      <c r="U32" s="467"/>
      <c r="V32" s="467"/>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3"/>
      <c r="AZ32" s="444">
        <f t="shared" si="10"/>
        <v>0</v>
      </c>
      <c r="BA32" s="460"/>
      <c r="BB32" s="445"/>
      <c r="BC32" s="315"/>
      <c r="BD32" s="461" t="s">
        <v>365</v>
      </c>
      <c r="BE32" s="462">
        <v>2500.0</v>
      </c>
      <c r="BF32" s="463"/>
      <c r="BG32" s="444">
        <f t="shared" si="11"/>
        <v>0</v>
      </c>
      <c r="BH32" s="315"/>
      <c r="BI32" s="228" t="str">
        <f t="array" ref="BI32">IFERROR(INDEX('💻シート作成'!$D$6:$D162, MATCH(BJ32, '💻シート作成'!$E$6:$E162, 0)), "")</f>
        <v>10月</v>
      </c>
      <c r="BJ32" s="172" t="str">
        <f>IFERROR(__xludf.DUMMYFUNCTION("""COMPUTED_VALUE"""),"④R8_10月報")</f>
        <v>④R8_10月報</v>
      </c>
      <c r="BK32" s="448"/>
      <c r="BL32" s="453"/>
      <c r="BM32" s="172"/>
      <c r="BN32" s="448"/>
      <c r="BO32" s="448"/>
      <c r="BP32" s="448"/>
      <c r="BQ32" s="448"/>
      <c r="BR32" s="448"/>
      <c r="BS32" s="448"/>
      <c r="BT32" s="448"/>
      <c r="BU32" s="448"/>
      <c r="BV32" s="448"/>
      <c r="BW32" s="448"/>
      <c r="BX32" s="448"/>
      <c r="BY32" s="448"/>
      <c r="BZ32" s="448"/>
      <c r="CA32" s="448"/>
    </row>
    <row r="33" ht="15.75" customHeight="1">
      <c r="A33" s="315"/>
      <c r="B33" s="427" t="b">
        <v>0</v>
      </c>
      <c r="C33" s="400">
        <f t="shared" si="9"/>
        <v>46074</v>
      </c>
      <c r="D33" s="401" t="str">
        <f t="shared" si="2"/>
        <v>土</v>
      </c>
      <c r="E33" s="401" t="str">
        <f t="shared" si="3"/>
        <v/>
      </c>
      <c r="F33" s="401" t="str">
        <f t="shared" si="4"/>
        <v/>
      </c>
      <c r="G33" s="401" t="str">
        <f t="shared" si="5"/>
        <v/>
      </c>
      <c r="H33" s="418"/>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3"/>
      <c r="AZ33" s="444">
        <f t="shared" si="10"/>
        <v>0</v>
      </c>
      <c r="BA33" s="460"/>
      <c r="BB33" s="445"/>
      <c r="BC33" s="315"/>
      <c r="BD33" s="464" t="s">
        <v>367</v>
      </c>
      <c r="BE33" s="463"/>
      <c r="BF33" s="463"/>
      <c r="BG33" s="444">
        <f t="shared" si="11"/>
        <v>0</v>
      </c>
      <c r="BH33" s="315"/>
      <c r="BI33" s="228" t="str">
        <f t="array" ref="BI33">IFERROR(INDEX('💻シート作成'!$D$6:$D162, MATCH(BJ33, '💻シート作成'!$E$6:$E162, 0)), "")</f>
        <v>9月</v>
      </c>
      <c r="BJ33" s="172" t="str">
        <f>IFERROR(__xludf.DUMMYFUNCTION("""COMPUTED_VALUE"""),"①R8_9集計")</f>
        <v>①R8_9集計</v>
      </c>
      <c r="BK33" s="448"/>
      <c r="BL33" s="453"/>
      <c r="BM33" s="172"/>
      <c r="BN33" s="448"/>
      <c r="BO33" s="448"/>
      <c r="BP33" s="448"/>
      <c r="BQ33" s="448"/>
      <c r="BR33" s="448"/>
      <c r="BS33" s="448"/>
      <c r="BT33" s="448"/>
      <c r="BU33" s="448"/>
      <c r="BV33" s="448"/>
      <c r="BW33" s="448"/>
      <c r="BX33" s="448"/>
      <c r="BY33" s="448"/>
      <c r="BZ33" s="448"/>
      <c r="CA33" s="448"/>
    </row>
    <row r="34" ht="15.75" customHeight="1">
      <c r="A34" s="315"/>
      <c r="B34" s="431" t="b">
        <v>0</v>
      </c>
      <c r="C34" s="400">
        <f t="shared" si="9"/>
        <v>46075</v>
      </c>
      <c r="D34" s="401" t="str">
        <f t="shared" si="2"/>
        <v>日</v>
      </c>
      <c r="E34" s="401" t="str">
        <f t="shared" si="3"/>
        <v/>
      </c>
      <c r="F34" s="401" t="str">
        <f t="shared" si="4"/>
        <v/>
      </c>
      <c r="G34" s="401" t="str">
        <f t="shared" si="5"/>
        <v/>
      </c>
      <c r="H34" s="418"/>
      <c r="I34" s="418"/>
      <c r="J34" s="418"/>
      <c r="K34" s="418"/>
      <c r="L34" s="418"/>
      <c r="M34" s="418"/>
      <c r="N34" s="467"/>
      <c r="O34" s="467"/>
      <c r="P34" s="467"/>
      <c r="Q34" s="467"/>
      <c r="R34" s="467"/>
      <c r="S34" s="467"/>
      <c r="T34" s="467"/>
      <c r="U34" s="467"/>
      <c r="V34" s="467"/>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0"/>
      <c r="AZ34" s="422"/>
      <c r="BA34" s="422"/>
      <c r="BB34" s="445"/>
      <c r="BC34" s="315"/>
      <c r="BD34" s="461"/>
      <c r="BE34" s="463"/>
      <c r="BF34" s="463"/>
      <c r="BG34" s="444">
        <f t="shared" si="11"/>
        <v>0</v>
      </c>
      <c r="BH34" s="315"/>
      <c r="BI34" s="228" t="str">
        <f t="array" ref="BI34">IFERROR(INDEX('💻シート作成'!$D$6:$D162, MATCH(BJ34, '💻シート作成'!$E$6:$E162, 0)), "")</f>
        <v>9月</v>
      </c>
      <c r="BJ34" s="172" t="str">
        <f>IFERROR(__xludf.DUMMYFUNCTION("""COMPUTED_VALUE"""),"②R8_9シフト")</f>
        <v>②R8_9シフト</v>
      </c>
      <c r="BK34" s="315"/>
      <c r="BL34" s="453"/>
      <c r="BM34" s="172"/>
      <c r="BN34" s="315"/>
      <c r="BO34" s="315"/>
      <c r="BP34" s="315"/>
      <c r="BQ34" s="315"/>
      <c r="BR34" s="315"/>
      <c r="BS34" s="315"/>
      <c r="BT34" s="315"/>
      <c r="BU34" s="315"/>
      <c r="BV34" s="315"/>
      <c r="BW34" s="315"/>
      <c r="BX34" s="315"/>
      <c r="BY34" s="315"/>
      <c r="BZ34" s="315"/>
      <c r="CA34" s="315"/>
    </row>
    <row r="35" ht="15.75" customHeight="1">
      <c r="A35" s="315"/>
      <c r="B35" s="427" t="b">
        <v>0</v>
      </c>
      <c r="C35" s="400">
        <f t="shared" si="9"/>
        <v>46076</v>
      </c>
      <c r="D35" s="401" t="str">
        <f t="shared" si="2"/>
        <v>月</v>
      </c>
      <c r="E35" s="401" t="str">
        <f t="shared" si="3"/>
        <v/>
      </c>
      <c r="F35" s="401" t="str">
        <f t="shared" si="4"/>
        <v/>
      </c>
      <c r="G35" s="401" t="str">
        <f t="shared" si="5"/>
        <v/>
      </c>
      <c r="H35" s="399"/>
      <c r="I35" s="418"/>
      <c r="J35" s="418"/>
      <c r="K35" s="418"/>
      <c r="L35" s="418"/>
      <c r="M35" s="418"/>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3"/>
      <c r="AZ35" s="422"/>
      <c r="BA35" s="422"/>
      <c r="BB35" s="445"/>
      <c r="BC35" s="315"/>
      <c r="BD35" s="465"/>
      <c r="BE35" s="428"/>
      <c r="BF35" s="428"/>
      <c r="BG35" s="466">
        <f t="shared" si="11"/>
        <v>0</v>
      </c>
      <c r="BH35" s="315"/>
      <c r="BI35" s="228" t="str">
        <f t="array" ref="BI35">IFERROR(INDEX('💻シート作成'!$D$6:$D162, MATCH(BJ35, '💻シート作成'!$E$6:$E162, 0)), "")</f>
        <v>9月</v>
      </c>
      <c r="BJ35" s="172" t="str">
        <f>IFERROR(__xludf.DUMMYFUNCTION("""COMPUTED_VALUE"""),"③R8_9日報")</f>
        <v>③R8_9日報</v>
      </c>
      <c r="BK35" s="315"/>
      <c r="BL35" s="453"/>
      <c r="BM35" s="172"/>
      <c r="BN35" s="315"/>
      <c r="BO35" s="315"/>
      <c r="BP35" s="315"/>
      <c r="BQ35" s="315"/>
      <c r="BR35" s="315"/>
      <c r="BS35" s="315"/>
      <c r="BT35" s="315"/>
      <c r="BU35" s="315"/>
      <c r="BV35" s="315"/>
      <c r="BW35" s="315"/>
      <c r="BX35" s="315"/>
      <c r="BY35" s="315"/>
      <c r="BZ35" s="315"/>
      <c r="CA35" s="315"/>
    </row>
    <row r="36" ht="15.75" customHeight="1">
      <c r="A36" s="315"/>
      <c r="B36" s="431" t="b">
        <v>0</v>
      </c>
      <c r="C36" s="400">
        <f t="shared" si="9"/>
        <v>46077</v>
      </c>
      <c r="D36" s="401" t="str">
        <f t="shared" si="2"/>
        <v>火</v>
      </c>
      <c r="E36" s="401" t="str">
        <f t="shared" si="3"/>
        <v/>
      </c>
      <c r="F36" s="401" t="str">
        <f t="shared" si="4"/>
        <v/>
      </c>
      <c r="G36" s="401" t="str">
        <f t="shared" si="5"/>
        <v/>
      </c>
      <c r="H36" s="467"/>
      <c r="I36" s="418"/>
      <c r="J36" s="418"/>
      <c r="K36" s="418"/>
      <c r="L36" s="418"/>
      <c r="M36" s="418"/>
      <c r="N36" s="467"/>
      <c r="O36" s="467"/>
      <c r="P36" s="467"/>
      <c r="Q36" s="467"/>
      <c r="R36" s="467"/>
      <c r="S36" s="467"/>
      <c r="T36" s="467"/>
      <c r="U36" s="467"/>
      <c r="V36" s="467"/>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59" t="s">
        <v>369</v>
      </c>
      <c r="AZ36" s="422">
        <f>BB40</f>
        <v>0</v>
      </c>
      <c r="BA36" s="422"/>
      <c r="BB36" s="222"/>
      <c r="BC36" s="315"/>
      <c r="BD36" s="432" t="s">
        <v>344</v>
      </c>
      <c r="BE36" s="433">
        <f>sum(BG31:BG35)</f>
        <v>0</v>
      </c>
      <c r="BF36" s="434"/>
      <c r="BG36" s="435"/>
      <c r="BH36" s="315"/>
      <c r="BI36" s="228" t="str">
        <f t="array" ref="BI36">IFERROR(INDEX('💻シート作成'!$D$6:$D162, MATCH(BJ36, '💻シート作成'!$E$6:$E162, 0)), "")</f>
        <v>9月</v>
      </c>
      <c r="BJ36" s="172" t="str">
        <f>IFERROR(__xludf.DUMMYFUNCTION("""COMPUTED_VALUE"""),"④R8_9月報")</f>
        <v>④R8_9月報</v>
      </c>
      <c r="BK36" s="315"/>
      <c r="BL36" s="453"/>
      <c r="BM36" s="172"/>
      <c r="BN36" s="315"/>
      <c r="BO36" s="315"/>
      <c r="BP36" s="315"/>
      <c r="BQ36" s="315"/>
      <c r="BR36" s="315"/>
      <c r="BS36" s="315"/>
      <c r="BT36" s="315"/>
      <c r="BU36" s="315"/>
      <c r="BV36" s="315"/>
      <c r="BW36" s="315"/>
      <c r="BX36" s="315"/>
      <c r="BY36" s="315"/>
      <c r="BZ36" s="315"/>
      <c r="CA36" s="315"/>
    </row>
    <row r="37" ht="15.75" customHeight="1">
      <c r="A37" s="315"/>
      <c r="B37" s="427" t="b">
        <v>0</v>
      </c>
      <c r="C37" s="400">
        <f t="shared" si="9"/>
        <v>46078</v>
      </c>
      <c r="D37" s="401" t="str">
        <f t="shared" si="2"/>
        <v>水</v>
      </c>
      <c r="E37" s="401" t="str">
        <f t="shared" si="3"/>
        <v/>
      </c>
      <c r="F37" s="401" t="str">
        <f t="shared" si="4"/>
        <v/>
      </c>
      <c r="G37" s="401" t="str">
        <f t="shared" si="5"/>
        <v/>
      </c>
      <c r="H37" s="399"/>
      <c r="I37" s="418"/>
      <c r="J37" s="418"/>
      <c r="K37" s="418"/>
      <c r="L37" s="418"/>
      <c r="M37" s="418"/>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3"/>
      <c r="BM37" s="172"/>
      <c r="BN37" s="315"/>
      <c r="BO37" s="315"/>
      <c r="BP37" s="315"/>
      <c r="BQ37" s="315"/>
      <c r="BR37" s="315"/>
      <c r="BS37" s="315"/>
      <c r="BT37" s="315"/>
      <c r="BU37" s="315"/>
      <c r="BV37" s="315"/>
      <c r="BW37" s="315"/>
      <c r="BX37" s="315"/>
      <c r="BY37" s="315"/>
      <c r="BZ37" s="315"/>
      <c r="CA37" s="315"/>
    </row>
    <row r="38" ht="15.75" customHeight="1">
      <c r="A38" s="315"/>
      <c r="B38" s="431" t="b">
        <v>0</v>
      </c>
      <c r="C38" s="400">
        <f t="shared" si="9"/>
        <v>46079</v>
      </c>
      <c r="D38" s="401" t="str">
        <f t="shared" si="2"/>
        <v>木</v>
      </c>
      <c r="E38" s="401" t="str">
        <f t="shared" si="3"/>
        <v/>
      </c>
      <c r="F38" s="401" t="str">
        <f t="shared" si="4"/>
        <v/>
      </c>
      <c r="G38" s="401" t="str">
        <f t="shared" si="5"/>
        <v/>
      </c>
      <c r="H38" s="467"/>
      <c r="I38" s="418"/>
      <c r="J38" s="418"/>
      <c r="K38" s="418"/>
      <c r="L38" s="418"/>
      <c r="M38" s="418"/>
      <c r="N38" s="467"/>
      <c r="O38" s="467"/>
      <c r="P38" s="467"/>
      <c r="Q38" s="467"/>
      <c r="R38" s="467"/>
      <c r="S38" s="467"/>
      <c r="T38" s="467"/>
      <c r="U38" s="467"/>
      <c r="V38" s="467"/>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370</v>
      </c>
      <c r="AZ38" s="468"/>
      <c r="BA38" s="315"/>
      <c r="BB38" s="392"/>
      <c r="BC38" s="315"/>
      <c r="BD38" s="315" t="s">
        <v>371</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3"/>
      <c r="BM38" s="172"/>
      <c r="BN38" s="315"/>
      <c r="BO38" s="315"/>
      <c r="BP38" s="315"/>
      <c r="BQ38" s="315"/>
      <c r="BR38" s="315"/>
      <c r="BS38" s="315"/>
      <c r="BT38" s="315"/>
      <c r="BU38" s="315"/>
      <c r="BV38" s="315"/>
      <c r="BW38" s="315"/>
      <c r="BX38" s="315"/>
      <c r="BY38" s="315"/>
      <c r="BZ38" s="315"/>
      <c r="CA38" s="315"/>
    </row>
    <row r="39" ht="15.75" customHeight="1">
      <c r="A39" s="315"/>
      <c r="B39" s="427" t="b">
        <v>0</v>
      </c>
      <c r="C39" s="400">
        <f t="shared" si="9"/>
        <v>46080</v>
      </c>
      <c r="D39" s="401" t="str">
        <f t="shared" si="2"/>
        <v>金</v>
      </c>
      <c r="E39" s="401" t="str">
        <f t="shared" si="3"/>
        <v/>
      </c>
      <c r="F39" s="401" t="str">
        <f t="shared" si="4"/>
        <v/>
      </c>
      <c r="G39" s="401" t="str">
        <f t="shared" si="5"/>
        <v/>
      </c>
      <c r="H39" s="399"/>
      <c r="I39" s="418"/>
      <c r="J39" s="418"/>
      <c r="K39" s="418"/>
      <c r="L39" s="418"/>
      <c r="M39" s="418"/>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0" t="s">
        <v>354</v>
      </c>
      <c r="AZ39" s="451" t="s">
        <v>278</v>
      </c>
      <c r="BA39" s="451" t="s">
        <v>372</v>
      </c>
      <c r="BB39" s="451" t="s">
        <v>356</v>
      </c>
      <c r="BC39" s="329"/>
      <c r="BD39" s="450" t="s">
        <v>373</v>
      </c>
      <c r="BE39" s="451" t="s">
        <v>374</v>
      </c>
      <c r="BF39" s="451" t="s">
        <v>372</v>
      </c>
      <c r="BG39" s="451" t="s">
        <v>344</v>
      </c>
      <c r="BH39" s="315"/>
      <c r="BI39" s="228" t="str">
        <f t="array" ref="BI39">IFERROR(INDEX('💻シート作成'!$D$6:$D162, MATCH(BJ39, '💻シート作成'!$E$6:$E162, 0)), "")</f>
        <v>8月</v>
      </c>
      <c r="BJ39" s="172" t="str">
        <f>IFERROR(__xludf.DUMMYFUNCTION("""COMPUTED_VALUE"""),"③R8_8日報")</f>
        <v>③R8_8日報</v>
      </c>
      <c r="BK39" s="315"/>
      <c r="BL39" s="453"/>
      <c r="BM39" s="172"/>
      <c r="BN39" s="315"/>
      <c r="BO39" s="315"/>
      <c r="BP39" s="315"/>
      <c r="BQ39" s="315"/>
      <c r="BR39" s="315"/>
      <c r="BS39" s="315"/>
      <c r="BT39" s="315"/>
      <c r="BU39" s="315"/>
      <c r="BV39" s="315"/>
      <c r="BW39" s="315"/>
      <c r="BX39" s="315"/>
      <c r="BY39" s="315"/>
      <c r="BZ39" s="315"/>
      <c r="CA39" s="315"/>
    </row>
    <row r="40" ht="15.75" customHeight="1">
      <c r="A40" s="315"/>
      <c r="B40" s="431" t="b">
        <v>0</v>
      </c>
      <c r="C40" s="400">
        <f t="shared" si="9"/>
        <v>46081</v>
      </c>
      <c r="D40" s="401" t="str">
        <f t="shared" si="2"/>
        <v>土</v>
      </c>
      <c r="E40" s="401" t="str">
        <f t="shared" si="3"/>
        <v/>
      </c>
      <c r="F40" s="401" t="str">
        <f t="shared" si="4"/>
        <v/>
      </c>
      <c r="G40" s="401" t="str">
        <f t="shared" si="5"/>
        <v/>
      </c>
      <c r="H40" s="467"/>
      <c r="I40" s="418"/>
      <c r="J40" s="418"/>
      <c r="K40" s="418"/>
      <c r="L40" s="418"/>
      <c r="M40" s="418"/>
      <c r="N40" s="467"/>
      <c r="O40" s="467"/>
      <c r="P40" s="467"/>
      <c r="Q40" s="467"/>
      <c r="R40" s="467"/>
      <c r="S40" s="467"/>
      <c r="T40" s="467"/>
      <c r="U40" s="467"/>
      <c r="V40" s="467"/>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4"/>
      <c r="BA40" s="936"/>
      <c r="BB40" s="442">
        <f>SUM(AZ40:AZ45)</f>
        <v>0</v>
      </c>
      <c r="BC40" s="315"/>
      <c r="BD40" s="1126"/>
      <c r="BE40" s="444"/>
      <c r="BF40" s="937"/>
      <c r="BG40" s="442">
        <f>SUM(BE40:BE45)</f>
        <v>0</v>
      </c>
      <c r="BH40" s="315"/>
      <c r="BI40" s="228" t="str">
        <f t="array" ref="BI40">IFERROR(INDEX('💻シート作成'!$D$6:$D162, MATCH(BJ40, '💻シート作成'!$E$6:$E162, 0)), "")</f>
        <v>8月</v>
      </c>
      <c r="BJ40" s="172" t="str">
        <f>IFERROR(__xludf.DUMMYFUNCTION("""COMPUTED_VALUE"""),"④R8_8月報")</f>
        <v>④R8_8月報</v>
      </c>
      <c r="BK40" s="315"/>
      <c r="BL40" s="453"/>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8"/>
      <c r="J41" s="418"/>
      <c r="K41" s="418"/>
      <c r="L41" s="418"/>
      <c r="M41" s="418"/>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4"/>
      <c r="AZ41" s="422"/>
      <c r="BA41" s="476"/>
      <c r="BB41" s="445"/>
      <c r="BC41" s="315"/>
      <c r="BD41" s="424"/>
      <c r="BE41" s="422"/>
      <c r="BF41" s="476"/>
      <c r="BG41" s="445"/>
      <c r="BH41" s="315"/>
      <c r="BI41" s="228" t="str">
        <f t="array" ref="BI41">IFERROR(INDEX('💻シート作成'!$D$6:$D162, MATCH(BJ41, '💻シート作成'!$E$6:$E162, 0)), "")</f>
        <v>7月</v>
      </c>
      <c r="BJ41" s="172" t="str">
        <f>IFERROR(__xludf.DUMMYFUNCTION("""COMPUTED_VALUE"""),"①R8_7集計")</f>
        <v>①R8_7集計</v>
      </c>
      <c r="BK41" s="315"/>
      <c r="BL41" s="453"/>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19"/>
      <c r="I42" s="420"/>
      <c r="J42" s="420"/>
      <c r="K42" s="420"/>
      <c r="L42" s="420"/>
      <c r="M42" s="420"/>
      <c r="N42" s="419"/>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4"/>
      <c r="AZ42" s="422"/>
      <c r="BA42" s="476"/>
      <c r="BB42" s="445"/>
      <c r="BC42" s="315"/>
      <c r="BD42" s="424"/>
      <c r="BE42" s="422"/>
      <c r="BF42" s="476"/>
      <c r="BG42" s="445"/>
      <c r="BH42" s="315"/>
      <c r="BI42" s="228" t="str">
        <f t="array" ref="BI42">IFERROR(INDEX('💻シート作成'!$D$6:$D162, MATCH(BJ42, '💻シート作成'!$E$6:$E162, 0)), "")</f>
        <v>7月</v>
      </c>
      <c r="BJ42" s="172" t="str">
        <f>IFERROR(__xludf.DUMMYFUNCTION("""COMPUTED_VALUE"""),"②R8_7シフト")</f>
        <v>②R8_7シフト</v>
      </c>
      <c r="BK42" s="315"/>
      <c r="BL42" s="453"/>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0"/>
      <c r="J43" s="420"/>
      <c r="K43" s="420"/>
      <c r="L43" s="420"/>
      <c r="M43" s="420"/>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4"/>
      <c r="AZ43" s="422"/>
      <c r="BA43" s="476"/>
      <c r="BB43" s="445"/>
      <c r="BC43" s="315"/>
      <c r="BD43" s="424"/>
      <c r="BE43" s="476"/>
      <c r="BF43" s="476"/>
      <c r="BG43" s="445"/>
      <c r="BH43" s="315"/>
      <c r="BI43" s="228" t="str">
        <f t="array" ref="BI43">IFERROR(INDEX('💻シート作成'!$D$6:$D162, MATCH(BJ43, '💻シート作成'!$E$6:$E162, 0)), "")</f>
        <v>7月</v>
      </c>
      <c r="BJ43" s="172" t="str">
        <f>IFERROR(__xludf.DUMMYFUNCTION("""COMPUTED_VALUE"""),"③R8_7日報")</f>
        <v>③R8_7日報</v>
      </c>
      <c r="BK43" s="315"/>
      <c r="BL43" s="453"/>
      <c r="BM43" s="172"/>
      <c r="BN43" s="315"/>
      <c r="BO43" s="315"/>
      <c r="BP43" s="315"/>
      <c r="BQ43" s="315"/>
      <c r="BR43" s="315"/>
      <c r="BS43" s="315"/>
      <c r="BT43" s="315"/>
      <c r="BU43" s="315"/>
      <c r="BV43" s="315"/>
      <c r="BW43" s="315"/>
      <c r="BX43" s="315"/>
      <c r="BY43" s="315"/>
      <c r="BZ43" s="315"/>
      <c r="CA43" s="315"/>
    </row>
    <row r="44" ht="15.75" customHeight="1">
      <c r="A44" s="315"/>
      <c r="B44" s="478"/>
      <c r="C44" s="479" t="s">
        <v>344</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4"/>
      <c r="AZ44" s="422"/>
      <c r="BA44" s="476"/>
      <c r="BB44" s="445"/>
      <c r="BC44" s="315"/>
      <c r="BD44" s="424"/>
      <c r="BE44" s="476"/>
      <c r="BF44" s="476"/>
      <c r="BG44" s="445"/>
      <c r="BH44" s="315"/>
      <c r="BI44" s="228" t="str">
        <f t="array" ref="BI44">IFERROR(INDEX('💻シート作成'!$D$6:$D162, MATCH(BJ44, '💻シート作成'!$E$6:$E162, 0)), "")</f>
        <v>7月</v>
      </c>
      <c r="BJ44" s="172" t="str">
        <f>IFERROR(__xludf.DUMMYFUNCTION("""COMPUTED_VALUE"""),"④R8_7月報")</f>
        <v>④R8_7月報</v>
      </c>
      <c r="BK44" s="315"/>
      <c r="BL44" s="453"/>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360</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4"/>
      <c r="AZ45" s="422"/>
      <c r="BA45" s="476"/>
      <c r="BB45" s="222"/>
      <c r="BC45" s="315"/>
      <c r="BD45" s="424"/>
      <c r="BE45" s="422"/>
      <c r="BF45" s="476"/>
      <c r="BG45" s="222"/>
      <c r="BH45" s="315"/>
      <c r="BI45" s="228" t="str">
        <f t="array" ref="BI45">IFERROR(INDEX('💻シート作成'!$D$6:$D162, MATCH(BJ45, '💻シート作成'!$E$6:$E162, 0)), "")</f>
        <v>6月</v>
      </c>
      <c r="BJ45" s="172" t="str">
        <f>IFERROR(__xludf.DUMMYFUNCTION("""COMPUTED_VALUE"""),"①R8_6集計")</f>
        <v>①R8_6集計</v>
      </c>
      <c r="BK45" s="315"/>
      <c r="BL45" s="453"/>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377</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3"/>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378</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379</v>
      </c>
      <c r="BF47" s="315"/>
      <c r="BG47" s="315"/>
      <c r="BH47" s="315"/>
      <c r="BI47" s="228" t="str">
        <f t="array" ref="BI47">IFERROR(INDEX('💻シート作成'!$D$6:$D162, MATCH(BJ47, '💻シート作成'!$E$6:$E162, 0)), "")</f>
        <v>6月</v>
      </c>
      <c r="BJ47" s="172" t="str">
        <f>IFERROR(__xludf.DUMMYFUNCTION("""COMPUTED_VALUE"""),"③R8_6日報")</f>
        <v>③R8_6日報</v>
      </c>
      <c r="BK47" s="315"/>
      <c r="BL47" s="453"/>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3"/>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3"/>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3"/>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3"/>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3"/>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3"/>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3"/>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3"/>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3"/>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3"/>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3"/>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3"/>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3"/>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3"/>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3"/>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3"/>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3"/>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3"/>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3"/>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3"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3"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3"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3"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3"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3"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3"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3"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3"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3"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3"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3"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3"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3"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3"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3"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3"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3"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3"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3"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3"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3"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3"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3"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3"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3"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3"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3"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3"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3"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3"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3"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3"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3"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3"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3"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3"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3"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3"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3"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3"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3"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3"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3"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3"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3"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3"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3"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3"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3"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3"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3"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3"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3"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3"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3"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3"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3"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3"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3"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3"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3"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3"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3"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3"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3"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3"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3"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3"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3"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3"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3"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3"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3"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3"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3"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3"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3"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3"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3"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3"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3"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3"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3"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3"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3"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3"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3"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3"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3"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3"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3"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3"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3"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3"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3"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380</v>
      </c>
      <c r="M2" s="532"/>
      <c r="N2" s="533" t="s">
        <v>1007</v>
      </c>
      <c r="O2" s="534"/>
      <c r="P2" s="535"/>
      <c r="Q2" s="536"/>
      <c r="R2" s="536"/>
      <c r="S2" s="537"/>
      <c r="T2" s="536"/>
      <c r="U2" s="536"/>
      <c r="V2" s="536"/>
      <c r="W2" s="536"/>
      <c r="X2" s="536"/>
      <c r="Y2" s="538"/>
      <c r="Z2" s="281"/>
      <c r="AA2" s="281"/>
      <c r="AB2" s="281"/>
      <c r="AC2" s="281"/>
      <c r="AD2" s="281"/>
      <c r="AE2" s="281"/>
      <c r="AF2" s="539"/>
      <c r="AG2" s="540"/>
      <c r="AH2" s="541"/>
      <c r="AI2" s="542" t="s">
        <v>1008</v>
      </c>
      <c r="AJ2" s="281"/>
      <c r="AS2" s="281"/>
      <c r="AT2" s="543" t="s">
        <v>383</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384</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385</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344</v>
      </c>
      <c r="BI3" s="200"/>
      <c r="BJ3" s="563" t="s">
        <v>386</v>
      </c>
      <c r="BK3" s="3"/>
      <c r="BL3" s="564">
        <v>46113.0</v>
      </c>
      <c r="BT3" s="200"/>
      <c r="BU3" s="200"/>
      <c r="BV3" s="200"/>
      <c r="BW3" s="200"/>
      <c r="BX3" s="200"/>
    </row>
    <row r="4" ht="24.75" customHeight="1">
      <c r="A4" s="529"/>
      <c r="B4" s="565" t="s">
        <v>387</v>
      </c>
      <c r="C4" s="566"/>
      <c r="D4" s="567"/>
      <c r="E4" s="568" t="s">
        <v>388</v>
      </c>
      <c r="F4" s="528"/>
      <c r="G4" s="529"/>
      <c r="H4" s="529"/>
      <c r="I4" s="569" t="s">
        <v>389</v>
      </c>
      <c r="J4" s="3"/>
      <c r="K4" s="570" t="s">
        <v>390</v>
      </c>
      <c r="L4" s="571"/>
      <c r="M4" s="572" t="s">
        <v>391</v>
      </c>
      <c r="N4" s="573"/>
      <c r="O4" s="574"/>
      <c r="P4" s="575" t="s">
        <v>392</v>
      </c>
      <c r="Q4" s="576" t="s">
        <v>393</v>
      </c>
      <c r="R4" s="574"/>
      <c r="S4" s="574"/>
      <c r="T4" s="575" t="s">
        <v>394</v>
      </c>
      <c r="U4" s="576" t="s">
        <v>395</v>
      </c>
      <c r="V4" s="574"/>
      <c r="W4" s="574"/>
      <c r="X4" s="577" t="s">
        <v>192</v>
      </c>
      <c r="Y4" s="576" t="s">
        <v>396</v>
      </c>
      <c r="Z4" s="574"/>
      <c r="AA4" s="574"/>
      <c r="AB4" s="578" t="s">
        <v>397</v>
      </c>
      <c r="AC4" s="576" t="s">
        <v>398</v>
      </c>
      <c r="AD4" s="574"/>
      <c r="AE4" s="574"/>
      <c r="AF4" s="579" t="s">
        <v>399</v>
      </c>
      <c r="AG4" s="576" t="s">
        <v>400</v>
      </c>
      <c r="AH4" s="574"/>
      <c r="AI4" s="574"/>
      <c r="AJ4" s="579" t="s">
        <v>401</v>
      </c>
      <c r="AK4" s="576" t="s">
        <v>402</v>
      </c>
      <c r="AL4" s="574"/>
      <c r="AM4" s="580"/>
      <c r="AN4" s="581"/>
      <c r="AO4" s="581"/>
      <c r="AP4" s="555"/>
      <c r="AQ4" s="582"/>
      <c r="AR4" s="557"/>
      <c r="AS4" s="200"/>
      <c r="AT4" s="583" t="s">
        <v>1009</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405</v>
      </c>
      <c r="C5" s="590"/>
      <c r="D5" s="529"/>
      <c r="E5" s="591" t="s">
        <v>406</v>
      </c>
      <c r="F5" s="590"/>
      <c r="G5" s="529"/>
      <c r="H5" s="529"/>
      <c r="I5" s="592" t="b">
        <v>0</v>
      </c>
      <c r="J5" s="3"/>
      <c r="K5" s="593"/>
      <c r="L5" s="594"/>
      <c r="M5" s="595" t="s">
        <v>407</v>
      </c>
      <c r="N5" s="596"/>
      <c r="O5" s="574"/>
      <c r="P5" s="597" t="s">
        <v>408</v>
      </c>
      <c r="Q5" s="576" t="s">
        <v>409</v>
      </c>
      <c r="R5" s="574"/>
      <c r="S5" s="574"/>
      <c r="T5" s="597" t="s">
        <v>410</v>
      </c>
      <c r="U5" s="576" t="s">
        <v>411</v>
      </c>
      <c r="V5" s="574"/>
      <c r="W5" s="574"/>
      <c r="X5" s="597" t="s">
        <v>412</v>
      </c>
      <c r="Y5" s="576" t="s">
        <v>413</v>
      </c>
      <c r="Z5" s="574"/>
      <c r="AA5" s="574"/>
      <c r="AB5" s="597" t="s">
        <v>414</v>
      </c>
      <c r="AC5" s="576" t="s">
        <v>415</v>
      </c>
      <c r="AD5" s="574"/>
      <c r="AE5" s="574"/>
      <c r="AF5" s="597" t="s">
        <v>416</v>
      </c>
      <c r="AG5" s="576" t="s">
        <v>417</v>
      </c>
      <c r="AH5" s="574"/>
      <c r="AI5" s="574"/>
      <c r="AJ5" s="597" t="s">
        <v>418</v>
      </c>
      <c r="AK5" s="576" t="s">
        <v>419</v>
      </c>
      <c r="AL5" s="574"/>
      <c r="AM5" s="580"/>
      <c r="AN5" s="581"/>
      <c r="AO5" s="581"/>
      <c r="AP5" s="555"/>
      <c r="AQ5" s="582"/>
      <c r="AR5" s="557"/>
      <c r="AS5" s="200"/>
      <c r="AT5" s="598" t="s">
        <v>142</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46114</v>
      </c>
      <c r="C7" s="614"/>
      <c r="D7" s="529"/>
      <c r="E7" s="615">
        <f>today()+1</f>
        <v>46115</v>
      </c>
      <c r="F7" s="616"/>
      <c r="G7" s="529"/>
      <c r="H7" s="529"/>
      <c r="I7" s="617" t="s">
        <v>421</v>
      </c>
      <c r="J7" s="618" t="s">
        <v>422</v>
      </c>
      <c r="K7" s="619">
        <v>46054.0</v>
      </c>
      <c r="L7" s="620" t="s">
        <v>423</v>
      </c>
      <c r="M7" s="621" t="s">
        <v>424</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425</v>
      </c>
      <c r="AT7" s="625" t="s">
        <v>426</v>
      </c>
      <c r="AU7" s="626" t="s">
        <v>81</v>
      </c>
      <c r="AV7" s="626" t="s">
        <v>427</v>
      </c>
      <c r="AW7" s="626" t="s">
        <v>428</v>
      </c>
      <c r="AX7" s="626" t="s">
        <v>429</v>
      </c>
      <c r="AY7" s="626" t="s">
        <v>430</v>
      </c>
      <c r="AZ7" s="626" t="s">
        <v>431</v>
      </c>
      <c r="BA7" s="626" t="s">
        <v>82</v>
      </c>
      <c r="BB7" s="627" t="s">
        <v>342</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木</v>
      </c>
      <c r="D8" s="119"/>
      <c r="E8" s="630" t="s">
        <v>292</v>
      </c>
      <c r="F8" s="631" t="str">
        <f>TEXT(E7,"ddd")</f>
        <v>金</v>
      </c>
      <c r="G8" s="200"/>
      <c r="H8" s="200"/>
      <c r="I8" s="617"/>
      <c r="J8" s="632" t="s">
        <v>432</v>
      </c>
      <c r="K8" s="620" t="s">
        <v>433</v>
      </c>
      <c r="L8" s="633" t="s">
        <v>434</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435</v>
      </c>
      <c r="L9" s="639" t="s">
        <v>135</v>
      </c>
      <c r="M9" s="640" t="s">
        <v>436</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437</v>
      </c>
      <c r="L10" s="639" t="s">
        <v>135</v>
      </c>
      <c r="M10" s="640" t="s">
        <v>438</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シャキラ</v>
      </c>
      <c r="C11" s="637" t="str">
        <f t="shared" si="5"/>
        <v>#N/A</v>
      </c>
      <c r="D11" s="200"/>
      <c r="E11" s="636" t="str">
        <f t="shared" si="6"/>
        <v>シャキラ</v>
      </c>
      <c r="F11" s="637" t="str">
        <f t="shared" si="7"/>
        <v>#N/A</v>
      </c>
      <c r="G11" s="200"/>
      <c r="H11" s="200"/>
      <c r="I11" s="172" t="b">
        <v>0</v>
      </c>
      <c r="J11" s="618"/>
      <c r="K11" s="638" t="s">
        <v>100</v>
      </c>
      <c r="L11" s="639"/>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笹田</v>
      </c>
      <c r="C12" s="637" t="str">
        <f t="shared" si="5"/>
        <v>#N/A</v>
      </c>
      <c r="D12" s="200"/>
      <c r="E12" s="636" t="str">
        <f t="shared" si="6"/>
        <v>笹田</v>
      </c>
      <c r="F12" s="637" t="str">
        <f t="shared" si="7"/>
        <v>#N/A</v>
      </c>
      <c r="G12" s="200"/>
      <c r="H12" s="200"/>
      <c r="I12" s="172" t="b">
        <v>0</v>
      </c>
      <c r="J12" s="618"/>
      <c r="K12" s="638" t="s">
        <v>1010</v>
      </c>
      <c r="L12" s="639"/>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メイ</v>
      </c>
      <c r="C13" s="637" t="str">
        <f t="shared" si="5"/>
        <v>#N/A</v>
      </c>
      <c r="D13" s="200"/>
      <c r="E13" s="636" t="str">
        <f t="shared" si="6"/>
        <v>メイ</v>
      </c>
      <c r="F13" s="637" t="str">
        <f t="shared" si="7"/>
        <v>#N/A</v>
      </c>
      <c r="G13" s="200"/>
      <c r="H13" s="200"/>
      <c r="I13" s="172" t="b">
        <v>0</v>
      </c>
      <c r="J13" s="618"/>
      <c r="K13" s="638" t="s">
        <v>142</v>
      </c>
      <c r="L13" s="639"/>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ビマル</v>
      </c>
      <c r="C14" s="637" t="str">
        <f t="shared" si="5"/>
        <v>#N/A</v>
      </c>
      <c r="D14" s="200"/>
      <c r="E14" s="636" t="str">
        <f t="shared" si="6"/>
        <v>ビマル</v>
      </c>
      <c r="F14" s="637" t="str">
        <f t="shared" si="7"/>
        <v>#N/A</v>
      </c>
      <c r="G14" s="200"/>
      <c r="H14" s="200"/>
      <c r="I14" s="172" t="b">
        <v>0</v>
      </c>
      <c r="J14" s="618"/>
      <c r="K14" s="638" t="s">
        <v>119</v>
      </c>
      <c r="L14" s="639"/>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446</v>
      </c>
      <c r="L17" s="639"/>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2" t="s">
        <v>580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449</v>
      </c>
      <c r="L18" s="639"/>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2" t="s">
        <v>581</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2" t="s">
        <v>582</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450</v>
      </c>
      <c r="L20" s="639"/>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2"/>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452</v>
      </c>
      <c r="L21" s="639"/>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2" t="s">
        <v>584</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オウ</v>
      </c>
      <c r="C22" s="637" t="str">
        <f t="shared" si="5"/>
        <v>#N/A</v>
      </c>
      <c r="D22" s="200"/>
      <c r="E22" s="636" t="str">
        <f t="shared" si="6"/>
        <v>オウ</v>
      </c>
      <c r="F22" s="637" t="str">
        <f t="shared" si="7"/>
        <v>#N/A</v>
      </c>
      <c r="G22" s="200"/>
      <c r="H22" s="200"/>
      <c r="I22" s="172" t="b">
        <v>0</v>
      </c>
      <c r="J22" s="618"/>
      <c r="K22" s="638" t="s">
        <v>520</v>
      </c>
      <c r="L22" s="639"/>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アラム</v>
      </c>
      <c r="C23" s="637" t="str">
        <f t="shared" si="5"/>
        <v>#N/A</v>
      </c>
      <c r="D23" s="200"/>
      <c r="E23" s="636" t="str">
        <f t="shared" si="6"/>
        <v>アラム</v>
      </c>
      <c r="F23" s="637" t="str">
        <f t="shared" si="7"/>
        <v>#N/A</v>
      </c>
      <c r="G23" s="200"/>
      <c r="H23" s="200"/>
      <c r="I23" s="172" t="b">
        <v>0</v>
      </c>
      <c r="J23" s="618"/>
      <c r="K23" s="638" t="s">
        <v>112</v>
      </c>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ガルセス</v>
      </c>
      <c r="C25" s="637" t="str">
        <f t="shared" si="5"/>
        <v>#N/A</v>
      </c>
      <c r="D25" s="200"/>
      <c r="E25" s="636" t="str">
        <f t="shared" si="6"/>
        <v>ガルセス</v>
      </c>
      <c r="F25" s="637" t="str">
        <f t="shared" si="7"/>
        <v>#N/A</v>
      </c>
      <c r="G25" s="200"/>
      <c r="H25" s="200"/>
      <c r="I25" s="172" t="b">
        <v>0</v>
      </c>
      <c r="J25" s="618"/>
      <c r="K25" s="638" t="s">
        <v>456</v>
      </c>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4"/>
        <v>グレース</v>
      </c>
      <c r="C26" s="637" t="str">
        <f t="shared" si="5"/>
        <v>#N/A</v>
      </c>
      <c r="D26" s="200"/>
      <c r="E26" s="636" t="str">
        <f t="shared" si="6"/>
        <v>グレース</v>
      </c>
      <c r="F26" s="637" t="str">
        <f t="shared" si="7"/>
        <v>#N/A</v>
      </c>
      <c r="G26" s="200"/>
      <c r="H26" s="200"/>
      <c r="I26" s="172" t="b">
        <v>0</v>
      </c>
      <c r="J26" s="618"/>
      <c r="K26" s="638" t="s">
        <v>459</v>
      </c>
      <c r="L26" s="639"/>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
      </c>
      <c r="C27" s="637" t="str">
        <f t="shared" si="5"/>
        <v/>
      </c>
      <c r="D27" s="200"/>
      <c r="E27" s="636" t="str">
        <f t="shared" si="6"/>
        <v/>
      </c>
      <c r="F27" s="637" t="str">
        <f t="shared" si="7"/>
        <v/>
      </c>
      <c r="G27" s="200"/>
      <c r="H27" s="200"/>
      <c r="I27" s="172" t="b">
        <v>0</v>
      </c>
      <c r="J27" s="618"/>
      <c r="K27" s="638"/>
      <c r="L27" s="639"/>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461</v>
      </c>
      <c r="L41" s="639" t="s">
        <v>447</v>
      </c>
      <c r="M41" s="640" t="s">
        <v>192</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462</v>
      </c>
      <c r="L42" s="639" t="s">
        <v>447</v>
      </c>
      <c r="M42" s="640" t="s">
        <v>397</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5" t="b">
        <v>0</v>
      </c>
      <c r="J43" s="618"/>
      <c r="K43" s="656" t="s">
        <v>463</v>
      </c>
      <c r="L43" s="657" t="s">
        <v>445</v>
      </c>
      <c r="M43" s="658"/>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464</v>
      </c>
      <c r="L44" s="639" t="s">
        <v>445</v>
      </c>
      <c r="M44" s="640" t="s">
        <v>465</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早川</v>
      </c>
      <c r="C45" s="637" t="str">
        <f t="shared" si="5"/>
        <v>#N/A</v>
      </c>
      <c r="D45" s="200"/>
      <c r="E45" s="636" t="str">
        <f t="shared" si="6"/>
        <v>早川</v>
      </c>
      <c r="F45" s="637" t="str">
        <f t="shared" si="7"/>
        <v>#N/A</v>
      </c>
      <c r="G45" s="200"/>
      <c r="H45" s="200"/>
      <c r="I45" s="172" t="b">
        <v>0</v>
      </c>
      <c r="J45" s="618">
        <v>16.0</v>
      </c>
      <c r="K45" s="638" t="s">
        <v>466</v>
      </c>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大沼</v>
      </c>
      <c r="C46" s="637" t="str">
        <f t="shared" si="5"/>
        <v>#N/A</v>
      </c>
      <c r="D46" s="200"/>
      <c r="E46" s="636" t="str">
        <f t="shared" si="6"/>
        <v>大沼</v>
      </c>
      <c r="F46" s="637" t="str">
        <f t="shared" si="7"/>
        <v>#N/A</v>
      </c>
      <c r="G46" s="200"/>
      <c r="H46" s="200"/>
      <c r="I46" s="172" t="b">
        <v>0</v>
      </c>
      <c r="J46" s="618">
        <v>15.0</v>
      </c>
      <c r="K46" s="638" t="s">
        <v>468</v>
      </c>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サンタ</v>
      </c>
      <c r="C47" s="637" t="str">
        <f t="shared" si="5"/>
        <v>#N/A</v>
      </c>
      <c r="D47" s="200"/>
      <c r="E47" s="636" t="str">
        <f t="shared" si="6"/>
        <v>サンタ</v>
      </c>
      <c r="F47" s="637" t="str">
        <f t="shared" si="7"/>
        <v>#N/A</v>
      </c>
      <c r="G47" s="200"/>
      <c r="H47" s="200"/>
      <c r="I47" s="172" t="b">
        <v>0</v>
      </c>
      <c r="J47" s="618">
        <v>19.0</v>
      </c>
      <c r="K47" s="638" t="s">
        <v>113</v>
      </c>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タン</v>
      </c>
      <c r="C48" s="637" t="str">
        <f t="shared" si="5"/>
        <v>#N/A</v>
      </c>
      <c r="D48" s="200"/>
      <c r="E48" s="636" t="str">
        <f t="shared" si="6"/>
        <v>タン</v>
      </c>
      <c r="F48" s="637" t="str">
        <f t="shared" si="7"/>
        <v>#N/A</v>
      </c>
      <c r="G48" s="200"/>
      <c r="H48" s="200"/>
      <c r="I48" s="172" t="b">
        <v>0</v>
      </c>
      <c r="J48" s="618">
        <v>17.0</v>
      </c>
      <c r="K48" s="638" t="s">
        <v>471</v>
      </c>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ブラトキ</v>
      </c>
      <c r="C49" s="637" t="str">
        <f t="shared" si="5"/>
        <v>#N/A</v>
      </c>
      <c r="D49" s="200"/>
      <c r="E49" s="636" t="str">
        <f t="shared" si="6"/>
        <v>ブラトキ</v>
      </c>
      <c r="F49" s="637" t="str">
        <f t="shared" si="7"/>
        <v>#N/A</v>
      </c>
      <c r="G49" s="200"/>
      <c r="H49" s="200"/>
      <c r="I49" s="172" t="b">
        <v>0</v>
      </c>
      <c r="J49" s="618">
        <v>17.0</v>
      </c>
      <c r="K49" s="638" t="s">
        <v>611</v>
      </c>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5"/>
        <v>#N/A</v>
      </c>
      <c r="D50" s="200"/>
      <c r="E50" s="636" t="str">
        <f t="shared" si="6"/>
        <v>タラ</v>
      </c>
      <c r="F50" s="637" t="str">
        <f t="shared" si="7"/>
        <v>#N/A</v>
      </c>
      <c r="G50" s="200"/>
      <c r="H50" s="200"/>
      <c r="I50" s="172" t="b">
        <v>0</v>
      </c>
      <c r="J50" s="618">
        <v>17.0</v>
      </c>
      <c r="K50" s="638" t="s">
        <v>470</v>
      </c>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5"/>
        <v>#N/A</v>
      </c>
      <c r="D51" s="200"/>
      <c r="E51" s="636" t="str">
        <f t="shared" si="6"/>
        <v>スレスタ</v>
      </c>
      <c r="F51" s="637" t="str">
        <f t="shared" si="7"/>
        <v>#N/A</v>
      </c>
      <c r="G51" s="200"/>
      <c r="H51" s="200"/>
      <c r="I51" s="172" t="b">
        <v>0</v>
      </c>
      <c r="J51" s="618">
        <v>15.0</v>
      </c>
      <c r="K51" s="638" t="s">
        <v>476</v>
      </c>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5"/>
        <v>#N/A</v>
      </c>
      <c r="D52" s="200"/>
      <c r="E52" s="636" t="str">
        <f t="shared" si="6"/>
        <v>アリ</v>
      </c>
      <c r="F52" s="637" t="str">
        <f t="shared" si="7"/>
        <v>#N/A</v>
      </c>
      <c r="G52" s="200"/>
      <c r="H52" s="200"/>
      <c r="I52" s="172" t="b">
        <v>0</v>
      </c>
      <c r="J52" s="618">
        <v>10.0</v>
      </c>
      <c r="K52" s="638" t="s">
        <v>483</v>
      </c>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5"/>
        <v>#N/A</v>
      </c>
      <c r="D53" s="200"/>
      <c r="E53" s="636" t="str">
        <f t="shared" si="6"/>
        <v>バンダリ</v>
      </c>
      <c r="F53" s="637" t="str">
        <f t="shared" si="7"/>
        <v>#N/A</v>
      </c>
      <c r="G53" s="200"/>
      <c r="H53" s="200"/>
      <c r="I53" s="172" t="b">
        <v>0</v>
      </c>
      <c r="J53" s="618">
        <v>15.0</v>
      </c>
      <c r="K53" s="638" t="s">
        <v>478</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サリタ</v>
      </c>
      <c r="C54" s="637" t="str">
        <f t="shared" si="5"/>
        <v>#N/A</v>
      </c>
      <c r="D54" s="200"/>
      <c r="E54" s="636" t="str">
        <f t="shared" si="6"/>
        <v>サリタ</v>
      </c>
      <c r="F54" s="637" t="str">
        <f t="shared" si="7"/>
        <v>#N/A</v>
      </c>
      <c r="G54" s="200"/>
      <c r="H54" s="200"/>
      <c r="I54" s="172" t="b">
        <v>0</v>
      </c>
      <c r="J54" s="618"/>
      <c r="K54" s="638" t="s">
        <v>754</v>
      </c>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ランジュ</v>
      </c>
      <c r="C55" s="637" t="str">
        <f t="shared" si="5"/>
        <v>#N/A</v>
      </c>
      <c r="D55" s="200"/>
      <c r="E55" s="636" t="str">
        <f t="shared" si="6"/>
        <v>ランジュ</v>
      </c>
      <c r="F55" s="637" t="str">
        <f t="shared" si="7"/>
        <v>#N/A</v>
      </c>
      <c r="G55" s="200"/>
      <c r="H55" s="200"/>
      <c r="I55" s="172" t="b">
        <v>0</v>
      </c>
      <c r="J55" s="618"/>
      <c r="K55" s="638" t="s">
        <v>165</v>
      </c>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ウィン</v>
      </c>
      <c r="C56" s="637" t="str">
        <f t="shared" si="5"/>
        <v>#N/A</v>
      </c>
      <c r="D56" s="200"/>
      <c r="E56" s="636" t="str">
        <f t="shared" si="6"/>
        <v>ウィン</v>
      </c>
      <c r="F56" s="637" t="str">
        <f t="shared" si="7"/>
        <v>#N/A</v>
      </c>
      <c r="G56" s="200"/>
      <c r="H56" s="200"/>
      <c r="I56" s="172" t="b">
        <v>0</v>
      </c>
      <c r="J56" s="618">
        <v>12.0</v>
      </c>
      <c r="K56" s="638" t="s">
        <v>473</v>
      </c>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ギミレ</v>
      </c>
      <c r="C57" s="637" t="str">
        <f t="shared" si="5"/>
        <v>#N/A</v>
      </c>
      <c r="D57" s="200"/>
      <c r="E57" s="636" t="str">
        <f t="shared" si="6"/>
        <v>ギミレ</v>
      </c>
      <c r="F57" s="637" t="str">
        <f t="shared" si="7"/>
        <v>#N/A</v>
      </c>
      <c r="G57" s="200"/>
      <c r="H57" s="200"/>
      <c r="I57" s="172" t="b">
        <v>0</v>
      </c>
      <c r="J57" s="618"/>
      <c r="K57" s="638" t="s">
        <v>159</v>
      </c>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GT</v>
      </c>
      <c r="C58" s="637" t="str">
        <f t="shared" si="5"/>
        <v>#N/A</v>
      </c>
      <c r="D58" s="200"/>
      <c r="E58" s="636" t="str">
        <f t="shared" si="6"/>
        <v>GT</v>
      </c>
      <c r="F58" s="637" t="str">
        <f t="shared" si="7"/>
        <v>#N/A</v>
      </c>
      <c r="G58" s="200"/>
      <c r="H58" s="200"/>
      <c r="I58" s="172" t="b">
        <v>0</v>
      </c>
      <c r="J58" s="618"/>
      <c r="K58" s="638" t="s">
        <v>480</v>
      </c>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ビケス</v>
      </c>
      <c r="C59" s="637" t="str">
        <f t="shared" si="5"/>
        <v>#N/A</v>
      </c>
      <c r="D59" s="200"/>
      <c r="E59" s="636" t="str">
        <f t="shared" si="6"/>
        <v>ビケス</v>
      </c>
      <c r="F59" s="637" t="str">
        <f t="shared" si="7"/>
        <v>#N/A</v>
      </c>
      <c r="G59" s="200"/>
      <c r="H59" s="200"/>
      <c r="I59" s="172" t="b">
        <v>0</v>
      </c>
      <c r="J59" s="618">
        <v>10.0</v>
      </c>
      <c r="K59" s="638" t="s">
        <v>120</v>
      </c>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カトリ</v>
      </c>
      <c r="C60" s="637" t="str">
        <f t="shared" si="5"/>
        <v>#N/A</v>
      </c>
      <c r="D60" s="200"/>
      <c r="E60" s="636" t="str">
        <f t="shared" si="6"/>
        <v>カトリ</v>
      </c>
      <c r="F60" s="637" t="str">
        <f t="shared" si="7"/>
        <v>#N/A</v>
      </c>
      <c r="G60" s="200"/>
      <c r="H60" s="200"/>
      <c r="I60" s="172" t="b">
        <v>0</v>
      </c>
      <c r="J60" s="618"/>
      <c r="K60" s="638" t="s">
        <v>125</v>
      </c>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ライン</v>
      </c>
      <c r="C61" s="637" t="str">
        <f t="shared" si="5"/>
        <v>#N/A</v>
      </c>
      <c r="D61" s="200"/>
      <c r="E61" s="636" t="str">
        <f t="shared" si="6"/>
        <v>ライン</v>
      </c>
      <c r="F61" s="637" t="str">
        <f t="shared" si="7"/>
        <v>#N/A</v>
      </c>
      <c r="G61" s="200"/>
      <c r="H61" s="200"/>
      <c r="I61" s="172" t="b">
        <v>0</v>
      </c>
      <c r="J61" s="618"/>
      <c r="K61" s="638" t="s">
        <v>521</v>
      </c>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カヴィンダ</v>
      </c>
      <c r="C62" s="637" t="str">
        <f t="shared" si="5"/>
        <v>#N/A</v>
      </c>
      <c r="D62" s="200"/>
      <c r="E62" s="636" t="str">
        <f t="shared" si="6"/>
        <v>カヴィンダ</v>
      </c>
      <c r="F62" s="637" t="str">
        <f t="shared" si="7"/>
        <v>#N/A</v>
      </c>
      <c r="G62" s="200"/>
      <c r="H62" s="200"/>
      <c r="I62" s="172" t="b">
        <v>0</v>
      </c>
      <c r="J62" s="618"/>
      <c r="K62" s="638" t="s">
        <v>516</v>
      </c>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ソノダ</v>
      </c>
      <c r="C63" s="637" t="str">
        <f t="shared" si="5"/>
        <v>#N/A</v>
      </c>
      <c r="D63" s="200"/>
      <c r="E63" s="636" t="str">
        <f t="shared" si="6"/>
        <v>ソノダ</v>
      </c>
      <c r="F63" s="637" t="str">
        <f t="shared" si="7"/>
        <v>#N/A</v>
      </c>
      <c r="G63" s="200"/>
      <c r="H63" s="200"/>
      <c r="I63" s="172" t="b">
        <v>0</v>
      </c>
      <c r="J63" s="618"/>
      <c r="K63" s="638" t="s">
        <v>486</v>
      </c>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サルマ</v>
      </c>
      <c r="C64" s="637" t="str">
        <f t="shared" si="5"/>
        <v>#N/A</v>
      </c>
      <c r="D64" s="200"/>
      <c r="E64" s="636" t="str">
        <f t="shared" si="6"/>
        <v>サルマ</v>
      </c>
      <c r="F64" s="637" t="str">
        <f t="shared" si="7"/>
        <v>#N/A</v>
      </c>
      <c r="G64" s="200"/>
      <c r="H64" s="200"/>
      <c r="I64" s="172" t="b">
        <v>0</v>
      </c>
      <c r="J64" s="618"/>
      <c r="K64" s="638" t="s">
        <v>488</v>
      </c>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490</v>
      </c>
      <c r="C2" s="531"/>
      <c r="D2" s="531"/>
      <c r="E2" s="531"/>
      <c r="F2" s="666" t="s">
        <v>491</v>
      </c>
      <c r="G2" s="667"/>
      <c r="H2" s="232"/>
      <c r="I2" s="232"/>
      <c r="J2" s="232"/>
      <c r="K2" s="232"/>
      <c r="L2" s="232"/>
      <c r="M2" s="232"/>
      <c r="N2" s="232"/>
      <c r="O2" s="232"/>
      <c r="P2" s="232"/>
      <c r="Q2" s="3"/>
      <c r="R2" s="668" t="s">
        <v>493</v>
      </c>
      <c r="S2" s="661"/>
      <c r="T2" s="663"/>
      <c r="U2" s="669"/>
      <c r="V2" s="665"/>
      <c r="W2" s="661"/>
      <c r="X2" s="661"/>
      <c r="Y2" s="661"/>
      <c r="Z2" s="661"/>
    </row>
    <row r="3" ht="33.0" customHeight="1">
      <c r="A3" s="661"/>
      <c r="B3" s="670" t="s">
        <v>494</v>
      </c>
      <c r="C3" s="531"/>
      <c r="D3" s="531"/>
      <c r="E3" s="531"/>
      <c r="F3" s="671" t="s">
        <v>495</v>
      </c>
      <c r="G3" s="672"/>
      <c r="H3" s="232"/>
      <c r="I3" s="232"/>
      <c r="J3" s="232"/>
      <c r="K3" s="232"/>
      <c r="L3" s="232"/>
      <c r="M3" s="232"/>
      <c r="N3" s="232"/>
      <c r="O3" s="232"/>
      <c r="P3" s="232"/>
      <c r="Q3" s="3"/>
      <c r="R3" s="673" t="s">
        <v>493</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497</v>
      </c>
      <c r="G5" s="678" t="s">
        <v>498</v>
      </c>
      <c r="H5" s="679"/>
      <c r="I5" s="679"/>
      <c r="J5" s="679"/>
      <c r="K5" s="679"/>
      <c r="L5" s="679"/>
      <c r="M5" s="679"/>
      <c r="N5" s="679"/>
      <c r="O5" s="679"/>
      <c r="P5" s="679"/>
      <c r="Q5" s="118"/>
      <c r="R5" s="680"/>
      <c r="S5" s="661"/>
      <c r="T5" s="663"/>
      <c r="U5" s="664"/>
      <c r="V5" s="681" t="s">
        <v>499</v>
      </c>
      <c r="W5" s="661"/>
      <c r="X5" s="661"/>
      <c r="Y5" s="661"/>
      <c r="Z5" s="661"/>
    </row>
    <row r="6">
      <c r="A6" s="661"/>
      <c r="B6" s="682" t="s">
        <v>500</v>
      </c>
      <c r="C6" s="683" t="s">
        <v>253</v>
      </c>
      <c r="D6" s="683" t="s">
        <v>292</v>
      </c>
      <c r="E6" s="683" t="s">
        <v>501</v>
      </c>
      <c r="F6" s="683" t="s">
        <v>84</v>
      </c>
      <c r="G6" s="684" t="s">
        <v>502</v>
      </c>
      <c r="H6" s="685" t="s">
        <v>37</v>
      </c>
      <c r="I6" s="686" t="s">
        <v>503</v>
      </c>
      <c r="J6" s="686" t="s">
        <v>504</v>
      </c>
      <c r="K6" s="686" t="s">
        <v>505</v>
      </c>
      <c r="L6" s="687" t="s">
        <v>506</v>
      </c>
      <c r="M6" s="688"/>
      <c r="N6" s="689" t="s">
        <v>507</v>
      </c>
      <c r="O6" s="690" t="s">
        <v>508</v>
      </c>
      <c r="P6" s="679"/>
      <c r="Q6" s="118"/>
      <c r="R6" s="691"/>
      <c r="S6" s="692" t="s">
        <v>96</v>
      </c>
      <c r="T6" s="692" t="s">
        <v>97</v>
      </c>
      <c r="U6" s="664"/>
      <c r="V6" s="693" t="s">
        <v>509</v>
      </c>
      <c r="W6" s="694"/>
      <c r="X6" s="695" t="s">
        <v>268</v>
      </c>
      <c r="Y6" s="661"/>
      <c r="Z6" s="661"/>
    </row>
    <row r="7">
      <c r="A7" s="661"/>
      <c r="B7" s="696"/>
      <c r="C7" s="697"/>
      <c r="D7" s="697"/>
      <c r="E7" s="697"/>
      <c r="F7" s="697"/>
      <c r="G7" s="698"/>
      <c r="H7" s="697"/>
      <c r="I7" s="697"/>
      <c r="J7" s="697"/>
      <c r="K7" s="697"/>
      <c r="L7" s="699" t="s">
        <v>510</v>
      </c>
      <c r="M7" s="699" t="s">
        <v>511</v>
      </c>
      <c r="N7" s="697"/>
      <c r="O7" s="700"/>
      <c r="P7" s="701"/>
      <c r="Q7" s="702"/>
      <c r="R7" s="691"/>
      <c r="S7" s="222"/>
      <c r="T7" s="222"/>
      <c r="V7" s="703">
        <f>month(D5)</f>
        <v>2</v>
      </c>
      <c r="W7" s="704"/>
      <c r="X7" s="695" t="s">
        <v>512</v>
      </c>
      <c r="Y7" s="661"/>
      <c r="Z7" s="661"/>
    </row>
    <row r="8" ht="17.25" customHeight="1" collapsed="1">
      <c r="A8" s="661"/>
      <c r="B8" s="705" t="s">
        <v>513</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518</v>
      </c>
      <c r="G9" s="723" t="s">
        <v>519</v>
      </c>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446</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516</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456</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459</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468</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515</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466</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450</v>
      </c>
      <c r="W18" s="716"/>
      <c r="X18" s="717">
        <v>46357.0</v>
      </c>
      <c r="Y18" s="661"/>
      <c r="Z18" s="661"/>
    </row>
    <row r="19" hidden="1" outlineLevel="1">
      <c r="B19" s="738"/>
      <c r="C19" s="697"/>
      <c r="D19" s="697"/>
      <c r="E19" s="697"/>
      <c r="F19" s="739" t="s">
        <v>517</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452</v>
      </c>
      <c r="W19" s="716"/>
      <c r="X19" s="717">
        <v>46388.0</v>
      </c>
      <c r="Y19" s="661"/>
      <c r="Z19" s="661"/>
    </row>
    <row r="20" hidden="1" outlineLevel="1">
      <c r="A20" s="661"/>
      <c r="B20" s="743"/>
      <c r="C20" s="744">
        <f>IF(C9="","",IF(DAY(C9+1)=1,"",C9+1))</f>
        <v>46055</v>
      </c>
      <c r="D20" s="745" t="str">
        <f>TEXT(C20,"ddd")</f>
        <v>月</v>
      </c>
      <c r="E20" s="746"/>
      <c r="F20" s="747" t="s">
        <v>518</v>
      </c>
      <c r="G20" s="748" t="s">
        <v>519</v>
      </c>
      <c r="H20" s="749"/>
      <c r="I20" s="750">
        <v>0.0</v>
      </c>
      <c r="J20" s="751"/>
      <c r="K20" s="751"/>
      <c r="L20" s="752"/>
      <c r="M20" s="752"/>
      <c r="N20" s="747"/>
      <c r="O20" s="753"/>
      <c r="Q20" s="728"/>
      <c r="R20" s="661"/>
      <c r="S20" s="228" t="str">
        <f t="array" ref="S20">IFERROR(INDEX('💻シート作成'!$D$6:$D1001, MATCH(T20, '💻シート作成'!$E$6:$E1001, 0)), "")</f>
        <v>11月</v>
      </c>
      <c r="T20" s="172" t="str">
        <f>IFERROR(__xludf.DUMMYFUNCTION("""COMPUTED_VALUE"""),"①R8_11集計")</f>
        <v>①R8_11集計</v>
      </c>
      <c r="U20" s="754"/>
      <c r="V20" s="715" t="s">
        <v>488</v>
      </c>
      <c r="W20" s="716"/>
      <c r="X20" s="717"/>
      <c r="Y20" s="661"/>
      <c r="Z20" s="661"/>
    </row>
    <row r="21" hidden="1" outlineLevel="1">
      <c r="A21" s="661"/>
      <c r="B21" s="729"/>
      <c r="C21" s="730"/>
      <c r="D21" s="730"/>
      <c r="E21" s="730"/>
      <c r="F21" s="730"/>
      <c r="G21" s="731"/>
      <c r="H21" s="730"/>
      <c r="I21" s="730"/>
      <c r="J21" s="730"/>
      <c r="K21" s="730"/>
      <c r="L21" s="755"/>
      <c r="M21" s="755"/>
      <c r="N21" s="730"/>
      <c r="O21" s="733"/>
      <c r="Q21" s="728"/>
      <c r="R21" s="661"/>
      <c r="S21" s="228" t="str">
        <f t="array" ref="S21">IFERROR(INDEX('💻シート作成'!$D$6:$D1001, MATCH(T21, '💻シート作成'!$E$6:$E1001, 0)), "")</f>
        <v>11月</v>
      </c>
      <c r="T21" s="172" t="str">
        <f>IFERROR(__xludf.DUMMYFUNCTION("""COMPUTED_VALUE"""),"②R8_11シフト")</f>
        <v>②R8_11シフト</v>
      </c>
      <c r="U21" s="754"/>
      <c r="V21" s="715" t="s">
        <v>520</v>
      </c>
      <c r="W21" s="716"/>
      <c r="X21" s="717"/>
      <c r="Y21" s="661"/>
      <c r="Z21" s="661"/>
    </row>
    <row r="22" hidden="1" outlineLevel="1">
      <c r="A22" s="661"/>
      <c r="B22" s="729"/>
      <c r="C22" s="730"/>
      <c r="D22" s="730"/>
      <c r="E22" s="730"/>
      <c r="F22" s="730"/>
      <c r="G22" s="731"/>
      <c r="H22" s="730"/>
      <c r="I22" s="730"/>
      <c r="J22" s="730"/>
      <c r="K22" s="730"/>
      <c r="L22" s="755"/>
      <c r="M22" s="755"/>
      <c r="N22" s="730"/>
      <c r="O22" s="733"/>
      <c r="Q22" s="728"/>
      <c r="R22" s="661"/>
      <c r="S22" s="228" t="str">
        <f t="array" ref="S22">IFERROR(INDEX('💻シート作成'!$D$6:$D1001, MATCH(T22, '💻シート作成'!$E$6:$E1001, 0)), "")</f>
        <v>11月</v>
      </c>
      <c r="T22" s="172" t="str">
        <f>IFERROR(__xludf.DUMMYFUNCTION("""COMPUTED_VALUE"""),"③R8_11日報")</f>
        <v>③R8_11日報</v>
      </c>
      <c r="U22" s="754"/>
      <c r="V22" s="715" t="s">
        <v>120</v>
      </c>
      <c r="W22" s="716"/>
      <c r="X22" s="717"/>
      <c r="Y22" s="661"/>
      <c r="Z22" s="661"/>
    </row>
    <row r="23" hidden="1" outlineLevel="1">
      <c r="A23" s="661"/>
      <c r="B23" s="729"/>
      <c r="C23" s="730"/>
      <c r="D23" s="730"/>
      <c r="E23" s="730"/>
      <c r="F23" s="730"/>
      <c r="G23" s="731"/>
      <c r="H23" s="730"/>
      <c r="I23" s="730"/>
      <c r="J23" s="730"/>
      <c r="K23" s="730"/>
      <c r="L23" s="756"/>
      <c r="M23" s="755"/>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478</v>
      </c>
      <c r="W23" s="661"/>
      <c r="X23" s="757"/>
      <c r="Y23" s="661"/>
      <c r="Z23" s="661"/>
    </row>
    <row r="24" hidden="1" outlineLevel="1">
      <c r="A24" s="661"/>
      <c r="B24" s="729"/>
      <c r="C24" s="730"/>
      <c r="D24" s="730"/>
      <c r="E24" s="730"/>
      <c r="F24" s="730"/>
      <c r="G24" s="731"/>
      <c r="H24" s="730"/>
      <c r="I24" s="730"/>
      <c r="J24" s="730"/>
      <c r="K24" s="730"/>
      <c r="L24" s="756"/>
      <c r="M24" s="755"/>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744</v>
      </c>
      <c r="W24" s="661"/>
      <c r="X24" s="757"/>
      <c r="Y24" s="661"/>
      <c r="Z24" s="661"/>
    </row>
    <row r="25" hidden="1" outlineLevel="1">
      <c r="A25" s="661"/>
      <c r="B25" s="729"/>
      <c r="C25" s="730"/>
      <c r="D25" s="730"/>
      <c r="E25" s="730"/>
      <c r="F25" s="730"/>
      <c r="G25" s="731"/>
      <c r="H25" s="730"/>
      <c r="I25" s="730"/>
      <c r="J25" s="730"/>
      <c r="K25" s="730"/>
      <c r="L25" s="756"/>
      <c r="M25" s="755"/>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473</v>
      </c>
      <c r="W25" s="661"/>
      <c r="X25" s="757"/>
      <c r="Y25" s="661"/>
      <c r="Z25" s="661"/>
    </row>
    <row r="26" hidden="1" outlineLevel="1">
      <c r="A26" s="661"/>
      <c r="B26" s="729"/>
      <c r="C26" s="730"/>
      <c r="D26" s="730"/>
      <c r="E26" s="730"/>
      <c r="F26" s="730"/>
      <c r="G26" s="731"/>
      <c r="H26" s="730"/>
      <c r="I26" s="730"/>
      <c r="J26" s="730"/>
      <c r="K26" s="730"/>
      <c r="L26" s="756"/>
      <c r="M26" s="755"/>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471</v>
      </c>
      <c r="W26" s="661"/>
      <c r="X26" s="757"/>
      <c r="Y26" s="661"/>
      <c r="Z26" s="661"/>
    </row>
    <row r="27" hidden="1" outlineLevel="1">
      <c r="A27" s="661"/>
      <c r="B27" s="729"/>
      <c r="C27" s="730"/>
      <c r="D27" s="730"/>
      <c r="E27" s="730"/>
      <c r="F27" s="730"/>
      <c r="G27" s="731"/>
      <c r="H27" s="730"/>
      <c r="I27" s="730"/>
      <c r="J27" s="730"/>
      <c r="K27" s="730"/>
      <c r="L27" s="756"/>
      <c r="M27" s="755"/>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470</v>
      </c>
      <c r="W27" s="661"/>
      <c r="X27" s="757"/>
      <c r="Y27" s="661"/>
      <c r="Z27" s="661"/>
    </row>
    <row r="28" hidden="1" outlineLevel="1">
      <c r="A28" s="661"/>
      <c r="B28" s="729"/>
      <c r="C28" s="730"/>
      <c r="D28" s="730"/>
      <c r="E28" s="730"/>
      <c r="F28" s="730"/>
      <c r="G28" s="731"/>
      <c r="H28" s="730"/>
      <c r="I28" s="730"/>
      <c r="J28" s="730"/>
      <c r="K28" s="730"/>
      <c r="L28" s="756"/>
      <c r="M28" s="755"/>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7"/>
      <c r="Y28" s="661"/>
      <c r="Z28" s="661"/>
    </row>
    <row r="29" hidden="1" outlineLevel="1">
      <c r="A29" s="661"/>
      <c r="B29" s="729"/>
      <c r="C29" s="730"/>
      <c r="D29" s="730"/>
      <c r="E29" s="730"/>
      <c r="F29" s="697"/>
      <c r="G29" s="698"/>
      <c r="H29" s="697"/>
      <c r="I29" s="697"/>
      <c r="J29" s="697"/>
      <c r="K29" s="697"/>
      <c r="L29" s="756"/>
      <c r="M29" s="755"/>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476</v>
      </c>
      <c r="W29" s="661"/>
      <c r="X29" s="757"/>
      <c r="Y29" s="661"/>
      <c r="Z29" s="661"/>
    </row>
    <row r="30" hidden="1" outlineLevel="1">
      <c r="A30" s="661"/>
      <c r="B30" s="738"/>
      <c r="C30" s="697"/>
      <c r="D30" s="697"/>
      <c r="E30" s="697"/>
      <c r="F30" s="758" t="s">
        <v>517</v>
      </c>
      <c r="G30" s="759"/>
      <c r="H30" s="741"/>
      <c r="I30" s="741"/>
      <c r="J30" s="741"/>
      <c r="K30" s="741"/>
      <c r="L30" s="759"/>
      <c r="M30" s="759"/>
      <c r="N30" s="759"/>
      <c r="O30" s="759"/>
      <c r="P30" s="759"/>
      <c r="Q30" s="760"/>
      <c r="R30" s="661"/>
      <c r="S30" s="228" t="str">
        <f t="array" ref="S30">IFERROR(INDEX('💻シート作成'!$D$6:$D1001, MATCH(T30, '💻シート作成'!$E$6:$E1001, 0)), "")</f>
        <v>9月</v>
      </c>
      <c r="T30" s="172" t="str">
        <f>IFERROR(__xludf.DUMMYFUNCTION("""COMPUTED_VALUE"""),"③R8_9日報")</f>
        <v>③R8_9日報</v>
      </c>
      <c r="U30" s="664"/>
      <c r="V30" s="715" t="s">
        <v>483</v>
      </c>
      <c r="W30" s="661"/>
      <c r="X30" s="757"/>
      <c r="Y30" s="661"/>
      <c r="Z30" s="661"/>
    </row>
    <row r="31" hidden="1" outlineLevel="1">
      <c r="A31" s="661"/>
      <c r="B31" s="761"/>
      <c r="C31" s="762">
        <f>IF(C20="","",IF(DAY(C20+1)=1,"",C20+1))</f>
        <v>46056</v>
      </c>
      <c r="D31" s="763" t="str">
        <f>TEXT(C31,"ddd")</f>
        <v>火</v>
      </c>
      <c r="E31" s="764"/>
      <c r="F31" s="765" t="s">
        <v>518</v>
      </c>
      <c r="G31" s="766" t="s">
        <v>519</v>
      </c>
      <c r="H31" s="767"/>
      <c r="I31" s="768">
        <v>0.0</v>
      </c>
      <c r="J31" s="763"/>
      <c r="K31" s="763"/>
      <c r="L31" s="769"/>
      <c r="M31" s="769"/>
      <c r="N31" s="765"/>
      <c r="O31" s="770"/>
      <c r="P31" s="771"/>
      <c r="Q31" s="772"/>
      <c r="R31" s="661"/>
      <c r="S31" s="228" t="str">
        <f t="array" ref="S31">IFERROR(INDEX('💻シート作成'!$D$6:$D1001, MATCH(T31, '💻シート作成'!$E$6:$E1001, 0)), "")</f>
        <v>9月</v>
      </c>
      <c r="T31" s="172" t="str">
        <f>IFERROR(__xludf.DUMMYFUNCTION("""COMPUTED_VALUE"""),"④R8_9月報")</f>
        <v>④R8_9月報</v>
      </c>
      <c r="U31" s="664"/>
      <c r="V31" s="715" t="s">
        <v>165</v>
      </c>
      <c r="W31" s="661"/>
      <c r="X31" s="757"/>
      <c r="Y31" s="661"/>
      <c r="Z31" s="661"/>
    </row>
    <row r="32" hidden="1" outlineLevel="1">
      <c r="A32" s="661"/>
      <c r="B32" s="729"/>
      <c r="C32" s="730"/>
      <c r="D32" s="730"/>
      <c r="E32" s="730"/>
      <c r="F32" s="730"/>
      <c r="G32" s="731"/>
      <c r="H32" s="730"/>
      <c r="I32" s="730"/>
      <c r="J32" s="730"/>
      <c r="K32" s="730"/>
      <c r="L32" s="769"/>
      <c r="M32" s="769"/>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7"/>
      <c r="Y32" s="661"/>
      <c r="Z32" s="661"/>
    </row>
    <row r="33" hidden="1" outlineLevel="1">
      <c r="A33" s="661"/>
      <c r="B33" s="729"/>
      <c r="C33" s="730"/>
      <c r="D33" s="730"/>
      <c r="E33" s="730"/>
      <c r="F33" s="730"/>
      <c r="G33" s="731"/>
      <c r="H33" s="730"/>
      <c r="I33" s="730"/>
      <c r="J33" s="730"/>
      <c r="K33" s="730"/>
      <c r="L33" s="769"/>
      <c r="M33" s="769"/>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480</v>
      </c>
      <c r="W33" s="661"/>
      <c r="X33" s="757"/>
      <c r="Y33" s="661"/>
      <c r="Z33" s="661"/>
    </row>
    <row r="34" hidden="1" outlineLevel="1">
      <c r="A34" s="661"/>
      <c r="B34" s="729"/>
      <c r="C34" s="730"/>
      <c r="D34" s="730"/>
      <c r="E34" s="730"/>
      <c r="F34" s="730"/>
      <c r="G34" s="731"/>
      <c r="H34" s="730"/>
      <c r="I34" s="730"/>
      <c r="J34" s="730"/>
      <c r="K34" s="730"/>
      <c r="L34" s="773"/>
      <c r="M34" s="769"/>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7"/>
      <c r="Y34" s="661"/>
      <c r="Z34" s="661"/>
    </row>
    <row r="35" hidden="1" outlineLevel="1">
      <c r="A35" s="661"/>
      <c r="B35" s="729"/>
      <c r="C35" s="730"/>
      <c r="D35" s="730"/>
      <c r="E35" s="730"/>
      <c r="F35" s="730"/>
      <c r="G35" s="731"/>
      <c r="H35" s="730"/>
      <c r="I35" s="730"/>
      <c r="J35" s="730"/>
      <c r="K35" s="730"/>
      <c r="L35" s="773"/>
      <c r="M35" s="769"/>
      <c r="N35" s="730"/>
      <c r="O35" s="733"/>
      <c r="Q35" s="728"/>
      <c r="R35" s="661"/>
      <c r="S35" s="228" t="str">
        <f t="array" ref="S35">IFERROR(INDEX('💻シート作成'!$D$6:$D1001, MATCH(T35, '💻シート作成'!$E$6:$E1001, 0)), "")</f>
        <v>8月</v>
      </c>
      <c r="T35" s="172" t="str">
        <f>IFERROR(__xludf.DUMMYFUNCTION("""COMPUTED_VALUE"""),"④R8_8月報")</f>
        <v>④R8_8月報</v>
      </c>
      <c r="U35" s="664"/>
      <c r="V35" s="774" t="s">
        <v>521</v>
      </c>
      <c r="W35" s="661"/>
      <c r="X35" s="757"/>
      <c r="Y35" s="661"/>
      <c r="Z35" s="661"/>
    </row>
    <row r="36" hidden="1" outlineLevel="1">
      <c r="A36" s="661"/>
      <c r="B36" s="729"/>
      <c r="C36" s="730"/>
      <c r="D36" s="730"/>
      <c r="E36" s="730"/>
      <c r="F36" s="730"/>
      <c r="G36" s="731"/>
      <c r="H36" s="730"/>
      <c r="I36" s="730"/>
      <c r="J36" s="730"/>
      <c r="K36" s="730"/>
      <c r="L36" s="773"/>
      <c r="M36" s="769"/>
      <c r="N36" s="730"/>
      <c r="O36" s="733"/>
      <c r="Q36" s="728"/>
      <c r="R36" s="661"/>
      <c r="S36" s="228" t="str">
        <f t="array" ref="S36">IFERROR(INDEX('💻シート作成'!$D$6:$D1001, MATCH(T36, '💻シート作成'!$E$6:$E1001, 0)), "")</f>
        <v>7月</v>
      </c>
      <c r="T36" s="172" t="str">
        <f>IFERROR(__xludf.DUMMYFUNCTION("""COMPUTED_VALUE"""),"①R8_7集計")</f>
        <v>①R8_7集計</v>
      </c>
      <c r="U36" s="664"/>
      <c r="V36" s="774" t="s">
        <v>454</v>
      </c>
      <c r="W36" s="661"/>
      <c r="X36" s="757"/>
      <c r="Y36" s="661"/>
      <c r="Z36" s="661"/>
    </row>
    <row r="37" hidden="1" outlineLevel="1">
      <c r="A37" s="661"/>
      <c r="B37" s="729"/>
      <c r="C37" s="730"/>
      <c r="D37" s="730"/>
      <c r="E37" s="730"/>
      <c r="F37" s="730"/>
      <c r="G37" s="731"/>
      <c r="H37" s="730"/>
      <c r="I37" s="730"/>
      <c r="J37" s="730"/>
      <c r="K37" s="730"/>
      <c r="L37" s="773"/>
      <c r="M37" s="769"/>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747</v>
      </c>
      <c r="W37" s="661"/>
      <c r="X37" s="757"/>
      <c r="Y37" s="661"/>
      <c r="Z37" s="661"/>
    </row>
    <row r="38" hidden="1" outlineLevel="1">
      <c r="A38" s="661"/>
      <c r="B38" s="729"/>
      <c r="C38" s="730"/>
      <c r="D38" s="730"/>
      <c r="E38" s="730"/>
      <c r="F38" s="730"/>
      <c r="G38" s="731"/>
      <c r="H38" s="730"/>
      <c r="I38" s="730"/>
      <c r="J38" s="730"/>
      <c r="K38" s="730"/>
      <c r="L38" s="773"/>
      <c r="M38" s="769"/>
      <c r="N38" s="730"/>
      <c r="O38" s="733"/>
      <c r="Q38" s="728"/>
      <c r="R38" s="661"/>
      <c r="S38" s="228" t="str">
        <f t="array" ref="S38">IFERROR(INDEX('💻シート作成'!$D$6:$D1001, MATCH(T38, '💻シート作成'!$E$6:$E1001, 0)), "")</f>
        <v>7月</v>
      </c>
      <c r="T38" s="172" t="str">
        <f>IFERROR(__xludf.DUMMYFUNCTION("""COMPUTED_VALUE"""),"③R8_7日報")</f>
        <v>③R8_7日報</v>
      </c>
      <c r="U38" s="664"/>
      <c r="V38" s="774" t="s">
        <v>132</v>
      </c>
      <c r="W38" s="661"/>
      <c r="X38" s="757"/>
      <c r="Y38" s="661"/>
      <c r="Z38" s="661"/>
    </row>
    <row r="39" hidden="1" outlineLevel="1">
      <c r="A39" s="661"/>
      <c r="B39" s="729"/>
      <c r="C39" s="730"/>
      <c r="D39" s="730"/>
      <c r="E39" s="730"/>
      <c r="F39" s="730"/>
      <c r="G39" s="731"/>
      <c r="H39" s="730"/>
      <c r="I39" s="730"/>
      <c r="J39" s="730"/>
      <c r="K39" s="730"/>
      <c r="L39" s="773"/>
      <c r="M39" s="769"/>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748</v>
      </c>
      <c r="W39" s="661"/>
      <c r="X39" s="757"/>
      <c r="Y39" s="661"/>
      <c r="Z39" s="661"/>
    </row>
    <row r="40" hidden="1" outlineLevel="1">
      <c r="A40" s="661"/>
      <c r="B40" s="729"/>
      <c r="C40" s="730"/>
      <c r="D40" s="730"/>
      <c r="E40" s="730"/>
      <c r="F40" s="697"/>
      <c r="G40" s="698"/>
      <c r="H40" s="697"/>
      <c r="I40" s="697"/>
      <c r="J40" s="697"/>
      <c r="K40" s="697"/>
      <c r="L40" s="773"/>
      <c r="M40" s="769"/>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749</v>
      </c>
      <c r="W40" s="661"/>
      <c r="X40" s="757"/>
      <c r="Y40" s="661"/>
      <c r="Z40" s="661"/>
    </row>
    <row r="41" hidden="1" outlineLevel="1">
      <c r="A41" s="661"/>
      <c r="B41" s="738"/>
      <c r="C41" s="697"/>
      <c r="D41" s="697"/>
      <c r="E41" s="697"/>
      <c r="F41" s="739" t="s">
        <v>517</v>
      </c>
      <c r="G41" s="740"/>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751</v>
      </c>
      <c r="W41" s="661"/>
      <c r="X41" s="757"/>
      <c r="Y41" s="661"/>
      <c r="Z41" s="661"/>
    </row>
    <row r="42" hidden="1" outlineLevel="1">
      <c r="A42" s="661"/>
      <c r="B42" s="743"/>
      <c r="C42" s="744">
        <f>IF(C31="","",IF(DAY(C31+1)=1,"",C31+1))</f>
        <v>46057</v>
      </c>
      <c r="D42" s="745" t="str">
        <f>TEXT(C42,"ddd")</f>
        <v>水</v>
      </c>
      <c r="E42" s="746"/>
      <c r="F42" s="775" t="s">
        <v>518</v>
      </c>
      <c r="G42" s="776" t="s">
        <v>519</v>
      </c>
      <c r="H42" s="777"/>
      <c r="I42" s="778">
        <v>0.0</v>
      </c>
      <c r="J42" s="745"/>
      <c r="K42" s="745"/>
      <c r="L42" s="755"/>
      <c r="M42" s="755"/>
      <c r="N42" s="775"/>
      <c r="O42" s="779"/>
      <c r="P42" s="771"/>
      <c r="Q42" s="772"/>
      <c r="R42" s="661"/>
      <c r="S42" s="228" t="str">
        <f t="array" ref="S42">IFERROR(INDEX('💻シート作成'!$D$6:$D1001, MATCH(T42, '💻シート作成'!$E$6:$E1001, 0)), "")</f>
        <v>6月</v>
      </c>
      <c r="T42" s="172" t="str">
        <f>IFERROR(__xludf.DUMMYFUNCTION("""COMPUTED_VALUE"""),"③R8_6日報")</f>
        <v>③R8_6日報</v>
      </c>
      <c r="U42" s="664"/>
      <c r="V42" s="715" t="s">
        <v>611</v>
      </c>
      <c r="W42" s="661"/>
      <c r="X42" s="757"/>
      <c r="Y42" s="661"/>
      <c r="Z42" s="661"/>
    </row>
    <row r="43" hidden="1" outlineLevel="1">
      <c r="A43" s="661"/>
      <c r="B43" s="729"/>
      <c r="C43" s="730"/>
      <c r="D43" s="730"/>
      <c r="E43" s="730"/>
      <c r="F43" s="730"/>
      <c r="G43" s="731"/>
      <c r="H43" s="730"/>
      <c r="I43" s="730"/>
      <c r="J43" s="730"/>
      <c r="K43" s="730"/>
      <c r="L43" s="755"/>
      <c r="M43" s="755"/>
      <c r="N43" s="730"/>
      <c r="O43" s="733"/>
      <c r="Q43" s="728"/>
      <c r="R43" s="661"/>
      <c r="S43" s="228" t="str">
        <f t="array" ref="S43">IFERROR(INDEX('💻シート作成'!$D$6:$D1001, MATCH(T43, '💻シート作成'!$E$6:$E1001, 0)), "")</f>
        <v>6月</v>
      </c>
      <c r="T43" s="172" t="str">
        <f>IFERROR(__xludf.DUMMYFUNCTION("""COMPUTED_VALUE"""),"④R8_6月報")</f>
        <v>④R8_6月報</v>
      </c>
      <c r="U43" s="664"/>
      <c r="V43" s="774" t="s">
        <v>753</v>
      </c>
      <c r="W43" s="661"/>
      <c r="X43" s="757"/>
      <c r="Y43" s="661"/>
      <c r="Z43" s="661"/>
    </row>
    <row r="44" hidden="1" outlineLevel="1">
      <c r="A44" s="661"/>
      <c r="B44" s="729"/>
      <c r="C44" s="730"/>
      <c r="D44" s="730"/>
      <c r="E44" s="730"/>
      <c r="F44" s="730"/>
      <c r="G44" s="731"/>
      <c r="H44" s="730"/>
      <c r="I44" s="730"/>
      <c r="J44" s="730"/>
      <c r="K44" s="730"/>
      <c r="L44" s="755"/>
      <c r="M44" s="755"/>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754</v>
      </c>
      <c r="W44" s="661"/>
      <c r="X44" s="757"/>
      <c r="Y44" s="661"/>
      <c r="Z44" s="661"/>
    </row>
    <row r="45" hidden="1" outlineLevel="1">
      <c r="A45" s="661"/>
      <c r="B45" s="729"/>
      <c r="C45" s="730"/>
      <c r="D45" s="730"/>
      <c r="E45" s="730"/>
      <c r="F45" s="730"/>
      <c r="G45" s="731"/>
      <c r="H45" s="730"/>
      <c r="I45" s="730"/>
      <c r="J45" s="730"/>
      <c r="K45" s="730"/>
      <c r="L45" s="756"/>
      <c r="M45" s="755"/>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4"/>
      <c r="W45" s="661"/>
      <c r="X45" s="757"/>
      <c r="Y45" s="661"/>
      <c r="Z45" s="661"/>
    </row>
    <row r="46" hidden="1" outlineLevel="1">
      <c r="A46" s="661"/>
      <c r="B46" s="729"/>
      <c r="C46" s="730"/>
      <c r="D46" s="730"/>
      <c r="E46" s="730"/>
      <c r="F46" s="730"/>
      <c r="G46" s="731"/>
      <c r="H46" s="730"/>
      <c r="I46" s="730"/>
      <c r="J46" s="730"/>
      <c r="K46" s="730"/>
      <c r="L46" s="756"/>
      <c r="M46" s="755"/>
      <c r="N46" s="730"/>
      <c r="O46" s="733"/>
      <c r="Q46" s="728"/>
      <c r="R46" s="661"/>
      <c r="S46" s="228" t="str">
        <f t="array" ref="S46">IFERROR(INDEX('💻シート作成'!$D$6:$D1001, MATCH(T46, '💻シート作成'!$E$6:$E1001, 0)), "")</f>
        <v>5月</v>
      </c>
      <c r="T46" s="172" t="str">
        <f>IFERROR(__xludf.DUMMYFUNCTION("""COMPUTED_VALUE"""),"③R8_5日報")</f>
        <v>③R8_5日報</v>
      </c>
      <c r="U46" s="664"/>
      <c r="V46" s="774"/>
      <c r="W46" s="661"/>
      <c r="X46" s="757"/>
      <c r="Y46" s="661"/>
      <c r="Z46" s="661"/>
    </row>
    <row r="47" hidden="1" outlineLevel="1">
      <c r="A47" s="661"/>
      <c r="B47" s="729"/>
      <c r="C47" s="730"/>
      <c r="D47" s="730"/>
      <c r="E47" s="730"/>
      <c r="F47" s="730"/>
      <c r="G47" s="731"/>
      <c r="H47" s="730"/>
      <c r="I47" s="730"/>
      <c r="J47" s="730"/>
      <c r="K47" s="730"/>
      <c r="L47" s="756"/>
      <c r="M47" s="755"/>
      <c r="N47" s="730"/>
      <c r="O47" s="733"/>
      <c r="Q47" s="728"/>
      <c r="R47" s="661"/>
      <c r="S47" s="228" t="str">
        <f t="array" ref="S47">IFERROR(INDEX('💻シート作成'!$D$6:$D1001, MATCH(T47, '💻シート作成'!$E$6:$E1001, 0)), "")</f>
        <v>5月</v>
      </c>
      <c r="T47" s="172" t="str">
        <f>IFERROR(__xludf.DUMMYFUNCTION("""COMPUTED_VALUE"""),"④R8_5月報")</f>
        <v>④R8_5月報</v>
      </c>
      <c r="U47" s="664"/>
      <c r="V47" s="774"/>
      <c r="W47" s="661"/>
      <c r="X47" s="757"/>
      <c r="Y47" s="661"/>
      <c r="Z47" s="661"/>
    </row>
    <row r="48" hidden="1" outlineLevel="1">
      <c r="A48" s="661"/>
      <c r="B48" s="729"/>
      <c r="C48" s="730"/>
      <c r="D48" s="730"/>
      <c r="E48" s="730"/>
      <c r="F48" s="730"/>
      <c r="G48" s="731"/>
      <c r="H48" s="730"/>
      <c r="I48" s="730"/>
      <c r="J48" s="730"/>
      <c r="K48" s="730"/>
      <c r="L48" s="756"/>
      <c r="M48" s="755"/>
      <c r="N48" s="730"/>
      <c r="O48" s="733"/>
      <c r="Q48" s="728"/>
      <c r="R48" s="661"/>
      <c r="S48" s="228" t="str">
        <f t="array" ref="S48">IFERROR(INDEX('💻シート作成'!$D$6:$D1001, MATCH(T48, '💻シート作成'!$E$6:$E1001, 0)), "")</f>
        <v>4月</v>
      </c>
      <c r="T48" s="171" t="str">
        <f>IFERROR(__xludf.DUMMYFUNCTION("""COMPUTED_VALUE"""),"①R8_4集計")</f>
        <v>①R8_4集計</v>
      </c>
      <c r="U48" s="664"/>
      <c r="V48" s="774"/>
      <c r="W48" s="661"/>
      <c r="X48" s="757"/>
      <c r="Y48" s="661"/>
      <c r="Z48" s="661"/>
    </row>
    <row r="49" hidden="1" outlineLevel="1">
      <c r="A49" s="661"/>
      <c r="B49" s="729"/>
      <c r="C49" s="730"/>
      <c r="D49" s="730"/>
      <c r="E49" s="730"/>
      <c r="F49" s="730"/>
      <c r="G49" s="731"/>
      <c r="H49" s="730"/>
      <c r="I49" s="730"/>
      <c r="J49" s="730"/>
      <c r="K49" s="730"/>
      <c r="L49" s="756"/>
      <c r="M49" s="755"/>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4"/>
      <c r="W49" s="661"/>
      <c r="X49" s="757"/>
      <c r="Y49" s="661"/>
      <c r="Z49" s="661"/>
    </row>
    <row r="50" hidden="1" outlineLevel="1">
      <c r="A50" s="661"/>
      <c r="B50" s="729"/>
      <c r="C50" s="730"/>
      <c r="D50" s="730"/>
      <c r="E50" s="730"/>
      <c r="F50" s="730"/>
      <c r="G50" s="731"/>
      <c r="H50" s="730"/>
      <c r="I50" s="730"/>
      <c r="J50" s="730"/>
      <c r="K50" s="730"/>
      <c r="L50" s="756"/>
      <c r="M50" s="755"/>
      <c r="N50" s="730"/>
      <c r="O50" s="733"/>
      <c r="Q50" s="728"/>
      <c r="R50" s="661"/>
      <c r="S50" s="228" t="str">
        <f t="array" ref="S50">IFERROR(INDEX('💻シート作成'!$D$6:$D1001, MATCH(T50, '💻シート作成'!$E$6:$E1001, 0)), "")</f>
        <v>4月</v>
      </c>
      <c r="T50" s="171" t="str">
        <f>IFERROR(__xludf.DUMMYFUNCTION("""COMPUTED_VALUE"""),"③R8_4日報")</f>
        <v>③R8_4日報</v>
      </c>
      <c r="U50" s="664"/>
      <c r="V50" s="774"/>
      <c r="W50" s="661"/>
      <c r="X50" s="757"/>
      <c r="Y50" s="661"/>
      <c r="Z50" s="661"/>
    </row>
    <row r="51" hidden="1" outlineLevel="1">
      <c r="A51" s="661"/>
      <c r="B51" s="729"/>
      <c r="C51" s="730"/>
      <c r="D51" s="730"/>
      <c r="E51" s="730"/>
      <c r="F51" s="697"/>
      <c r="G51" s="698"/>
      <c r="H51" s="697"/>
      <c r="I51" s="697"/>
      <c r="J51" s="697"/>
      <c r="K51" s="697"/>
      <c r="L51" s="756"/>
      <c r="M51" s="755"/>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4"/>
      <c r="W51" s="661"/>
      <c r="X51" s="757"/>
      <c r="Y51" s="661"/>
      <c r="Z51" s="661"/>
    </row>
    <row r="52" hidden="1" outlineLevel="1">
      <c r="A52" s="661"/>
      <c r="B52" s="738"/>
      <c r="C52" s="697"/>
      <c r="D52" s="697"/>
      <c r="E52" s="697"/>
      <c r="F52" s="758" t="s">
        <v>517</v>
      </c>
      <c r="G52" s="759"/>
      <c r="H52" s="741"/>
      <c r="I52" s="741"/>
      <c r="J52" s="741"/>
      <c r="K52" s="741"/>
      <c r="L52" s="759"/>
      <c r="M52" s="759"/>
      <c r="N52" s="759"/>
      <c r="O52" s="759"/>
      <c r="P52" s="759"/>
      <c r="Q52" s="760"/>
      <c r="R52" s="661"/>
      <c r="S52" s="228" t="str">
        <f t="array" ref="S52">IFERROR(INDEX('💻シート作成'!$D$6:$D1001, MATCH(T52, '💻シート作成'!$E$6:$E1001, 0)), "")</f>
        <v>3月</v>
      </c>
      <c r="T52" s="171" t="str">
        <f>IFERROR(__xludf.DUMMYFUNCTION("""COMPUTED_VALUE"""),"①R8_3集計")</f>
        <v>①R8_3集計</v>
      </c>
      <c r="U52" s="664"/>
      <c r="V52" s="774"/>
      <c r="W52" s="661"/>
      <c r="X52" s="757"/>
      <c r="Y52" s="661"/>
      <c r="Z52" s="661"/>
    </row>
    <row r="53" hidden="1" outlineLevel="1">
      <c r="A53" s="661"/>
      <c r="B53" s="761"/>
      <c r="C53" s="762">
        <f>IF(C42="","",IF(DAY(C42+1)=1,"",C42+1))</f>
        <v>46058</v>
      </c>
      <c r="D53" s="763" t="str">
        <f>TEXT(C53,"ddd")</f>
        <v>木</v>
      </c>
      <c r="E53" s="764"/>
      <c r="F53" s="765" t="s">
        <v>518</v>
      </c>
      <c r="G53" s="766" t="s">
        <v>519</v>
      </c>
      <c r="H53" s="767"/>
      <c r="I53" s="768">
        <v>0.0</v>
      </c>
      <c r="J53" s="763"/>
      <c r="K53" s="763"/>
      <c r="L53" s="769"/>
      <c r="M53" s="769"/>
      <c r="N53" s="765"/>
      <c r="O53" s="770"/>
      <c r="P53" s="771"/>
      <c r="Q53" s="772"/>
      <c r="R53" s="661"/>
      <c r="S53" s="228" t="str">
        <f t="array" ref="S53">IFERROR(INDEX('💻シート作成'!$D$6:$D1001, MATCH(T53, '💻シート作成'!$E$6:$E1001, 0)), "")</f>
        <v>3月</v>
      </c>
      <c r="T53" s="171" t="str">
        <f>IFERROR(__xludf.DUMMYFUNCTION("""COMPUTED_VALUE"""),"②R8_3シフト")</f>
        <v>②R8_3シフト</v>
      </c>
      <c r="U53" s="664"/>
      <c r="V53" s="774"/>
      <c r="W53" s="661"/>
      <c r="X53" s="757"/>
      <c r="Y53" s="661"/>
      <c r="Z53" s="661"/>
    </row>
    <row r="54" hidden="1" outlineLevel="1">
      <c r="A54" s="661"/>
      <c r="B54" s="729"/>
      <c r="C54" s="730"/>
      <c r="D54" s="730"/>
      <c r="E54" s="730"/>
      <c r="F54" s="730"/>
      <c r="G54" s="731"/>
      <c r="H54" s="730"/>
      <c r="I54" s="730"/>
      <c r="J54" s="730"/>
      <c r="K54" s="730"/>
      <c r="L54" s="769"/>
      <c r="M54" s="769"/>
      <c r="N54" s="730"/>
      <c r="O54" s="733"/>
      <c r="Q54" s="728"/>
      <c r="R54" s="661"/>
      <c r="S54" s="228" t="str">
        <f t="array" ref="S54">IFERROR(INDEX('💻シート作成'!$D$6:$D1001, MATCH(T54, '💻シート作成'!$E$6:$E1001, 0)), "")</f>
        <v>3月</v>
      </c>
      <c r="T54" s="171" t="str">
        <f>IFERROR(__xludf.DUMMYFUNCTION("""COMPUTED_VALUE"""),"③R8_3日報")</f>
        <v>③R8_3日報</v>
      </c>
      <c r="U54" s="664"/>
      <c r="V54" s="774"/>
      <c r="W54" s="661"/>
      <c r="X54" s="757"/>
      <c r="Y54" s="661"/>
      <c r="Z54" s="661"/>
    </row>
    <row r="55" hidden="1" outlineLevel="1">
      <c r="A55" s="661"/>
      <c r="B55" s="729"/>
      <c r="C55" s="730"/>
      <c r="D55" s="730"/>
      <c r="E55" s="730"/>
      <c r="F55" s="730"/>
      <c r="G55" s="731"/>
      <c r="H55" s="730"/>
      <c r="I55" s="730"/>
      <c r="J55" s="730"/>
      <c r="K55" s="730"/>
      <c r="L55" s="769"/>
      <c r="M55" s="769"/>
      <c r="N55" s="730"/>
      <c r="O55" s="733"/>
      <c r="Q55" s="728"/>
      <c r="R55" s="661"/>
      <c r="S55" s="228" t="str">
        <f t="array" ref="S55">IFERROR(INDEX('💻シート作成'!$D$6:$D1001, MATCH(T55, '💻シート作成'!$E$6:$E1001, 0)), "")</f>
        <v>3月</v>
      </c>
      <c r="T55" s="171" t="str">
        <f>IFERROR(__xludf.DUMMYFUNCTION("""COMPUTED_VALUE"""),"④R8_3月報")</f>
        <v>④R8_3月報</v>
      </c>
      <c r="U55" s="664"/>
      <c r="V55" s="774"/>
      <c r="W55" s="661"/>
      <c r="X55" s="757"/>
      <c r="Y55" s="661"/>
      <c r="Z55" s="661"/>
    </row>
    <row r="56" hidden="1" outlineLevel="1">
      <c r="A56" s="661"/>
      <c r="B56" s="729"/>
      <c r="C56" s="730"/>
      <c r="D56" s="730"/>
      <c r="E56" s="730"/>
      <c r="F56" s="730"/>
      <c r="G56" s="731"/>
      <c r="H56" s="730"/>
      <c r="I56" s="730"/>
      <c r="J56" s="730"/>
      <c r="K56" s="730"/>
      <c r="L56" s="773"/>
      <c r="M56" s="769"/>
      <c r="N56" s="730"/>
      <c r="O56" s="733"/>
      <c r="Q56" s="728"/>
      <c r="R56" s="661"/>
      <c r="S56" s="228" t="str">
        <f t="array" ref="S56">IFERROR(INDEX('💻シート作成'!$D$6:$D1001, MATCH(T56, '💻シート作成'!$E$6:$E1001, 0)), "")</f>
        <v>2月</v>
      </c>
      <c r="T56" s="171" t="str">
        <f>IFERROR(__xludf.DUMMYFUNCTION("""COMPUTED_VALUE"""),"①R8_2集計")</f>
        <v>①R8_2集計</v>
      </c>
      <c r="U56" s="664"/>
      <c r="V56" s="774"/>
      <c r="W56" s="661"/>
      <c r="X56" s="757"/>
      <c r="Y56" s="661"/>
      <c r="Z56" s="661"/>
    </row>
    <row r="57" hidden="1" outlineLevel="1">
      <c r="A57" s="661"/>
      <c r="B57" s="729"/>
      <c r="C57" s="730"/>
      <c r="D57" s="730"/>
      <c r="E57" s="730"/>
      <c r="F57" s="730"/>
      <c r="G57" s="731"/>
      <c r="H57" s="730"/>
      <c r="I57" s="730"/>
      <c r="J57" s="730"/>
      <c r="K57" s="730"/>
      <c r="L57" s="773"/>
      <c r="M57" s="769"/>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4"/>
      <c r="W57" s="661"/>
      <c r="X57" s="757"/>
      <c r="Y57" s="661"/>
      <c r="Z57" s="661"/>
    </row>
    <row r="58" hidden="1" outlineLevel="1">
      <c r="A58" s="661"/>
      <c r="B58" s="729"/>
      <c r="C58" s="730"/>
      <c r="D58" s="730"/>
      <c r="E58" s="730"/>
      <c r="F58" s="730"/>
      <c r="G58" s="731"/>
      <c r="H58" s="730"/>
      <c r="I58" s="730"/>
      <c r="J58" s="730"/>
      <c r="K58" s="730"/>
      <c r="L58" s="773"/>
      <c r="M58" s="769"/>
      <c r="N58" s="730"/>
      <c r="O58" s="733"/>
      <c r="Q58" s="728"/>
      <c r="R58" s="661"/>
      <c r="S58" s="228" t="str">
        <f t="array" ref="S58">IFERROR(INDEX('💻シート作成'!$D$6:$D1001, MATCH(T58, '💻シート作成'!$E$6:$E1001, 0)), "")</f>
        <v>2月</v>
      </c>
      <c r="T58" s="171" t="str">
        <f>IFERROR(__xludf.DUMMYFUNCTION("""COMPUTED_VALUE"""),"③R8_2日報")</f>
        <v>③R8_2日報</v>
      </c>
      <c r="U58" s="664"/>
      <c r="V58" s="774"/>
      <c r="W58" s="661"/>
      <c r="X58" s="757"/>
      <c r="Y58" s="661"/>
      <c r="Z58" s="661"/>
    </row>
    <row r="59" hidden="1" outlineLevel="1">
      <c r="A59" s="661"/>
      <c r="B59" s="729"/>
      <c r="C59" s="730"/>
      <c r="D59" s="730"/>
      <c r="E59" s="730"/>
      <c r="F59" s="730"/>
      <c r="G59" s="731"/>
      <c r="H59" s="730"/>
      <c r="I59" s="730"/>
      <c r="J59" s="730"/>
      <c r="K59" s="730"/>
      <c r="L59" s="773"/>
      <c r="M59" s="769"/>
      <c r="N59" s="730"/>
      <c r="O59" s="733"/>
      <c r="Q59" s="728"/>
      <c r="R59" s="661"/>
      <c r="S59" s="228" t="str">
        <f t="array" ref="S59">IFERROR(INDEX('💻シート作成'!$D$6:$D1001, MATCH(T59, '💻シート作成'!$E$6:$E1001, 0)), "")</f>
        <v>2月</v>
      </c>
      <c r="T59" s="171" t="str">
        <f>IFERROR(__xludf.DUMMYFUNCTION("""COMPUTED_VALUE"""),"④R8_2月報")</f>
        <v>④R8_2月報</v>
      </c>
      <c r="U59" s="664"/>
      <c r="V59" s="774"/>
      <c r="W59" s="661"/>
      <c r="X59" s="757"/>
      <c r="Y59" s="661"/>
      <c r="Z59" s="661"/>
    </row>
    <row r="60" hidden="1" outlineLevel="1">
      <c r="A60" s="661"/>
      <c r="B60" s="729"/>
      <c r="C60" s="730"/>
      <c r="D60" s="730"/>
      <c r="E60" s="730"/>
      <c r="F60" s="730"/>
      <c r="G60" s="731"/>
      <c r="H60" s="730"/>
      <c r="I60" s="730"/>
      <c r="J60" s="730"/>
      <c r="K60" s="730"/>
      <c r="L60" s="773"/>
      <c r="M60" s="769"/>
      <c r="N60" s="730"/>
      <c r="O60" s="733"/>
      <c r="Q60" s="728"/>
      <c r="R60" s="661"/>
      <c r="S60" s="228" t="str">
        <f t="array" ref="S60">IFERROR(INDEX('💻シート作成'!$D$6:$D1001, MATCH(T60, '💻シート作成'!$E$6:$E1001, 0)), "")</f>
        <v/>
      </c>
      <c r="T60" s="171" t="str">
        <f>IFERROR(__xludf.DUMMYFUNCTION("""COMPUTED_VALUE"""),"💻シート作成")</f>
        <v>💻シート作成</v>
      </c>
      <c r="U60" s="664"/>
      <c r="V60" s="774"/>
      <c r="W60" s="661"/>
      <c r="X60" s="757"/>
      <c r="Y60" s="661"/>
      <c r="Z60" s="661"/>
    </row>
    <row r="61" hidden="1" outlineLevel="1">
      <c r="A61" s="661"/>
      <c r="B61" s="729"/>
      <c r="C61" s="730"/>
      <c r="D61" s="730"/>
      <c r="E61" s="730"/>
      <c r="F61" s="730"/>
      <c r="G61" s="731"/>
      <c r="H61" s="730"/>
      <c r="I61" s="730"/>
      <c r="J61" s="730"/>
      <c r="K61" s="730"/>
      <c r="L61" s="773"/>
      <c r="M61" s="769"/>
      <c r="N61" s="730"/>
      <c r="O61" s="733"/>
      <c r="Q61" s="728"/>
      <c r="R61" s="661"/>
      <c r="S61" s="228" t="str">
        <f t="array" ref="S61">IFERROR(INDEX('💻シート作成'!$D$6:$D1001, MATCH(T61, '💻シート作成'!$E$6:$E1001, 0)), "")</f>
        <v/>
      </c>
      <c r="T61" s="171" t="str">
        <f>IFERROR(__xludf.DUMMYFUNCTION("""COMPUTED_VALUE"""),"🌟目標数値")</f>
        <v>🌟目標数値</v>
      </c>
      <c r="U61" s="664"/>
      <c r="V61" s="774"/>
      <c r="W61" s="661"/>
      <c r="X61" s="757"/>
      <c r="Y61" s="661"/>
      <c r="Z61" s="661"/>
    </row>
    <row r="62" hidden="1" outlineLevel="1">
      <c r="A62" s="661"/>
      <c r="B62" s="729"/>
      <c r="C62" s="730"/>
      <c r="D62" s="730"/>
      <c r="E62" s="730"/>
      <c r="F62" s="697"/>
      <c r="G62" s="698"/>
      <c r="H62" s="697"/>
      <c r="I62" s="697"/>
      <c r="J62" s="697"/>
      <c r="K62" s="697"/>
      <c r="L62" s="773"/>
      <c r="M62" s="769"/>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4"/>
      <c r="W62" s="661"/>
      <c r="X62" s="757"/>
      <c r="Y62" s="661"/>
      <c r="Z62" s="661"/>
    </row>
    <row r="63" hidden="1" outlineLevel="1">
      <c r="A63" s="661"/>
      <c r="B63" s="738"/>
      <c r="C63" s="697"/>
      <c r="D63" s="697"/>
      <c r="E63" s="697"/>
      <c r="F63" s="739" t="s">
        <v>517</v>
      </c>
      <c r="G63" s="740"/>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4"/>
      <c r="W63" s="661"/>
      <c r="X63" s="757"/>
      <c r="Y63" s="661"/>
      <c r="Z63" s="661"/>
    </row>
    <row r="64" collapsed="1">
      <c r="A64" s="661"/>
      <c r="B64" s="780" t="s">
        <v>522</v>
      </c>
      <c r="C64" s="781"/>
      <c r="D64" s="781"/>
      <c r="E64" s="781"/>
      <c r="F64" s="782"/>
      <c r="G64" s="783"/>
      <c r="H64" s="784"/>
      <c r="I64" s="784"/>
      <c r="J64" s="785"/>
      <c r="K64" s="785"/>
      <c r="L64" s="783"/>
      <c r="M64" s="783"/>
      <c r="N64" s="786"/>
      <c r="O64" s="787"/>
      <c r="P64" s="787"/>
      <c r="Q64" s="788"/>
      <c r="R64" s="661"/>
      <c r="S64" s="228" t="str">
        <f t="array" ref="S64">IFERROR(INDEX('💻シート作成'!$D$6:$D1001, MATCH(T64, '💻シート作成'!$E$6:$E1001, 0)), "")</f>
        <v/>
      </c>
      <c r="T64" s="171" t="str">
        <f>IFERROR(__xludf.DUMMYFUNCTION("""COMPUTED_VALUE"""),"①集計_原本")</f>
        <v>①集計_原本</v>
      </c>
      <c r="U64" s="664"/>
      <c r="V64" s="774"/>
      <c r="W64" s="661"/>
      <c r="X64" s="757"/>
      <c r="Y64" s="661"/>
      <c r="Z64" s="661"/>
    </row>
    <row r="65" hidden="1" outlineLevel="1">
      <c r="A65" s="661"/>
      <c r="B65" s="743"/>
      <c r="C65" s="744">
        <f>IF(C53="","",IF(DAY(C53+1)=1,"",C53+1))</f>
        <v>46059</v>
      </c>
      <c r="D65" s="745" t="str">
        <f>TEXT(C65,"ddd")</f>
        <v>金</v>
      </c>
      <c r="E65" s="746"/>
      <c r="F65" s="775" t="s">
        <v>518</v>
      </c>
      <c r="G65" s="776" t="s">
        <v>519</v>
      </c>
      <c r="H65" s="777"/>
      <c r="I65" s="778">
        <v>0.0</v>
      </c>
      <c r="J65" s="745"/>
      <c r="K65" s="745"/>
      <c r="L65" s="755"/>
      <c r="M65" s="755"/>
      <c r="N65" s="775"/>
      <c r="O65" s="779"/>
      <c r="P65" s="771"/>
      <c r="Q65" s="772"/>
      <c r="R65" s="661"/>
      <c r="S65" s="228" t="str">
        <f t="array" ref="S65">IFERROR(INDEX('💻シート作成'!$D$6:$D1001, MATCH(T65, '💻シート作成'!$E$6:$E1001, 0)), "")</f>
        <v/>
      </c>
      <c r="T65" s="171" t="str">
        <f>IFERROR(__xludf.DUMMYFUNCTION("""COMPUTED_VALUE"""),"②シフト_原本")</f>
        <v>②シフト_原本</v>
      </c>
      <c r="U65" s="664"/>
      <c r="V65" s="774"/>
      <c r="W65" s="661"/>
      <c r="X65" s="757"/>
      <c r="Y65" s="661"/>
      <c r="Z65" s="661"/>
    </row>
    <row r="66" hidden="1" outlineLevel="1">
      <c r="A66" s="661"/>
      <c r="B66" s="729"/>
      <c r="C66" s="730"/>
      <c r="D66" s="730"/>
      <c r="E66" s="730"/>
      <c r="F66" s="730"/>
      <c r="G66" s="731"/>
      <c r="H66" s="730"/>
      <c r="I66" s="730"/>
      <c r="J66" s="730"/>
      <c r="K66" s="730"/>
      <c r="L66" s="755"/>
      <c r="M66" s="755"/>
      <c r="N66" s="730"/>
      <c r="O66" s="733"/>
      <c r="Q66" s="728"/>
      <c r="R66" s="661"/>
      <c r="S66" s="228" t="str">
        <f t="array" ref="S66">IFERROR(INDEX('💻シート作成'!$D$6:$D1001, MATCH(T66, '💻シート作成'!$E$6:$E1001, 0)), "")</f>
        <v/>
      </c>
      <c r="T66" s="171" t="str">
        <f>IFERROR(__xludf.DUMMYFUNCTION("""COMPUTED_VALUE"""),"③日報_原本")</f>
        <v>③日報_原本</v>
      </c>
      <c r="U66" s="664"/>
      <c r="V66" s="774"/>
      <c r="W66" s="661"/>
      <c r="X66" s="757"/>
      <c r="Y66" s="661"/>
      <c r="Z66" s="661"/>
    </row>
    <row r="67" hidden="1" outlineLevel="1">
      <c r="A67" s="661"/>
      <c r="B67" s="729"/>
      <c r="C67" s="730"/>
      <c r="D67" s="730"/>
      <c r="E67" s="730"/>
      <c r="F67" s="730"/>
      <c r="G67" s="731"/>
      <c r="H67" s="730"/>
      <c r="I67" s="730"/>
      <c r="J67" s="730"/>
      <c r="K67" s="730"/>
      <c r="L67" s="755"/>
      <c r="M67" s="755"/>
      <c r="N67" s="730"/>
      <c r="O67" s="733"/>
      <c r="Q67" s="728"/>
      <c r="R67" s="661"/>
      <c r="S67" s="228" t="str">
        <f t="array" ref="S67">IFERROR(INDEX('💻シート作成'!$D$6:$D1001, MATCH(T67, '💻シート作成'!$E$6:$E1001, 0)), "")</f>
        <v/>
      </c>
      <c r="T67" s="171" t="str">
        <f>IFERROR(__xludf.DUMMYFUNCTION("""COMPUTED_VALUE"""),"④月報_原本")</f>
        <v>④月報_原本</v>
      </c>
      <c r="U67" s="664"/>
      <c r="V67" s="774"/>
      <c r="W67" s="661"/>
      <c r="X67" s="757"/>
      <c r="Y67" s="661"/>
      <c r="Z67" s="661"/>
    </row>
    <row r="68" hidden="1" outlineLevel="1">
      <c r="A68" s="661"/>
      <c r="B68" s="729"/>
      <c r="C68" s="730"/>
      <c r="D68" s="730"/>
      <c r="E68" s="730"/>
      <c r="F68" s="730"/>
      <c r="G68" s="731"/>
      <c r="H68" s="730"/>
      <c r="I68" s="730"/>
      <c r="J68" s="730"/>
      <c r="K68" s="730"/>
      <c r="L68" s="756"/>
      <c r="M68" s="755"/>
      <c r="N68" s="730"/>
      <c r="O68" s="733"/>
      <c r="Q68" s="728"/>
      <c r="R68" s="661"/>
      <c r="S68" s="228" t="str">
        <f t="array" ref="S68">IFERROR(INDEX('💻シート作成'!$D$6:$D1001, MATCH(T68, '💻シート作成'!$E$6:$E1001, 0)), "")</f>
        <v/>
      </c>
      <c r="T68" s="172"/>
      <c r="U68" s="664"/>
      <c r="V68" s="774"/>
      <c r="W68" s="661"/>
      <c r="X68" s="757"/>
      <c r="Y68" s="661"/>
      <c r="Z68" s="661"/>
    </row>
    <row r="69" hidden="1" outlineLevel="1">
      <c r="A69" s="661"/>
      <c r="B69" s="729"/>
      <c r="C69" s="730"/>
      <c r="D69" s="730"/>
      <c r="E69" s="730"/>
      <c r="F69" s="730"/>
      <c r="G69" s="731"/>
      <c r="H69" s="730"/>
      <c r="I69" s="730"/>
      <c r="J69" s="730"/>
      <c r="K69" s="730"/>
      <c r="L69" s="756"/>
      <c r="M69" s="755"/>
      <c r="N69" s="730"/>
      <c r="O69" s="733"/>
      <c r="Q69" s="728"/>
      <c r="R69" s="661"/>
      <c r="S69" s="228" t="str">
        <f t="array" ref="S69">IFERROR(INDEX('💻シート作成'!$D$6:$D1001, MATCH(T69, '💻シート作成'!$E$6:$E1001, 0)), "")</f>
        <v/>
      </c>
      <c r="T69" s="172"/>
      <c r="U69" s="664"/>
      <c r="V69" s="774"/>
      <c r="W69" s="661"/>
      <c r="X69" s="757"/>
      <c r="Y69" s="661"/>
      <c r="Z69" s="661"/>
    </row>
    <row r="70" hidden="1" outlineLevel="1">
      <c r="A70" s="661"/>
      <c r="B70" s="729"/>
      <c r="C70" s="730"/>
      <c r="D70" s="730"/>
      <c r="E70" s="730"/>
      <c r="F70" s="730"/>
      <c r="G70" s="731"/>
      <c r="H70" s="730"/>
      <c r="I70" s="730"/>
      <c r="J70" s="730"/>
      <c r="K70" s="730"/>
      <c r="L70" s="756"/>
      <c r="M70" s="755"/>
      <c r="N70" s="730"/>
      <c r="O70" s="733"/>
      <c r="Q70" s="728"/>
      <c r="R70" s="661"/>
      <c r="S70" s="228" t="str">
        <f t="array" ref="S70">IFERROR(INDEX('💻シート作成'!$D$6:$D1001, MATCH(T70, '💻シート作成'!$E$6:$E1001, 0)), "")</f>
        <v/>
      </c>
      <c r="T70" s="172"/>
      <c r="U70" s="664"/>
      <c r="V70" s="774"/>
      <c r="W70" s="661"/>
      <c r="X70" s="757"/>
      <c r="Y70" s="661"/>
      <c r="Z70" s="661"/>
    </row>
    <row r="71" hidden="1" outlineLevel="1">
      <c r="A71" s="661"/>
      <c r="B71" s="729"/>
      <c r="C71" s="730"/>
      <c r="D71" s="730"/>
      <c r="E71" s="730"/>
      <c r="F71" s="730"/>
      <c r="G71" s="731"/>
      <c r="H71" s="730"/>
      <c r="I71" s="730"/>
      <c r="J71" s="730"/>
      <c r="K71" s="730"/>
      <c r="L71" s="756"/>
      <c r="M71" s="755"/>
      <c r="N71" s="730"/>
      <c r="O71" s="733"/>
      <c r="Q71" s="728"/>
      <c r="R71" s="661"/>
      <c r="S71" s="228" t="str">
        <f t="array" ref="S71">IFERROR(INDEX('💻シート作成'!$D$6:$D1001, MATCH(T71, '💻シート作成'!$E$6:$E1001, 0)), "")</f>
        <v/>
      </c>
      <c r="T71" s="172"/>
      <c r="U71" s="664"/>
      <c r="V71" s="774"/>
      <c r="W71" s="661"/>
      <c r="X71" s="757"/>
      <c r="Y71" s="661"/>
      <c r="Z71" s="661"/>
    </row>
    <row r="72" hidden="1" outlineLevel="1">
      <c r="A72" s="661"/>
      <c r="B72" s="729"/>
      <c r="C72" s="730"/>
      <c r="D72" s="730"/>
      <c r="E72" s="730"/>
      <c r="F72" s="730"/>
      <c r="G72" s="731"/>
      <c r="H72" s="730"/>
      <c r="I72" s="730"/>
      <c r="J72" s="730"/>
      <c r="K72" s="730"/>
      <c r="L72" s="756"/>
      <c r="M72" s="755"/>
      <c r="N72" s="730"/>
      <c r="O72" s="733"/>
      <c r="Q72" s="728"/>
      <c r="R72" s="661"/>
      <c r="S72" s="228" t="str">
        <f t="array" ref="S72">IFERROR(INDEX('💻シート作成'!$D$6:$D1001, MATCH(T72, '💻シート作成'!$E$6:$E1001, 0)), "")</f>
        <v/>
      </c>
      <c r="T72" s="172"/>
      <c r="U72" s="664"/>
      <c r="V72" s="774"/>
      <c r="W72" s="661"/>
      <c r="X72" s="757"/>
      <c r="Y72" s="661"/>
      <c r="Z72" s="661"/>
    </row>
    <row r="73" hidden="1" outlineLevel="1">
      <c r="A73" s="661"/>
      <c r="B73" s="729"/>
      <c r="C73" s="730"/>
      <c r="D73" s="730"/>
      <c r="E73" s="730"/>
      <c r="F73" s="730"/>
      <c r="G73" s="731"/>
      <c r="H73" s="730"/>
      <c r="I73" s="730"/>
      <c r="J73" s="730"/>
      <c r="K73" s="730"/>
      <c r="L73" s="756"/>
      <c r="M73" s="755"/>
      <c r="N73" s="730"/>
      <c r="O73" s="733"/>
      <c r="Q73" s="728"/>
      <c r="R73" s="661"/>
      <c r="S73" s="228" t="str">
        <f t="array" ref="S73">IFERROR(INDEX('💻シート作成'!$D$6:$D1001, MATCH(T73, '💻シート作成'!$E$6:$E1001, 0)), "")</f>
        <v/>
      </c>
      <c r="T73" s="172"/>
      <c r="U73" s="664"/>
      <c r="V73" s="774"/>
      <c r="W73" s="661"/>
      <c r="X73" s="757"/>
      <c r="Y73" s="661"/>
      <c r="Z73" s="661"/>
    </row>
    <row r="74" hidden="1" outlineLevel="1">
      <c r="A74" s="661"/>
      <c r="B74" s="729"/>
      <c r="C74" s="730"/>
      <c r="D74" s="730"/>
      <c r="E74" s="730"/>
      <c r="F74" s="697"/>
      <c r="G74" s="698"/>
      <c r="H74" s="697"/>
      <c r="I74" s="697"/>
      <c r="J74" s="697"/>
      <c r="K74" s="697"/>
      <c r="L74" s="756"/>
      <c r="M74" s="755"/>
      <c r="N74" s="697"/>
      <c r="O74" s="700"/>
      <c r="P74" s="701"/>
      <c r="Q74" s="737"/>
      <c r="R74" s="661"/>
      <c r="S74" s="228" t="str">
        <f t="array" ref="S74">IFERROR(INDEX('💻シート作成'!$D$6:$D1001, MATCH(T74, '💻シート作成'!$E$6:$E1001, 0)), "")</f>
        <v/>
      </c>
      <c r="T74" s="172"/>
      <c r="U74" s="664"/>
      <c r="V74" s="774"/>
      <c r="W74" s="661"/>
      <c r="X74" s="757"/>
      <c r="Y74" s="661"/>
      <c r="Z74" s="661"/>
    </row>
    <row r="75" hidden="1" outlineLevel="1">
      <c r="A75" s="661"/>
      <c r="B75" s="738"/>
      <c r="C75" s="697"/>
      <c r="D75" s="697"/>
      <c r="E75" s="697"/>
      <c r="F75" s="758" t="s">
        <v>517</v>
      </c>
      <c r="G75" s="759"/>
      <c r="H75" s="741"/>
      <c r="I75" s="741"/>
      <c r="J75" s="741"/>
      <c r="K75" s="741"/>
      <c r="L75" s="759"/>
      <c r="M75" s="759"/>
      <c r="N75" s="759"/>
      <c r="O75" s="759"/>
      <c r="P75" s="759"/>
      <c r="Q75" s="760"/>
      <c r="R75" s="661"/>
      <c r="S75" s="228" t="str">
        <f t="array" ref="S75">IFERROR(INDEX('💻シート作成'!$D$6:$D1001, MATCH(T75, '💻シート作成'!$E$6:$E1001, 0)), "")</f>
        <v/>
      </c>
      <c r="T75" s="172"/>
      <c r="U75" s="664"/>
      <c r="V75" s="774"/>
      <c r="W75" s="661"/>
      <c r="X75" s="757"/>
      <c r="Y75" s="661"/>
      <c r="Z75" s="661"/>
    </row>
    <row r="76" hidden="1" outlineLevel="1">
      <c r="A76" s="661"/>
      <c r="B76" s="761"/>
      <c r="C76" s="762">
        <f>IF(C65="","",IF(DAY(C65+1)=1,"",C65+1))</f>
        <v>46060</v>
      </c>
      <c r="D76" s="763" t="str">
        <f>TEXT(C76,"ddd")</f>
        <v>土</v>
      </c>
      <c r="E76" s="764"/>
      <c r="F76" s="765" t="s">
        <v>518</v>
      </c>
      <c r="G76" s="766" t="s">
        <v>519</v>
      </c>
      <c r="H76" s="767"/>
      <c r="I76" s="768">
        <v>0.0</v>
      </c>
      <c r="J76" s="763"/>
      <c r="K76" s="763"/>
      <c r="L76" s="769"/>
      <c r="M76" s="769"/>
      <c r="N76" s="765"/>
      <c r="O76" s="770"/>
      <c r="P76" s="771"/>
      <c r="Q76" s="772"/>
      <c r="R76" s="661"/>
      <c r="S76" s="228" t="str">
        <f t="array" ref="S76">IFERROR(INDEX('💻シート作成'!$D$6:$D1001, MATCH(T76, '💻シート作成'!$E$6:$E1001, 0)), "")</f>
        <v/>
      </c>
      <c r="T76" s="172"/>
      <c r="U76" s="664"/>
      <c r="V76" s="774"/>
      <c r="W76" s="661"/>
      <c r="X76" s="757"/>
      <c r="Y76" s="661"/>
      <c r="Z76" s="661"/>
    </row>
    <row r="77" hidden="1" outlineLevel="1">
      <c r="A77" s="661"/>
      <c r="B77" s="729"/>
      <c r="C77" s="730"/>
      <c r="D77" s="730"/>
      <c r="E77" s="730"/>
      <c r="F77" s="730"/>
      <c r="G77" s="731"/>
      <c r="H77" s="730"/>
      <c r="I77" s="730"/>
      <c r="J77" s="730"/>
      <c r="K77" s="730"/>
      <c r="L77" s="769"/>
      <c r="M77" s="769"/>
      <c r="N77" s="730"/>
      <c r="O77" s="733"/>
      <c r="Q77" s="728"/>
      <c r="R77" s="661"/>
      <c r="S77" s="228" t="str">
        <f t="array" ref="S77">IFERROR(INDEX('💻シート作成'!$D$6:$D1001, MATCH(T77, '💻シート作成'!$E$6:$E1001, 0)), "")</f>
        <v/>
      </c>
      <c r="T77" s="172"/>
      <c r="U77" s="664"/>
      <c r="V77" s="774"/>
      <c r="W77" s="661"/>
      <c r="X77" s="757"/>
      <c r="Y77" s="661"/>
      <c r="Z77" s="661"/>
    </row>
    <row r="78" hidden="1" outlineLevel="1">
      <c r="A78" s="661"/>
      <c r="B78" s="729"/>
      <c r="C78" s="730"/>
      <c r="D78" s="730"/>
      <c r="E78" s="730"/>
      <c r="F78" s="730"/>
      <c r="G78" s="731"/>
      <c r="H78" s="730"/>
      <c r="I78" s="730"/>
      <c r="J78" s="730"/>
      <c r="K78" s="730"/>
      <c r="L78" s="769"/>
      <c r="M78" s="769"/>
      <c r="N78" s="730"/>
      <c r="O78" s="733"/>
      <c r="Q78" s="728"/>
      <c r="R78" s="661"/>
      <c r="S78" s="228" t="str">
        <f t="array" ref="S78">IFERROR(INDEX('💻シート作成'!$D$6:$D1001, MATCH(T78, '💻シート作成'!$E$6:$E1001, 0)), "")</f>
        <v/>
      </c>
      <c r="T78" s="172"/>
      <c r="U78" s="664"/>
      <c r="V78" s="774"/>
      <c r="W78" s="661"/>
      <c r="X78" s="757"/>
      <c r="Y78" s="661"/>
      <c r="Z78" s="661"/>
    </row>
    <row r="79" hidden="1" outlineLevel="1">
      <c r="A79" s="661"/>
      <c r="B79" s="729"/>
      <c r="C79" s="730"/>
      <c r="D79" s="730"/>
      <c r="E79" s="730"/>
      <c r="F79" s="730"/>
      <c r="G79" s="731"/>
      <c r="H79" s="730"/>
      <c r="I79" s="730"/>
      <c r="J79" s="730"/>
      <c r="K79" s="730"/>
      <c r="L79" s="773"/>
      <c r="M79" s="769"/>
      <c r="N79" s="730"/>
      <c r="O79" s="733"/>
      <c r="Q79" s="728"/>
      <c r="R79" s="661"/>
      <c r="S79" s="228" t="str">
        <f t="array" ref="S79">IFERROR(INDEX('💻シート作成'!$D$6:$D1001, MATCH(T79, '💻シート作成'!$E$6:$E1001, 0)), "")</f>
        <v/>
      </c>
      <c r="T79" s="172"/>
      <c r="U79" s="664"/>
      <c r="V79" s="774"/>
      <c r="W79" s="661"/>
      <c r="X79" s="757"/>
      <c r="Y79" s="661"/>
      <c r="Z79" s="661"/>
    </row>
    <row r="80" hidden="1" outlineLevel="1">
      <c r="A80" s="661"/>
      <c r="B80" s="729"/>
      <c r="C80" s="730"/>
      <c r="D80" s="730"/>
      <c r="E80" s="730"/>
      <c r="F80" s="730"/>
      <c r="G80" s="731"/>
      <c r="H80" s="730"/>
      <c r="I80" s="730"/>
      <c r="J80" s="730"/>
      <c r="K80" s="730"/>
      <c r="L80" s="773"/>
      <c r="M80" s="769"/>
      <c r="N80" s="730"/>
      <c r="O80" s="733"/>
      <c r="Q80" s="728"/>
      <c r="R80" s="661"/>
      <c r="S80" s="228" t="str">
        <f t="array" ref="S80">IFERROR(INDEX('💻シート作成'!$D$6:$D1001, MATCH(T80, '💻シート作成'!$E$6:$E1001, 0)), "")</f>
        <v/>
      </c>
      <c r="T80" s="172"/>
      <c r="U80" s="664"/>
      <c r="V80" s="774"/>
      <c r="W80" s="661"/>
      <c r="X80" s="757"/>
      <c r="Y80" s="661"/>
      <c r="Z80" s="661"/>
    </row>
    <row r="81" hidden="1" outlineLevel="1">
      <c r="A81" s="661"/>
      <c r="B81" s="729"/>
      <c r="C81" s="730"/>
      <c r="D81" s="730"/>
      <c r="E81" s="730"/>
      <c r="F81" s="730"/>
      <c r="G81" s="731"/>
      <c r="H81" s="730"/>
      <c r="I81" s="730"/>
      <c r="J81" s="730"/>
      <c r="K81" s="730"/>
      <c r="L81" s="773"/>
      <c r="M81" s="769"/>
      <c r="N81" s="730"/>
      <c r="O81" s="733"/>
      <c r="Q81" s="728"/>
      <c r="R81" s="661"/>
      <c r="S81" s="228" t="str">
        <f t="array" ref="S81">IFERROR(INDEX('💻シート作成'!$D$6:$D1001, MATCH(T81, '💻シート作成'!$E$6:$E1001, 0)), "")</f>
        <v/>
      </c>
      <c r="T81" s="172"/>
      <c r="U81" s="664"/>
      <c r="V81" s="774"/>
      <c r="W81" s="661"/>
      <c r="X81" s="757"/>
      <c r="Y81" s="661"/>
      <c r="Z81" s="661"/>
    </row>
    <row r="82" hidden="1" outlineLevel="1">
      <c r="A82" s="661"/>
      <c r="B82" s="729"/>
      <c r="C82" s="730"/>
      <c r="D82" s="730"/>
      <c r="E82" s="730"/>
      <c r="F82" s="730"/>
      <c r="G82" s="731"/>
      <c r="H82" s="730"/>
      <c r="I82" s="730"/>
      <c r="J82" s="730"/>
      <c r="K82" s="730"/>
      <c r="L82" s="773"/>
      <c r="M82" s="769"/>
      <c r="N82" s="730"/>
      <c r="O82" s="733"/>
      <c r="Q82" s="728"/>
      <c r="R82" s="661"/>
      <c r="S82" s="228" t="str">
        <f t="array" ref="S82">IFERROR(INDEX('💻シート作成'!$D$6:$D1001, MATCH(T82, '💻シート作成'!$E$6:$E1001, 0)), "")</f>
        <v/>
      </c>
      <c r="T82" s="172"/>
      <c r="U82" s="664"/>
      <c r="V82" s="774"/>
      <c r="W82" s="661"/>
      <c r="X82" s="757"/>
      <c r="Y82" s="661"/>
      <c r="Z82" s="661"/>
    </row>
    <row r="83" hidden="1" outlineLevel="1">
      <c r="A83" s="661"/>
      <c r="B83" s="729"/>
      <c r="C83" s="730"/>
      <c r="D83" s="730"/>
      <c r="E83" s="730"/>
      <c r="F83" s="730"/>
      <c r="G83" s="731"/>
      <c r="H83" s="730"/>
      <c r="I83" s="730"/>
      <c r="J83" s="730"/>
      <c r="K83" s="730"/>
      <c r="L83" s="773"/>
      <c r="M83" s="769"/>
      <c r="N83" s="730"/>
      <c r="O83" s="733"/>
      <c r="Q83" s="728"/>
      <c r="R83" s="661"/>
      <c r="S83" s="228" t="str">
        <f t="array" ref="S83">IFERROR(INDEX('💻シート作成'!$D$6:$D1001, MATCH(T83, '💻シート作成'!$E$6:$E1001, 0)), "")</f>
        <v/>
      </c>
      <c r="T83" s="172"/>
      <c r="U83" s="664"/>
      <c r="V83" s="774"/>
      <c r="W83" s="661"/>
      <c r="X83" s="757"/>
      <c r="Y83" s="661"/>
      <c r="Z83" s="661"/>
    </row>
    <row r="84" hidden="1" outlineLevel="1">
      <c r="A84" s="661"/>
      <c r="B84" s="729"/>
      <c r="C84" s="730"/>
      <c r="D84" s="730"/>
      <c r="E84" s="730"/>
      <c r="F84" s="730"/>
      <c r="G84" s="731"/>
      <c r="H84" s="730"/>
      <c r="I84" s="730"/>
      <c r="J84" s="730"/>
      <c r="K84" s="730"/>
      <c r="L84" s="773"/>
      <c r="M84" s="769"/>
      <c r="N84" s="730"/>
      <c r="O84" s="733"/>
      <c r="Q84" s="728"/>
      <c r="R84" s="661"/>
      <c r="S84" s="228" t="str">
        <f t="array" ref="S84">IFERROR(INDEX('💻シート作成'!$D$6:$D1001, MATCH(T84, '💻シート作成'!$E$6:$E1001, 0)), "")</f>
        <v/>
      </c>
      <c r="T84" s="172"/>
      <c r="U84" s="664"/>
      <c r="V84" s="774"/>
      <c r="W84" s="661"/>
      <c r="X84" s="757"/>
      <c r="Y84" s="661"/>
      <c r="Z84" s="661"/>
    </row>
    <row r="85" hidden="1" outlineLevel="1">
      <c r="A85" s="661"/>
      <c r="B85" s="729"/>
      <c r="C85" s="730"/>
      <c r="D85" s="730"/>
      <c r="E85" s="730"/>
      <c r="F85" s="697"/>
      <c r="G85" s="698"/>
      <c r="H85" s="697"/>
      <c r="I85" s="697"/>
      <c r="J85" s="697"/>
      <c r="K85" s="697"/>
      <c r="L85" s="773"/>
      <c r="M85" s="769"/>
      <c r="N85" s="697"/>
      <c r="O85" s="700"/>
      <c r="P85" s="701"/>
      <c r="Q85" s="737"/>
      <c r="R85" s="661"/>
      <c r="S85" s="228" t="str">
        <f t="array" ref="S85">IFERROR(INDEX('💻シート作成'!$D$6:$D1001, MATCH(T85, '💻シート作成'!$E$6:$E1001, 0)), "")</f>
        <v/>
      </c>
      <c r="T85" s="172"/>
      <c r="U85" s="664"/>
      <c r="V85" s="774"/>
      <c r="W85" s="661"/>
      <c r="X85" s="757"/>
      <c r="Y85" s="661"/>
      <c r="Z85" s="661"/>
    </row>
    <row r="86" hidden="1" outlineLevel="1">
      <c r="A86" s="661"/>
      <c r="B86" s="738"/>
      <c r="C86" s="697"/>
      <c r="D86" s="697"/>
      <c r="E86" s="697"/>
      <c r="F86" s="739" t="s">
        <v>517</v>
      </c>
      <c r="G86" s="740"/>
      <c r="H86" s="741"/>
      <c r="I86" s="741"/>
      <c r="J86" s="741"/>
      <c r="K86" s="741"/>
      <c r="L86" s="740"/>
      <c r="M86" s="740"/>
      <c r="N86" s="740"/>
      <c r="O86" s="740"/>
      <c r="P86" s="740"/>
      <c r="Q86" s="742"/>
      <c r="R86" s="661"/>
      <c r="S86" s="228" t="str">
        <f t="array" ref="S86">IFERROR(INDEX('💻シート作成'!$D$6:$D1001, MATCH(T86, '💻シート作成'!$E$6:$E1001, 0)), "")</f>
        <v/>
      </c>
      <c r="T86" s="172"/>
      <c r="U86" s="664"/>
      <c r="V86" s="774"/>
      <c r="W86" s="661"/>
      <c r="X86" s="757"/>
      <c r="Y86" s="661"/>
      <c r="Z86" s="661"/>
    </row>
    <row r="87" hidden="1" outlineLevel="1">
      <c r="A87" s="661"/>
      <c r="B87" s="743"/>
      <c r="C87" s="744">
        <f>IF(C76="","",IF(DAY(C76+1)=1,"",C76+1))</f>
        <v>46061</v>
      </c>
      <c r="D87" s="745" t="str">
        <f>TEXT(C87,"ddd")</f>
        <v>日</v>
      </c>
      <c r="E87" s="746"/>
      <c r="F87" s="775" t="s">
        <v>518</v>
      </c>
      <c r="G87" s="776" t="s">
        <v>519</v>
      </c>
      <c r="H87" s="777"/>
      <c r="I87" s="778">
        <v>0.0</v>
      </c>
      <c r="J87" s="745"/>
      <c r="K87" s="745"/>
      <c r="L87" s="755"/>
      <c r="M87" s="755"/>
      <c r="N87" s="775"/>
      <c r="O87" s="779"/>
      <c r="P87" s="771"/>
      <c r="Q87" s="772"/>
      <c r="R87" s="661"/>
      <c r="S87" s="228" t="str">
        <f t="array" ref="S87">IFERROR(INDEX('💻シート作成'!$D$6:$D1001, MATCH(T87, '💻シート作成'!$E$6:$E1001, 0)), "")</f>
        <v/>
      </c>
      <c r="T87" s="172"/>
      <c r="U87" s="664"/>
      <c r="V87" s="774"/>
      <c r="W87" s="661"/>
      <c r="X87" s="757"/>
      <c r="Y87" s="661"/>
      <c r="Z87" s="661"/>
    </row>
    <row r="88" hidden="1" outlineLevel="1">
      <c r="A88" s="661"/>
      <c r="B88" s="729"/>
      <c r="C88" s="730"/>
      <c r="D88" s="730"/>
      <c r="E88" s="730"/>
      <c r="F88" s="730"/>
      <c r="G88" s="731"/>
      <c r="H88" s="730"/>
      <c r="I88" s="730"/>
      <c r="J88" s="730"/>
      <c r="K88" s="730"/>
      <c r="L88" s="755"/>
      <c r="M88" s="755"/>
      <c r="N88" s="730"/>
      <c r="O88" s="733"/>
      <c r="Q88" s="728"/>
      <c r="R88" s="661"/>
      <c r="S88" s="228" t="str">
        <f t="array" ref="S88">IFERROR(INDEX('💻シート作成'!$D$6:$D1001, MATCH(T88, '💻シート作成'!$E$6:$E1001, 0)), "")</f>
        <v/>
      </c>
      <c r="T88" s="172"/>
      <c r="U88" s="664"/>
      <c r="V88" s="774"/>
      <c r="W88" s="661"/>
      <c r="X88" s="757"/>
      <c r="Y88" s="661"/>
      <c r="Z88" s="661"/>
    </row>
    <row r="89" hidden="1" outlineLevel="1">
      <c r="A89" s="661"/>
      <c r="B89" s="729"/>
      <c r="C89" s="730"/>
      <c r="D89" s="730"/>
      <c r="E89" s="730"/>
      <c r="F89" s="730"/>
      <c r="G89" s="731"/>
      <c r="H89" s="730"/>
      <c r="I89" s="730"/>
      <c r="J89" s="730"/>
      <c r="K89" s="730"/>
      <c r="L89" s="755"/>
      <c r="M89" s="755"/>
      <c r="N89" s="730"/>
      <c r="O89" s="733"/>
      <c r="Q89" s="728"/>
      <c r="R89" s="661"/>
      <c r="S89" s="228" t="str">
        <f t="array" ref="S89">IFERROR(INDEX('💻シート作成'!$D$6:$D1001, MATCH(T89, '💻シート作成'!$E$6:$E1001, 0)), "")</f>
        <v/>
      </c>
      <c r="T89" s="172"/>
      <c r="U89" s="664"/>
      <c r="V89" s="774"/>
      <c r="W89" s="661"/>
      <c r="X89" s="757"/>
      <c r="Y89" s="661"/>
      <c r="Z89" s="661"/>
    </row>
    <row r="90" hidden="1" outlineLevel="1">
      <c r="A90" s="661"/>
      <c r="B90" s="729"/>
      <c r="C90" s="730"/>
      <c r="D90" s="730"/>
      <c r="E90" s="730"/>
      <c r="F90" s="730"/>
      <c r="G90" s="731"/>
      <c r="H90" s="730"/>
      <c r="I90" s="730"/>
      <c r="J90" s="730"/>
      <c r="K90" s="730"/>
      <c r="L90" s="756"/>
      <c r="M90" s="755"/>
      <c r="N90" s="730"/>
      <c r="O90" s="733"/>
      <c r="Q90" s="728"/>
      <c r="R90" s="661"/>
      <c r="S90" s="228" t="str">
        <f t="array" ref="S90">IFERROR(INDEX('💻シート作成'!$D$6:$D1001, MATCH(T90, '💻シート作成'!$E$6:$E1001, 0)), "")</f>
        <v/>
      </c>
      <c r="T90" s="172"/>
      <c r="U90" s="664"/>
      <c r="V90" s="774"/>
      <c r="W90" s="661"/>
      <c r="X90" s="757"/>
      <c r="Y90" s="661"/>
      <c r="Z90" s="661"/>
    </row>
    <row r="91" hidden="1" outlineLevel="1">
      <c r="A91" s="661"/>
      <c r="B91" s="729"/>
      <c r="C91" s="730"/>
      <c r="D91" s="730"/>
      <c r="E91" s="730"/>
      <c r="F91" s="730"/>
      <c r="G91" s="731"/>
      <c r="H91" s="730"/>
      <c r="I91" s="730"/>
      <c r="J91" s="730"/>
      <c r="K91" s="730"/>
      <c r="L91" s="756"/>
      <c r="M91" s="755"/>
      <c r="N91" s="730"/>
      <c r="O91" s="733"/>
      <c r="Q91" s="728"/>
      <c r="R91" s="661"/>
      <c r="S91" s="228" t="str">
        <f t="array" ref="S91">IFERROR(INDEX('💻シート作成'!$D$6:$D1001, MATCH(T91, '💻シート作成'!$E$6:$E1001, 0)), "")</f>
        <v/>
      </c>
      <c r="T91" s="172"/>
      <c r="U91" s="664"/>
      <c r="V91" s="774"/>
      <c r="W91" s="661"/>
      <c r="X91" s="757"/>
      <c r="Y91" s="661"/>
      <c r="Z91" s="661"/>
    </row>
    <row r="92" hidden="1" outlineLevel="1">
      <c r="A92" s="661"/>
      <c r="B92" s="729"/>
      <c r="C92" s="730"/>
      <c r="D92" s="730"/>
      <c r="E92" s="730"/>
      <c r="F92" s="730"/>
      <c r="G92" s="731"/>
      <c r="H92" s="730"/>
      <c r="I92" s="730"/>
      <c r="J92" s="730"/>
      <c r="K92" s="730"/>
      <c r="L92" s="756"/>
      <c r="M92" s="755"/>
      <c r="N92" s="730"/>
      <c r="O92" s="733"/>
      <c r="Q92" s="728"/>
      <c r="R92" s="661"/>
      <c r="S92" s="228" t="str">
        <f t="array" ref="S92">IFERROR(INDEX('💻シート作成'!$D$6:$D1001, MATCH(T92, '💻シート作成'!$E$6:$E1001, 0)), "")</f>
        <v/>
      </c>
      <c r="T92" s="172"/>
      <c r="U92" s="664"/>
      <c r="V92" s="774"/>
      <c r="W92" s="661"/>
      <c r="X92" s="757"/>
      <c r="Y92" s="661"/>
      <c r="Z92" s="661"/>
    </row>
    <row r="93" hidden="1" outlineLevel="1">
      <c r="A93" s="661"/>
      <c r="B93" s="729"/>
      <c r="C93" s="730"/>
      <c r="D93" s="730"/>
      <c r="E93" s="730"/>
      <c r="F93" s="730"/>
      <c r="G93" s="731"/>
      <c r="H93" s="730"/>
      <c r="I93" s="730"/>
      <c r="J93" s="730"/>
      <c r="K93" s="730"/>
      <c r="L93" s="756"/>
      <c r="M93" s="755"/>
      <c r="N93" s="730"/>
      <c r="O93" s="733"/>
      <c r="Q93" s="728"/>
      <c r="R93" s="661"/>
      <c r="S93" s="228" t="str">
        <f t="array" ref="S93">IFERROR(INDEX('💻シート作成'!$D$6:$D1001, MATCH(T93, '💻シート作成'!$E$6:$E1001, 0)), "")</f>
        <v/>
      </c>
      <c r="T93" s="172"/>
      <c r="U93" s="664"/>
      <c r="V93" s="774"/>
      <c r="W93" s="661"/>
      <c r="X93" s="757"/>
      <c r="Y93" s="661"/>
      <c r="Z93" s="661"/>
    </row>
    <row r="94" hidden="1" outlineLevel="1">
      <c r="A94" s="661"/>
      <c r="B94" s="729"/>
      <c r="C94" s="730"/>
      <c r="D94" s="730"/>
      <c r="E94" s="730"/>
      <c r="F94" s="730"/>
      <c r="G94" s="731"/>
      <c r="H94" s="730"/>
      <c r="I94" s="730"/>
      <c r="J94" s="730"/>
      <c r="K94" s="730"/>
      <c r="L94" s="756"/>
      <c r="M94" s="755"/>
      <c r="N94" s="730"/>
      <c r="O94" s="733"/>
      <c r="Q94" s="728"/>
      <c r="R94" s="661"/>
      <c r="S94" s="228" t="str">
        <f t="array" ref="S94">IFERROR(INDEX('💻シート作成'!$D$6:$D1001, MATCH(T94, '💻シート作成'!$E$6:$E1001, 0)), "")</f>
        <v/>
      </c>
      <c r="T94" s="172"/>
      <c r="U94" s="664"/>
      <c r="V94" s="774"/>
      <c r="W94" s="661"/>
      <c r="X94" s="757"/>
      <c r="Y94" s="661"/>
      <c r="Z94" s="661"/>
    </row>
    <row r="95" hidden="1" outlineLevel="1">
      <c r="A95" s="661"/>
      <c r="B95" s="729"/>
      <c r="C95" s="730"/>
      <c r="D95" s="730"/>
      <c r="E95" s="730"/>
      <c r="F95" s="730"/>
      <c r="G95" s="731"/>
      <c r="H95" s="730"/>
      <c r="I95" s="730"/>
      <c r="J95" s="730"/>
      <c r="K95" s="730"/>
      <c r="L95" s="756"/>
      <c r="M95" s="755"/>
      <c r="N95" s="730"/>
      <c r="O95" s="733"/>
      <c r="Q95" s="728"/>
      <c r="R95" s="661"/>
      <c r="S95" s="228" t="str">
        <f t="array" ref="S95">IFERROR(INDEX('💻シート作成'!$D$6:$D1001, MATCH(T95, '💻シート作成'!$E$6:$E1001, 0)), "")</f>
        <v/>
      </c>
      <c r="T95" s="172"/>
      <c r="U95" s="664"/>
      <c r="V95" s="774"/>
      <c r="W95" s="661"/>
      <c r="X95" s="757"/>
      <c r="Y95" s="661"/>
      <c r="Z95" s="661"/>
    </row>
    <row r="96" hidden="1" outlineLevel="1">
      <c r="A96" s="661"/>
      <c r="B96" s="729"/>
      <c r="C96" s="730"/>
      <c r="D96" s="730"/>
      <c r="E96" s="730"/>
      <c r="F96" s="697"/>
      <c r="G96" s="698"/>
      <c r="H96" s="697"/>
      <c r="I96" s="697"/>
      <c r="J96" s="697"/>
      <c r="K96" s="697"/>
      <c r="L96" s="756"/>
      <c r="M96" s="755"/>
      <c r="N96" s="697"/>
      <c r="O96" s="700"/>
      <c r="P96" s="701"/>
      <c r="Q96" s="737"/>
      <c r="R96" s="661"/>
      <c r="S96" s="228" t="str">
        <f t="array" ref="S96">IFERROR(INDEX('💻シート作成'!$D$6:$D1001, MATCH(T96, '💻シート作成'!$E$6:$E1001, 0)), "")</f>
        <v/>
      </c>
      <c r="T96" s="172"/>
      <c r="U96" s="664"/>
      <c r="V96" s="774"/>
      <c r="W96" s="661"/>
      <c r="X96" s="757"/>
      <c r="Y96" s="661"/>
      <c r="Z96" s="661"/>
    </row>
    <row r="97" hidden="1" outlineLevel="1">
      <c r="A97" s="661"/>
      <c r="B97" s="738"/>
      <c r="C97" s="697"/>
      <c r="D97" s="697"/>
      <c r="E97" s="697"/>
      <c r="F97" s="758" t="s">
        <v>517</v>
      </c>
      <c r="G97" s="759"/>
      <c r="H97" s="741"/>
      <c r="I97" s="741"/>
      <c r="J97" s="741"/>
      <c r="K97" s="741"/>
      <c r="L97" s="759"/>
      <c r="M97" s="759"/>
      <c r="N97" s="759"/>
      <c r="O97" s="759"/>
      <c r="P97" s="759"/>
      <c r="Q97" s="760"/>
      <c r="R97" s="661"/>
      <c r="S97" s="228" t="str">
        <f t="array" ref="S97">IFERROR(INDEX('💻シート作成'!$D$6:$D1001, MATCH(T97, '💻シート作成'!$E$6:$E1001, 0)), "")</f>
        <v/>
      </c>
      <c r="T97" s="172"/>
      <c r="U97" s="664"/>
      <c r="V97" s="774"/>
      <c r="W97" s="661"/>
      <c r="X97" s="757"/>
      <c r="Y97" s="661"/>
      <c r="Z97" s="661"/>
    </row>
    <row r="98" hidden="1" outlineLevel="1">
      <c r="A98" s="661"/>
      <c r="B98" s="761"/>
      <c r="C98" s="762">
        <f>IF(C87="","",IF(DAY(C87+1)=1,"",C87+1))</f>
        <v>46062</v>
      </c>
      <c r="D98" s="763" t="str">
        <f>TEXT(C98,"ddd")</f>
        <v>月</v>
      </c>
      <c r="E98" s="764"/>
      <c r="F98" s="765" t="s">
        <v>518</v>
      </c>
      <c r="G98" s="766" t="s">
        <v>519</v>
      </c>
      <c r="H98" s="767"/>
      <c r="I98" s="768">
        <v>0.0</v>
      </c>
      <c r="J98" s="763"/>
      <c r="K98" s="763"/>
      <c r="L98" s="769"/>
      <c r="M98" s="769"/>
      <c r="N98" s="765"/>
      <c r="O98" s="770"/>
      <c r="P98" s="771"/>
      <c r="Q98" s="772"/>
      <c r="R98" s="661"/>
      <c r="S98" s="228" t="str">
        <f t="array" ref="S98">IFERROR(INDEX('💻シート作成'!$D$6:$D1001, MATCH(T98, '💻シート作成'!$E$6:$E1001, 0)), "")</f>
        <v/>
      </c>
      <c r="T98" s="172"/>
      <c r="U98" s="664"/>
      <c r="V98" s="774"/>
      <c r="W98" s="661"/>
      <c r="X98" s="757"/>
      <c r="Y98" s="661"/>
      <c r="Z98" s="661"/>
    </row>
    <row r="99" hidden="1" outlineLevel="1">
      <c r="A99" s="661"/>
      <c r="B99" s="729"/>
      <c r="C99" s="730"/>
      <c r="D99" s="730"/>
      <c r="E99" s="730"/>
      <c r="F99" s="730"/>
      <c r="G99" s="731"/>
      <c r="H99" s="730"/>
      <c r="I99" s="730"/>
      <c r="J99" s="730"/>
      <c r="K99" s="730"/>
      <c r="L99" s="769"/>
      <c r="M99" s="769"/>
      <c r="N99" s="730"/>
      <c r="O99" s="733"/>
      <c r="Q99" s="728"/>
      <c r="R99" s="661"/>
      <c r="S99" s="228" t="str">
        <f t="array" ref="S99">IFERROR(INDEX('💻シート作成'!$D$6:$D1001, MATCH(T99, '💻シート作成'!$E$6:$E1001, 0)), "")</f>
        <v/>
      </c>
      <c r="T99" s="172"/>
      <c r="U99" s="664"/>
      <c r="V99" s="774"/>
      <c r="W99" s="661"/>
      <c r="X99" s="757"/>
      <c r="Y99" s="661"/>
      <c r="Z99" s="661"/>
    </row>
    <row r="100" hidden="1" outlineLevel="1">
      <c r="A100" s="661"/>
      <c r="B100" s="729"/>
      <c r="C100" s="730"/>
      <c r="D100" s="730"/>
      <c r="E100" s="730"/>
      <c r="F100" s="730"/>
      <c r="G100" s="731"/>
      <c r="H100" s="730"/>
      <c r="I100" s="730"/>
      <c r="J100" s="730"/>
      <c r="K100" s="730"/>
      <c r="L100" s="769"/>
      <c r="M100" s="769"/>
      <c r="N100" s="730"/>
      <c r="O100" s="733"/>
      <c r="Q100" s="728"/>
      <c r="R100" s="661"/>
      <c r="S100" s="228" t="str">
        <f t="array" ref="S100">IFERROR(INDEX('💻シート作成'!$D$6:$D1001, MATCH(T100, '💻シート作成'!$E$6:$E1001, 0)), "")</f>
        <v/>
      </c>
      <c r="T100" s="172"/>
      <c r="U100" s="664"/>
      <c r="V100" s="774"/>
      <c r="W100" s="661"/>
      <c r="X100" s="757"/>
      <c r="Y100" s="661"/>
      <c r="Z100" s="661"/>
    </row>
    <row r="101" hidden="1" outlineLevel="1">
      <c r="A101" s="661"/>
      <c r="B101" s="729"/>
      <c r="C101" s="730"/>
      <c r="D101" s="730"/>
      <c r="E101" s="730"/>
      <c r="F101" s="730"/>
      <c r="G101" s="731"/>
      <c r="H101" s="730"/>
      <c r="I101" s="730"/>
      <c r="J101" s="730"/>
      <c r="K101" s="730"/>
      <c r="L101" s="773"/>
      <c r="M101" s="769"/>
      <c r="N101" s="730"/>
      <c r="O101" s="733"/>
      <c r="Q101" s="728"/>
      <c r="R101" s="661"/>
      <c r="S101" s="228" t="str">
        <f t="array" ref="S101">IFERROR(INDEX('💻シート作成'!$D$6:$D1001, MATCH(T101, '💻シート作成'!$E$6:$E1001, 0)), "")</f>
        <v/>
      </c>
      <c r="T101" s="172"/>
      <c r="U101" s="664"/>
      <c r="V101" s="774"/>
      <c r="W101" s="661"/>
      <c r="X101" s="757"/>
      <c r="Y101" s="661"/>
      <c r="Z101" s="661"/>
    </row>
    <row r="102" hidden="1" outlineLevel="1">
      <c r="A102" s="661"/>
      <c r="B102" s="729"/>
      <c r="C102" s="730"/>
      <c r="D102" s="730"/>
      <c r="E102" s="730"/>
      <c r="F102" s="730"/>
      <c r="G102" s="731"/>
      <c r="H102" s="730"/>
      <c r="I102" s="730"/>
      <c r="J102" s="730"/>
      <c r="K102" s="730"/>
      <c r="L102" s="773"/>
      <c r="M102" s="769"/>
      <c r="N102" s="730"/>
      <c r="O102" s="733"/>
      <c r="Q102" s="728"/>
      <c r="R102" s="661"/>
      <c r="S102" s="228" t="str">
        <f t="array" ref="S102">IFERROR(INDEX('💻シート作成'!$D$6:$D1001, MATCH(T102, '💻シート作成'!$E$6:$E1001, 0)), "")</f>
        <v/>
      </c>
      <c r="T102" s="172"/>
      <c r="U102" s="664"/>
      <c r="V102" s="774"/>
      <c r="W102" s="661"/>
      <c r="X102" s="757"/>
      <c r="Y102" s="661"/>
      <c r="Z102" s="661"/>
    </row>
    <row r="103" hidden="1" outlineLevel="1">
      <c r="A103" s="661"/>
      <c r="B103" s="729"/>
      <c r="C103" s="730"/>
      <c r="D103" s="730"/>
      <c r="E103" s="730"/>
      <c r="F103" s="730"/>
      <c r="G103" s="731"/>
      <c r="H103" s="730"/>
      <c r="I103" s="730"/>
      <c r="J103" s="730"/>
      <c r="K103" s="730"/>
      <c r="L103" s="773"/>
      <c r="M103" s="769"/>
      <c r="N103" s="730"/>
      <c r="O103" s="733"/>
      <c r="Q103" s="728"/>
      <c r="R103" s="661"/>
      <c r="S103" s="228" t="str">
        <f t="array" ref="S103">IFERROR(INDEX('💻シート作成'!$D$6:$D1001, MATCH(T103, '💻シート作成'!$E$6:$E1001, 0)), "")</f>
        <v/>
      </c>
      <c r="T103" s="172"/>
      <c r="U103" s="664"/>
      <c r="V103" s="774"/>
      <c r="W103" s="661"/>
      <c r="X103" s="757"/>
      <c r="Y103" s="661"/>
      <c r="Z103" s="661"/>
    </row>
    <row r="104" hidden="1" outlineLevel="1">
      <c r="A104" s="661"/>
      <c r="B104" s="729"/>
      <c r="C104" s="730"/>
      <c r="D104" s="730"/>
      <c r="E104" s="730"/>
      <c r="F104" s="730"/>
      <c r="G104" s="731"/>
      <c r="H104" s="730"/>
      <c r="I104" s="730"/>
      <c r="J104" s="730"/>
      <c r="K104" s="730"/>
      <c r="L104" s="773"/>
      <c r="M104" s="769"/>
      <c r="N104" s="730"/>
      <c r="O104" s="733"/>
      <c r="Q104" s="728"/>
      <c r="R104" s="661"/>
      <c r="S104" s="228" t="str">
        <f t="array" ref="S104">IFERROR(INDEX('💻シート作成'!$D$6:$D1001, MATCH(T104, '💻シート作成'!$E$6:$E1001, 0)), "")</f>
        <v/>
      </c>
      <c r="T104" s="172"/>
      <c r="U104" s="664"/>
      <c r="V104" s="774"/>
      <c r="W104" s="661"/>
      <c r="X104" s="757"/>
      <c r="Y104" s="661"/>
      <c r="Z104" s="661"/>
    </row>
    <row r="105" hidden="1" outlineLevel="1">
      <c r="A105" s="661"/>
      <c r="B105" s="729"/>
      <c r="C105" s="730"/>
      <c r="D105" s="730"/>
      <c r="E105" s="730"/>
      <c r="F105" s="730"/>
      <c r="G105" s="731"/>
      <c r="H105" s="730"/>
      <c r="I105" s="730"/>
      <c r="J105" s="730"/>
      <c r="K105" s="730"/>
      <c r="L105" s="773"/>
      <c r="M105" s="769"/>
      <c r="N105" s="730"/>
      <c r="O105" s="733"/>
      <c r="Q105" s="728"/>
      <c r="R105" s="661"/>
      <c r="S105" s="228" t="str">
        <f t="array" ref="S105">IFERROR(INDEX('💻シート作成'!$D$6:$D1001, MATCH(T105, '💻シート作成'!$E$6:$E1001, 0)), "")</f>
        <v/>
      </c>
      <c r="T105" s="172"/>
      <c r="U105" s="664"/>
      <c r="V105" s="774"/>
      <c r="W105" s="661"/>
      <c r="X105" s="757"/>
      <c r="Y105" s="661"/>
      <c r="Z105" s="661"/>
    </row>
    <row r="106" hidden="1" outlineLevel="1">
      <c r="A106" s="661"/>
      <c r="B106" s="729"/>
      <c r="C106" s="730"/>
      <c r="D106" s="730"/>
      <c r="E106" s="730"/>
      <c r="F106" s="730"/>
      <c r="G106" s="731"/>
      <c r="H106" s="730"/>
      <c r="I106" s="730"/>
      <c r="J106" s="730"/>
      <c r="K106" s="730"/>
      <c r="L106" s="773"/>
      <c r="M106" s="769"/>
      <c r="N106" s="730"/>
      <c r="O106" s="733"/>
      <c r="Q106" s="728"/>
      <c r="R106" s="661"/>
      <c r="S106" s="228" t="str">
        <f t="array" ref="S106">IFERROR(INDEX('💻シート作成'!$D$6:$D1001, MATCH(T106, '💻シート作成'!$E$6:$E1001, 0)), "")</f>
        <v/>
      </c>
      <c r="T106" s="172"/>
      <c r="U106" s="664"/>
      <c r="V106" s="774"/>
      <c r="W106" s="661"/>
      <c r="X106" s="757"/>
      <c r="Y106" s="661"/>
      <c r="Z106" s="661"/>
    </row>
    <row r="107" hidden="1" outlineLevel="1">
      <c r="A107" s="661"/>
      <c r="B107" s="729"/>
      <c r="C107" s="730"/>
      <c r="D107" s="730"/>
      <c r="E107" s="730"/>
      <c r="F107" s="697"/>
      <c r="G107" s="698"/>
      <c r="H107" s="697"/>
      <c r="I107" s="697"/>
      <c r="J107" s="697"/>
      <c r="K107" s="697"/>
      <c r="L107" s="773"/>
      <c r="M107" s="769"/>
      <c r="N107" s="697"/>
      <c r="O107" s="700"/>
      <c r="P107" s="701"/>
      <c r="Q107" s="737"/>
      <c r="R107" s="661"/>
      <c r="S107" s="228" t="str">
        <f t="array" ref="S107">IFERROR(INDEX('💻シート作成'!$D$6:$D1001, MATCH(T107, '💻シート作成'!$E$6:$E1001, 0)), "")</f>
        <v/>
      </c>
      <c r="T107" s="172"/>
      <c r="U107" s="664"/>
      <c r="V107" s="774"/>
      <c r="W107" s="661"/>
      <c r="X107" s="757"/>
      <c r="Y107" s="661"/>
      <c r="Z107" s="661"/>
    </row>
    <row r="108" hidden="1" outlineLevel="1">
      <c r="A108" s="661"/>
      <c r="B108" s="738"/>
      <c r="C108" s="697"/>
      <c r="D108" s="697"/>
      <c r="E108" s="697"/>
      <c r="F108" s="739" t="s">
        <v>517</v>
      </c>
      <c r="G108" s="740"/>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4"/>
      <c r="W108" s="661"/>
      <c r="X108" s="757"/>
      <c r="Y108" s="661"/>
      <c r="Z108" s="661"/>
    </row>
    <row r="109" hidden="1" outlineLevel="1">
      <c r="A109" s="661"/>
      <c r="B109" s="743"/>
      <c r="C109" s="744">
        <f>IF(C98="","",IF(DAY(C98+1)=1,"",C98+1))</f>
        <v>46063</v>
      </c>
      <c r="D109" s="745" t="str">
        <f>TEXT(C109,"ddd")</f>
        <v>火</v>
      </c>
      <c r="E109" s="746"/>
      <c r="F109" s="775" t="s">
        <v>518</v>
      </c>
      <c r="G109" s="776" t="s">
        <v>519</v>
      </c>
      <c r="H109" s="777"/>
      <c r="I109" s="778">
        <v>0.0</v>
      </c>
      <c r="J109" s="745"/>
      <c r="K109" s="745"/>
      <c r="L109" s="755"/>
      <c r="M109" s="755"/>
      <c r="N109" s="775"/>
      <c r="O109" s="779"/>
      <c r="P109" s="771"/>
      <c r="Q109" s="772"/>
      <c r="R109" s="661"/>
      <c r="S109" s="228" t="str">
        <f t="array" ref="S109">IFERROR(INDEX('💻シート作成'!$D$6:$D1001, MATCH(T109, '💻シート作成'!$E$6:$E1001, 0)), "")</f>
        <v/>
      </c>
      <c r="T109" s="172"/>
      <c r="U109" s="664"/>
      <c r="V109" s="774"/>
      <c r="W109" s="661"/>
      <c r="X109" s="757"/>
      <c r="Y109" s="661"/>
      <c r="Z109" s="661"/>
    </row>
    <row r="110" hidden="1" outlineLevel="1">
      <c r="A110" s="661"/>
      <c r="B110" s="729"/>
      <c r="C110" s="730"/>
      <c r="D110" s="730"/>
      <c r="E110" s="730"/>
      <c r="F110" s="730"/>
      <c r="G110" s="731"/>
      <c r="H110" s="730"/>
      <c r="I110" s="730"/>
      <c r="J110" s="730"/>
      <c r="K110" s="730"/>
      <c r="L110" s="755"/>
      <c r="M110" s="755"/>
      <c r="N110" s="730"/>
      <c r="O110" s="733"/>
      <c r="Q110" s="728"/>
      <c r="R110" s="661"/>
      <c r="S110" s="228" t="str">
        <f t="array" ref="S110">IFERROR(INDEX('💻シート作成'!$D$6:$D1001, MATCH(T110, '💻シート作成'!$E$6:$E1001, 0)), "")</f>
        <v/>
      </c>
      <c r="T110" s="184"/>
      <c r="U110" s="664"/>
      <c r="V110" s="774"/>
      <c r="W110" s="661"/>
      <c r="X110" s="757"/>
      <c r="Y110" s="661"/>
      <c r="Z110" s="661"/>
    </row>
    <row r="111" hidden="1" outlineLevel="1">
      <c r="A111" s="661"/>
      <c r="B111" s="729"/>
      <c r="C111" s="730"/>
      <c r="D111" s="730"/>
      <c r="E111" s="730"/>
      <c r="F111" s="730"/>
      <c r="G111" s="731"/>
      <c r="H111" s="730"/>
      <c r="I111" s="730"/>
      <c r="J111" s="730"/>
      <c r="K111" s="730"/>
      <c r="L111" s="755"/>
      <c r="M111" s="755"/>
      <c r="N111" s="730"/>
      <c r="O111" s="733"/>
      <c r="Q111" s="728"/>
      <c r="R111" s="661"/>
      <c r="S111" s="228" t="str">
        <f t="array" ref="S111">IFERROR(INDEX('💻シート作成'!$D$6:$D1001, MATCH(T111, '💻シート作成'!$E$6:$E1001, 0)), "")</f>
        <v/>
      </c>
      <c r="T111" s="184"/>
      <c r="U111" s="664"/>
      <c r="V111" s="774"/>
      <c r="W111" s="661"/>
      <c r="X111" s="757"/>
      <c r="Y111" s="661"/>
      <c r="Z111" s="661"/>
    </row>
    <row r="112" hidden="1" outlineLevel="1">
      <c r="A112" s="661"/>
      <c r="B112" s="729"/>
      <c r="C112" s="730"/>
      <c r="D112" s="730"/>
      <c r="E112" s="730"/>
      <c r="F112" s="730"/>
      <c r="G112" s="731"/>
      <c r="H112" s="730"/>
      <c r="I112" s="730"/>
      <c r="J112" s="730"/>
      <c r="K112" s="730"/>
      <c r="L112" s="756"/>
      <c r="M112" s="755"/>
      <c r="N112" s="730"/>
      <c r="O112" s="733"/>
      <c r="Q112" s="728"/>
      <c r="R112" s="661"/>
      <c r="S112" s="228" t="str">
        <f t="array" ref="S112">IFERROR(INDEX('💻シート作成'!$D$6:$D1001, MATCH(T112, '💻シート作成'!$E$6:$E1001, 0)), "")</f>
        <v/>
      </c>
      <c r="T112" s="184"/>
      <c r="U112" s="664"/>
      <c r="V112" s="774"/>
      <c r="W112" s="661"/>
      <c r="X112" s="757"/>
      <c r="Y112" s="661"/>
      <c r="Z112" s="661"/>
    </row>
    <row r="113" hidden="1" outlineLevel="1">
      <c r="A113" s="661"/>
      <c r="B113" s="729"/>
      <c r="C113" s="730"/>
      <c r="D113" s="730"/>
      <c r="E113" s="730"/>
      <c r="F113" s="730"/>
      <c r="G113" s="731"/>
      <c r="H113" s="730"/>
      <c r="I113" s="730"/>
      <c r="J113" s="730"/>
      <c r="K113" s="730"/>
      <c r="L113" s="756"/>
      <c r="M113" s="755"/>
      <c r="N113" s="730"/>
      <c r="O113" s="733"/>
      <c r="Q113" s="728"/>
      <c r="R113" s="661"/>
      <c r="S113" s="228" t="str">
        <f t="array" ref="S113">IFERROR(INDEX('💻シート作成'!$D$6:$D1001, MATCH(T113, '💻シート作成'!$E$6:$E1001, 0)), "")</f>
        <v/>
      </c>
      <c r="T113" s="184"/>
      <c r="U113" s="664"/>
      <c r="V113" s="774"/>
      <c r="W113" s="661"/>
      <c r="X113" s="757"/>
      <c r="Y113" s="661"/>
      <c r="Z113" s="661"/>
    </row>
    <row r="114" hidden="1" outlineLevel="1">
      <c r="A114" s="661"/>
      <c r="B114" s="729"/>
      <c r="C114" s="730"/>
      <c r="D114" s="730"/>
      <c r="E114" s="730"/>
      <c r="F114" s="730"/>
      <c r="G114" s="731"/>
      <c r="H114" s="730"/>
      <c r="I114" s="730"/>
      <c r="J114" s="730"/>
      <c r="K114" s="730"/>
      <c r="L114" s="756"/>
      <c r="M114" s="755"/>
      <c r="N114" s="730"/>
      <c r="O114" s="733"/>
      <c r="Q114" s="728"/>
      <c r="R114" s="661"/>
      <c r="S114" s="228" t="str">
        <f t="array" ref="S114">IFERROR(INDEX('💻シート作成'!$D$6:$D1001, MATCH(T114, '💻シート作成'!$E$6:$E1001, 0)), "")</f>
        <v/>
      </c>
      <c r="T114" s="184"/>
      <c r="U114" s="664"/>
      <c r="V114" s="774"/>
      <c r="W114" s="661"/>
      <c r="X114" s="757"/>
      <c r="Y114" s="661"/>
      <c r="Z114" s="661"/>
    </row>
    <row r="115" hidden="1" outlineLevel="1">
      <c r="A115" s="661"/>
      <c r="B115" s="729"/>
      <c r="C115" s="730"/>
      <c r="D115" s="730"/>
      <c r="E115" s="730"/>
      <c r="F115" s="730"/>
      <c r="G115" s="731"/>
      <c r="H115" s="730"/>
      <c r="I115" s="730"/>
      <c r="J115" s="730"/>
      <c r="K115" s="730"/>
      <c r="L115" s="756"/>
      <c r="M115" s="755"/>
      <c r="N115" s="730"/>
      <c r="O115" s="733"/>
      <c r="Q115" s="728"/>
      <c r="R115" s="661"/>
      <c r="S115" s="228" t="str">
        <f t="array" ref="S115">IFERROR(INDEX('💻シート作成'!$D$6:$D1001, MATCH(T115, '💻シート作成'!$E$6:$E1001, 0)), "")</f>
        <v/>
      </c>
      <c r="T115" s="184"/>
      <c r="U115" s="664"/>
      <c r="V115" s="774"/>
      <c r="W115" s="661"/>
      <c r="X115" s="757"/>
      <c r="Y115" s="661"/>
      <c r="Z115" s="661"/>
    </row>
    <row r="116" hidden="1" outlineLevel="1">
      <c r="A116" s="661"/>
      <c r="B116" s="729"/>
      <c r="C116" s="730"/>
      <c r="D116" s="730"/>
      <c r="E116" s="730"/>
      <c r="F116" s="730"/>
      <c r="G116" s="731"/>
      <c r="H116" s="730"/>
      <c r="I116" s="730"/>
      <c r="J116" s="730"/>
      <c r="K116" s="730"/>
      <c r="L116" s="756"/>
      <c r="M116" s="755"/>
      <c r="N116" s="730"/>
      <c r="O116" s="733"/>
      <c r="Q116" s="728"/>
      <c r="R116" s="661"/>
      <c r="S116" s="228" t="str">
        <f t="array" ref="S116">IFERROR(INDEX('💻シート作成'!$D$6:$D1001, MATCH(T116, '💻シート作成'!$E$6:$E1001, 0)), "")</f>
        <v/>
      </c>
      <c r="T116" s="184"/>
      <c r="U116" s="664"/>
      <c r="V116" s="774"/>
      <c r="W116" s="661"/>
      <c r="X116" s="757"/>
      <c r="Y116" s="661"/>
      <c r="Z116" s="661"/>
    </row>
    <row r="117" hidden="1" outlineLevel="1">
      <c r="A117" s="661"/>
      <c r="B117" s="729"/>
      <c r="C117" s="730"/>
      <c r="D117" s="730"/>
      <c r="E117" s="730"/>
      <c r="F117" s="730"/>
      <c r="G117" s="731"/>
      <c r="H117" s="730"/>
      <c r="I117" s="730"/>
      <c r="J117" s="730"/>
      <c r="K117" s="730"/>
      <c r="L117" s="756"/>
      <c r="M117" s="755"/>
      <c r="N117" s="730"/>
      <c r="O117" s="733"/>
      <c r="Q117" s="728"/>
      <c r="R117" s="661"/>
      <c r="S117" s="228" t="str">
        <f t="array" ref="S117">IFERROR(INDEX('💻シート作成'!$D$6:$D1001, MATCH(T117, '💻シート作成'!$E$6:$E1001, 0)), "")</f>
        <v/>
      </c>
      <c r="T117" s="184"/>
      <c r="U117" s="664"/>
      <c r="V117" s="774"/>
      <c r="W117" s="661"/>
      <c r="X117" s="757"/>
      <c r="Y117" s="661"/>
      <c r="Z117" s="661"/>
    </row>
    <row r="118" hidden="1" outlineLevel="1">
      <c r="A118" s="661"/>
      <c r="B118" s="729"/>
      <c r="C118" s="730"/>
      <c r="D118" s="730"/>
      <c r="E118" s="730"/>
      <c r="F118" s="697"/>
      <c r="G118" s="698"/>
      <c r="H118" s="697"/>
      <c r="I118" s="697"/>
      <c r="J118" s="697"/>
      <c r="K118" s="697"/>
      <c r="L118" s="756"/>
      <c r="M118" s="755"/>
      <c r="N118" s="697"/>
      <c r="O118" s="700"/>
      <c r="P118" s="701"/>
      <c r="Q118" s="737"/>
      <c r="R118" s="661"/>
      <c r="S118" s="228" t="str">
        <f t="array" ref="S118">IFERROR(INDEX('💻シート作成'!$D$6:$D1001, MATCH(T118, '💻シート作成'!$E$6:$E1001, 0)), "")</f>
        <v/>
      </c>
      <c r="T118" s="184"/>
      <c r="U118" s="664"/>
      <c r="V118" s="774"/>
      <c r="W118" s="661"/>
      <c r="X118" s="757"/>
      <c r="Y118" s="661"/>
      <c r="Z118" s="661"/>
    </row>
    <row r="119" hidden="1" outlineLevel="1">
      <c r="A119" s="661"/>
      <c r="B119" s="738"/>
      <c r="C119" s="697"/>
      <c r="D119" s="697"/>
      <c r="E119" s="697"/>
      <c r="F119" s="758" t="s">
        <v>517</v>
      </c>
      <c r="G119" s="759"/>
      <c r="H119" s="741"/>
      <c r="I119" s="741"/>
      <c r="J119" s="741"/>
      <c r="K119" s="741"/>
      <c r="L119" s="759"/>
      <c r="M119" s="759"/>
      <c r="N119" s="759"/>
      <c r="O119" s="759"/>
      <c r="P119" s="759"/>
      <c r="Q119" s="760"/>
      <c r="R119" s="661"/>
      <c r="S119" s="228" t="str">
        <f t="array" ref="S119">IFERROR(INDEX('💻シート作成'!$D$6:$D1001, MATCH(T119, '💻シート作成'!$E$6:$E1001, 0)), "")</f>
        <v/>
      </c>
      <c r="T119" s="184"/>
      <c r="U119" s="664"/>
      <c r="V119" s="774"/>
      <c r="W119" s="661"/>
      <c r="X119" s="757"/>
      <c r="Y119" s="661"/>
      <c r="Z119" s="661"/>
    </row>
    <row r="120" collapsed="1">
      <c r="A120" s="661"/>
      <c r="B120" s="780" t="s">
        <v>523</v>
      </c>
      <c r="C120" s="781"/>
      <c r="D120" s="781"/>
      <c r="E120" s="781"/>
      <c r="F120" s="782"/>
      <c r="G120" s="783"/>
      <c r="H120" s="784"/>
      <c r="I120" s="784"/>
      <c r="J120" s="785"/>
      <c r="K120" s="785"/>
      <c r="L120" s="783"/>
      <c r="M120" s="783"/>
      <c r="N120" s="786"/>
      <c r="O120" s="787"/>
      <c r="P120" s="787"/>
      <c r="Q120" s="788"/>
      <c r="R120" s="661"/>
      <c r="S120" s="228" t="str">
        <f t="array" ref="S120">IFERROR(INDEX('💻シート作成'!$D$6:$D1001, MATCH(T120, '💻シート作成'!$E$6:$E1001, 0)), "")</f>
        <v/>
      </c>
      <c r="T120" s="184"/>
      <c r="U120" s="664"/>
      <c r="V120" s="774"/>
      <c r="W120" s="661"/>
      <c r="X120" s="757"/>
      <c r="Y120" s="661"/>
      <c r="Z120" s="661"/>
    </row>
    <row r="121" hidden="1" outlineLevel="1">
      <c r="A121" s="661"/>
      <c r="B121" s="761"/>
      <c r="C121" s="762">
        <f>IF(C109="","",IF(DAY(C109+1)=1,"",C109+1))</f>
        <v>46064</v>
      </c>
      <c r="D121" s="763" t="str">
        <f>TEXT(C121,"ddd")</f>
        <v>水</v>
      </c>
      <c r="E121" s="764"/>
      <c r="F121" s="765" t="s">
        <v>518</v>
      </c>
      <c r="G121" s="766" t="s">
        <v>519</v>
      </c>
      <c r="H121" s="767"/>
      <c r="I121" s="768">
        <v>0.0</v>
      </c>
      <c r="J121" s="763"/>
      <c r="K121" s="763"/>
      <c r="L121" s="769"/>
      <c r="M121" s="769"/>
      <c r="N121" s="765"/>
      <c r="O121" s="770"/>
      <c r="P121" s="771"/>
      <c r="Q121" s="772"/>
      <c r="R121" s="661"/>
      <c r="S121" s="228" t="str">
        <f t="array" ref="S121">IFERROR(INDEX('💻シート作成'!$D$6:$D1001, MATCH(T121, '💻シート作成'!$E$6:$E1001, 0)), "")</f>
        <v/>
      </c>
      <c r="T121" s="184"/>
      <c r="U121" s="664"/>
      <c r="V121" s="774"/>
      <c r="W121" s="661"/>
      <c r="X121" s="757"/>
      <c r="Y121" s="661"/>
      <c r="Z121" s="661"/>
    </row>
    <row r="122" hidden="1" outlineLevel="1">
      <c r="A122" s="661"/>
      <c r="B122" s="729"/>
      <c r="C122" s="730"/>
      <c r="D122" s="730"/>
      <c r="E122" s="730"/>
      <c r="F122" s="730"/>
      <c r="G122" s="731"/>
      <c r="H122" s="730"/>
      <c r="I122" s="730"/>
      <c r="J122" s="730"/>
      <c r="K122" s="730"/>
      <c r="L122" s="769"/>
      <c r="M122" s="769"/>
      <c r="N122" s="730"/>
      <c r="O122" s="733"/>
      <c r="Q122" s="728"/>
      <c r="R122" s="661"/>
      <c r="S122" s="228" t="str">
        <f t="array" ref="S122">IFERROR(INDEX('💻シート作成'!$D$6:$D1001, MATCH(T122, '💻シート作成'!$E$6:$E1001, 0)), "")</f>
        <v/>
      </c>
      <c r="T122" s="184"/>
      <c r="U122" s="664"/>
      <c r="V122" s="774"/>
      <c r="W122" s="661"/>
      <c r="X122" s="757"/>
      <c r="Y122" s="661"/>
      <c r="Z122" s="661"/>
    </row>
    <row r="123" hidden="1" outlineLevel="1">
      <c r="A123" s="661"/>
      <c r="B123" s="729"/>
      <c r="C123" s="730"/>
      <c r="D123" s="730"/>
      <c r="E123" s="730"/>
      <c r="F123" s="730"/>
      <c r="G123" s="731"/>
      <c r="H123" s="730"/>
      <c r="I123" s="730"/>
      <c r="J123" s="730"/>
      <c r="K123" s="730"/>
      <c r="L123" s="769"/>
      <c r="M123" s="769"/>
      <c r="N123" s="730"/>
      <c r="O123" s="733"/>
      <c r="Q123" s="728"/>
      <c r="R123" s="661"/>
      <c r="S123" s="228" t="str">
        <f t="array" ref="S123">IFERROR(INDEX('💻シート作成'!$D$6:$D1001, MATCH(T123, '💻シート作成'!$E$6:$E1001, 0)), "")</f>
        <v/>
      </c>
      <c r="T123" s="184"/>
      <c r="U123" s="664"/>
      <c r="V123" s="774"/>
      <c r="W123" s="661"/>
      <c r="X123" s="757"/>
      <c r="Y123" s="661"/>
      <c r="Z123" s="661"/>
    </row>
    <row r="124" hidden="1" outlineLevel="1">
      <c r="A124" s="661"/>
      <c r="B124" s="729"/>
      <c r="C124" s="730"/>
      <c r="D124" s="730"/>
      <c r="E124" s="730"/>
      <c r="F124" s="730"/>
      <c r="G124" s="731"/>
      <c r="H124" s="730"/>
      <c r="I124" s="730"/>
      <c r="J124" s="730"/>
      <c r="K124" s="730"/>
      <c r="L124" s="773"/>
      <c r="M124" s="769"/>
      <c r="N124" s="730"/>
      <c r="O124" s="733"/>
      <c r="Q124" s="728"/>
      <c r="R124" s="661"/>
      <c r="S124" s="228" t="str">
        <f t="array" ref="S124">IFERROR(INDEX('💻シート作成'!$D$6:$D1001, MATCH(T124, '💻シート作成'!$E$6:$E1001, 0)), "")</f>
        <v/>
      </c>
      <c r="T124" s="184"/>
      <c r="U124" s="664"/>
      <c r="V124" s="774"/>
      <c r="W124" s="661"/>
      <c r="X124" s="757"/>
      <c r="Y124" s="661"/>
      <c r="Z124" s="661"/>
    </row>
    <row r="125" hidden="1" outlineLevel="1">
      <c r="A125" s="661"/>
      <c r="B125" s="729"/>
      <c r="C125" s="730"/>
      <c r="D125" s="730"/>
      <c r="E125" s="730"/>
      <c r="F125" s="730"/>
      <c r="G125" s="731"/>
      <c r="H125" s="730"/>
      <c r="I125" s="730"/>
      <c r="J125" s="730"/>
      <c r="K125" s="730"/>
      <c r="L125" s="773"/>
      <c r="M125" s="769"/>
      <c r="N125" s="730"/>
      <c r="O125" s="733"/>
      <c r="Q125" s="728"/>
      <c r="R125" s="661"/>
      <c r="S125" s="228" t="str">
        <f t="array" ref="S125">IFERROR(INDEX('💻シート作成'!$D$6:$D1001, MATCH(T125, '💻シート作成'!$E$6:$E1001, 0)), "")</f>
        <v/>
      </c>
      <c r="T125" s="184"/>
      <c r="U125" s="664"/>
      <c r="V125" s="774"/>
      <c r="W125" s="661"/>
      <c r="X125" s="757"/>
      <c r="Y125" s="661"/>
      <c r="Z125" s="661"/>
    </row>
    <row r="126" hidden="1" outlineLevel="1">
      <c r="A126" s="661"/>
      <c r="B126" s="729"/>
      <c r="C126" s="730"/>
      <c r="D126" s="730"/>
      <c r="E126" s="730"/>
      <c r="F126" s="730"/>
      <c r="G126" s="731"/>
      <c r="H126" s="730"/>
      <c r="I126" s="730"/>
      <c r="J126" s="730"/>
      <c r="K126" s="730"/>
      <c r="L126" s="773"/>
      <c r="M126" s="769"/>
      <c r="N126" s="730"/>
      <c r="O126" s="733"/>
      <c r="Q126" s="728"/>
      <c r="R126" s="661"/>
      <c r="S126" s="228" t="str">
        <f t="array" ref="S126">IFERROR(INDEX('💻シート作成'!$D$6:$D1001, MATCH(T126, '💻シート作成'!$E$6:$E1001, 0)), "")</f>
        <v/>
      </c>
      <c r="T126" s="184"/>
      <c r="U126" s="664"/>
      <c r="V126" s="774"/>
      <c r="W126" s="661"/>
      <c r="X126" s="757"/>
      <c r="Y126" s="661"/>
      <c r="Z126" s="661"/>
    </row>
    <row r="127" hidden="1" outlineLevel="1">
      <c r="A127" s="661"/>
      <c r="B127" s="729"/>
      <c r="C127" s="730"/>
      <c r="D127" s="730"/>
      <c r="E127" s="730"/>
      <c r="F127" s="730"/>
      <c r="G127" s="731"/>
      <c r="H127" s="730"/>
      <c r="I127" s="730"/>
      <c r="J127" s="730"/>
      <c r="K127" s="730"/>
      <c r="L127" s="773"/>
      <c r="M127" s="769"/>
      <c r="N127" s="730"/>
      <c r="O127" s="733"/>
      <c r="Q127" s="728"/>
      <c r="R127" s="661"/>
      <c r="S127" s="228" t="str">
        <f t="array" ref="S127">IFERROR(INDEX('💻シート作成'!$D$6:$D1001, MATCH(T127, '💻シート作成'!$E$6:$E1001, 0)), "")</f>
        <v/>
      </c>
      <c r="T127" s="184"/>
      <c r="U127" s="664"/>
      <c r="V127" s="774"/>
      <c r="W127" s="661"/>
      <c r="X127" s="757"/>
      <c r="Y127" s="661"/>
      <c r="Z127" s="661"/>
    </row>
    <row r="128" hidden="1" outlineLevel="1">
      <c r="A128" s="661"/>
      <c r="B128" s="729"/>
      <c r="C128" s="730"/>
      <c r="D128" s="730"/>
      <c r="E128" s="730"/>
      <c r="F128" s="730"/>
      <c r="G128" s="731"/>
      <c r="H128" s="730"/>
      <c r="I128" s="730"/>
      <c r="J128" s="730"/>
      <c r="K128" s="730"/>
      <c r="L128" s="773"/>
      <c r="M128" s="769"/>
      <c r="N128" s="730"/>
      <c r="O128" s="733"/>
      <c r="Q128" s="728"/>
      <c r="R128" s="661"/>
      <c r="S128" s="228" t="str">
        <f t="array" ref="S128">IFERROR(INDEX('💻シート作成'!$D$6:$D1001, MATCH(T128, '💻シート作成'!$E$6:$E1001, 0)), "")</f>
        <v/>
      </c>
      <c r="T128" s="184"/>
      <c r="U128" s="664"/>
      <c r="V128" s="774"/>
      <c r="W128" s="661"/>
      <c r="X128" s="757"/>
      <c r="Y128" s="661"/>
      <c r="Z128" s="661"/>
    </row>
    <row r="129" hidden="1" outlineLevel="1">
      <c r="A129" s="661"/>
      <c r="B129" s="729"/>
      <c r="C129" s="730"/>
      <c r="D129" s="730"/>
      <c r="E129" s="730"/>
      <c r="F129" s="730"/>
      <c r="G129" s="731"/>
      <c r="H129" s="730"/>
      <c r="I129" s="730"/>
      <c r="J129" s="730"/>
      <c r="K129" s="730"/>
      <c r="L129" s="773"/>
      <c r="M129" s="769"/>
      <c r="N129" s="730"/>
      <c r="O129" s="733"/>
      <c r="Q129" s="728"/>
      <c r="R129" s="661"/>
      <c r="S129" s="228" t="str">
        <f t="array" ref="S129">IFERROR(INDEX('💻シート作成'!$D$6:$D1001, MATCH(T129, '💻シート作成'!$E$6:$E1001, 0)), "")</f>
        <v/>
      </c>
      <c r="T129" s="184"/>
      <c r="U129" s="664"/>
      <c r="V129" s="774"/>
      <c r="W129" s="661"/>
      <c r="X129" s="757"/>
      <c r="Y129" s="661"/>
      <c r="Z129" s="661"/>
    </row>
    <row r="130" hidden="1" outlineLevel="1">
      <c r="A130" s="661"/>
      <c r="B130" s="729"/>
      <c r="C130" s="730"/>
      <c r="D130" s="730"/>
      <c r="E130" s="730"/>
      <c r="F130" s="697"/>
      <c r="G130" s="698"/>
      <c r="H130" s="697"/>
      <c r="I130" s="697"/>
      <c r="J130" s="697"/>
      <c r="K130" s="697"/>
      <c r="L130" s="773"/>
      <c r="M130" s="769"/>
      <c r="N130" s="697"/>
      <c r="O130" s="700"/>
      <c r="P130" s="701"/>
      <c r="Q130" s="737"/>
      <c r="R130" s="661"/>
      <c r="S130" s="228" t="str">
        <f t="array" ref="S130">IFERROR(INDEX('💻シート作成'!$D$6:$D1001, MATCH(T130, '💻シート作成'!$E$6:$E1001, 0)), "")</f>
        <v/>
      </c>
      <c r="T130" s="184"/>
      <c r="U130" s="664"/>
      <c r="V130" s="774"/>
      <c r="W130" s="661"/>
      <c r="X130" s="757"/>
      <c r="Y130" s="661"/>
      <c r="Z130" s="661"/>
    </row>
    <row r="131" hidden="1" outlineLevel="1">
      <c r="A131" s="661"/>
      <c r="B131" s="738"/>
      <c r="C131" s="697"/>
      <c r="D131" s="697"/>
      <c r="E131" s="697"/>
      <c r="F131" s="739" t="s">
        <v>517</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4"/>
      <c r="W131" s="661"/>
      <c r="X131" s="757"/>
      <c r="Y131" s="661"/>
      <c r="Z131" s="661"/>
    </row>
    <row r="132" hidden="1" outlineLevel="1">
      <c r="A132" s="661"/>
      <c r="B132" s="743"/>
      <c r="C132" s="744">
        <f>IF(C121="","",IF(DAY(C121+1)=1,"",C121+1))</f>
        <v>46065</v>
      </c>
      <c r="D132" s="745" t="str">
        <f>TEXT(C132,"ddd")</f>
        <v>木</v>
      </c>
      <c r="E132" s="746"/>
      <c r="F132" s="775" t="s">
        <v>518</v>
      </c>
      <c r="G132" s="776" t="s">
        <v>519</v>
      </c>
      <c r="H132" s="777"/>
      <c r="I132" s="778">
        <v>0.0</v>
      </c>
      <c r="J132" s="745"/>
      <c r="K132" s="745"/>
      <c r="L132" s="755"/>
      <c r="M132" s="755"/>
      <c r="N132" s="775"/>
      <c r="O132" s="779"/>
      <c r="P132" s="771"/>
      <c r="Q132" s="772"/>
      <c r="R132" s="661"/>
      <c r="S132" s="228" t="str">
        <f t="array" ref="S132">IFERROR(INDEX('💻シート作成'!$D$6:$D1001, MATCH(T132, '💻シート作成'!$E$6:$E1001, 0)), "")</f>
        <v/>
      </c>
      <c r="T132" s="184"/>
      <c r="U132" s="664"/>
      <c r="V132" s="774"/>
      <c r="W132" s="661"/>
      <c r="X132" s="757"/>
      <c r="Y132" s="661"/>
      <c r="Z132" s="661"/>
    </row>
    <row r="133" hidden="1" outlineLevel="1">
      <c r="A133" s="661"/>
      <c r="B133" s="729"/>
      <c r="C133" s="730"/>
      <c r="D133" s="730"/>
      <c r="E133" s="730"/>
      <c r="F133" s="730"/>
      <c r="G133" s="731"/>
      <c r="H133" s="730"/>
      <c r="I133" s="730"/>
      <c r="J133" s="730"/>
      <c r="K133" s="730"/>
      <c r="L133" s="755"/>
      <c r="M133" s="755"/>
      <c r="N133" s="730"/>
      <c r="O133" s="733"/>
      <c r="Q133" s="728"/>
      <c r="R133" s="661"/>
      <c r="S133" s="228" t="str">
        <f t="array" ref="S133">IFERROR(INDEX('💻シート作成'!$D$6:$D1001, MATCH(T133, '💻シート作成'!$E$6:$E1001, 0)), "")</f>
        <v/>
      </c>
      <c r="T133" s="184"/>
      <c r="U133" s="664"/>
      <c r="V133" s="774"/>
      <c r="W133" s="661"/>
      <c r="X133" s="757"/>
      <c r="Y133" s="661"/>
      <c r="Z133" s="661"/>
    </row>
    <row r="134" hidden="1" outlineLevel="1">
      <c r="A134" s="661"/>
      <c r="B134" s="729"/>
      <c r="C134" s="730"/>
      <c r="D134" s="730"/>
      <c r="E134" s="730"/>
      <c r="F134" s="730"/>
      <c r="G134" s="731"/>
      <c r="H134" s="730"/>
      <c r="I134" s="730"/>
      <c r="J134" s="730"/>
      <c r="K134" s="730"/>
      <c r="L134" s="755"/>
      <c r="M134" s="755"/>
      <c r="N134" s="730"/>
      <c r="O134" s="733"/>
      <c r="Q134" s="728"/>
      <c r="R134" s="661"/>
      <c r="S134" s="228" t="str">
        <f t="array" ref="S134">IFERROR(INDEX('💻シート作成'!$D$6:$D1001, MATCH(T134, '💻シート作成'!$E$6:$E1001, 0)), "")</f>
        <v/>
      </c>
      <c r="T134" s="184"/>
      <c r="U134" s="664"/>
      <c r="V134" s="774"/>
      <c r="W134" s="661"/>
      <c r="X134" s="757"/>
      <c r="Y134" s="661"/>
      <c r="Z134" s="661"/>
    </row>
    <row r="135" hidden="1" outlineLevel="1">
      <c r="A135" s="661"/>
      <c r="B135" s="729"/>
      <c r="C135" s="730"/>
      <c r="D135" s="730"/>
      <c r="E135" s="730"/>
      <c r="F135" s="730"/>
      <c r="G135" s="731"/>
      <c r="H135" s="730"/>
      <c r="I135" s="730"/>
      <c r="J135" s="730"/>
      <c r="K135" s="730"/>
      <c r="L135" s="756"/>
      <c r="M135" s="755"/>
      <c r="N135" s="730"/>
      <c r="O135" s="733"/>
      <c r="Q135" s="728"/>
      <c r="R135" s="661"/>
      <c r="S135" s="228" t="str">
        <f t="array" ref="S135">IFERROR(INDEX('💻シート作成'!$D$6:$D1001, MATCH(T135, '💻シート作成'!$E$6:$E1001, 0)), "")</f>
        <v/>
      </c>
      <c r="T135" s="184"/>
      <c r="U135" s="664"/>
      <c r="V135" s="774"/>
      <c r="W135" s="661"/>
      <c r="X135" s="757"/>
      <c r="Y135" s="661"/>
      <c r="Z135" s="661"/>
    </row>
    <row r="136" hidden="1" outlineLevel="1">
      <c r="A136" s="661"/>
      <c r="B136" s="729"/>
      <c r="C136" s="730"/>
      <c r="D136" s="730"/>
      <c r="E136" s="730"/>
      <c r="F136" s="730"/>
      <c r="G136" s="731"/>
      <c r="H136" s="730"/>
      <c r="I136" s="730"/>
      <c r="J136" s="730"/>
      <c r="K136" s="730"/>
      <c r="L136" s="756"/>
      <c r="M136" s="755"/>
      <c r="N136" s="730"/>
      <c r="O136" s="733"/>
      <c r="Q136" s="728"/>
      <c r="R136" s="661"/>
      <c r="S136" s="228" t="str">
        <f t="array" ref="S136">IFERROR(INDEX('💻シート作成'!$D$6:$D1001, MATCH(T136, '💻シート作成'!$E$6:$E1001, 0)), "")</f>
        <v/>
      </c>
      <c r="T136" s="184"/>
      <c r="U136" s="664"/>
      <c r="V136" s="774"/>
      <c r="W136" s="661"/>
      <c r="X136" s="757"/>
      <c r="Y136" s="661"/>
      <c r="Z136" s="661"/>
    </row>
    <row r="137" hidden="1" outlineLevel="1">
      <c r="A137" s="661"/>
      <c r="B137" s="729"/>
      <c r="C137" s="730"/>
      <c r="D137" s="730"/>
      <c r="E137" s="730"/>
      <c r="F137" s="730"/>
      <c r="G137" s="731"/>
      <c r="H137" s="730"/>
      <c r="I137" s="730"/>
      <c r="J137" s="730"/>
      <c r="K137" s="730"/>
      <c r="L137" s="756"/>
      <c r="M137" s="755"/>
      <c r="N137" s="730"/>
      <c r="O137" s="733"/>
      <c r="Q137" s="728"/>
      <c r="R137" s="661"/>
      <c r="S137" s="228" t="str">
        <f t="array" ref="S137">IFERROR(INDEX('💻シート作成'!$D$6:$D1001, MATCH(T137, '💻シート作成'!$E$6:$E1001, 0)), "")</f>
        <v/>
      </c>
      <c r="T137" s="184"/>
      <c r="U137" s="664"/>
      <c r="V137" s="774"/>
      <c r="W137" s="661"/>
      <c r="X137" s="757"/>
      <c r="Y137" s="661"/>
      <c r="Z137" s="661"/>
    </row>
    <row r="138" hidden="1" outlineLevel="1">
      <c r="A138" s="661"/>
      <c r="B138" s="729"/>
      <c r="C138" s="730"/>
      <c r="D138" s="730"/>
      <c r="E138" s="730"/>
      <c r="F138" s="730"/>
      <c r="G138" s="731"/>
      <c r="H138" s="730"/>
      <c r="I138" s="730"/>
      <c r="J138" s="730"/>
      <c r="K138" s="730"/>
      <c r="L138" s="756"/>
      <c r="M138" s="755"/>
      <c r="N138" s="730"/>
      <c r="O138" s="733"/>
      <c r="Q138" s="728"/>
      <c r="R138" s="661"/>
      <c r="S138" s="228" t="str">
        <f t="array" ref="S138">IFERROR(INDEX('💻シート作成'!$D$6:$D1001, MATCH(T138, '💻シート作成'!$E$6:$E1001, 0)), "")</f>
        <v/>
      </c>
      <c r="T138" s="184"/>
      <c r="U138" s="664"/>
      <c r="V138" s="774"/>
      <c r="W138" s="661"/>
      <c r="X138" s="757"/>
      <c r="Y138" s="661"/>
      <c r="Z138" s="661"/>
    </row>
    <row r="139" hidden="1" outlineLevel="1">
      <c r="A139" s="661"/>
      <c r="B139" s="729"/>
      <c r="C139" s="730"/>
      <c r="D139" s="730"/>
      <c r="E139" s="730"/>
      <c r="F139" s="730"/>
      <c r="G139" s="731"/>
      <c r="H139" s="730"/>
      <c r="I139" s="730"/>
      <c r="J139" s="730"/>
      <c r="K139" s="730"/>
      <c r="L139" s="756"/>
      <c r="M139" s="755"/>
      <c r="N139" s="730"/>
      <c r="O139" s="733"/>
      <c r="Q139" s="728"/>
      <c r="R139" s="661"/>
      <c r="S139" s="228" t="str">
        <f t="array" ref="S139">IFERROR(INDEX('💻シート作成'!$D$6:$D1001, MATCH(T139, '💻シート作成'!$E$6:$E1001, 0)), "")</f>
        <v/>
      </c>
      <c r="T139" s="184"/>
      <c r="U139" s="664"/>
      <c r="V139" s="774"/>
      <c r="W139" s="661"/>
      <c r="X139" s="757"/>
      <c r="Y139" s="661"/>
      <c r="Z139" s="661"/>
    </row>
    <row r="140" hidden="1" outlineLevel="1">
      <c r="A140" s="661"/>
      <c r="B140" s="729"/>
      <c r="C140" s="730"/>
      <c r="D140" s="730"/>
      <c r="E140" s="730"/>
      <c r="F140" s="730"/>
      <c r="G140" s="731"/>
      <c r="H140" s="730"/>
      <c r="I140" s="730"/>
      <c r="J140" s="730"/>
      <c r="K140" s="730"/>
      <c r="L140" s="756"/>
      <c r="M140" s="755"/>
      <c r="N140" s="730"/>
      <c r="O140" s="733"/>
      <c r="Q140" s="728"/>
      <c r="R140" s="661"/>
      <c r="S140" s="228" t="str">
        <f t="array" ref="S140">IFERROR(INDEX('💻シート作成'!$D$6:$D1001, MATCH(T140, '💻シート作成'!$E$6:$E1001, 0)), "")</f>
        <v/>
      </c>
      <c r="T140" s="184"/>
      <c r="U140" s="664"/>
      <c r="V140" s="774"/>
      <c r="W140" s="661"/>
      <c r="X140" s="757"/>
      <c r="Y140" s="661"/>
      <c r="Z140" s="661"/>
    </row>
    <row r="141" hidden="1" outlineLevel="1">
      <c r="A141" s="661"/>
      <c r="B141" s="729"/>
      <c r="C141" s="730"/>
      <c r="D141" s="730"/>
      <c r="E141" s="730"/>
      <c r="F141" s="697"/>
      <c r="G141" s="698"/>
      <c r="H141" s="697"/>
      <c r="I141" s="697"/>
      <c r="J141" s="697"/>
      <c r="K141" s="697"/>
      <c r="L141" s="756"/>
      <c r="M141" s="755"/>
      <c r="N141" s="697"/>
      <c r="O141" s="700"/>
      <c r="P141" s="701"/>
      <c r="Q141" s="737"/>
      <c r="R141" s="661"/>
      <c r="S141" s="228" t="str">
        <f t="array" ref="S141">IFERROR(INDEX('💻シート作成'!$D$6:$D1001, MATCH(T141, '💻シート作成'!$E$6:$E1001, 0)), "")</f>
        <v/>
      </c>
      <c r="T141" s="184"/>
      <c r="U141" s="664"/>
      <c r="V141" s="774"/>
      <c r="W141" s="661"/>
      <c r="X141" s="757"/>
      <c r="Y141" s="661"/>
      <c r="Z141" s="661"/>
    </row>
    <row r="142" hidden="1" outlineLevel="1">
      <c r="A142" s="661"/>
      <c r="B142" s="738"/>
      <c r="C142" s="697"/>
      <c r="D142" s="697"/>
      <c r="E142" s="697"/>
      <c r="F142" s="758" t="s">
        <v>517</v>
      </c>
      <c r="G142" s="759"/>
      <c r="H142" s="741"/>
      <c r="I142" s="741"/>
      <c r="J142" s="741"/>
      <c r="K142" s="741"/>
      <c r="L142" s="759"/>
      <c r="M142" s="759"/>
      <c r="N142" s="759"/>
      <c r="O142" s="759"/>
      <c r="P142" s="759"/>
      <c r="Q142" s="760"/>
      <c r="R142" s="661"/>
      <c r="S142" s="228" t="str">
        <f t="array" ref="S142">IFERROR(INDEX('💻シート作成'!$D$6:$D1001, MATCH(T142, '💻シート作成'!$E$6:$E1001, 0)), "")</f>
        <v/>
      </c>
      <c r="T142" s="184"/>
      <c r="U142" s="664"/>
      <c r="V142" s="774"/>
      <c r="W142" s="661"/>
      <c r="X142" s="757"/>
      <c r="Y142" s="661"/>
      <c r="Z142" s="661"/>
    </row>
    <row r="143" hidden="1" outlineLevel="1">
      <c r="A143" s="661"/>
      <c r="B143" s="761"/>
      <c r="C143" s="762">
        <f>IF(C132="","",IF(DAY(C132+1)=1,"",C132+1))</f>
        <v>46066</v>
      </c>
      <c r="D143" s="763" t="str">
        <f>TEXT(C143,"ddd")</f>
        <v>金</v>
      </c>
      <c r="E143" s="764"/>
      <c r="F143" s="765" t="s">
        <v>518</v>
      </c>
      <c r="G143" s="766" t="s">
        <v>519</v>
      </c>
      <c r="H143" s="767"/>
      <c r="I143" s="768">
        <v>0.0</v>
      </c>
      <c r="J143" s="763"/>
      <c r="K143" s="763"/>
      <c r="L143" s="769"/>
      <c r="M143" s="769"/>
      <c r="N143" s="765"/>
      <c r="O143" s="770"/>
      <c r="P143" s="771"/>
      <c r="Q143" s="772"/>
      <c r="R143" s="661"/>
      <c r="S143" s="228" t="str">
        <f t="array" ref="S143">IFERROR(INDEX('💻シート作成'!$D$6:$D1001, MATCH(T143, '💻シート作成'!$E$6:$E1001, 0)), "")</f>
        <v/>
      </c>
      <c r="T143" s="184"/>
      <c r="U143" s="664"/>
      <c r="V143" s="774"/>
      <c r="W143" s="661"/>
      <c r="X143" s="757"/>
      <c r="Y143" s="661"/>
      <c r="Z143" s="661"/>
    </row>
    <row r="144" hidden="1" outlineLevel="1">
      <c r="A144" s="661"/>
      <c r="B144" s="729"/>
      <c r="C144" s="730"/>
      <c r="D144" s="730"/>
      <c r="E144" s="730"/>
      <c r="F144" s="730"/>
      <c r="G144" s="731"/>
      <c r="H144" s="730"/>
      <c r="I144" s="730"/>
      <c r="J144" s="730"/>
      <c r="K144" s="730"/>
      <c r="L144" s="769"/>
      <c r="M144" s="769"/>
      <c r="N144" s="730"/>
      <c r="O144" s="733"/>
      <c r="Q144" s="728"/>
      <c r="R144" s="661"/>
      <c r="S144" s="228" t="str">
        <f t="array" ref="S144">IFERROR(INDEX('💻シート作成'!$D$6:$D1001, MATCH(T144, '💻シート作成'!$E$6:$E1001, 0)), "")</f>
        <v/>
      </c>
      <c r="T144" s="184"/>
      <c r="U144" s="664"/>
      <c r="V144" s="774"/>
      <c r="W144" s="661"/>
      <c r="X144" s="757"/>
      <c r="Y144" s="661"/>
      <c r="Z144" s="661"/>
    </row>
    <row r="145" hidden="1" outlineLevel="1">
      <c r="A145" s="661"/>
      <c r="B145" s="729"/>
      <c r="C145" s="730"/>
      <c r="D145" s="730"/>
      <c r="E145" s="730"/>
      <c r="F145" s="730"/>
      <c r="G145" s="731"/>
      <c r="H145" s="730"/>
      <c r="I145" s="730"/>
      <c r="J145" s="730"/>
      <c r="K145" s="730"/>
      <c r="L145" s="769"/>
      <c r="M145" s="769"/>
      <c r="N145" s="730"/>
      <c r="O145" s="733"/>
      <c r="Q145" s="728"/>
      <c r="R145" s="661"/>
      <c r="S145" s="228" t="str">
        <f t="array" ref="S145">IFERROR(INDEX('💻シート作成'!$D$6:$D1001, MATCH(T145, '💻シート作成'!$E$6:$E1001, 0)), "")</f>
        <v/>
      </c>
      <c r="T145" s="184"/>
      <c r="U145" s="664"/>
      <c r="V145" s="774"/>
      <c r="W145" s="661"/>
      <c r="X145" s="757"/>
      <c r="Y145" s="661"/>
      <c r="Z145" s="661"/>
    </row>
    <row r="146" hidden="1" outlineLevel="1">
      <c r="A146" s="661"/>
      <c r="B146" s="729"/>
      <c r="C146" s="730"/>
      <c r="D146" s="730"/>
      <c r="E146" s="730"/>
      <c r="F146" s="730"/>
      <c r="G146" s="731"/>
      <c r="H146" s="730"/>
      <c r="I146" s="730"/>
      <c r="J146" s="730"/>
      <c r="K146" s="730"/>
      <c r="L146" s="773"/>
      <c r="M146" s="769"/>
      <c r="N146" s="730"/>
      <c r="O146" s="733"/>
      <c r="Q146" s="728"/>
      <c r="R146" s="661"/>
      <c r="S146" s="228" t="str">
        <f t="array" ref="S146">IFERROR(INDEX('💻シート作成'!$D$6:$D1001, MATCH(T146, '💻シート作成'!$E$6:$E1001, 0)), "")</f>
        <v/>
      </c>
      <c r="T146" s="184"/>
      <c r="U146" s="664"/>
      <c r="V146" s="774"/>
      <c r="W146" s="661"/>
      <c r="X146" s="757"/>
      <c r="Y146" s="661"/>
      <c r="Z146" s="661"/>
    </row>
    <row r="147" hidden="1" outlineLevel="1">
      <c r="A147" s="661"/>
      <c r="B147" s="729"/>
      <c r="C147" s="730"/>
      <c r="D147" s="730"/>
      <c r="E147" s="730"/>
      <c r="F147" s="730"/>
      <c r="G147" s="731"/>
      <c r="H147" s="730"/>
      <c r="I147" s="730"/>
      <c r="J147" s="730"/>
      <c r="K147" s="730"/>
      <c r="L147" s="773"/>
      <c r="M147" s="769"/>
      <c r="N147" s="730"/>
      <c r="O147" s="733"/>
      <c r="Q147" s="728"/>
      <c r="R147" s="661"/>
      <c r="S147" s="228" t="str">
        <f t="array" ref="S147">IFERROR(INDEX('💻シート作成'!$D$6:$D1001, MATCH(T147, '💻シート作成'!$E$6:$E1001, 0)), "")</f>
        <v/>
      </c>
      <c r="T147" s="184"/>
      <c r="U147" s="664"/>
      <c r="V147" s="774"/>
      <c r="W147" s="661"/>
      <c r="X147" s="757"/>
      <c r="Y147" s="661"/>
      <c r="Z147" s="661"/>
    </row>
    <row r="148" hidden="1" outlineLevel="1">
      <c r="A148" s="661"/>
      <c r="B148" s="729"/>
      <c r="C148" s="730"/>
      <c r="D148" s="730"/>
      <c r="E148" s="730"/>
      <c r="F148" s="730"/>
      <c r="G148" s="731"/>
      <c r="H148" s="730"/>
      <c r="I148" s="730"/>
      <c r="J148" s="730"/>
      <c r="K148" s="730"/>
      <c r="L148" s="773"/>
      <c r="M148" s="769"/>
      <c r="N148" s="730"/>
      <c r="O148" s="733"/>
      <c r="Q148" s="728"/>
      <c r="R148" s="661"/>
      <c r="S148" s="228" t="str">
        <f t="array" ref="S148">IFERROR(INDEX('💻シート作成'!$D$6:$D1001, MATCH(T148, '💻シート作成'!$E$6:$E1001, 0)), "")</f>
        <v/>
      </c>
      <c r="T148" s="184"/>
      <c r="U148" s="664"/>
      <c r="V148" s="774"/>
      <c r="W148" s="661"/>
      <c r="X148" s="757"/>
      <c r="Y148" s="661"/>
      <c r="Z148" s="661"/>
    </row>
    <row r="149" hidden="1" outlineLevel="1">
      <c r="A149" s="661"/>
      <c r="B149" s="729"/>
      <c r="C149" s="730"/>
      <c r="D149" s="730"/>
      <c r="E149" s="730"/>
      <c r="F149" s="730"/>
      <c r="G149" s="731"/>
      <c r="H149" s="730"/>
      <c r="I149" s="730"/>
      <c r="J149" s="730"/>
      <c r="K149" s="730"/>
      <c r="L149" s="773"/>
      <c r="M149" s="769"/>
      <c r="N149" s="730"/>
      <c r="O149" s="733"/>
      <c r="Q149" s="728"/>
      <c r="R149" s="661"/>
      <c r="S149" s="228" t="str">
        <f t="array" ref="S149">IFERROR(INDEX('💻シート作成'!$D$6:$D1001, MATCH(T149, '💻シート作成'!$E$6:$E1001, 0)), "")</f>
        <v/>
      </c>
      <c r="T149" s="184"/>
      <c r="U149" s="664"/>
      <c r="V149" s="774"/>
      <c r="W149" s="661"/>
      <c r="X149" s="757"/>
      <c r="Y149" s="661"/>
      <c r="Z149" s="661"/>
    </row>
    <row r="150" hidden="1" outlineLevel="1">
      <c r="A150" s="661"/>
      <c r="B150" s="729"/>
      <c r="C150" s="730"/>
      <c r="D150" s="730"/>
      <c r="E150" s="730"/>
      <c r="F150" s="730"/>
      <c r="G150" s="731"/>
      <c r="H150" s="730"/>
      <c r="I150" s="730"/>
      <c r="J150" s="730"/>
      <c r="K150" s="730"/>
      <c r="L150" s="773"/>
      <c r="M150" s="769"/>
      <c r="N150" s="730"/>
      <c r="O150" s="733"/>
      <c r="Q150" s="728"/>
      <c r="R150" s="661"/>
      <c r="S150" s="228" t="str">
        <f t="array" ref="S150">IFERROR(INDEX('💻シート作成'!$D$6:$D1001, MATCH(T150, '💻シート作成'!$E$6:$E1001, 0)), "")</f>
        <v/>
      </c>
      <c r="T150" s="184"/>
      <c r="U150" s="664"/>
      <c r="V150" s="774"/>
      <c r="W150" s="661"/>
      <c r="X150" s="757"/>
      <c r="Y150" s="661"/>
      <c r="Z150" s="661"/>
    </row>
    <row r="151" hidden="1" outlineLevel="1">
      <c r="A151" s="661"/>
      <c r="B151" s="729"/>
      <c r="C151" s="730"/>
      <c r="D151" s="730"/>
      <c r="E151" s="730"/>
      <c r="F151" s="730"/>
      <c r="G151" s="731"/>
      <c r="H151" s="730"/>
      <c r="I151" s="730"/>
      <c r="J151" s="730"/>
      <c r="K151" s="730"/>
      <c r="L151" s="773"/>
      <c r="M151" s="769"/>
      <c r="N151" s="730"/>
      <c r="O151" s="733"/>
      <c r="Q151" s="728"/>
      <c r="R151" s="661"/>
      <c r="S151" s="228" t="str">
        <f t="array" ref="S151">IFERROR(INDEX('💻シート作成'!$D$6:$D1001, MATCH(T151, '💻シート作成'!$E$6:$E1001, 0)), "")</f>
        <v/>
      </c>
      <c r="T151" s="184"/>
      <c r="U151" s="664"/>
      <c r="V151" s="774"/>
      <c r="W151" s="661"/>
      <c r="X151" s="757"/>
      <c r="Y151" s="661"/>
      <c r="Z151" s="661"/>
    </row>
    <row r="152" hidden="1" outlineLevel="1">
      <c r="A152" s="661"/>
      <c r="B152" s="729"/>
      <c r="C152" s="730"/>
      <c r="D152" s="730"/>
      <c r="E152" s="730"/>
      <c r="F152" s="697"/>
      <c r="G152" s="698"/>
      <c r="H152" s="697"/>
      <c r="I152" s="697"/>
      <c r="J152" s="697"/>
      <c r="K152" s="697"/>
      <c r="L152" s="773"/>
      <c r="M152" s="769"/>
      <c r="N152" s="697"/>
      <c r="O152" s="700"/>
      <c r="P152" s="701"/>
      <c r="Q152" s="737"/>
      <c r="R152" s="661"/>
      <c r="S152" s="228" t="str">
        <f t="array" ref="S152">IFERROR(INDEX('💻シート作成'!$D$6:$D1001, MATCH(T152, '💻シート作成'!$E$6:$E1001, 0)), "")</f>
        <v/>
      </c>
      <c r="T152" s="184"/>
      <c r="U152" s="664"/>
      <c r="V152" s="774"/>
      <c r="W152" s="661"/>
      <c r="X152" s="757"/>
      <c r="Y152" s="661"/>
      <c r="Z152" s="661"/>
    </row>
    <row r="153" hidden="1" outlineLevel="1">
      <c r="A153" s="661"/>
      <c r="B153" s="738"/>
      <c r="C153" s="697"/>
      <c r="D153" s="697"/>
      <c r="E153" s="697"/>
      <c r="F153" s="739" t="s">
        <v>517</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4"/>
      <c r="W153" s="661"/>
      <c r="X153" s="757"/>
      <c r="Y153" s="661"/>
      <c r="Z153" s="661"/>
    </row>
    <row r="154" hidden="1" outlineLevel="1">
      <c r="A154" s="661"/>
      <c r="B154" s="743"/>
      <c r="C154" s="744">
        <f>IF(C143="","",IF(DAY(C143+1)=1,"",C143+1))</f>
        <v>46067</v>
      </c>
      <c r="D154" s="745" t="str">
        <f>TEXT(C154,"ddd")</f>
        <v>土</v>
      </c>
      <c r="E154" s="746"/>
      <c r="F154" s="775" t="s">
        <v>518</v>
      </c>
      <c r="G154" s="776" t="s">
        <v>519</v>
      </c>
      <c r="H154" s="777"/>
      <c r="I154" s="778">
        <v>0.0</v>
      </c>
      <c r="J154" s="745"/>
      <c r="K154" s="745"/>
      <c r="L154" s="755"/>
      <c r="M154" s="755"/>
      <c r="N154" s="775"/>
      <c r="O154" s="779"/>
      <c r="P154" s="771"/>
      <c r="Q154" s="772"/>
      <c r="R154" s="661"/>
      <c r="S154" s="228" t="str">
        <f t="array" ref="S154">IFERROR(INDEX('💻シート作成'!$D$6:$D1001, MATCH(T154, '💻シート作成'!$E$6:$E1001, 0)), "")</f>
        <v/>
      </c>
      <c r="T154" s="184"/>
      <c r="U154" s="664"/>
      <c r="V154" s="774"/>
      <c r="W154" s="661"/>
      <c r="X154" s="757"/>
      <c r="Y154" s="661"/>
      <c r="Z154" s="661"/>
    </row>
    <row r="155" hidden="1" outlineLevel="1">
      <c r="A155" s="661"/>
      <c r="B155" s="729"/>
      <c r="C155" s="730"/>
      <c r="D155" s="730"/>
      <c r="E155" s="730"/>
      <c r="F155" s="730"/>
      <c r="G155" s="731"/>
      <c r="H155" s="730"/>
      <c r="I155" s="730"/>
      <c r="J155" s="730"/>
      <c r="K155" s="730"/>
      <c r="L155" s="755"/>
      <c r="M155" s="755"/>
      <c r="N155" s="730"/>
      <c r="O155" s="733"/>
      <c r="Q155" s="728"/>
      <c r="R155" s="661"/>
      <c r="S155" s="228" t="str">
        <f t="array" ref="S155">IFERROR(INDEX('💻シート作成'!$D$6:$D1001, MATCH(T155, '💻シート作成'!$E$6:$E1001, 0)), "")</f>
        <v/>
      </c>
      <c r="T155" s="184"/>
      <c r="U155" s="664"/>
      <c r="V155" s="774"/>
      <c r="W155" s="661"/>
      <c r="X155" s="757"/>
      <c r="Y155" s="661"/>
      <c r="Z155" s="661"/>
    </row>
    <row r="156" hidden="1" outlineLevel="1">
      <c r="A156" s="661"/>
      <c r="B156" s="729"/>
      <c r="C156" s="730"/>
      <c r="D156" s="730"/>
      <c r="E156" s="730"/>
      <c r="F156" s="730"/>
      <c r="G156" s="731"/>
      <c r="H156" s="730"/>
      <c r="I156" s="730"/>
      <c r="J156" s="730"/>
      <c r="K156" s="730"/>
      <c r="L156" s="755"/>
      <c r="M156" s="755"/>
      <c r="N156" s="730"/>
      <c r="O156" s="733"/>
      <c r="Q156" s="728"/>
      <c r="R156" s="661"/>
      <c r="S156" s="228" t="str">
        <f t="array" ref="S156">IFERROR(INDEX('💻シート作成'!$D$6:$D1001, MATCH(T156, '💻シート作成'!$E$6:$E1001, 0)), "")</f>
        <v/>
      </c>
      <c r="T156" s="184"/>
      <c r="U156" s="664"/>
      <c r="V156" s="774"/>
      <c r="W156" s="661"/>
      <c r="X156" s="757"/>
      <c r="Y156" s="661"/>
      <c r="Z156" s="661"/>
    </row>
    <row r="157" hidden="1" outlineLevel="1">
      <c r="A157" s="661"/>
      <c r="B157" s="729"/>
      <c r="C157" s="730"/>
      <c r="D157" s="730"/>
      <c r="E157" s="730"/>
      <c r="F157" s="730"/>
      <c r="G157" s="731"/>
      <c r="H157" s="730"/>
      <c r="I157" s="730"/>
      <c r="J157" s="730"/>
      <c r="K157" s="730"/>
      <c r="L157" s="756"/>
      <c r="M157" s="755"/>
      <c r="N157" s="730"/>
      <c r="O157" s="733"/>
      <c r="Q157" s="728"/>
      <c r="R157" s="661"/>
      <c r="S157" s="228" t="str">
        <f t="array" ref="S157">IFERROR(INDEX('💻シート作成'!$D$6:$D1001, MATCH(T157, '💻シート作成'!$E$6:$E1001, 0)), "")</f>
        <v/>
      </c>
      <c r="T157" s="184"/>
      <c r="U157" s="664"/>
      <c r="V157" s="774"/>
      <c r="W157" s="661"/>
      <c r="X157" s="757"/>
      <c r="Y157" s="661"/>
      <c r="Z157" s="661"/>
    </row>
    <row r="158" hidden="1" outlineLevel="1">
      <c r="A158" s="661"/>
      <c r="B158" s="729"/>
      <c r="C158" s="730"/>
      <c r="D158" s="730"/>
      <c r="E158" s="730"/>
      <c r="F158" s="730"/>
      <c r="G158" s="731"/>
      <c r="H158" s="730"/>
      <c r="I158" s="730"/>
      <c r="J158" s="730"/>
      <c r="K158" s="730"/>
      <c r="L158" s="756"/>
      <c r="M158" s="755"/>
      <c r="N158" s="730"/>
      <c r="O158" s="733"/>
      <c r="Q158" s="728"/>
      <c r="R158" s="661"/>
      <c r="S158" s="228" t="str">
        <f t="array" ref="S158">IFERROR(INDEX('💻シート作成'!$D$6:$D1001, MATCH(T158, '💻シート作成'!$E$6:$E1001, 0)), "")</f>
        <v/>
      </c>
      <c r="T158" s="184"/>
      <c r="U158" s="664"/>
      <c r="V158" s="774"/>
      <c r="W158" s="661"/>
      <c r="X158" s="757"/>
      <c r="Y158" s="661"/>
      <c r="Z158" s="661"/>
    </row>
    <row r="159" hidden="1" outlineLevel="1">
      <c r="A159" s="661"/>
      <c r="B159" s="729"/>
      <c r="C159" s="730"/>
      <c r="D159" s="730"/>
      <c r="E159" s="730"/>
      <c r="F159" s="730"/>
      <c r="G159" s="731"/>
      <c r="H159" s="730"/>
      <c r="I159" s="730"/>
      <c r="J159" s="730"/>
      <c r="K159" s="730"/>
      <c r="L159" s="756"/>
      <c r="M159" s="755"/>
      <c r="N159" s="730"/>
      <c r="O159" s="733"/>
      <c r="Q159" s="728"/>
      <c r="R159" s="661"/>
      <c r="S159" s="228" t="str">
        <f t="array" ref="S159">IFERROR(INDEX('💻シート作成'!$D$6:$D1001, MATCH(T159, '💻シート作成'!$E$6:$E1001, 0)), "")</f>
        <v/>
      </c>
      <c r="T159" s="184"/>
      <c r="U159" s="664"/>
      <c r="V159" s="774"/>
      <c r="W159" s="661"/>
      <c r="X159" s="757"/>
      <c r="Y159" s="661"/>
      <c r="Z159" s="661"/>
    </row>
    <row r="160" hidden="1" outlineLevel="1">
      <c r="A160" s="661"/>
      <c r="B160" s="729"/>
      <c r="C160" s="730"/>
      <c r="D160" s="730"/>
      <c r="E160" s="730"/>
      <c r="F160" s="730"/>
      <c r="G160" s="731"/>
      <c r="H160" s="730"/>
      <c r="I160" s="730"/>
      <c r="J160" s="730"/>
      <c r="K160" s="730"/>
      <c r="L160" s="756"/>
      <c r="M160" s="755"/>
      <c r="N160" s="730"/>
      <c r="O160" s="733"/>
      <c r="Q160" s="728"/>
      <c r="R160" s="661"/>
      <c r="S160" s="228" t="str">
        <f t="array" ref="S160">IFERROR(INDEX('💻シート作成'!$D$6:$D1001, MATCH(T160, '💻シート作成'!$E$6:$E1001, 0)), "")</f>
        <v/>
      </c>
      <c r="T160" s="184"/>
      <c r="U160" s="664"/>
      <c r="V160" s="774"/>
      <c r="W160" s="661"/>
      <c r="X160" s="757"/>
      <c r="Y160" s="661"/>
      <c r="Z160" s="661"/>
    </row>
    <row r="161" hidden="1" outlineLevel="1">
      <c r="A161" s="661"/>
      <c r="B161" s="729"/>
      <c r="C161" s="730"/>
      <c r="D161" s="730"/>
      <c r="E161" s="730"/>
      <c r="F161" s="730"/>
      <c r="G161" s="731"/>
      <c r="H161" s="730"/>
      <c r="I161" s="730"/>
      <c r="J161" s="730"/>
      <c r="K161" s="730"/>
      <c r="L161" s="756"/>
      <c r="M161" s="755"/>
      <c r="N161" s="730"/>
      <c r="O161" s="733"/>
      <c r="Q161" s="728"/>
      <c r="R161" s="661"/>
      <c r="S161" s="228" t="str">
        <f t="array" ref="S161">IFERROR(INDEX('💻シート作成'!$D$6:$D1001, MATCH(T161, '💻シート作成'!$E$6:$E1001, 0)), "")</f>
        <v/>
      </c>
      <c r="T161" s="184"/>
      <c r="U161" s="664"/>
      <c r="V161" s="774"/>
      <c r="W161" s="661"/>
      <c r="X161" s="757"/>
      <c r="Y161" s="661"/>
      <c r="Z161" s="661"/>
    </row>
    <row r="162" hidden="1" outlineLevel="1">
      <c r="A162" s="661"/>
      <c r="B162" s="729"/>
      <c r="C162" s="730"/>
      <c r="D162" s="730"/>
      <c r="E162" s="730"/>
      <c r="F162" s="730"/>
      <c r="G162" s="731"/>
      <c r="H162" s="730"/>
      <c r="I162" s="730"/>
      <c r="J162" s="730"/>
      <c r="K162" s="730"/>
      <c r="L162" s="756"/>
      <c r="M162" s="755"/>
      <c r="N162" s="730"/>
      <c r="O162" s="733"/>
      <c r="Q162" s="728"/>
      <c r="R162" s="661"/>
      <c r="S162" s="228" t="str">
        <f t="array" ref="S162">IFERROR(INDEX('💻シート作成'!$D$6:$D1001, MATCH(T162, '💻シート作成'!$E$6:$E1001, 0)), "")</f>
        <v/>
      </c>
      <c r="T162" s="184"/>
      <c r="U162" s="664"/>
      <c r="V162" s="774"/>
      <c r="W162" s="661"/>
      <c r="X162" s="757"/>
      <c r="Y162" s="661"/>
      <c r="Z162" s="661"/>
    </row>
    <row r="163" hidden="1" outlineLevel="1">
      <c r="A163" s="661"/>
      <c r="B163" s="729"/>
      <c r="C163" s="730"/>
      <c r="D163" s="730"/>
      <c r="E163" s="730"/>
      <c r="F163" s="697"/>
      <c r="G163" s="698"/>
      <c r="H163" s="697"/>
      <c r="I163" s="697"/>
      <c r="J163" s="697"/>
      <c r="K163" s="697"/>
      <c r="L163" s="756"/>
      <c r="M163" s="755"/>
      <c r="N163" s="697"/>
      <c r="O163" s="700"/>
      <c r="P163" s="701"/>
      <c r="Q163" s="737"/>
      <c r="R163" s="661"/>
      <c r="S163" s="228" t="str">
        <f t="array" ref="S163">IFERROR(INDEX('💻シート作成'!$D$6:$D1001, MATCH(T163, '💻シート作成'!$E$6:$E1001, 0)), "")</f>
        <v/>
      </c>
      <c r="T163" s="184"/>
      <c r="U163" s="664"/>
      <c r="V163" s="774"/>
      <c r="W163" s="661"/>
      <c r="X163" s="757"/>
      <c r="Y163" s="661"/>
      <c r="Z163" s="661"/>
    </row>
    <row r="164" hidden="1" outlineLevel="1">
      <c r="A164" s="661"/>
      <c r="B164" s="738"/>
      <c r="C164" s="697"/>
      <c r="D164" s="697"/>
      <c r="E164" s="697"/>
      <c r="F164" s="758" t="s">
        <v>517</v>
      </c>
      <c r="G164" s="759"/>
      <c r="H164" s="741"/>
      <c r="I164" s="741"/>
      <c r="J164" s="741"/>
      <c r="K164" s="741"/>
      <c r="L164" s="759"/>
      <c r="M164" s="759"/>
      <c r="N164" s="759"/>
      <c r="O164" s="759"/>
      <c r="P164" s="759"/>
      <c r="Q164" s="760"/>
      <c r="R164" s="661"/>
      <c r="S164" s="228" t="str">
        <f t="array" ref="S164">IFERROR(INDEX('💻シート作成'!$D$6:$D1001, MATCH(T164, '💻シート作成'!$E$6:$E1001, 0)), "")</f>
        <v/>
      </c>
      <c r="T164" s="184"/>
      <c r="U164" s="664"/>
      <c r="V164" s="774"/>
      <c r="W164" s="661"/>
      <c r="X164" s="757"/>
      <c r="Y164" s="661"/>
      <c r="Z164" s="661"/>
    </row>
    <row r="165" hidden="1" outlineLevel="1">
      <c r="A165" s="661"/>
      <c r="B165" s="761"/>
      <c r="C165" s="762">
        <f>IF(C154="","",IF(DAY(C154+1)=1,"",C154+1))</f>
        <v>46068</v>
      </c>
      <c r="D165" s="763" t="str">
        <f>TEXT(C165,"ddd")</f>
        <v>日</v>
      </c>
      <c r="E165" s="764"/>
      <c r="F165" s="765" t="s">
        <v>518</v>
      </c>
      <c r="G165" s="766" t="s">
        <v>519</v>
      </c>
      <c r="H165" s="767"/>
      <c r="I165" s="768">
        <v>0.0</v>
      </c>
      <c r="J165" s="763"/>
      <c r="K165" s="763"/>
      <c r="L165" s="769"/>
      <c r="M165" s="769"/>
      <c r="N165" s="765"/>
      <c r="O165" s="770"/>
      <c r="P165" s="771"/>
      <c r="Q165" s="772"/>
      <c r="R165" s="661"/>
      <c r="S165" s="228" t="str">
        <f t="array" ref="S165">IFERROR(INDEX('💻シート作成'!$D$6:$D1001, MATCH(T165, '💻シート作成'!$E$6:$E1001, 0)), "")</f>
        <v/>
      </c>
      <c r="T165" s="184"/>
      <c r="U165" s="664"/>
      <c r="V165" s="774"/>
      <c r="W165" s="661"/>
      <c r="X165" s="757"/>
      <c r="Y165" s="661"/>
      <c r="Z165" s="661"/>
    </row>
    <row r="166" hidden="1" outlineLevel="1">
      <c r="A166" s="661"/>
      <c r="B166" s="729"/>
      <c r="C166" s="730"/>
      <c r="D166" s="730"/>
      <c r="E166" s="730"/>
      <c r="F166" s="730"/>
      <c r="G166" s="731"/>
      <c r="H166" s="730"/>
      <c r="I166" s="730"/>
      <c r="J166" s="730"/>
      <c r="K166" s="730"/>
      <c r="L166" s="769"/>
      <c r="M166" s="769"/>
      <c r="N166" s="730"/>
      <c r="O166" s="733"/>
      <c r="Q166" s="728"/>
      <c r="R166" s="661"/>
      <c r="S166" s="228" t="str">
        <f t="array" ref="S166">IFERROR(INDEX('💻シート作成'!$D$6:$D1001, MATCH(T166, '💻シート作成'!$E$6:$E1001, 0)), "")</f>
        <v/>
      </c>
      <c r="T166" s="184"/>
      <c r="U166" s="664"/>
      <c r="V166" s="774"/>
      <c r="W166" s="661"/>
      <c r="X166" s="757"/>
      <c r="Y166" s="661"/>
      <c r="Z166" s="661"/>
    </row>
    <row r="167" hidden="1" outlineLevel="1">
      <c r="A167" s="661"/>
      <c r="B167" s="729"/>
      <c r="C167" s="730"/>
      <c r="D167" s="730"/>
      <c r="E167" s="730"/>
      <c r="F167" s="730"/>
      <c r="G167" s="731"/>
      <c r="H167" s="730"/>
      <c r="I167" s="730"/>
      <c r="J167" s="730"/>
      <c r="K167" s="730"/>
      <c r="L167" s="769"/>
      <c r="M167" s="769"/>
      <c r="N167" s="730"/>
      <c r="O167" s="733"/>
      <c r="Q167" s="728"/>
      <c r="R167" s="661"/>
      <c r="S167" s="228" t="str">
        <f t="array" ref="S167">IFERROR(INDEX('💻シート作成'!$D$6:$D1001, MATCH(T167, '💻シート作成'!$E$6:$E1001, 0)), "")</f>
        <v/>
      </c>
      <c r="T167" s="184"/>
      <c r="U167" s="664"/>
      <c r="V167" s="774"/>
      <c r="W167" s="661"/>
      <c r="X167" s="757"/>
      <c r="Y167" s="661"/>
      <c r="Z167" s="661"/>
    </row>
    <row r="168" hidden="1" outlineLevel="1">
      <c r="A168" s="661"/>
      <c r="B168" s="729"/>
      <c r="C168" s="730"/>
      <c r="D168" s="730"/>
      <c r="E168" s="730"/>
      <c r="F168" s="730"/>
      <c r="G168" s="731"/>
      <c r="H168" s="730"/>
      <c r="I168" s="730"/>
      <c r="J168" s="730"/>
      <c r="K168" s="730"/>
      <c r="L168" s="773"/>
      <c r="M168" s="769"/>
      <c r="N168" s="730"/>
      <c r="O168" s="733"/>
      <c r="Q168" s="728"/>
      <c r="R168" s="661"/>
      <c r="S168" s="228" t="str">
        <f t="array" ref="S168">IFERROR(INDEX('💻シート作成'!$D$6:$D1001, MATCH(T168, '💻シート作成'!$E$6:$E1001, 0)), "")</f>
        <v/>
      </c>
      <c r="T168" s="184"/>
      <c r="U168" s="664"/>
      <c r="V168" s="774"/>
      <c r="W168" s="661"/>
      <c r="X168" s="757"/>
      <c r="Y168" s="661"/>
      <c r="Z168" s="661"/>
    </row>
    <row r="169" hidden="1" outlineLevel="1">
      <c r="A169" s="661"/>
      <c r="B169" s="729"/>
      <c r="C169" s="730"/>
      <c r="D169" s="730"/>
      <c r="E169" s="730"/>
      <c r="F169" s="730"/>
      <c r="G169" s="731"/>
      <c r="H169" s="730"/>
      <c r="I169" s="730"/>
      <c r="J169" s="730"/>
      <c r="K169" s="730"/>
      <c r="L169" s="773"/>
      <c r="M169" s="769"/>
      <c r="N169" s="730"/>
      <c r="O169" s="733"/>
      <c r="Q169" s="728"/>
      <c r="R169" s="661"/>
      <c r="S169" s="228" t="str">
        <f t="array" ref="S169">IFERROR(INDEX('💻シート作成'!$D$6:$D1001, MATCH(T169, '💻シート作成'!$E$6:$E1001, 0)), "")</f>
        <v/>
      </c>
      <c r="T169" s="184"/>
      <c r="U169" s="664"/>
      <c r="V169" s="774"/>
      <c r="W169" s="661"/>
      <c r="X169" s="757"/>
      <c r="Y169" s="661"/>
      <c r="Z169" s="661"/>
    </row>
    <row r="170" hidden="1" outlineLevel="1">
      <c r="A170" s="661"/>
      <c r="B170" s="729"/>
      <c r="C170" s="730"/>
      <c r="D170" s="730"/>
      <c r="E170" s="730"/>
      <c r="F170" s="730"/>
      <c r="G170" s="731"/>
      <c r="H170" s="730"/>
      <c r="I170" s="730"/>
      <c r="J170" s="730"/>
      <c r="K170" s="730"/>
      <c r="L170" s="773"/>
      <c r="M170" s="769"/>
      <c r="N170" s="730"/>
      <c r="O170" s="733"/>
      <c r="Q170" s="728"/>
      <c r="R170" s="661"/>
      <c r="S170" s="228" t="str">
        <f t="array" ref="S170">IFERROR(INDEX('💻シート作成'!$D$6:$D1001, MATCH(T170, '💻シート作成'!$E$6:$E1001, 0)), "")</f>
        <v/>
      </c>
      <c r="T170" s="184"/>
      <c r="U170" s="664"/>
      <c r="V170" s="774"/>
      <c r="W170" s="661"/>
      <c r="X170" s="757"/>
      <c r="Y170" s="661"/>
      <c r="Z170" s="661"/>
    </row>
    <row r="171" hidden="1" outlineLevel="1">
      <c r="A171" s="661"/>
      <c r="B171" s="729"/>
      <c r="C171" s="730"/>
      <c r="D171" s="730"/>
      <c r="E171" s="730"/>
      <c r="F171" s="730"/>
      <c r="G171" s="731"/>
      <c r="H171" s="730"/>
      <c r="I171" s="730"/>
      <c r="J171" s="730"/>
      <c r="K171" s="730"/>
      <c r="L171" s="773"/>
      <c r="M171" s="769"/>
      <c r="N171" s="730"/>
      <c r="O171" s="733"/>
      <c r="Q171" s="728"/>
      <c r="R171" s="661"/>
      <c r="S171" s="228" t="str">
        <f t="array" ref="S171">IFERROR(INDEX('💻シート作成'!$D$6:$D1001, MATCH(T171, '💻シート作成'!$E$6:$E1001, 0)), "")</f>
        <v/>
      </c>
      <c r="T171" s="184"/>
      <c r="U171" s="664"/>
      <c r="V171" s="774"/>
      <c r="W171" s="661"/>
      <c r="X171" s="757"/>
      <c r="Y171" s="661"/>
      <c r="Z171" s="661"/>
    </row>
    <row r="172" hidden="1" outlineLevel="1">
      <c r="A172" s="661"/>
      <c r="B172" s="729"/>
      <c r="C172" s="730"/>
      <c r="D172" s="730"/>
      <c r="E172" s="730"/>
      <c r="F172" s="730"/>
      <c r="G172" s="731"/>
      <c r="H172" s="730"/>
      <c r="I172" s="730"/>
      <c r="J172" s="730"/>
      <c r="K172" s="730"/>
      <c r="L172" s="773"/>
      <c r="M172" s="769"/>
      <c r="N172" s="730"/>
      <c r="O172" s="733"/>
      <c r="Q172" s="728"/>
      <c r="R172" s="661"/>
      <c r="S172" s="228" t="str">
        <f t="array" ref="S172">IFERROR(INDEX('💻シート作成'!$D$6:$D1001, MATCH(T172, '💻シート作成'!$E$6:$E1001, 0)), "")</f>
        <v/>
      </c>
      <c r="T172" s="184"/>
      <c r="U172" s="664"/>
      <c r="V172" s="774"/>
      <c r="W172" s="661"/>
      <c r="X172" s="757"/>
      <c r="Y172" s="661"/>
      <c r="Z172" s="661"/>
    </row>
    <row r="173" hidden="1" outlineLevel="1">
      <c r="A173" s="661"/>
      <c r="B173" s="729"/>
      <c r="C173" s="730"/>
      <c r="D173" s="730"/>
      <c r="E173" s="730"/>
      <c r="F173" s="730"/>
      <c r="G173" s="731"/>
      <c r="H173" s="730"/>
      <c r="I173" s="730"/>
      <c r="J173" s="730"/>
      <c r="K173" s="730"/>
      <c r="L173" s="773"/>
      <c r="M173" s="769"/>
      <c r="N173" s="730"/>
      <c r="O173" s="733"/>
      <c r="Q173" s="728"/>
      <c r="R173" s="661"/>
      <c r="S173" s="228" t="str">
        <f t="array" ref="S173">IFERROR(INDEX('💻シート作成'!$D$6:$D1001, MATCH(T173, '💻シート作成'!$E$6:$E1001, 0)), "")</f>
        <v/>
      </c>
      <c r="T173" s="184"/>
      <c r="U173" s="664"/>
      <c r="V173" s="774"/>
      <c r="W173" s="661"/>
      <c r="X173" s="757"/>
      <c r="Y173" s="661"/>
      <c r="Z173" s="661"/>
    </row>
    <row r="174" hidden="1" outlineLevel="1">
      <c r="A174" s="661"/>
      <c r="B174" s="729"/>
      <c r="C174" s="730"/>
      <c r="D174" s="730"/>
      <c r="E174" s="730"/>
      <c r="F174" s="697"/>
      <c r="G174" s="698"/>
      <c r="H174" s="697"/>
      <c r="I174" s="697"/>
      <c r="J174" s="697"/>
      <c r="K174" s="697"/>
      <c r="L174" s="773"/>
      <c r="M174" s="769"/>
      <c r="N174" s="697"/>
      <c r="O174" s="700"/>
      <c r="P174" s="701"/>
      <c r="Q174" s="737"/>
      <c r="R174" s="661"/>
      <c r="S174" s="228" t="str">
        <f t="array" ref="S174">IFERROR(INDEX('💻シート作成'!$D$6:$D1001, MATCH(T174, '💻シート作成'!$E$6:$E1001, 0)), "")</f>
        <v/>
      </c>
      <c r="T174" s="184"/>
      <c r="U174" s="664"/>
      <c r="V174" s="774"/>
      <c r="W174" s="661"/>
      <c r="X174" s="757"/>
      <c r="Y174" s="661"/>
      <c r="Z174" s="661"/>
    </row>
    <row r="175" hidden="1" outlineLevel="1">
      <c r="A175" s="661"/>
      <c r="B175" s="738"/>
      <c r="C175" s="697"/>
      <c r="D175" s="697"/>
      <c r="E175" s="697"/>
      <c r="F175" s="739" t="s">
        <v>517</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4"/>
      <c r="W175" s="661"/>
      <c r="X175" s="757"/>
      <c r="Y175" s="661"/>
      <c r="Z175" s="661"/>
    </row>
    <row r="176" collapsed="1">
      <c r="A176" s="661"/>
      <c r="B176" s="780" t="s">
        <v>524</v>
      </c>
      <c r="C176" s="781"/>
      <c r="D176" s="781"/>
      <c r="E176" s="781"/>
      <c r="F176" s="782"/>
      <c r="G176" s="783"/>
      <c r="H176" s="784"/>
      <c r="I176" s="784"/>
      <c r="J176" s="785"/>
      <c r="K176" s="785"/>
      <c r="L176" s="783"/>
      <c r="M176" s="783"/>
      <c r="N176" s="786"/>
      <c r="O176" s="787"/>
      <c r="P176" s="787"/>
      <c r="Q176" s="788"/>
      <c r="R176" s="661"/>
      <c r="S176" s="228" t="str">
        <f t="array" ref="S176">IFERROR(INDEX('💻シート作成'!$D$6:$D1001, MATCH(T176, '💻シート作成'!$E$6:$E1001, 0)), "")</f>
        <v/>
      </c>
      <c r="T176" s="184"/>
      <c r="U176" s="664"/>
      <c r="V176" s="774"/>
      <c r="W176" s="661"/>
      <c r="X176" s="757"/>
      <c r="Y176" s="661"/>
      <c r="Z176" s="661"/>
    </row>
    <row r="177" hidden="1" outlineLevel="1">
      <c r="A177" s="661"/>
      <c r="B177" s="743"/>
      <c r="C177" s="744">
        <f>IF(C165="","",IF(DAY(C165+1)=1,"",C165+1))</f>
        <v>46069</v>
      </c>
      <c r="D177" s="745" t="str">
        <f>TEXT(C177,"ddd")</f>
        <v>月</v>
      </c>
      <c r="E177" s="746"/>
      <c r="F177" s="775" t="s">
        <v>518</v>
      </c>
      <c r="G177" s="776" t="s">
        <v>519</v>
      </c>
      <c r="H177" s="777"/>
      <c r="I177" s="778">
        <v>0.0</v>
      </c>
      <c r="J177" s="745"/>
      <c r="K177" s="745"/>
      <c r="L177" s="755"/>
      <c r="M177" s="755"/>
      <c r="N177" s="775"/>
      <c r="O177" s="779"/>
      <c r="P177" s="771"/>
      <c r="Q177" s="772"/>
      <c r="R177" s="661"/>
      <c r="S177" s="228" t="str">
        <f t="array" ref="S177">IFERROR(INDEX('💻シート作成'!$D$6:$D1001, MATCH(T177, '💻シート作成'!$E$6:$E1001, 0)), "")</f>
        <v/>
      </c>
      <c r="T177" s="184"/>
      <c r="U177" s="664"/>
      <c r="V177" s="774"/>
      <c r="W177" s="661"/>
      <c r="X177" s="757"/>
      <c r="Y177" s="661"/>
      <c r="Z177" s="661"/>
    </row>
    <row r="178" hidden="1" outlineLevel="1">
      <c r="A178" s="661"/>
      <c r="B178" s="729"/>
      <c r="C178" s="730"/>
      <c r="D178" s="730"/>
      <c r="E178" s="730"/>
      <c r="F178" s="730"/>
      <c r="G178" s="731"/>
      <c r="H178" s="730"/>
      <c r="I178" s="730"/>
      <c r="J178" s="730"/>
      <c r="K178" s="730"/>
      <c r="L178" s="755"/>
      <c r="M178" s="755"/>
      <c r="N178" s="730"/>
      <c r="O178" s="733"/>
      <c r="Q178" s="728"/>
      <c r="R178" s="661"/>
      <c r="S178" s="228" t="str">
        <f t="array" ref="S178">IFERROR(INDEX('💻シート作成'!$D$6:$D1001, MATCH(T178, '💻シート作成'!$E$6:$E1001, 0)), "")</f>
        <v/>
      </c>
      <c r="T178" s="184"/>
      <c r="U178" s="664"/>
      <c r="V178" s="774"/>
      <c r="W178" s="661"/>
      <c r="X178" s="757"/>
      <c r="Y178" s="661"/>
      <c r="Z178" s="661"/>
    </row>
    <row r="179" hidden="1" outlineLevel="1">
      <c r="A179" s="661"/>
      <c r="B179" s="729"/>
      <c r="C179" s="730"/>
      <c r="D179" s="730"/>
      <c r="E179" s="730"/>
      <c r="F179" s="730"/>
      <c r="G179" s="731"/>
      <c r="H179" s="730"/>
      <c r="I179" s="730"/>
      <c r="J179" s="730"/>
      <c r="K179" s="730"/>
      <c r="L179" s="755"/>
      <c r="M179" s="755"/>
      <c r="N179" s="730"/>
      <c r="O179" s="733"/>
      <c r="Q179" s="728"/>
      <c r="R179" s="661"/>
      <c r="S179" s="228" t="str">
        <f t="array" ref="S179">IFERROR(INDEX('💻シート作成'!$D$6:$D1001, MATCH(T179, '💻シート作成'!$E$6:$E1001, 0)), "")</f>
        <v/>
      </c>
      <c r="T179" s="184"/>
      <c r="U179" s="664"/>
      <c r="V179" s="774"/>
      <c r="W179" s="661"/>
      <c r="X179" s="757"/>
      <c r="Y179" s="661"/>
      <c r="Z179" s="661"/>
    </row>
    <row r="180" hidden="1" outlineLevel="1">
      <c r="A180" s="661"/>
      <c r="B180" s="729"/>
      <c r="C180" s="730"/>
      <c r="D180" s="730"/>
      <c r="E180" s="730"/>
      <c r="F180" s="730"/>
      <c r="G180" s="731"/>
      <c r="H180" s="730"/>
      <c r="I180" s="730"/>
      <c r="J180" s="730"/>
      <c r="K180" s="730"/>
      <c r="L180" s="756"/>
      <c r="M180" s="755"/>
      <c r="N180" s="730"/>
      <c r="O180" s="733"/>
      <c r="Q180" s="728"/>
      <c r="R180" s="661"/>
      <c r="S180" s="228" t="str">
        <f t="array" ref="S180">IFERROR(INDEX('💻シート作成'!$D$6:$D1001, MATCH(T180, '💻シート作成'!$E$6:$E1001, 0)), "")</f>
        <v/>
      </c>
      <c r="T180" s="184"/>
      <c r="U180" s="664"/>
      <c r="V180" s="774"/>
      <c r="W180" s="661"/>
      <c r="X180" s="757"/>
      <c r="Y180" s="661"/>
      <c r="Z180" s="661"/>
    </row>
    <row r="181" hidden="1" outlineLevel="1">
      <c r="A181" s="661"/>
      <c r="B181" s="729"/>
      <c r="C181" s="730"/>
      <c r="D181" s="730"/>
      <c r="E181" s="730"/>
      <c r="F181" s="730"/>
      <c r="G181" s="731"/>
      <c r="H181" s="730"/>
      <c r="I181" s="730"/>
      <c r="J181" s="730"/>
      <c r="K181" s="730"/>
      <c r="L181" s="756"/>
      <c r="M181" s="755"/>
      <c r="N181" s="730"/>
      <c r="O181" s="733"/>
      <c r="Q181" s="728"/>
      <c r="R181" s="661"/>
      <c r="S181" s="228" t="str">
        <f t="array" ref="S181">IFERROR(INDEX('💻シート作成'!$D$6:$D1001, MATCH(T181, '💻シート作成'!$E$6:$E1001, 0)), "")</f>
        <v/>
      </c>
      <c r="T181" s="184"/>
      <c r="U181" s="664"/>
      <c r="V181" s="774"/>
      <c r="W181" s="661"/>
      <c r="X181" s="757"/>
      <c r="Y181" s="661"/>
      <c r="Z181" s="661"/>
    </row>
    <row r="182" hidden="1" outlineLevel="1">
      <c r="A182" s="661"/>
      <c r="B182" s="729"/>
      <c r="C182" s="730"/>
      <c r="D182" s="730"/>
      <c r="E182" s="730"/>
      <c r="F182" s="730"/>
      <c r="G182" s="731"/>
      <c r="H182" s="730"/>
      <c r="I182" s="730"/>
      <c r="J182" s="730"/>
      <c r="K182" s="730"/>
      <c r="L182" s="756"/>
      <c r="M182" s="755"/>
      <c r="N182" s="730"/>
      <c r="O182" s="733"/>
      <c r="Q182" s="728"/>
      <c r="R182" s="661"/>
      <c r="S182" s="228" t="str">
        <f t="array" ref="S182">IFERROR(INDEX('💻シート作成'!$D$6:$D1001, MATCH(T182, '💻シート作成'!$E$6:$E1001, 0)), "")</f>
        <v/>
      </c>
      <c r="T182" s="184"/>
      <c r="U182" s="664"/>
      <c r="V182" s="774"/>
      <c r="W182" s="661"/>
      <c r="X182" s="757"/>
      <c r="Y182" s="661"/>
      <c r="Z182" s="661"/>
    </row>
    <row r="183" hidden="1" outlineLevel="1">
      <c r="A183" s="661"/>
      <c r="B183" s="729"/>
      <c r="C183" s="730"/>
      <c r="D183" s="730"/>
      <c r="E183" s="730"/>
      <c r="F183" s="730"/>
      <c r="G183" s="731"/>
      <c r="H183" s="730"/>
      <c r="I183" s="730"/>
      <c r="J183" s="730"/>
      <c r="K183" s="730"/>
      <c r="L183" s="756"/>
      <c r="M183" s="755"/>
      <c r="N183" s="730"/>
      <c r="O183" s="733"/>
      <c r="Q183" s="728"/>
      <c r="R183" s="661"/>
      <c r="S183" s="228" t="str">
        <f t="array" ref="S183">IFERROR(INDEX('💻シート作成'!$D$6:$D1001, MATCH(T183, '💻シート作成'!$E$6:$E1001, 0)), "")</f>
        <v/>
      </c>
      <c r="T183" s="184"/>
      <c r="U183" s="664"/>
      <c r="V183" s="774"/>
      <c r="W183" s="661"/>
      <c r="X183" s="757"/>
      <c r="Y183" s="661"/>
      <c r="Z183" s="661"/>
    </row>
    <row r="184" hidden="1" outlineLevel="1">
      <c r="A184" s="661"/>
      <c r="B184" s="729"/>
      <c r="C184" s="730"/>
      <c r="D184" s="730"/>
      <c r="E184" s="730"/>
      <c r="F184" s="730"/>
      <c r="G184" s="731"/>
      <c r="H184" s="730"/>
      <c r="I184" s="730"/>
      <c r="J184" s="730"/>
      <c r="K184" s="730"/>
      <c r="L184" s="756"/>
      <c r="M184" s="755"/>
      <c r="N184" s="730"/>
      <c r="O184" s="733"/>
      <c r="Q184" s="728"/>
      <c r="R184" s="661"/>
      <c r="S184" s="228" t="str">
        <f t="array" ref="S184">IFERROR(INDEX('💻シート作成'!$D$6:$D1001, MATCH(T184, '💻シート作成'!$E$6:$E1001, 0)), "")</f>
        <v/>
      </c>
      <c r="T184" s="184"/>
      <c r="U184" s="664"/>
      <c r="V184" s="774"/>
      <c r="W184" s="661"/>
      <c r="X184" s="757"/>
      <c r="Y184" s="661"/>
      <c r="Z184" s="661"/>
    </row>
    <row r="185" hidden="1" outlineLevel="1">
      <c r="A185" s="661"/>
      <c r="B185" s="729"/>
      <c r="C185" s="730"/>
      <c r="D185" s="730"/>
      <c r="E185" s="730"/>
      <c r="F185" s="730"/>
      <c r="G185" s="731"/>
      <c r="H185" s="730"/>
      <c r="I185" s="730"/>
      <c r="J185" s="730"/>
      <c r="K185" s="730"/>
      <c r="L185" s="756"/>
      <c r="M185" s="755"/>
      <c r="N185" s="730"/>
      <c r="O185" s="733"/>
      <c r="Q185" s="728"/>
      <c r="R185" s="661"/>
      <c r="S185" s="228" t="str">
        <f t="array" ref="S185">IFERROR(INDEX('💻シート作成'!$D$6:$D1001, MATCH(T185, '💻シート作成'!$E$6:$E1001, 0)), "")</f>
        <v/>
      </c>
      <c r="T185" s="184"/>
      <c r="U185" s="664"/>
      <c r="V185" s="774"/>
      <c r="W185" s="661"/>
      <c r="X185" s="757"/>
      <c r="Y185" s="661"/>
      <c r="Z185" s="661"/>
    </row>
    <row r="186" hidden="1" outlineLevel="1">
      <c r="A186" s="661"/>
      <c r="B186" s="729"/>
      <c r="C186" s="730"/>
      <c r="D186" s="730"/>
      <c r="E186" s="730"/>
      <c r="F186" s="697"/>
      <c r="G186" s="698"/>
      <c r="H186" s="697"/>
      <c r="I186" s="697"/>
      <c r="J186" s="697"/>
      <c r="K186" s="697"/>
      <c r="L186" s="756"/>
      <c r="M186" s="755"/>
      <c r="N186" s="697"/>
      <c r="O186" s="700"/>
      <c r="P186" s="701"/>
      <c r="Q186" s="737"/>
      <c r="R186" s="661"/>
      <c r="S186" s="228" t="str">
        <f t="array" ref="S186">IFERROR(INDEX('💻シート作成'!$D$6:$D1001, MATCH(T186, '💻シート作成'!$E$6:$E1001, 0)), "")</f>
        <v/>
      </c>
      <c r="T186" s="184"/>
      <c r="U186" s="664"/>
      <c r="V186" s="774"/>
      <c r="W186" s="661"/>
      <c r="X186" s="757"/>
      <c r="Y186" s="661"/>
      <c r="Z186" s="661"/>
    </row>
    <row r="187" hidden="1" outlineLevel="1">
      <c r="A187" s="661"/>
      <c r="B187" s="738"/>
      <c r="C187" s="697"/>
      <c r="D187" s="697"/>
      <c r="E187" s="697"/>
      <c r="F187" s="758" t="s">
        <v>517</v>
      </c>
      <c r="G187" s="759"/>
      <c r="H187" s="741"/>
      <c r="I187" s="741"/>
      <c r="J187" s="741"/>
      <c r="K187" s="741"/>
      <c r="L187" s="759"/>
      <c r="M187" s="759"/>
      <c r="N187" s="759"/>
      <c r="O187" s="759"/>
      <c r="P187" s="759"/>
      <c r="Q187" s="760"/>
      <c r="R187" s="661"/>
      <c r="S187" s="228" t="str">
        <f t="array" ref="S187">IFERROR(INDEX('💻シート作成'!$D$6:$D1001, MATCH(T187, '💻シート作成'!$E$6:$E1001, 0)), "")</f>
        <v/>
      </c>
      <c r="T187" s="184"/>
      <c r="U187" s="664"/>
      <c r="V187" s="774"/>
      <c r="W187" s="661"/>
      <c r="X187" s="757"/>
      <c r="Y187" s="661"/>
      <c r="Z187" s="661"/>
    </row>
    <row r="188" hidden="1" outlineLevel="1">
      <c r="A188" s="661"/>
      <c r="B188" s="761"/>
      <c r="C188" s="762">
        <f>IF(C177="","",IF(DAY(C177+1)=1,"",C177+1))</f>
        <v>46070</v>
      </c>
      <c r="D188" s="763" t="str">
        <f>TEXT(C188,"ddd")</f>
        <v>火</v>
      </c>
      <c r="E188" s="764"/>
      <c r="F188" s="765" t="s">
        <v>518</v>
      </c>
      <c r="G188" s="766" t="s">
        <v>519</v>
      </c>
      <c r="H188" s="767"/>
      <c r="I188" s="768">
        <v>0.0</v>
      </c>
      <c r="J188" s="763"/>
      <c r="K188" s="763"/>
      <c r="L188" s="769"/>
      <c r="M188" s="769"/>
      <c r="N188" s="765"/>
      <c r="O188" s="770"/>
      <c r="P188" s="771"/>
      <c r="Q188" s="772"/>
      <c r="R188" s="661"/>
      <c r="S188" s="228" t="str">
        <f t="array" ref="S188">IFERROR(INDEX('💻シート作成'!$D$6:$D1001, MATCH(T188, '💻シート作成'!$E$6:$E1001, 0)), "")</f>
        <v/>
      </c>
      <c r="T188" s="184"/>
      <c r="U188" s="664"/>
      <c r="V188" s="774"/>
      <c r="W188" s="661"/>
      <c r="X188" s="757"/>
      <c r="Y188" s="661"/>
      <c r="Z188" s="661"/>
    </row>
    <row r="189" hidden="1" outlineLevel="1">
      <c r="A189" s="661"/>
      <c r="B189" s="729"/>
      <c r="C189" s="730"/>
      <c r="D189" s="730"/>
      <c r="E189" s="730"/>
      <c r="F189" s="730"/>
      <c r="G189" s="731"/>
      <c r="H189" s="730"/>
      <c r="I189" s="730"/>
      <c r="J189" s="730"/>
      <c r="K189" s="730"/>
      <c r="L189" s="769"/>
      <c r="M189" s="769"/>
      <c r="N189" s="730"/>
      <c r="O189" s="733"/>
      <c r="Q189" s="728"/>
      <c r="R189" s="661"/>
      <c r="S189" s="228" t="str">
        <f t="array" ref="S189">IFERROR(INDEX('💻シート作成'!$D$6:$D1001, MATCH(T189, '💻シート作成'!$E$6:$E1001, 0)), "")</f>
        <v/>
      </c>
      <c r="T189" s="184"/>
      <c r="U189" s="664"/>
      <c r="V189" s="774"/>
      <c r="W189" s="661"/>
      <c r="X189" s="757"/>
      <c r="Y189" s="661"/>
      <c r="Z189" s="661"/>
    </row>
    <row r="190" hidden="1" outlineLevel="1">
      <c r="A190" s="661"/>
      <c r="B190" s="729"/>
      <c r="C190" s="730"/>
      <c r="D190" s="730"/>
      <c r="E190" s="730"/>
      <c r="F190" s="730"/>
      <c r="G190" s="731"/>
      <c r="H190" s="730"/>
      <c r="I190" s="730"/>
      <c r="J190" s="730"/>
      <c r="K190" s="730"/>
      <c r="L190" s="769"/>
      <c r="M190" s="769"/>
      <c r="N190" s="730"/>
      <c r="O190" s="733"/>
      <c r="Q190" s="728"/>
      <c r="R190" s="661"/>
      <c r="S190" s="228" t="str">
        <f t="array" ref="S190">IFERROR(INDEX('💻シート作成'!$D$6:$D1001, MATCH(T190, '💻シート作成'!$E$6:$E1001, 0)), "")</f>
        <v/>
      </c>
      <c r="T190" s="184"/>
      <c r="U190" s="664"/>
      <c r="V190" s="774"/>
      <c r="W190" s="661"/>
      <c r="X190" s="757"/>
      <c r="Y190" s="661"/>
      <c r="Z190" s="661"/>
    </row>
    <row r="191" hidden="1" outlineLevel="1">
      <c r="A191" s="661"/>
      <c r="B191" s="729"/>
      <c r="C191" s="730"/>
      <c r="D191" s="730"/>
      <c r="E191" s="730"/>
      <c r="F191" s="730"/>
      <c r="G191" s="731"/>
      <c r="H191" s="730"/>
      <c r="I191" s="730"/>
      <c r="J191" s="730"/>
      <c r="K191" s="730"/>
      <c r="L191" s="773"/>
      <c r="M191" s="769"/>
      <c r="N191" s="730"/>
      <c r="O191" s="733"/>
      <c r="Q191" s="728"/>
      <c r="R191" s="661"/>
      <c r="S191" s="228" t="str">
        <f t="array" ref="S191">IFERROR(INDEX('💻シート作成'!$D$6:$D1001, MATCH(T191, '💻シート作成'!$E$6:$E1001, 0)), "")</f>
        <v/>
      </c>
      <c r="T191" s="184"/>
      <c r="U191" s="664"/>
      <c r="V191" s="774"/>
      <c r="W191" s="661"/>
      <c r="X191" s="757"/>
      <c r="Y191" s="661"/>
      <c r="Z191" s="661"/>
    </row>
    <row r="192" hidden="1" outlineLevel="1">
      <c r="A192" s="661"/>
      <c r="B192" s="729"/>
      <c r="C192" s="730"/>
      <c r="D192" s="730"/>
      <c r="E192" s="730"/>
      <c r="F192" s="730"/>
      <c r="G192" s="731"/>
      <c r="H192" s="730"/>
      <c r="I192" s="730"/>
      <c r="J192" s="730"/>
      <c r="K192" s="730"/>
      <c r="L192" s="773"/>
      <c r="M192" s="769"/>
      <c r="N192" s="730"/>
      <c r="O192" s="733"/>
      <c r="Q192" s="728"/>
      <c r="R192" s="661"/>
      <c r="S192" s="228" t="str">
        <f t="array" ref="S192">IFERROR(INDEX('💻シート作成'!$D$6:$D1001, MATCH(T192, '💻シート作成'!$E$6:$E1001, 0)), "")</f>
        <v/>
      </c>
      <c r="T192" s="184"/>
      <c r="U192" s="664"/>
      <c r="V192" s="774"/>
      <c r="W192" s="661"/>
      <c r="X192" s="757"/>
      <c r="Y192" s="661"/>
      <c r="Z192" s="661"/>
    </row>
    <row r="193" hidden="1" outlineLevel="1">
      <c r="A193" s="661"/>
      <c r="B193" s="729"/>
      <c r="C193" s="730"/>
      <c r="D193" s="730"/>
      <c r="E193" s="730"/>
      <c r="F193" s="730"/>
      <c r="G193" s="731"/>
      <c r="H193" s="730"/>
      <c r="I193" s="730"/>
      <c r="J193" s="730"/>
      <c r="K193" s="730"/>
      <c r="L193" s="773"/>
      <c r="M193" s="769"/>
      <c r="N193" s="730"/>
      <c r="O193" s="733"/>
      <c r="Q193" s="728"/>
      <c r="R193" s="661"/>
      <c r="S193" s="228" t="str">
        <f t="array" ref="S193">IFERROR(INDEX('💻シート作成'!$D$6:$D1001, MATCH(T193, '💻シート作成'!$E$6:$E1001, 0)), "")</f>
        <v/>
      </c>
      <c r="T193" s="184"/>
      <c r="U193" s="664"/>
      <c r="V193" s="774"/>
      <c r="W193" s="661"/>
      <c r="X193" s="757"/>
      <c r="Y193" s="661"/>
      <c r="Z193" s="661"/>
    </row>
    <row r="194" hidden="1" outlineLevel="1">
      <c r="A194" s="661"/>
      <c r="B194" s="729"/>
      <c r="C194" s="730"/>
      <c r="D194" s="730"/>
      <c r="E194" s="730"/>
      <c r="F194" s="730"/>
      <c r="G194" s="731"/>
      <c r="H194" s="730"/>
      <c r="I194" s="730"/>
      <c r="J194" s="730"/>
      <c r="K194" s="730"/>
      <c r="L194" s="773"/>
      <c r="M194" s="769"/>
      <c r="N194" s="730"/>
      <c r="O194" s="733"/>
      <c r="Q194" s="728"/>
      <c r="R194" s="661"/>
      <c r="S194" s="228" t="str">
        <f t="array" ref="S194">IFERROR(INDEX('💻シート作成'!$D$6:$D1001, MATCH(T194, '💻シート作成'!$E$6:$E1001, 0)), "")</f>
        <v/>
      </c>
      <c r="T194" s="184"/>
      <c r="U194" s="664"/>
      <c r="V194" s="774"/>
      <c r="W194" s="661"/>
      <c r="X194" s="757"/>
      <c r="Y194" s="661"/>
      <c r="Z194" s="661"/>
    </row>
    <row r="195" hidden="1" outlineLevel="1">
      <c r="A195" s="661"/>
      <c r="B195" s="729"/>
      <c r="C195" s="730"/>
      <c r="D195" s="730"/>
      <c r="E195" s="730"/>
      <c r="F195" s="730"/>
      <c r="G195" s="731"/>
      <c r="H195" s="730"/>
      <c r="I195" s="730"/>
      <c r="J195" s="730"/>
      <c r="K195" s="730"/>
      <c r="L195" s="773"/>
      <c r="M195" s="769"/>
      <c r="N195" s="730"/>
      <c r="O195" s="733"/>
      <c r="Q195" s="728"/>
      <c r="R195" s="661"/>
      <c r="S195" s="228" t="str">
        <f t="array" ref="S195">IFERROR(INDEX('💻シート作成'!$D$6:$D1001, MATCH(T195, '💻シート作成'!$E$6:$E1001, 0)), "")</f>
        <v/>
      </c>
      <c r="T195" s="184"/>
      <c r="U195" s="664"/>
      <c r="V195" s="774"/>
      <c r="W195" s="661"/>
      <c r="X195" s="757"/>
      <c r="Y195" s="661"/>
      <c r="Z195" s="661"/>
    </row>
    <row r="196" hidden="1" outlineLevel="1">
      <c r="A196" s="661"/>
      <c r="B196" s="729"/>
      <c r="C196" s="730"/>
      <c r="D196" s="730"/>
      <c r="E196" s="730"/>
      <c r="F196" s="730"/>
      <c r="G196" s="731"/>
      <c r="H196" s="730"/>
      <c r="I196" s="730"/>
      <c r="J196" s="730"/>
      <c r="K196" s="730"/>
      <c r="L196" s="773"/>
      <c r="M196" s="769"/>
      <c r="N196" s="730"/>
      <c r="O196" s="733"/>
      <c r="Q196" s="728"/>
      <c r="R196" s="661"/>
      <c r="S196" s="228" t="str">
        <f t="array" ref="S196">IFERROR(INDEX('💻シート作成'!$D$6:$D1001, MATCH(T196, '💻シート作成'!$E$6:$E1001, 0)), "")</f>
        <v/>
      </c>
      <c r="T196" s="184"/>
      <c r="U196" s="664"/>
      <c r="V196" s="774"/>
      <c r="W196" s="661"/>
      <c r="X196" s="757"/>
      <c r="Y196" s="661"/>
      <c r="Z196" s="661"/>
    </row>
    <row r="197" hidden="1" outlineLevel="1">
      <c r="A197" s="661"/>
      <c r="B197" s="729"/>
      <c r="C197" s="730"/>
      <c r="D197" s="730"/>
      <c r="E197" s="730"/>
      <c r="F197" s="697"/>
      <c r="G197" s="698"/>
      <c r="H197" s="697"/>
      <c r="I197" s="697"/>
      <c r="J197" s="697"/>
      <c r="K197" s="697"/>
      <c r="L197" s="773"/>
      <c r="M197" s="769"/>
      <c r="N197" s="697"/>
      <c r="O197" s="700"/>
      <c r="P197" s="701"/>
      <c r="Q197" s="737"/>
      <c r="R197" s="661"/>
      <c r="S197" s="228" t="str">
        <f t="array" ref="S197">IFERROR(INDEX('💻シート作成'!$D$6:$D1001, MATCH(T197, '💻シート作成'!$E$6:$E1001, 0)), "")</f>
        <v/>
      </c>
      <c r="T197" s="184"/>
      <c r="U197" s="664"/>
      <c r="V197" s="774"/>
      <c r="W197" s="661"/>
      <c r="X197" s="757"/>
      <c r="Y197" s="661"/>
      <c r="Z197" s="661"/>
    </row>
    <row r="198" hidden="1" outlineLevel="1">
      <c r="A198" s="661"/>
      <c r="B198" s="738"/>
      <c r="C198" s="697"/>
      <c r="D198" s="697"/>
      <c r="E198" s="697"/>
      <c r="F198" s="739" t="s">
        <v>517</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4"/>
      <c r="W198" s="661"/>
      <c r="X198" s="757"/>
      <c r="Y198" s="661"/>
      <c r="Z198" s="661"/>
    </row>
    <row r="199" hidden="1" outlineLevel="1">
      <c r="A199" s="661"/>
      <c r="B199" s="743"/>
      <c r="C199" s="744">
        <f>IF(C188="","",IF(DAY(C188+1)=1,"",C188+1))</f>
        <v>46071</v>
      </c>
      <c r="D199" s="745" t="str">
        <f>TEXT(C199,"ddd")</f>
        <v>水</v>
      </c>
      <c r="E199" s="746"/>
      <c r="F199" s="775" t="s">
        <v>518</v>
      </c>
      <c r="G199" s="776" t="s">
        <v>519</v>
      </c>
      <c r="H199" s="777"/>
      <c r="I199" s="778">
        <v>0.0</v>
      </c>
      <c r="J199" s="745"/>
      <c r="K199" s="745"/>
      <c r="L199" s="755"/>
      <c r="M199" s="755"/>
      <c r="N199" s="775"/>
      <c r="O199" s="779"/>
      <c r="P199" s="771"/>
      <c r="Q199" s="772"/>
      <c r="R199" s="661"/>
      <c r="S199" s="228" t="str">
        <f t="array" ref="S199">IFERROR(INDEX('💻シート作成'!$D$6:$D1001, MATCH(T199, '💻シート作成'!$E$6:$E1001, 0)), "")</f>
        <v/>
      </c>
      <c r="T199" s="184"/>
      <c r="U199" s="664"/>
      <c r="V199" s="774"/>
      <c r="W199" s="661"/>
      <c r="X199" s="757"/>
      <c r="Y199" s="661"/>
      <c r="Z199" s="661"/>
    </row>
    <row r="200" hidden="1" outlineLevel="1">
      <c r="A200" s="661"/>
      <c r="B200" s="729"/>
      <c r="C200" s="730"/>
      <c r="D200" s="730"/>
      <c r="E200" s="730"/>
      <c r="F200" s="730"/>
      <c r="G200" s="731"/>
      <c r="H200" s="730"/>
      <c r="I200" s="730"/>
      <c r="J200" s="730"/>
      <c r="K200" s="730"/>
      <c r="L200" s="755"/>
      <c r="M200" s="755"/>
      <c r="N200" s="730"/>
      <c r="O200" s="733"/>
      <c r="Q200" s="728"/>
      <c r="R200" s="661"/>
      <c r="S200" s="228" t="str">
        <f t="array" ref="S200">IFERROR(INDEX('💻シート作成'!$D$6:$D1001, MATCH(T200, '💻シート作成'!$E$6:$E1001, 0)), "")</f>
        <v/>
      </c>
      <c r="T200" s="184"/>
      <c r="U200" s="664"/>
      <c r="V200" s="774"/>
      <c r="W200" s="661"/>
      <c r="X200" s="757"/>
      <c r="Y200" s="661"/>
      <c r="Z200" s="661"/>
    </row>
    <row r="201" hidden="1" outlineLevel="1">
      <c r="A201" s="661"/>
      <c r="B201" s="729"/>
      <c r="C201" s="730"/>
      <c r="D201" s="730"/>
      <c r="E201" s="730"/>
      <c r="F201" s="730"/>
      <c r="G201" s="731"/>
      <c r="H201" s="730"/>
      <c r="I201" s="730"/>
      <c r="J201" s="730"/>
      <c r="K201" s="730"/>
      <c r="L201" s="755"/>
      <c r="M201" s="755"/>
      <c r="N201" s="730"/>
      <c r="O201" s="733"/>
      <c r="Q201" s="728"/>
      <c r="R201" s="661"/>
      <c r="S201" s="228" t="str">
        <f t="array" ref="S201">IFERROR(INDEX('💻シート作成'!$D$6:$D1001, MATCH(T201, '💻シート作成'!$E$6:$E1001, 0)), "")</f>
        <v/>
      </c>
      <c r="T201" s="184"/>
      <c r="U201" s="664"/>
      <c r="V201" s="774"/>
      <c r="W201" s="661"/>
      <c r="X201" s="757"/>
      <c r="Y201" s="661"/>
      <c r="Z201" s="661"/>
    </row>
    <row r="202" hidden="1" outlineLevel="1">
      <c r="A202" s="661"/>
      <c r="B202" s="729"/>
      <c r="C202" s="730"/>
      <c r="D202" s="730"/>
      <c r="E202" s="730"/>
      <c r="F202" s="730"/>
      <c r="G202" s="731"/>
      <c r="H202" s="730"/>
      <c r="I202" s="730"/>
      <c r="J202" s="730"/>
      <c r="K202" s="730"/>
      <c r="L202" s="756"/>
      <c r="M202" s="755"/>
      <c r="N202" s="730"/>
      <c r="O202" s="733"/>
      <c r="Q202" s="728"/>
      <c r="R202" s="661"/>
      <c r="S202" s="228" t="str">
        <f t="array" ref="S202">IFERROR(INDEX('💻シート作成'!$D$6:$D1001, MATCH(T202, '💻シート作成'!$E$6:$E1001, 0)), "")</f>
        <v/>
      </c>
      <c r="T202" s="184"/>
      <c r="U202" s="664"/>
      <c r="V202" s="774"/>
      <c r="W202" s="661"/>
      <c r="X202" s="757"/>
      <c r="Y202" s="661"/>
      <c r="Z202" s="661"/>
    </row>
    <row r="203" hidden="1" outlineLevel="1">
      <c r="A203" s="661"/>
      <c r="B203" s="729"/>
      <c r="C203" s="730"/>
      <c r="D203" s="730"/>
      <c r="E203" s="730"/>
      <c r="F203" s="730"/>
      <c r="G203" s="731"/>
      <c r="H203" s="730"/>
      <c r="I203" s="730"/>
      <c r="J203" s="730"/>
      <c r="K203" s="730"/>
      <c r="L203" s="756"/>
      <c r="M203" s="755"/>
      <c r="N203" s="730"/>
      <c r="O203" s="733"/>
      <c r="Q203" s="728"/>
      <c r="R203" s="661"/>
      <c r="S203" s="228" t="str">
        <f t="array" ref="S203">IFERROR(INDEX('💻シート作成'!$D$6:$D1001, MATCH(T203, '💻シート作成'!$E$6:$E1001, 0)), "")</f>
        <v/>
      </c>
      <c r="T203" s="184"/>
      <c r="U203" s="664"/>
      <c r="V203" s="774"/>
      <c r="W203" s="661"/>
      <c r="X203" s="757"/>
      <c r="Y203" s="661"/>
      <c r="Z203" s="661"/>
    </row>
    <row r="204" hidden="1" outlineLevel="1">
      <c r="A204" s="661"/>
      <c r="B204" s="729"/>
      <c r="C204" s="730"/>
      <c r="D204" s="730"/>
      <c r="E204" s="730"/>
      <c r="F204" s="730"/>
      <c r="G204" s="731"/>
      <c r="H204" s="730"/>
      <c r="I204" s="730"/>
      <c r="J204" s="730"/>
      <c r="K204" s="730"/>
      <c r="L204" s="756"/>
      <c r="M204" s="755"/>
      <c r="N204" s="730"/>
      <c r="O204" s="733"/>
      <c r="Q204" s="728"/>
      <c r="R204" s="661"/>
      <c r="S204" s="228" t="str">
        <f t="array" ref="S204">IFERROR(INDEX('💻シート作成'!$D$6:$D1001, MATCH(T204, '💻シート作成'!$E$6:$E1001, 0)), "")</f>
        <v/>
      </c>
      <c r="T204" s="184"/>
      <c r="U204" s="664"/>
      <c r="V204" s="774"/>
      <c r="W204" s="661"/>
      <c r="X204" s="757"/>
      <c r="Y204" s="661"/>
      <c r="Z204" s="661"/>
    </row>
    <row r="205" hidden="1" outlineLevel="1">
      <c r="A205" s="661"/>
      <c r="B205" s="729"/>
      <c r="C205" s="730"/>
      <c r="D205" s="730"/>
      <c r="E205" s="730"/>
      <c r="F205" s="730"/>
      <c r="G205" s="731"/>
      <c r="H205" s="730"/>
      <c r="I205" s="730"/>
      <c r="J205" s="730"/>
      <c r="K205" s="730"/>
      <c r="L205" s="756"/>
      <c r="M205" s="755"/>
      <c r="N205" s="730"/>
      <c r="O205" s="733"/>
      <c r="Q205" s="728"/>
      <c r="R205" s="661"/>
      <c r="S205" s="228" t="str">
        <f t="array" ref="S205">IFERROR(INDEX('💻シート作成'!$D$6:$D1001, MATCH(T205, '💻シート作成'!$E$6:$E1001, 0)), "")</f>
        <v/>
      </c>
      <c r="T205" s="184"/>
      <c r="U205" s="664"/>
      <c r="V205" s="774"/>
      <c r="W205" s="661"/>
      <c r="X205" s="757"/>
      <c r="Y205" s="661"/>
      <c r="Z205" s="661"/>
    </row>
    <row r="206" hidden="1" outlineLevel="1">
      <c r="A206" s="661"/>
      <c r="B206" s="729"/>
      <c r="C206" s="730"/>
      <c r="D206" s="730"/>
      <c r="E206" s="730"/>
      <c r="F206" s="730"/>
      <c r="G206" s="731"/>
      <c r="H206" s="730"/>
      <c r="I206" s="730"/>
      <c r="J206" s="730"/>
      <c r="K206" s="730"/>
      <c r="L206" s="756"/>
      <c r="M206" s="755"/>
      <c r="N206" s="730"/>
      <c r="O206" s="733"/>
      <c r="Q206" s="728"/>
      <c r="R206" s="661"/>
      <c r="S206" s="228" t="str">
        <f t="array" ref="S206">IFERROR(INDEX('💻シート作成'!$D$6:$D1001, MATCH(T206, '💻シート作成'!$E$6:$E1001, 0)), "")</f>
        <v/>
      </c>
      <c r="T206" s="184"/>
      <c r="U206" s="664"/>
      <c r="V206" s="774"/>
      <c r="W206" s="661"/>
      <c r="X206" s="757"/>
      <c r="Y206" s="661"/>
      <c r="Z206" s="661"/>
    </row>
    <row r="207" hidden="1" outlineLevel="1">
      <c r="A207" s="661"/>
      <c r="B207" s="729"/>
      <c r="C207" s="730"/>
      <c r="D207" s="730"/>
      <c r="E207" s="730"/>
      <c r="F207" s="730"/>
      <c r="G207" s="731"/>
      <c r="H207" s="730"/>
      <c r="I207" s="730"/>
      <c r="J207" s="730"/>
      <c r="K207" s="730"/>
      <c r="L207" s="756"/>
      <c r="M207" s="755"/>
      <c r="N207" s="730"/>
      <c r="O207" s="733"/>
      <c r="Q207" s="728"/>
      <c r="R207" s="661"/>
      <c r="S207" s="228" t="str">
        <f t="array" ref="S207">IFERROR(INDEX('💻シート作成'!$D$6:$D1001, MATCH(T207, '💻シート作成'!$E$6:$E1001, 0)), "")</f>
        <v/>
      </c>
      <c r="T207" s="184"/>
      <c r="U207" s="664"/>
      <c r="V207" s="774"/>
      <c r="W207" s="661"/>
      <c r="X207" s="757"/>
      <c r="Y207" s="661"/>
      <c r="Z207" s="661"/>
    </row>
    <row r="208" hidden="1" outlineLevel="1">
      <c r="A208" s="661"/>
      <c r="B208" s="729"/>
      <c r="C208" s="730"/>
      <c r="D208" s="730"/>
      <c r="E208" s="730"/>
      <c r="F208" s="697"/>
      <c r="G208" s="698"/>
      <c r="H208" s="697"/>
      <c r="I208" s="697"/>
      <c r="J208" s="697"/>
      <c r="K208" s="697"/>
      <c r="L208" s="756"/>
      <c r="M208" s="755"/>
      <c r="N208" s="697"/>
      <c r="O208" s="700"/>
      <c r="P208" s="701"/>
      <c r="Q208" s="737"/>
      <c r="R208" s="661"/>
      <c r="S208" s="228" t="str">
        <f t="array" ref="S208">IFERROR(INDEX('💻シート作成'!$D$6:$D1001, MATCH(T208, '💻シート作成'!$E$6:$E1001, 0)), "")</f>
        <v/>
      </c>
      <c r="T208" s="184"/>
      <c r="U208" s="664"/>
      <c r="V208" s="774"/>
      <c r="W208" s="661"/>
      <c r="X208" s="757"/>
      <c r="Y208" s="661"/>
      <c r="Z208" s="661"/>
    </row>
    <row r="209" hidden="1" outlineLevel="1">
      <c r="A209" s="661"/>
      <c r="B209" s="738"/>
      <c r="C209" s="697"/>
      <c r="D209" s="697"/>
      <c r="E209" s="697"/>
      <c r="F209" s="758" t="s">
        <v>517</v>
      </c>
      <c r="G209" s="759"/>
      <c r="H209" s="741"/>
      <c r="I209" s="741"/>
      <c r="J209" s="741"/>
      <c r="K209" s="741"/>
      <c r="L209" s="759"/>
      <c r="M209" s="759"/>
      <c r="N209" s="759"/>
      <c r="O209" s="759"/>
      <c r="P209" s="759"/>
      <c r="Q209" s="760"/>
      <c r="R209" s="661"/>
      <c r="S209" s="228" t="str">
        <f t="array" ref="S209">IFERROR(INDEX('💻シート作成'!$D$6:$D1001, MATCH(T209, '💻シート作成'!$E$6:$E1001, 0)), "")</f>
        <v/>
      </c>
      <c r="T209" s="184"/>
      <c r="U209" s="664"/>
      <c r="V209" s="774"/>
      <c r="W209" s="661"/>
      <c r="X209" s="757"/>
      <c r="Y209" s="661"/>
      <c r="Z209" s="661"/>
    </row>
    <row r="210" hidden="1" outlineLevel="1">
      <c r="A210" s="661"/>
      <c r="B210" s="761"/>
      <c r="C210" s="762">
        <f>IF(C199="","",IF(DAY(C199+1)=1,"",C199+1))</f>
        <v>46072</v>
      </c>
      <c r="D210" s="763" t="str">
        <f>TEXT(C210,"ddd")</f>
        <v>木</v>
      </c>
      <c r="E210" s="764"/>
      <c r="F210" s="765" t="s">
        <v>518</v>
      </c>
      <c r="G210" s="766" t="s">
        <v>519</v>
      </c>
      <c r="H210" s="767"/>
      <c r="I210" s="768">
        <v>0.0</v>
      </c>
      <c r="J210" s="763"/>
      <c r="K210" s="763"/>
      <c r="L210" s="769"/>
      <c r="M210" s="769"/>
      <c r="N210" s="765"/>
      <c r="O210" s="770"/>
      <c r="P210" s="771"/>
      <c r="Q210" s="772"/>
      <c r="R210" s="661"/>
      <c r="S210" s="228" t="str">
        <f t="array" ref="S210">IFERROR(INDEX('💻シート作成'!$D$6:$D1001, MATCH(T210, '💻シート作成'!$E$6:$E1001, 0)), "")</f>
        <v/>
      </c>
      <c r="T210" s="184"/>
      <c r="U210" s="664"/>
      <c r="V210" s="774"/>
      <c r="W210" s="661"/>
      <c r="X210" s="757"/>
      <c r="Y210" s="661"/>
      <c r="Z210" s="661"/>
    </row>
    <row r="211" hidden="1" outlineLevel="1">
      <c r="A211" s="661"/>
      <c r="B211" s="729"/>
      <c r="C211" s="730"/>
      <c r="D211" s="730"/>
      <c r="E211" s="730"/>
      <c r="F211" s="730"/>
      <c r="G211" s="731"/>
      <c r="H211" s="730"/>
      <c r="I211" s="730"/>
      <c r="J211" s="730"/>
      <c r="K211" s="730"/>
      <c r="L211" s="769"/>
      <c r="M211" s="769"/>
      <c r="N211" s="730"/>
      <c r="O211" s="733"/>
      <c r="Q211" s="728"/>
      <c r="R211" s="661"/>
      <c r="S211" s="228" t="str">
        <f t="array" ref="S211">IFERROR(INDEX('💻シート作成'!$D$6:$D1001, MATCH(T211, '💻シート作成'!$E$6:$E1001, 0)), "")</f>
        <v/>
      </c>
      <c r="T211" s="184"/>
      <c r="U211" s="664"/>
      <c r="V211" s="774"/>
      <c r="W211" s="661"/>
      <c r="X211" s="757"/>
      <c r="Y211" s="661"/>
      <c r="Z211" s="661"/>
    </row>
    <row r="212" hidden="1" outlineLevel="1">
      <c r="A212" s="661"/>
      <c r="B212" s="729"/>
      <c r="C212" s="730"/>
      <c r="D212" s="730"/>
      <c r="E212" s="730"/>
      <c r="F212" s="730"/>
      <c r="G212" s="731"/>
      <c r="H212" s="730"/>
      <c r="I212" s="730"/>
      <c r="J212" s="730"/>
      <c r="K212" s="730"/>
      <c r="L212" s="769"/>
      <c r="M212" s="769"/>
      <c r="N212" s="730"/>
      <c r="O212" s="733"/>
      <c r="Q212" s="728"/>
      <c r="R212" s="661"/>
      <c r="S212" s="228" t="str">
        <f t="array" ref="S212">IFERROR(INDEX('💻シート作成'!$D$6:$D1001, MATCH(T212, '💻シート作成'!$E$6:$E1001, 0)), "")</f>
        <v/>
      </c>
      <c r="T212" s="184"/>
      <c r="U212" s="664"/>
      <c r="V212" s="774"/>
      <c r="W212" s="661"/>
      <c r="X212" s="757"/>
      <c r="Y212" s="661"/>
      <c r="Z212" s="661"/>
    </row>
    <row r="213" hidden="1" outlineLevel="1">
      <c r="A213" s="661"/>
      <c r="B213" s="729"/>
      <c r="C213" s="730"/>
      <c r="D213" s="730"/>
      <c r="E213" s="730"/>
      <c r="F213" s="730"/>
      <c r="G213" s="731"/>
      <c r="H213" s="730"/>
      <c r="I213" s="730"/>
      <c r="J213" s="730"/>
      <c r="K213" s="730"/>
      <c r="L213" s="773"/>
      <c r="M213" s="769"/>
      <c r="N213" s="730"/>
      <c r="O213" s="733"/>
      <c r="Q213" s="728"/>
      <c r="R213" s="661"/>
      <c r="S213" s="228" t="str">
        <f t="array" ref="S213">IFERROR(INDEX('💻シート作成'!$D$6:$D1001, MATCH(T213, '💻シート作成'!$E$6:$E1001, 0)), "")</f>
        <v/>
      </c>
      <c r="T213" s="184"/>
      <c r="U213" s="664"/>
      <c r="V213" s="774"/>
      <c r="W213" s="661"/>
      <c r="X213" s="757"/>
      <c r="Y213" s="661"/>
      <c r="Z213" s="661"/>
    </row>
    <row r="214" hidden="1" outlineLevel="1">
      <c r="A214" s="661"/>
      <c r="B214" s="729"/>
      <c r="C214" s="730"/>
      <c r="D214" s="730"/>
      <c r="E214" s="730"/>
      <c r="F214" s="730"/>
      <c r="G214" s="731"/>
      <c r="H214" s="730"/>
      <c r="I214" s="730"/>
      <c r="J214" s="730"/>
      <c r="K214" s="730"/>
      <c r="L214" s="773"/>
      <c r="M214" s="769"/>
      <c r="N214" s="730"/>
      <c r="O214" s="733"/>
      <c r="Q214" s="728"/>
      <c r="R214" s="661"/>
      <c r="S214" s="228" t="str">
        <f t="array" ref="S214">IFERROR(INDEX('💻シート作成'!$D$6:$D1001, MATCH(T214, '💻シート作成'!$E$6:$E1001, 0)), "")</f>
        <v/>
      </c>
      <c r="T214" s="184"/>
      <c r="U214" s="664"/>
      <c r="V214" s="774"/>
      <c r="W214" s="661"/>
      <c r="X214" s="757"/>
      <c r="Y214" s="661"/>
      <c r="Z214" s="661"/>
    </row>
    <row r="215" hidden="1" outlineLevel="1">
      <c r="A215" s="661"/>
      <c r="B215" s="729"/>
      <c r="C215" s="730"/>
      <c r="D215" s="730"/>
      <c r="E215" s="730"/>
      <c r="F215" s="730"/>
      <c r="G215" s="731"/>
      <c r="H215" s="730"/>
      <c r="I215" s="730"/>
      <c r="J215" s="730"/>
      <c r="K215" s="730"/>
      <c r="L215" s="773"/>
      <c r="M215" s="769"/>
      <c r="N215" s="730"/>
      <c r="O215" s="733"/>
      <c r="Q215" s="728"/>
      <c r="R215" s="661"/>
      <c r="S215" s="228" t="str">
        <f t="array" ref="S215">IFERROR(INDEX('💻シート作成'!$D$6:$D1001, MATCH(T215, '💻シート作成'!$E$6:$E1001, 0)), "")</f>
        <v/>
      </c>
      <c r="T215" s="184"/>
      <c r="U215" s="664"/>
      <c r="V215" s="774"/>
      <c r="W215" s="661"/>
      <c r="X215" s="757"/>
      <c r="Y215" s="661"/>
      <c r="Z215" s="661"/>
    </row>
    <row r="216" hidden="1" outlineLevel="1">
      <c r="A216" s="661"/>
      <c r="B216" s="729"/>
      <c r="C216" s="730"/>
      <c r="D216" s="730"/>
      <c r="E216" s="730"/>
      <c r="F216" s="730"/>
      <c r="G216" s="731"/>
      <c r="H216" s="730"/>
      <c r="I216" s="730"/>
      <c r="J216" s="730"/>
      <c r="K216" s="730"/>
      <c r="L216" s="773"/>
      <c r="M216" s="769"/>
      <c r="N216" s="730"/>
      <c r="O216" s="733"/>
      <c r="Q216" s="728"/>
      <c r="R216" s="661"/>
      <c r="S216" s="228" t="str">
        <f t="array" ref="S216">IFERROR(INDEX('💻シート作成'!$D$6:$D1001, MATCH(T216, '💻シート作成'!$E$6:$E1001, 0)), "")</f>
        <v/>
      </c>
      <c r="T216" s="184"/>
      <c r="U216" s="664"/>
      <c r="V216" s="774"/>
      <c r="W216" s="661"/>
      <c r="X216" s="757"/>
      <c r="Y216" s="661"/>
      <c r="Z216" s="661"/>
    </row>
    <row r="217" hidden="1" outlineLevel="1">
      <c r="A217" s="661"/>
      <c r="B217" s="729"/>
      <c r="C217" s="730"/>
      <c r="D217" s="730"/>
      <c r="E217" s="730"/>
      <c r="F217" s="730"/>
      <c r="G217" s="731"/>
      <c r="H217" s="730"/>
      <c r="I217" s="730"/>
      <c r="J217" s="730"/>
      <c r="K217" s="730"/>
      <c r="L217" s="773"/>
      <c r="M217" s="769"/>
      <c r="N217" s="730"/>
      <c r="O217" s="733"/>
      <c r="Q217" s="728"/>
      <c r="R217" s="661"/>
      <c r="S217" s="228" t="str">
        <f t="array" ref="S217">IFERROR(INDEX('💻シート作成'!$D$6:$D1001, MATCH(T217, '💻シート作成'!$E$6:$E1001, 0)), "")</f>
        <v/>
      </c>
      <c r="T217" s="184"/>
      <c r="U217" s="664"/>
      <c r="V217" s="774"/>
      <c r="W217" s="661"/>
      <c r="X217" s="757"/>
      <c r="Y217" s="661"/>
      <c r="Z217" s="661"/>
    </row>
    <row r="218" hidden="1" outlineLevel="1">
      <c r="A218" s="661"/>
      <c r="B218" s="729"/>
      <c r="C218" s="730"/>
      <c r="D218" s="730"/>
      <c r="E218" s="730"/>
      <c r="F218" s="730"/>
      <c r="G218" s="731"/>
      <c r="H218" s="730"/>
      <c r="I218" s="730"/>
      <c r="J218" s="730"/>
      <c r="K218" s="730"/>
      <c r="L218" s="773"/>
      <c r="M218" s="769"/>
      <c r="N218" s="730"/>
      <c r="O218" s="733"/>
      <c r="Q218" s="728"/>
      <c r="R218" s="661"/>
      <c r="S218" s="228" t="str">
        <f t="array" ref="S218">IFERROR(INDEX('💻シート作成'!$D$6:$D1001, MATCH(T218, '💻シート作成'!$E$6:$E1001, 0)), "")</f>
        <v/>
      </c>
      <c r="T218" s="184"/>
      <c r="U218" s="664"/>
      <c r="V218" s="774"/>
      <c r="W218" s="661"/>
      <c r="X218" s="757"/>
      <c r="Y218" s="661"/>
      <c r="Z218" s="661"/>
    </row>
    <row r="219" hidden="1" outlineLevel="1">
      <c r="A219" s="661"/>
      <c r="B219" s="729"/>
      <c r="C219" s="730"/>
      <c r="D219" s="730"/>
      <c r="E219" s="730"/>
      <c r="F219" s="697"/>
      <c r="G219" s="698"/>
      <c r="H219" s="697"/>
      <c r="I219" s="697"/>
      <c r="J219" s="697"/>
      <c r="K219" s="697"/>
      <c r="L219" s="773"/>
      <c r="M219" s="769"/>
      <c r="N219" s="697"/>
      <c r="O219" s="700"/>
      <c r="P219" s="701"/>
      <c r="Q219" s="737"/>
      <c r="R219" s="661"/>
      <c r="S219" s="228" t="str">
        <f t="array" ref="S219">IFERROR(INDEX('💻シート作成'!$D$6:$D1001, MATCH(T219, '💻シート作成'!$E$6:$E1001, 0)), "")</f>
        <v/>
      </c>
      <c r="T219" s="184"/>
      <c r="U219" s="664"/>
      <c r="V219" s="774"/>
      <c r="W219" s="661"/>
      <c r="X219" s="757"/>
      <c r="Y219" s="661"/>
      <c r="Z219" s="661"/>
    </row>
    <row r="220" hidden="1" outlineLevel="1">
      <c r="A220" s="661"/>
      <c r="B220" s="738"/>
      <c r="C220" s="697"/>
      <c r="D220" s="697"/>
      <c r="E220" s="697"/>
      <c r="F220" s="739" t="s">
        <v>517</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4"/>
      <c r="W220" s="661"/>
      <c r="X220" s="757"/>
      <c r="Y220" s="661"/>
      <c r="Z220" s="661"/>
    </row>
    <row r="221" hidden="1" outlineLevel="1">
      <c r="A221" s="661"/>
      <c r="B221" s="743"/>
      <c r="C221" s="744">
        <f>IF(C210="","",IF(DAY(C210+1)=1,"",C210+1))</f>
        <v>46073</v>
      </c>
      <c r="D221" s="745" t="str">
        <f>TEXT(C221,"ddd")</f>
        <v>金</v>
      </c>
      <c r="E221" s="746"/>
      <c r="F221" s="775" t="s">
        <v>518</v>
      </c>
      <c r="G221" s="776" t="s">
        <v>519</v>
      </c>
      <c r="H221" s="777"/>
      <c r="I221" s="778">
        <v>0.0</v>
      </c>
      <c r="J221" s="745"/>
      <c r="K221" s="745"/>
      <c r="L221" s="755"/>
      <c r="M221" s="755"/>
      <c r="N221" s="775"/>
      <c r="O221" s="779"/>
      <c r="P221" s="771"/>
      <c r="Q221" s="772"/>
      <c r="R221" s="661"/>
      <c r="S221" s="228" t="str">
        <f t="array" ref="S221">IFERROR(INDEX('💻シート作成'!$D$6:$D1001, MATCH(T221, '💻シート作成'!$E$6:$E1001, 0)), "")</f>
        <v/>
      </c>
      <c r="T221" s="184"/>
      <c r="U221" s="664"/>
      <c r="V221" s="774"/>
      <c r="W221" s="661"/>
      <c r="X221" s="757"/>
      <c r="Y221" s="661"/>
      <c r="Z221" s="661"/>
    </row>
    <row r="222" hidden="1" outlineLevel="1">
      <c r="A222" s="661"/>
      <c r="B222" s="729"/>
      <c r="C222" s="730"/>
      <c r="D222" s="730"/>
      <c r="E222" s="730"/>
      <c r="F222" s="730"/>
      <c r="G222" s="731"/>
      <c r="H222" s="730"/>
      <c r="I222" s="730"/>
      <c r="J222" s="730"/>
      <c r="K222" s="730"/>
      <c r="L222" s="755"/>
      <c r="M222" s="755"/>
      <c r="N222" s="730"/>
      <c r="O222" s="733"/>
      <c r="Q222" s="728"/>
      <c r="R222" s="661"/>
      <c r="S222" s="228" t="str">
        <f t="array" ref="S222">IFERROR(INDEX('💻シート作成'!$D$6:$D1001, MATCH(T222, '💻シート作成'!$E$6:$E1001, 0)), "")</f>
        <v/>
      </c>
      <c r="T222" s="184"/>
      <c r="U222" s="664"/>
      <c r="V222" s="774"/>
      <c r="W222" s="661"/>
      <c r="X222" s="757"/>
      <c r="Y222" s="661"/>
      <c r="Z222" s="661"/>
    </row>
    <row r="223" hidden="1" outlineLevel="1">
      <c r="A223" s="661"/>
      <c r="B223" s="729"/>
      <c r="C223" s="730"/>
      <c r="D223" s="730"/>
      <c r="E223" s="730"/>
      <c r="F223" s="730"/>
      <c r="G223" s="731"/>
      <c r="H223" s="730"/>
      <c r="I223" s="730"/>
      <c r="J223" s="730"/>
      <c r="K223" s="730"/>
      <c r="L223" s="755"/>
      <c r="M223" s="755"/>
      <c r="N223" s="730"/>
      <c r="O223" s="733"/>
      <c r="Q223" s="728"/>
      <c r="R223" s="661"/>
      <c r="S223" s="228" t="str">
        <f t="array" ref="S223">IFERROR(INDEX('💻シート作成'!$D$6:$D1001, MATCH(T223, '💻シート作成'!$E$6:$E1001, 0)), "")</f>
        <v/>
      </c>
      <c r="T223" s="184"/>
      <c r="U223" s="664"/>
      <c r="V223" s="774"/>
      <c r="W223" s="661"/>
      <c r="X223" s="757"/>
      <c r="Y223" s="661"/>
      <c r="Z223" s="661"/>
    </row>
    <row r="224" hidden="1" outlineLevel="1">
      <c r="A224" s="661"/>
      <c r="B224" s="729"/>
      <c r="C224" s="730"/>
      <c r="D224" s="730"/>
      <c r="E224" s="730"/>
      <c r="F224" s="730"/>
      <c r="G224" s="731"/>
      <c r="H224" s="730"/>
      <c r="I224" s="730"/>
      <c r="J224" s="730"/>
      <c r="K224" s="730"/>
      <c r="L224" s="756"/>
      <c r="M224" s="755"/>
      <c r="N224" s="730"/>
      <c r="O224" s="733"/>
      <c r="Q224" s="728"/>
      <c r="R224" s="661"/>
      <c r="S224" s="228" t="str">
        <f t="array" ref="S224">IFERROR(INDEX('💻シート作成'!$D$6:$D1001, MATCH(T224, '💻シート作成'!$E$6:$E1001, 0)), "")</f>
        <v/>
      </c>
      <c r="T224" s="184"/>
      <c r="U224" s="664"/>
      <c r="V224" s="774"/>
      <c r="W224" s="661"/>
      <c r="X224" s="757"/>
      <c r="Y224" s="661"/>
      <c r="Z224" s="661"/>
    </row>
    <row r="225" hidden="1" outlineLevel="1">
      <c r="A225" s="661"/>
      <c r="B225" s="729"/>
      <c r="C225" s="730"/>
      <c r="D225" s="730"/>
      <c r="E225" s="730"/>
      <c r="F225" s="730"/>
      <c r="G225" s="731"/>
      <c r="H225" s="730"/>
      <c r="I225" s="730"/>
      <c r="J225" s="730"/>
      <c r="K225" s="730"/>
      <c r="L225" s="756"/>
      <c r="M225" s="755"/>
      <c r="N225" s="730"/>
      <c r="O225" s="733"/>
      <c r="Q225" s="728"/>
      <c r="R225" s="661"/>
      <c r="S225" s="228" t="str">
        <f t="array" ref="S225">IFERROR(INDEX('💻シート作成'!$D$6:$D1001, MATCH(T225, '💻シート作成'!$E$6:$E1001, 0)), "")</f>
        <v/>
      </c>
      <c r="T225" s="184"/>
      <c r="U225" s="664"/>
      <c r="V225" s="774"/>
      <c r="W225" s="661"/>
      <c r="X225" s="757"/>
      <c r="Y225" s="661"/>
      <c r="Z225" s="661"/>
    </row>
    <row r="226" hidden="1" outlineLevel="1">
      <c r="A226" s="661"/>
      <c r="B226" s="729"/>
      <c r="C226" s="730"/>
      <c r="D226" s="730"/>
      <c r="E226" s="730"/>
      <c r="F226" s="730"/>
      <c r="G226" s="731"/>
      <c r="H226" s="730"/>
      <c r="I226" s="730"/>
      <c r="J226" s="730"/>
      <c r="K226" s="730"/>
      <c r="L226" s="756"/>
      <c r="M226" s="755"/>
      <c r="N226" s="730"/>
      <c r="O226" s="733"/>
      <c r="Q226" s="728"/>
      <c r="R226" s="661"/>
      <c r="S226" s="228" t="str">
        <f t="array" ref="S226">IFERROR(INDEX('💻シート作成'!$D$6:$D1001, MATCH(T226, '💻シート作成'!$E$6:$E1001, 0)), "")</f>
        <v/>
      </c>
      <c r="T226" s="184"/>
      <c r="U226" s="664"/>
      <c r="V226" s="774"/>
      <c r="W226" s="661"/>
      <c r="X226" s="757"/>
      <c r="Y226" s="661"/>
      <c r="Z226" s="661"/>
    </row>
    <row r="227" hidden="1" outlineLevel="1">
      <c r="A227" s="661"/>
      <c r="B227" s="729"/>
      <c r="C227" s="730"/>
      <c r="D227" s="730"/>
      <c r="E227" s="730"/>
      <c r="F227" s="730"/>
      <c r="G227" s="731"/>
      <c r="H227" s="730"/>
      <c r="I227" s="730"/>
      <c r="J227" s="730"/>
      <c r="K227" s="730"/>
      <c r="L227" s="756"/>
      <c r="M227" s="755"/>
      <c r="N227" s="730"/>
      <c r="O227" s="733"/>
      <c r="Q227" s="728"/>
      <c r="R227" s="661"/>
      <c r="S227" s="228" t="str">
        <f t="array" ref="S227">IFERROR(INDEX('💻シート作成'!$D$6:$D1001, MATCH(T227, '💻シート作成'!$E$6:$E1001, 0)), "")</f>
        <v/>
      </c>
      <c r="T227" s="184"/>
      <c r="U227" s="664"/>
      <c r="V227" s="774"/>
      <c r="W227" s="661"/>
      <c r="X227" s="757"/>
      <c r="Y227" s="661"/>
      <c r="Z227" s="661"/>
    </row>
    <row r="228" hidden="1" outlineLevel="1">
      <c r="A228" s="661"/>
      <c r="B228" s="729"/>
      <c r="C228" s="730"/>
      <c r="D228" s="730"/>
      <c r="E228" s="730"/>
      <c r="F228" s="730"/>
      <c r="G228" s="731"/>
      <c r="H228" s="730"/>
      <c r="I228" s="730"/>
      <c r="J228" s="730"/>
      <c r="K228" s="730"/>
      <c r="L228" s="756"/>
      <c r="M228" s="755"/>
      <c r="N228" s="730"/>
      <c r="O228" s="733"/>
      <c r="Q228" s="728"/>
      <c r="R228" s="661"/>
      <c r="S228" s="228" t="str">
        <f t="array" ref="S228">IFERROR(INDEX('💻シート作成'!$D$6:$D1001, MATCH(T228, '💻シート作成'!$E$6:$E1001, 0)), "")</f>
        <v/>
      </c>
      <c r="T228" s="184"/>
      <c r="U228" s="664"/>
      <c r="V228" s="774"/>
      <c r="W228" s="661"/>
      <c r="X228" s="757"/>
      <c r="Y228" s="661"/>
      <c r="Z228" s="661"/>
    </row>
    <row r="229" hidden="1" outlineLevel="1">
      <c r="A229" s="661"/>
      <c r="B229" s="729"/>
      <c r="C229" s="730"/>
      <c r="D229" s="730"/>
      <c r="E229" s="730"/>
      <c r="F229" s="730"/>
      <c r="G229" s="731"/>
      <c r="H229" s="730"/>
      <c r="I229" s="730"/>
      <c r="J229" s="730"/>
      <c r="K229" s="730"/>
      <c r="L229" s="756"/>
      <c r="M229" s="755"/>
      <c r="N229" s="730"/>
      <c r="O229" s="733"/>
      <c r="Q229" s="728"/>
      <c r="R229" s="661"/>
      <c r="S229" s="228" t="str">
        <f t="array" ref="S229">IFERROR(INDEX('💻シート作成'!$D$6:$D1001, MATCH(T229, '💻シート作成'!$E$6:$E1001, 0)), "")</f>
        <v/>
      </c>
      <c r="T229" s="184"/>
      <c r="U229" s="664"/>
      <c r="V229" s="774"/>
      <c r="W229" s="661"/>
      <c r="X229" s="757"/>
      <c r="Y229" s="661"/>
      <c r="Z229" s="661"/>
    </row>
    <row r="230" hidden="1" outlineLevel="1">
      <c r="A230" s="661"/>
      <c r="B230" s="729"/>
      <c r="C230" s="730"/>
      <c r="D230" s="730"/>
      <c r="E230" s="730"/>
      <c r="F230" s="697"/>
      <c r="G230" s="698"/>
      <c r="H230" s="697"/>
      <c r="I230" s="697"/>
      <c r="J230" s="697"/>
      <c r="K230" s="697"/>
      <c r="L230" s="756"/>
      <c r="M230" s="755"/>
      <c r="N230" s="697"/>
      <c r="O230" s="700"/>
      <c r="P230" s="701"/>
      <c r="Q230" s="737"/>
      <c r="R230" s="661"/>
      <c r="S230" s="228" t="str">
        <f t="array" ref="S230">IFERROR(INDEX('💻シート作成'!$D$6:$D1001, MATCH(T230, '💻シート作成'!$E$6:$E1001, 0)), "")</f>
        <v/>
      </c>
      <c r="T230" s="184"/>
      <c r="U230" s="664"/>
      <c r="V230" s="774"/>
      <c r="W230" s="661"/>
      <c r="X230" s="757"/>
      <c r="Y230" s="661"/>
      <c r="Z230" s="661"/>
    </row>
    <row r="231" hidden="1" outlineLevel="1">
      <c r="A231" s="661"/>
      <c r="B231" s="738"/>
      <c r="C231" s="697"/>
      <c r="D231" s="697"/>
      <c r="E231" s="697"/>
      <c r="F231" s="758" t="s">
        <v>517</v>
      </c>
      <c r="G231" s="759"/>
      <c r="H231" s="741"/>
      <c r="I231" s="741"/>
      <c r="J231" s="741"/>
      <c r="K231" s="741"/>
      <c r="L231" s="759"/>
      <c r="M231" s="759"/>
      <c r="N231" s="759"/>
      <c r="O231" s="759"/>
      <c r="P231" s="759"/>
      <c r="Q231" s="760"/>
      <c r="R231" s="661"/>
      <c r="S231" s="228" t="str">
        <f t="array" ref="S231">IFERROR(INDEX('💻シート作成'!$D$6:$D1001, MATCH(T231, '💻シート作成'!$E$6:$E1001, 0)), "")</f>
        <v/>
      </c>
      <c r="T231" s="184"/>
      <c r="U231" s="664"/>
      <c r="V231" s="774"/>
      <c r="W231" s="661"/>
      <c r="X231" s="757"/>
      <c r="Y231" s="661"/>
      <c r="Z231" s="661"/>
    </row>
    <row r="232" collapsed="1">
      <c r="A232" s="661"/>
      <c r="B232" s="780" t="s">
        <v>525</v>
      </c>
      <c r="C232" s="781"/>
      <c r="D232" s="781"/>
      <c r="E232" s="781"/>
      <c r="F232" s="782"/>
      <c r="G232" s="783"/>
      <c r="H232" s="784"/>
      <c r="I232" s="784"/>
      <c r="J232" s="785"/>
      <c r="K232" s="785"/>
      <c r="L232" s="783"/>
      <c r="M232" s="783"/>
      <c r="N232" s="786"/>
      <c r="O232" s="787"/>
      <c r="P232" s="787"/>
      <c r="Q232" s="788"/>
      <c r="R232" s="661"/>
      <c r="S232" s="228" t="str">
        <f t="array" ref="S232">IFERROR(INDEX('💻シート作成'!$D$6:$D1001, MATCH(T232, '💻シート作成'!$E$6:$E1001, 0)), "")</f>
        <v/>
      </c>
      <c r="T232" s="184"/>
      <c r="U232" s="664"/>
      <c r="V232" s="774"/>
      <c r="W232" s="661"/>
      <c r="X232" s="757"/>
      <c r="Y232" s="661"/>
      <c r="Z232" s="661"/>
    </row>
    <row r="233" hidden="1" outlineLevel="1">
      <c r="A233" s="661"/>
      <c r="B233" s="761"/>
      <c r="C233" s="762">
        <f>IF(C221="","",IF(DAY(C221+1)=1,"",C221+1))</f>
        <v>46074</v>
      </c>
      <c r="D233" s="763" t="str">
        <f>TEXT(C233,"ddd")</f>
        <v>土</v>
      </c>
      <c r="E233" s="764"/>
      <c r="F233" s="765" t="s">
        <v>518</v>
      </c>
      <c r="G233" s="766" t="s">
        <v>519</v>
      </c>
      <c r="H233" s="767"/>
      <c r="I233" s="768">
        <v>0.0</v>
      </c>
      <c r="J233" s="763"/>
      <c r="K233" s="763"/>
      <c r="L233" s="769"/>
      <c r="M233" s="769"/>
      <c r="N233" s="765"/>
      <c r="O233" s="770"/>
      <c r="P233" s="771"/>
      <c r="Q233" s="772"/>
      <c r="R233" s="661"/>
      <c r="S233" s="228" t="str">
        <f t="array" ref="S233">IFERROR(INDEX('💻シート作成'!$D$6:$D1001, MATCH(T233, '💻シート作成'!$E$6:$E1001, 0)), "")</f>
        <v/>
      </c>
      <c r="T233" s="184"/>
      <c r="U233" s="664"/>
      <c r="V233" s="774"/>
      <c r="W233" s="661"/>
      <c r="X233" s="757"/>
      <c r="Y233" s="661"/>
      <c r="Z233" s="661"/>
    </row>
    <row r="234" hidden="1" outlineLevel="1">
      <c r="A234" s="661"/>
      <c r="B234" s="729"/>
      <c r="C234" s="730"/>
      <c r="D234" s="730"/>
      <c r="E234" s="730"/>
      <c r="F234" s="730"/>
      <c r="G234" s="731"/>
      <c r="H234" s="730"/>
      <c r="I234" s="730"/>
      <c r="J234" s="730"/>
      <c r="K234" s="730"/>
      <c r="L234" s="769"/>
      <c r="M234" s="769"/>
      <c r="N234" s="730"/>
      <c r="O234" s="733"/>
      <c r="Q234" s="728"/>
      <c r="R234" s="661"/>
      <c r="S234" s="228" t="str">
        <f t="array" ref="S234">IFERROR(INDEX('💻シート作成'!$D$6:$D1001, MATCH(T234, '💻シート作成'!$E$6:$E1001, 0)), "")</f>
        <v/>
      </c>
      <c r="T234" s="184"/>
      <c r="U234" s="664"/>
      <c r="V234" s="774"/>
      <c r="W234" s="661"/>
      <c r="X234" s="757"/>
      <c r="Y234" s="661"/>
      <c r="Z234" s="661"/>
    </row>
    <row r="235" hidden="1" outlineLevel="1">
      <c r="A235" s="661"/>
      <c r="B235" s="729"/>
      <c r="C235" s="730"/>
      <c r="D235" s="730"/>
      <c r="E235" s="730"/>
      <c r="F235" s="730"/>
      <c r="G235" s="731"/>
      <c r="H235" s="730"/>
      <c r="I235" s="730"/>
      <c r="J235" s="730"/>
      <c r="K235" s="730"/>
      <c r="L235" s="769"/>
      <c r="M235" s="769"/>
      <c r="N235" s="730"/>
      <c r="O235" s="733"/>
      <c r="Q235" s="728"/>
      <c r="R235" s="661"/>
      <c r="S235" s="228" t="str">
        <f t="array" ref="S235">IFERROR(INDEX('💻シート作成'!$D$6:$D1001, MATCH(T235, '💻シート作成'!$E$6:$E1001, 0)), "")</f>
        <v/>
      </c>
      <c r="T235" s="184"/>
      <c r="U235" s="664"/>
      <c r="V235" s="774"/>
      <c r="W235" s="661"/>
      <c r="X235" s="757"/>
      <c r="Y235" s="661"/>
      <c r="Z235" s="661"/>
    </row>
    <row r="236" hidden="1" outlineLevel="1">
      <c r="A236" s="661"/>
      <c r="B236" s="729"/>
      <c r="C236" s="730"/>
      <c r="D236" s="730"/>
      <c r="E236" s="730"/>
      <c r="F236" s="730"/>
      <c r="G236" s="731"/>
      <c r="H236" s="730"/>
      <c r="I236" s="730"/>
      <c r="J236" s="730"/>
      <c r="K236" s="730"/>
      <c r="L236" s="773"/>
      <c r="M236" s="769"/>
      <c r="N236" s="730"/>
      <c r="O236" s="733"/>
      <c r="Q236" s="728"/>
      <c r="R236" s="661"/>
      <c r="S236" s="228" t="str">
        <f t="array" ref="S236">IFERROR(INDEX('💻シート作成'!$D$6:$D1001, MATCH(T236, '💻シート作成'!$E$6:$E1001, 0)), "")</f>
        <v/>
      </c>
      <c r="T236" s="184"/>
      <c r="U236" s="664"/>
      <c r="V236" s="774"/>
      <c r="W236" s="661"/>
      <c r="X236" s="757"/>
      <c r="Y236" s="661"/>
      <c r="Z236" s="661"/>
    </row>
    <row r="237" hidden="1" outlineLevel="1">
      <c r="A237" s="661"/>
      <c r="B237" s="729"/>
      <c r="C237" s="730"/>
      <c r="D237" s="730"/>
      <c r="E237" s="730"/>
      <c r="F237" s="730"/>
      <c r="G237" s="731"/>
      <c r="H237" s="730"/>
      <c r="I237" s="730"/>
      <c r="J237" s="730"/>
      <c r="K237" s="730"/>
      <c r="L237" s="773"/>
      <c r="M237" s="769"/>
      <c r="N237" s="730"/>
      <c r="O237" s="733"/>
      <c r="Q237" s="728"/>
      <c r="R237" s="661"/>
      <c r="S237" s="228" t="str">
        <f t="array" ref="S237">IFERROR(INDEX('💻シート作成'!$D$6:$D1001, MATCH(T237, '💻シート作成'!$E$6:$E1001, 0)), "")</f>
        <v/>
      </c>
      <c r="T237" s="184"/>
      <c r="U237" s="664"/>
      <c r="V237" s="774"/>
      <c r="W237" s="661"/>
      <c r="X237" s="757"/>
      <c r="Y237" s="661"/>
      <c r="Z237" s="661"/>
    </row>
    <row r="238" hidden="1" outlineLevel="1">
      <c r="A238" s="661"/>
      <c r="B238" s="729"/>
      <c r="C238" s="730"/>
      <c r="D238" s="730"/>
      <c r="E238" s="730"/>
      <c r="F238" s="730"/>
      <c r="G238" s="731"/>
      <c r="H238" s="730"/>
      <c r="I238" s="730"/>
      <c r="J238" s="730"/>
      <c r="K238" s="730"/>
      <c r="L238" s="773"/>
      <c r="M238" s="769"/>
      <c r="N238" s="730"/>
      <c r="O238" s="733"/>
      <c r="Q238" s="728"/>
      <c r="R238" s="661"/>
      <c r="S238" s="228" t="str">
        <f t="array" ref="S238">IFERROR(INDEX('💻シート作成'!$D$6:$D1001, MATCH(T238, '💻シート作成'!$E$6:$E1001, 0)), "")</f>
        <v/>
      </c>
      <c r="T238" s="184"/>
      <c r="U238" s="664"/>
      <c r="V238" s="774"/>
      <c r="W238" s="661"/>
      <c r="X238" s="757"/>
      <c r="Y238" s="661"/>
      <c r="Z238" s="661"/>
    </row>
    <row r="239" hidden="1" outlineLevel="1">
      <c r="A239" s="661"/>
      <c r="B239" s="729"/>
      <c r="C239" s="730"/>
      <c r="D239" s="730"/>
      <c r="E239" s="730"/>
      <c r="F239" s="730"/>
      <c r="G239" s="731"/>
      <c r="H239" s="730"/>
      <c r="I239" s="730"/>
      <c r="J239" s="730"/>
      <c r="K239" s="730"/>
      <c r="L239" s="773"/>
      <c r="M239" s="769"/>
      <c r="N239" s="730"/>
      <c r="O239" s="733"/>
      <c r="Q239" s="728"/>
      <c r="R239" s="661"/>
      <c r="S239" s="228" t="str">
        <f t="array" ref="S239">IFERROR(INDEX('💻シート作成'!$D$6:$D1001, MATCH(T239, '💻シート作成'!$E$6:$E1001, 0)), "")</f>
        <v/>
      </c>
      <c r="T239" s="184"/>
      <c r="U239" s="664"/>
      <c r="V239" s="774"/>
      <c r="W239" s="661"/>
      <c r="X239" s="757"/>
      <c r="Y239" s="661"/>
      <c r="Z239" s="661"/>
    </row>
    <row r="240" hidden="1" outlineLevel="1">
      <c r="A240" s="661"/>
      <c r="B240" s="729"/>
      <c r="C240" s="730"/>
      <c r="D240" s="730"/>
      <c r="E240" s="730"/>
      <c r="F240" s="730"/>
      <c r="G240" s="731"/>
      <c r="H240" s="730"/>
      <c r="I240" s="730"/>
      <c r="J240" s="730"/>
      <c r="K240" s="730"/>
      <c r="L240" s="773"/>
      <c r="M240" s="769"/>
      <c r="N240" s="730"/>
      <c r="O240" s="733"/>
      <c r="Q240" s="728"/>
      <c r="R240" s="661"/>
      <c r="S240" s="228" t="str">
        <f t="array" ref="S240">IFERROR(INDEX('💻シート作成'!$D$6:$D1001, MATCH(T240, '💻シート作成'!$E$6:$E1001, 0)), "")</f>
        <v/>
      </c>
      <c r="T240" s="184"/>
      <c r="U240" s="664"/>
      <c r="V240" s="774"/>
      <c r="W240" s="661"/>
      <c r="X240" s="757"/>
      <c r="Y240" s="661"/>
      <c r="Z240" s="661"/>
    </row>
    <row r="241" hidden="1" outlineLevel="1">
      <c r="A241" s="661"/>
      <c r="B241" s="729"/>
      <c r="C241" s="730"/>
      <c r="D241" s="730"/>
      <c r="E241" s="730"/>
      <c r="F241" s="730"/>
      <c r="G241" s="731"/>
      <c r="H241" s="730"/>
      <c r="I241" s="730"/>
      <c r="J241" s="730"/>
      <c r="K241" s="730"/>
      <c r="L241" s="773"/>
      <c r="M241" s="769"/>
      <c r="N241" s="730"/>
      <c r="O241" s="733"/>
      <c r="Q241" s="728"/>
      <c r="R241" s="661"/>
      <c r="S241" s="228" t="str">
        <f t="array" ref="S241">IFERROR(INDEX('💻シート作成'!$D$6:$D1001, MATCH(T241, '💻シート作成'!$E$6:$E1001, 0)), "")</f>
        <v/>
      </c>
      <c r="T241" s="184"/>
      <c r="U241" s="664"/>
      <c r="V241" s="774"/>
      <c r="W241" s="661"/>
      <c r="X241" s="757"/>
      <c r="Y241" s="661"/>
      <c r="Z241" s="661"/>
    </row>
    <row r="242" hidden="1" outlineLevel="1">
      <c r="A242" s="661"/>
      <c r="B242" s="729"/>
      <c r="C242" s="730"/>
      <c r="D242" s="730"/>
      <c r="E242" s="730"/>
      <c r="F242" s="697"/>
      <c r="G242" s="698"/>
      <c r="H242" s="697"/>
      <c r="I242" s="697"/>
      <c r="J242" s="697"/>
      <c r="K242" s="697"/>
      <c r="L242" s="773"/>
      <c r="M242" s="769"/>
      <c r="N242" s="697"/>
      <c r="O242" s="700"/>
      <c r="P242" s="701"/>
      <c r="Q242" s="737"/>
      <c r="R242" s="661"/>
      <c r="S242" s="228" t="str">
        <f t="array" ref="S242">IFERROR(INDEX('💻シート作成'!$D$6:$D1001, MATCH(T242, '💻シート作成'!$E$6:$E1001, 0)), "")</f>
        <v/>
      </c>
      <c r="T242" s="184"/>
      <c r="U242" s="664"/>
      <c r="V242" s="774"/>
      <c r="W242" s="661"/>
      <c r="X242" s="757"/>
      <c r="Y242" s="661"/>
      <c r="Z242" s="661"/>
    </row>
    <row r="243" hidden="1" outlineLevel="1">
      <c r="A243" s="661"/>
      <c r="B243" s="738"/>
      <c r="C243" s="697"/>
      <c r="D243" s="697"/>
      <c r="E243" s="697"/>
      <c r="F243" s="739" t="s">
        <v>517</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4"/>
      <c r="W243" s="661"/>
      <c r="X243" s="757"/>
      <c r="Y243" s="661"/>
      <c r="Z243" s="661"/>
    </row>
    <row r="244" hidden="1" outlineLevel="1">
      <c r="A244" s="661"/>
      <c r="B244" s="743"/>
      <c r="C244" s="744">
        <f>IF(C233="","",IF(DAY(C233+1)=1,"",C233+1))</f>
        <v>46075</v>
      </c>
      <c r="D244" s="745" t="str">
        <f>TEXT(C244,"ddd")</f>
        <v>日</v>
      </c>
      <c r="E244" s="746"/>
      <c r="F244" s="775" t="s">
        <v>518</v>
      </c>
      <c r="G244" s="776" t="s">
        <v>519</v>
      </c>
      <c r="H244" s="777"/>
      <c r="I244" s="778">
        <v>0.0</v>
      </c>
      <c r="J244" s="745"/>
      <c r="K244" s="745"/>
      <c r="L244" s="755"/>
      <c r="M244" s="755"/>
      <c r="N244" s="775"/>
      <c r="O244" s="779"/>
      <c r="P244" s="771"/>
      <c r="Q244" s="772"/>
      <c r="R244" s="661"/>
      <c r="S244" s="228" t="str">
        <f t="array" ref="S244">IFERROR(INDEX('💻シート作成'!$D$6:$D1001, MATCH(T244, '💻シート作成'!$E$6:$E1001, 0)), "")</f>
        <v/>
      </c>
      <c r="T244" s="184"/>
      <c r="U244" s="664"/>
      <c r="V244" s="774"/>
      <c r="W244" s="661"/>
      <c r="X244" s="757"/>
      <c r="Y244" s="661"/>
      <c r="Z244" s="661"/>
    </row>
    <row r="245" hidden="1" outlineLevel="1">
      <c r="A245" s="661"/>
      <c r="B245" s="729"/>
      <c r="C245" s="730"/>
      <c r="D245" s="730"/>
      <c r="E245" s="730"/>
      <c r="F245" s="730"/>
      <c r="G245" s="731"/>
      <c r="H245" s="730"/>
      <c r="I245" s="730"/>
      <c r="J245" s="730"/>
      <c r="K245" s="730"/>
      <c r="L245" s="755"/>
      <c r="M245" s="755"/>
      <c r="N245" s="730"/>
      <c r="O245" s="733"/>
      <c r="Q245" s="728"/>
      <c r="R245" s="661"/>
      <c r="S245" s="228" t="str">
        <f t="array" ref="S245">IFERROR(INDEX('💻シート作成'!$D$6:$D1001, MATCH(T245, '💻シート作成'!$E$6:$E1001, 0)), "")</f>
        <v/>
      </c>
      <c r="T245" s="184"/>
      <c r="U245" s="664"/>
      <c r="V245" s="774"/>
      <c r="W245" s="661"/>
      <c r="X245" s="757"/>
      <c r="Y245" s="661"/>
      <c r="Z245" s="661"/>
    </row>
    <row r="246" hidden="1" outlineLevel="1">
      <c r="A246" s="661"/>
      <c r="B246" s="729"/>
      <c r="C246" s="730"/>
      <c r="D246" s="730"/>
      <c r="E246" s="730"/>
      <c r="F246" s="730"/>
      <c r="G246" s="731"/>
      <c r="H246" s="730"/>
      <c r="I246" s="730"/>
      <c r="J246" s="730"/>
      <c r="K246" s="730"/>
      <c r="L246" s="755"/>
      <c r="M246" s="755"/>
      <c r="N246" s="730"/>
      <c r="O246" s="733"/>
      <c r="Q246" s="728"/>
      <c r="R246" s="661"/>
      <c r="S246" s="228" t="str">
        <f t="array" ref="S246">IFERROR(INDEX('💻シート作成'!$D$6:$D1001, MATCH(T246, '💻シート作成'!$E$6:$E1001, 0)), "")</f>
        <v/>
      </c>
      <c r="T246" s="184"/>
      <c r="U246" s="664"/>
      <c r="V246" s="774"/>
      <c r="W246" s="661"/>
      <c r="X246" s="757"/>
      <c r="Y246" s="661"/>
      <c r="Z246" s="661"/>
    </row>
    <row r="247" hidden="1" outlineLevel="1">
      <c r="A247" s="661"/>
      <c r="B247" s="729"/>
      <c r="C247" s="730"/>
      <c r="D247" s="730"/>
      <c r="E247" s="730"/>
      <c r="F247" s="730"/>
      <c r="G247" s="731"/>
      <c r="H247" s="730"/>
      <c r="I247" s="730"/>
      <c r="J247" s="730"/>
      <c r="K247" s="730"/>
      <c r="L247" s="756"/>
      <c r="M247" s="755"/>
      <c r="N247" s="730"/>
      <c r="O247" s="733"/>
      <c r="Q247" s="728"/>
      <c r="R247" s="661"/>
      <c r="S247" s="228" t="str">
        <f t="array" ref="S247">IFERROR(INDEX('💻シート作成'!$D$6:$D1001, MATCH(T247, '💻シート作成'!$E$6:$E1001, 0)), "")</f>
        <v/>
      </c>
      <c r="T247" s="184"/>
      <c r="U247" s="664"/>
      <c r="V247" s="774"/>
      <c r="W247" s="661"/>
      <c r="X247" s="757"/>
      <c r="Y247" s="661"/>
      <c r="Z247" s="661"/>
    </row>
    <row r="248" hidden="1" outlineLevel="1">
      <c r="A248" s="661"/>
      <c r="B248" s="729"/>
      <c r="C248" s="730"/>
      <c r="D248" s="730"/>
      <c r="E248" s="730"/>
      <c r="F248" s="730"/>
      <c r="G248" s="731"/>
      <c r="H248" s="730"/>
      <c r="I248" s="730"/>
      <c r="J248" s="730"/>
      <c r="K248" s="730"/>
      <c r="L248" s="756"/>
      <c r="M248" s="755"/>
      <c r="N248" s="730"/>
      <c r="O248" s="733"/>
      <c r="Q248" s="728"/>
      <c r="R248" s="661"/>
      <c r="S248" s="228" t="str">
        <f t="array" ref="S248">IFERROR(INDEX('💻シート作成'!$D$6:$D1001, MATCH(T248, '💻シート作成'!$E$6:$E1001, 0)), "")</f>
        <v/>
      </c>
      <c r="T248" s="184"/>
      <c r="U248" s="664"/>
      <c r="V248" s="774"/>
      <c r="W248" s="661"/>
      <c r="X248" s="757"/>
      <c r="Y248" s="661"/>
      <c r="Z248" s="661"/>
    </row>
    <row r="249" hidden="1" outlineLevel="1">
      <c r="A249" s="661"/>
      <c r="B249" s="729"/>
      <c r="C249" s="730"/>
      <c r="D249" s="730"/>
      <c r="E249" s="730"/>
      <c r="F249" s="730"/>
      <c r="G249" s="731"/>
      <c r="H249" s="730"/>
      <c r="I249" s="730"/>
      <c r="J249" s="730"/>
      <c r="K249" s="730"/>
      <c r="L249" s="756"/>
      <c r="M249" s="755"/>
      <c r="N249" s="730"/>
      <c r="O249" s="733"/>
      <c r="Q249" s="728"/>
      <c r="R249" s="661"/>
      <c r="S249" s="228" t="str">
        <f t="array" ref="S249">IFERROR(INDEX('💻シート作成'!$D$6:$D1001, MATCH(T249, '💻シート作成'!$E$6:$E1001, 0)), "")</f>
        <v/>
      </c>
      <c r="T249" s="184"/>
      <c r="U249" s="664"/>
      <c r="V249" s="774"/>
      <c r="W249" s="661"/>
      <c r="X249" s="757"/>
      <c r="Y249" s="661"/>
      <c r="Z249" s="661"/>
    </row>
    <row r="250" hidden="1" outlineLevel="1">
      <c r="A250" s="661"/>
      <c r="B250" s="729"/>
      <c r="C250" s="730"/>
      <c r="D250" s="730"/>
      <c r="E250" s="730"/>
      <c r="F250" s="730"/>
      <c r="G250" s="731"/>
      <c r="H250" s="730"/>
      <c r="I250" s="730"/>
      <c r="J250" s="730"/>
      <c r="K250" s="730"/>
      <c r="L250" s="756"/>
      <c r="M250" s="755"/>
      <c r="N250" s="730"/>
      <c r="O250" s="733"/>
      <c r="Q250" s="728"/>
      <c r="R250" s="661"/>
      <c r="S250" s="228" t="str">
        <f t="array" ref="S250">IFERROR(INDEX('💻シート作成'!$D$6:$D1001, MATCH(T250, '💻シート作成'!$E$6:$E1001, 0)), "")</f>
        <v/>
      </c>
      <c r="T250" s="184"/>
      <c r="U250" s="664"/>
      <c r="V250" s="774"/>
      <c r="W250" s="661"/>
      <c r="X250" s="757"/>
      <c r="Y250" s="661"/>
      <c r="Z250" s="661"/>
    </row>
    <row r="251" hidden="1" outlineLevel="1">
      <c r="A251" s="661"/>
      <c r="B251" s="729"/>
      <c r="C251" s="730"/>
      <c r="D251" s="730"/>
      <c r="E251" s="730"/>
      <c r="F251" s="730"/>
      <c r="G251" s="731"/>
      <c r="H251" s="730"/>
      <c r="I251" s="730"/>
      <c r="J251" s="730"/>
      <c r="K251" s="730"/>
      <c r="L251" s="756"/>
      <c r="M251" s="755"/>
      <c r="N251" s="730"/>
      <c r="O251" s="733"/>
      <c r="Q251" s="728"/>
      <c r="R251" s="661"/>
      <c r="S251" s="228" t="str">
        <f t="array" ref="S251">IFERROR(INDEX('💻シート作成'!$D$6:$D1001, MATCH(T251, '💻シート作成'!$E$6:$E1001, 0)), "")</f>
        <v/>
      </c>
      <c r="T251" s="184"/>
      <c r="U251" s="664"/>
      <c r="V251" s="774"/>
      <c r="W251" s="661"/>
      <c r="X251" s="757"/>
      <c r="Y251" s="661"/>
      <c r="Z251" s="661"/>
    </row>
    <row r="252" hidden="1" outlineLevel="1">
      <c r="A252" s="661"/>
      <c r="B252" s="729"/>
      <c r="C252" s="730"/>
      <c r="D252" s="730"/>
      <c r="E252" s="730"/>
      <c r="F252" s="730"/>
      <c r="G252" s="731"/>
      <c r="H252" s="730"/>
      <c r="I252" s="730"/>
      <c r="J252" s="730"/>
      <c r="K252" s="730"/>
      <c r="L252" s="756"/>
      <c r="M252" s="755"/>
      <c r="N252" s="730"/>
      <c r="O252" s="733"/>
      <c r="Q252" s="728"/>
      <c r="R252" s="661"/>
      <c r="S252" s="228" t="str">
        <f t="array" ref="S252">IFERROR(INDEX('💻シート作成'!$D$6:$D1001, MATCH(T252, '💻シート作成'!$E$6:$E1001, 0)), "")</f>
        <v/>
      </c>
      <c r="T252" s="184"/>
      <c r="U252" s="664"/>
      <c r="V252" s="774"/>
      <c r="W252" s="661"/>
      <c r="X252" s="757"/>
      <c r="Y252" s="661"/>
      <c r="Z252" s="661"/>
    </row>
    <row r="253" hidden="1" outlineLevel="1">
      <c r="A253" s="661"/>
      <c r="B253" s="729"/>
      <c r="C253" s="730"/>
      <c r="D253" s="730"/>
      <c r="E253" s="730"/>
      <c r="F253" s="697"/>
      <c r="G253" s="698"/>
      <c r="H253" s="697"/>
      <c r="I253" s="697"/>
      <c r="J253" s="697"/>
      <c r="K253" s="697"/>
      <c r="L253" s="756"/>
      <c r="M253" s="755"/>
      <c r="N253" s="697"/>
      <c r="O253" s="700"/>
      <c r="P253" s="701"/>
      <c r="Q253" s="737"/>
      <c r="R253" s="661"/>
      <c r="S253" s="228" t="str">
        <f t="array" ref="S253">IFERROR(INDEX('💻シート作成'!$D$6:$D1001, MATCH(T253, '💻シート作成'!$E$6:$E1001, 0)), "")</f>
        <v/>
      </c>
      <c r="T253" s="184"/>
      <c r="U253" s="664"/>
      <c r="V253" s="774"/>
      <c r="W253" s="661"/>
      <c r="X253" s="757"/>
      <c r="Y253" s="661"/>
      <c r="Z253" s="661"/>
    </row>
    <row r="254" hidden="1" outlineLevel="1">
      <c r="A254" s="661"/>
      <c r="B254" s="738"/>
      <c r="C254" s="697"/>
      <c r="D254" s="697"/>
      <c r="E254" s="697"/>
      <c r="F254" s="758" t="s">
        <v>517</v>
      </c>
      <c r="G254" s="759"/>
      <c r="H254" s="741"/>
      <c r="I254" s="741"/>
      <c r="J254" s="741"/>
      <c r="K254" s="741"/>
      <c r="L254" s="759"/>
      <c r="M254" s="759"/>
      <c r="N254" s="759"/>
      <c r="O254" s="759"/>
      <c r="P254" s="759"/>
      <c r="Q254" s="760"/>
      <c r="R254" s="661"/>
      <c r="S254" s="228" t="str">
        <f t="array" ref="S254">IFERROR(INDEX('💻シート作成'!$D$6:$D1001, MATCH(T254, '💻シート作成'!$E$6:$E1001, 0)), "")</f>
        <v/>
      </c>
      <c r="T254" s="184"/>
      <c r="U254" s="664"/>
      <c r="V254" s="774"/>
      <c r="W254" s="661"/>
      <c r="X254" s="757"/>
      <c r="Y254" s="661"/>
      <c r="Z254" s="661"/>
    </row>
    <row r="255" hidden="1" outlineLevel="1">
      <c r="A255" s="661"/>
      <c r="B255" s="761"/>
      <c r="C255" s="762">
        <f>IF(C244="","",IF(DAY(C244+1)=1,"",C244+1))</f>
        <v>46076</v>
      </c>
      <c r="D255" s="763" t="str">
        <f>TEXT(C255,"ddd")</f>
        <v>月</v>
      </c>
      <c r="E255" s="764"/>
      <c r="F255" s="765" t="s">
        <v>518</v>
      </c>
      <c r="G255" s="766" t="s">
        <v>519</v>
      </c>
      <c r="H255" s="767"/>
      <c r="I255" s="768">
        <v>0.0</v>
      </c>
      <c r="J255" s="763"/>
      <c r="K255" s="763"/>
      <c r="L255" s="769"/>
      <c r="M255" s="769"/>
      <c r="N255" s="765"/>
      <c r="O255" s="770"/>
      <c r="P255" s="771"/>
      <c r="Q255" s="772"/>
      <c r="R255" s="661"/>
      <c r="S255" s="228" t="str">
        <f t="array" ref="S255">IFERROR(INDEX('💻シート作成'!$D$6:$D1001, MATCH(T255, '💻シート作成'!$E$6:$E1001, 0)), "")</f>
        <v/>
      </c>
      <c r="T255" s="184"/>
      <c r="U255" s="664"/>
      <c r="V255" s="774"/>
      <c r="W255" s="661"/>
      <c r="X255" s="757"/>
      <c r="Y255" s="661"/>
      <c r="Z255" s="661"/>
    </row>
    <row r="256" hidden="1" outlineLevel="1">
      <c r="A256" s="661"/>
      <c r="B256" s="729"/>
      <c r="C256" s="730"/>
      <c r="D256" s="730"/>
      <c r="E256" s="730"/>
      <c r="F256" s="730"/>
      <c r="G256" s="731"/>
      <c r="H256" s="730"/>
      <c r="I256" s="730"/>
      <c r="J256" s="730"/>
      <c r="K256" s="730"/>
      <c r="L256" s="769"/>
      <c r="M256" s="769"/>
      <c r="N256" s="730"/>
      <c r="O256" s="733"/>
      <c r="Q256" s="728"/>
      <c r="R256" s="661"/>
      <c r="S256" s="228" t="str">
        <f t="array" ref="S256">IFERROR(INDEX('💻シート作成'!$D$6:$D1001, MATCH(T256, '💻シート作成'!$E$6:$E1001, 0)), "")</f>
        <v/>
      </c>
      <c r="T256" s="184"/>
      <c r="U256" s="664"/>
      <c r="V256" s="774"/>
      <c r="W256" s="661"/>
      <c r="X256" s="757"/>
      <c r="Y256" s="661"/>
      <c r="Z256" s="661"/>
    </row>
    <row r="257" hidden="1" outlineLevel="1">
      <c r="A257" s="661"/>
      <c r="B257" s="729"/>
      <c r="C257" s="730"/>
      <c r="D257" s="730"/>
      <c r="E257" s="730"/>
      <c r="F257" s="730"/>
      <c r="G257" s="731"/>
      <c r="H257" s="730"/>
      <c r="I257" s="730"/>
      <c r="J257" s="730"/>
      <c r="K257" s="730"/>
      <c r="L257" s="769"/>
      <c r="M257" s="769"/>
      <c r="N257" s="730"/>
      <c r="O257" s="733"/>
      <c r="Q257" s="728"/>
      <c r="R257" s="661"/>
      <c r="S257" s="228" t="str">
        <f t="array" ref="S257">IFERROR(INDEX('💻シート作成'!$D$6:$D1001, MATCH(T257, '💻シート作成'!$E$6:$E1001, 0)), "")</f>
        <v/>
      </c>
      <c r="T257" s="184"/>
      <c r="U257" s="664"/>
      <c r="V257" s="774"/>
      <c r="W257" s="661"/>
      <c r="X257" s="757"/>
      <c r="Y257" s="661"/>
      <c r="Z257" s="661"/>
    </row>
    <row r="258" hidden="1" outlineLevel="1">
      <c r="A258" s="661"/>
      <c r="B258" s="729"/>
      <c r="C258" s="730"/>
      <c r="D258" s="730"/>
      <c r="E258" s="730"/>
      <c r="F258" s="730"/>
      <c r="G258" s="731"/>
      <c r="H258" s="730"/>
      <c r="I258" s="730"/>
      <c r="J258" s="730"/>
      <c r="K258" s="730"/>
      <c r="L258" s="773"/>
      <c r="M258" s="769"/>
      <c r="N258" s="730"/>
      <c r="O258" s="733"/>
      <c r="Q258" s="728"/>
      <c r="R258" s="661"/>
      <c r="S258" s="228" t="str">
        <f t="array" ref="S258">IFERROR(INDEX('💻シート作成'!$D$6:$D1001, MATCH(T258, '💻シート作成'!$E$6:$E1001, 0)), "")</f>
        <v/>
      </c>
      <c r="T258" s="184"/>
      <c r="U258" s="664"/>
      <c r="V258" s="774"/>
      <c r="W258" s="661"/>
      <c r="X258" s="757"/>
      <c r="Y258" s="661"/>
      <c r="Z258" s="661"/>
    </row>
    <row r="259" hidden="1" outlineLevel="1">
      <c r="A259" s="661"/>
      <c r="B259" s="729"/>
      <c r="C259" s="730"/>
      <c r="D259" s="730"/>
      <c r="E259" s="730"/>
      <c r="F259" s="730"/>
      <c r="G259" s="731"/>
      <c r="H259" s="730"/>
      <c r="I259" s="730"/>
      <c r="J259" s="730"/>
      <c r="K259" s="730"/>
      <c r="L259" s="773"/>
      <c r="M259" s="769"/>
      <c r="N259" s="730"/>
      <c r="O259" s="733"/>
      <c r="Q259" s="728"/>
      <c r="R259" s="661"/>
      <c r="S259" s="228" t="str">
        <f t="array" ref="S259">IFERROR(INDEX('💻シート作成'!$D$6:$D1001, MATCH(T259, '💻シート作成'!$E$6:$E1001, 0)), "")</f>
        <v/>
      </c>
      <c r="T259" s="184"/>
      <c r="U259" s="664"/>
      <c r="V259" s="774"/>
      <c r="W259" s="661"/>
      <c r="X259" s="757"/>
      <c r="Y259" s="661"/>
      <c r="Z259" s="661"/>
    </row>
    <row r="260" hidden="1" outlineLevel="1">
      <c r="A260" s="661"/>
      <c r="B260" s="729"/>
      <c r="C260" s="730"/>
      <c r="D260" s="730"/>
      <c r="E260" s="730"/>
      <c r="F260" s="730"/>
      <c r="G260" s="731"/>
      <c r="H260" s="730"/>
      <c r="I260" s="730"/>
      <c r="J260" s="730"/>
      <c r="K260" s="730"/>
      <c r="L260" s="773"/>
      <c r="M260" s="769"/>
      <c r="N260" s="730"/>
      <c r="O260" s="733"/>
      <c r="Q260" s="728"/>
      <c r="R260" s="661"/>
      <c r="S260" s="228" t="str">
        <f t="array" ref="S260">IFERROR(INDEX('💻シート作成'!$D$6:$D1001, MATCH(T260, '💻シート作成'!$E$6:$E1001, 0)), "")</f>
        <v/>
      </c>
      <c r="T260" s="184"/>
      <c r="U260" s="664"/>
      <c r="V260" s="774"/>
      <c r="W260" s="661"/>
      <c r="X260" s="757"/>
      <c r="Y260" s="661"/>
      <c r="Z260" s="661"/>
    </row>
    <row r="261" hidden="1" outlineLevel="1">
      <c r="A261" s="661"/>
      <c r="B261" s="729"/>
      <c r="C261" s="730"/>
      <c r="D261" s="730"/>
      <c r="E261" s="730"/>
      <c r="F261" s="730"/>
      <c r="G261" s="731"/>
      <c r="H261" s="730"/>
      <c r="I261" s="730"/>
      <c r="J261" s="730"/>
      <c r="K261" s="730"/>
      <c r="L261" s="773"/>
      <c r="M261" s="769"/>
      <c r="N261" s="730"/>
      <c r="O261" s="733"/>
      <c r="Q261" s="728"/>
      <c r="R261" s="661"/>
      <c r="S261" s="228" t="str">
        <f t="array" ref="S261">IFERROR(INDEX('💻シート作成'!$D$6:$D1001, MATCH(T261, '💻シート作成'!$E$6:$E1001, 0)), "")</f>
        <v/>
      </c>
      <c r="T261" s="184"/>
      <c r="U261" s="664"/>
      <c r="V261" s="774"/>
      <c r="W261" s="661"/>
      <c r="X261" s="757"/>
      <c r="Y261" s="661"/>
      <c r="Z261" s="661"/>
    </row>
    <row r="262" hidden="1" outlineLevel="1">
      <c r="A262" s="661"/>
      <c r="B262" s="729"/>
      <c r="C262" s="730"/>
      <c r="D262" s="730"/>
      <c r="E262" s="730"/>
      <c r="F262" s="730"/>
      <c r="G262" s="731"/>
      <c r="H262" s="730"/>
      <c r="I262" s="730"/>
      <c r="J262" s="730"/>
      <c r="K262" s="730"/>
      <c r="L262" s="773"/>
      <c r="M262" s="769"/>
      <c r="N262" s="730"/>
      <c r="O262" s="733"/>
      <c r="Q262" s="728"/>
      <c r="R262" s="661"/>
      <c r="S262" s="228" t="str">
        <f t="array" ref="S262">IFERROR(INDEX('💻シート作成'!$D$6:$D1001, MATCH(T262, '💻シート作成'!$E$6:$E1001, 0)), "")</f>
        <v/>
      </c>
      <c r="T262" s="184"/>
      <c r="U262" s="664"/>
      <c r="V262" s="774"/>
      <c r="W262" s="661"/>
      <c r="X262" s="757"/>
      <c r="Y262" s="661"/>
      <c r="Z262" s="661"/>
    </row>
    <row r="263" hidden="1" outlineLevel="1">
      <c r="A263" s="661"/>
      <c r="B263" s="729"/>
      <c r="C263" s="730"/>
      <c r="D263" s="730"/>
      <c r="E263" s="730"/>
      <c r="F263" s="730"/>
      <c r="G263" s="731"/>
      <c r="H263" s="730"/>
      <c r="I263" s="730"/>
      <c r="J263" s="730"/>
      <c r="K263" s="730"/>
      <c r="L263" s="773"/>
      <c r="M263" s="769"/>
      <c r="N263" s="730"/>
      <c r="O263" s="733"/>
      <c r="Q263" s="728"/>
      <c r="R263" s="661"/>
      <c r="S263" s="228" t="str">
        <f t="array" ref="S263">IFERROR(INDEX('💻シート作成'!$D$6:$D1001, MATCH(T263, '💻シート作成'!$E$6:$E1001, 0)), "")</f>
        <v/>
      </c>
      <c r="T263" s="184"/>
      <c r="U263" s="664"/>
      <c r="V263" s="774"/>
      <c r="W263" s="661"/>
      <c r="X263" s="757"/>
      <c r="Y263" s="661"/>
      <c r="Z263" s="661"/>
    </row>
    <row r="264" hidden="1" outlineLevel="1">
      <c r="A264" s="661"/>
      <c r="B264" s="729"/>
      <c r="C264" s="730"/>
      <c r="D264" s="730"/>
      <c r="E264" s="730"/>
      <c r="F264" s="697"/>
      <c r="G264" s="698"/>
      <c r="H264" s="697"/>
      <c r="I264" s="697"/>
      <c r="J264" s="697"/>
      <c r="K264" s="697"/>
      <c r="L264" s="773"/>
      <c r="M264" s="769"/>
      <c r="N264" s="697"/>
      <c r="O264" s="700"/>
      <c r="P264" s="701"/>
      <c r="Q264" s="737"/>
      <c r="R264" s="661"/>
      <c r="S264" s="228" t="str">
        <f t="array" ref="S264">IFERROR(INDEX('💻シート作成'!$D$6:$D1001, MATCH(T264, '💻シート作成'!$E$6:$E1001, 0)), "")</f>
        <v/>
      </c>
      <c r="T264" s="184"/>
      <c r="U264" s="664"/>
      <c r="V264" s="774"/>
      <c r="W264" s="661"/>
      <c r="X264" s="757"/>
      <c r="Y264" s="661"/>
      <c r="Z264" s="661"/>
    </row>
    <row r="265" hidden="1" outlineLevel="1">
      <c r="A265" s="661"/>
      <c r="B265" s="738"/>
      <c r="C265" s="697"/>
      <c r="D265" s="697"/>
      <c r="E265" s="697"/>
      <c r="F265" s="739" t="s">
        <v>517</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4"/>
      <c r="W265" s="661"/>
      <c r="X265" s="757"/>
      <c r="Y265" s="661"/>
      <c r="Z265" s="661"/>
    </row>
    <row r="266" hidden="1" outlineLevel="1">
      <c r="A266" s="661"/>
      <c r="B266" s="743"/>
      <c r="C266" s="744">
        <f>IF(C255="","",IF(DAY(C255+1)=1,"",C255+1))</f>
        <v>46077</v>
      </c>
      <c r="D266" s="745" t="str">
        <f>TEXT(C266,"ddd")</f>
        <v>火</v>
      </c>
      <c r="E266" s="746"/>
      <c r="F266" s="775" t="s">
        <v>518</v>
      </c>
      <c r="G266" s="776" t="s">
        <v>519</v>
      </c>
      <c r="H266" s="777"/>
      <c r="I266" s="778">
        <v>0.0</v>
      </c>
      <c r="J266" s="745"/>
      <c r="K266" s="745"/>
      <c r="L266" s="755"/>
      <c r="M266" s="755"/>
      <c r="N266" s="775"/>
      <c r="O266" s="779"/>
      <c r="P266" s="771"/>
      <c r="Q266" s="772"/>
      <c r="R266" s="661"/>
      <c r="S266" s="228" t="str">
        <f t="array" ref="S266">IFERROR(INDEX('💻シート作成'!$D$6:$D1001, MATCH(T266, '💻シート作成'!$E$6:$E1001, 0)), "")</f>
        <v/>
      </c>
      <c r="T266" s="184"/>
      <c r="U266" s="664"/>
      <c r="V266" s="774"/>
      <c r="W266" s="661"/>
      <c r="X266" s="757"/>
      <c r="Y266" s="661"/>
      <c r="Z266" s="661"/>
    </row>
    <row r="267" hidden="1" outlineLevel="1">
      <c r="A267" s="661"/>
      <c r="B267" s="729"/>
      <c r="C267" s="730"/>
      <c r="D267" s="730"/>
      <c r="E267" s="730"/>
      <c r="F267" s="730"/>
      <c r="G267" s="731"/>
      <c r="H267" s="730"/>
      <c r="I267" s="730"/>
      <c r="J267" s="730"/>
      <c r="K267" s="730"/>
      <c r="L267" s="755"/>
      <c r="M267" s="755"/>
      <c r="N267" s="730"/>
      <c r="O267" s="733"/>
      <c r="Q267" s="728"/>
      <c r="R267" s="661"/>
      <c r="S267" s="228" t="str">
        <f t="array" ref="S267">IFERROR(INDEX('💻シート作成'!$D$6:$D1001, MATCH(T267, '💻シート作成'!$E$6:$E1001, 0)), "")</f>
        <v/>
      </c>
      <c r="T267" s="184"/>
      <c r="U267" s="664"/>
      <c r="V267" s="774"/>
      <c r="W267" s="661"/>
      <c r="X267" s="757"/>
      <c r="Y267" s="661"/>
      <c r="Z267" s="661"/>
    </row>
    <row r="268" hidden="1" outlineLevel="1">
      <c r="A268" s="661"/>
      <c r="B268" s="729"/>
      <c r="C268" s="730"/>
      <c r="D268" s="730"/>
      <c r="E268" s="730"/>
      <c r="F268" s="730"/>
      <c r="G268" s="731"/>
      <c r="H268" s="730"/>
      <c r="I268" s="730"/>
      <c r="J268" s="730"/>
      <c r="K268" s="730"/>
      <c r="L268" s="755"/>
      <c r="M268" s="755"/>
      <c r="N268" s="730"/>
      <c r="O268" s="733"/>
      <c r="Q268" s="728"/>
      <c r="R268" s="661"/>
      <c r="S268" s="228" t="str">
        <f t="array" ref="S268">IFERROR(INDEX('💻シート作成'!$D$6:$D1001, MATCH(T268, '💻シート作成'!$E$6:$E1001, 0)), "")</f>
        <v/>
      </c>
      <c r="T268" s="184"/>
      <c r="U268" s="664"/>
      <c r="V268" s="774"/>
      <c r="W268" s="661"/>
      <c r="X268" s="757"/>
      <c r="Y268" s="661"/>
      <c r="Z268" s="661"/>
    </row>
    <row r="269" hidden="1" outlineLevel="1">
      <c r="A269" s="661"/>
      <c r="B269" s="729"/>
      <c r="C269" s="730"/>
      <c r="D269" s="730"/>
      <c r="E269" s="730"/>
      <c r="F269" s="730"/>
      <c r="G269" s="731"/>
      <c r="H269" s="730"/>
      <c r="I269" s="730"/>
      <c r="J269" s="730"/>
      <c r="K269" s="730"/>
      <c r="L269" s="756"/>
      <c r="M269" s="755"/>
      <c r="N269" s="730"/>
      <c r="O269" s="733"/>
      <c r="Q269" s="728"/>
      <c r="R269" s="661"/>
      <c r="S269" s="228" t="str">
        <f t="array" ref="S269">IFERROR(INDEX('💻シート作成'!$D$6:$D1001, MATCH(T269, '💻シート作成'!$E$6:$E1001, 0)), "")</f>
        <v/>
      </c>
      <c r="T269" s="184"/>
      <c r="U269" s="664"/>
      <c r="V269" s="774"/>
      <c r="W269" s="661"/>
      <c r="X269" s="757"/>
      <c r="Y269" s="661"/>
      <c r="Z269" s="661"/>
    </row>
    <row r="270" hidden="1" outlineLevel="1">
      <c r="A270" s="661"/>
      <c r="B270" s="729"/>
      <c r="C270" s="730"/>
      <c r="D270" s="730"/>
      <c r="E270" s="730"/>
      <c r="F270" s="730"/>
      <c r="G270" s="731"/>
      <c r="H270" s="730"/>
      <c r="I270" s="730"/>
      <c r="J270" s="730"/>
      <c r="K270" s="730"/>
      <c r="L270" s="756"/>
      <c r="M270" s="755"/>
      <c r="N270" s="730"/>
      <c r="O270" s="733"/>
      <c r="Q270" s="728"/>
      <c r="R270" s="661"/>
      <c r="S270" s="228" t="str">
        <f t="array" ref="S270">IFERROR(INDEX('💻シート作成'!$D$6:$D1001, MATCH(T270, '💻シート作成'!$E$6:$E1001, 0)), "")</f>
        <v/>
      </c>
      <c r="T270" s="184"/>
      <c r="U270" s="664"/>
      <c r="V270" s="774"/>
      <c r="W270" s="661"/>
      <c r="X270" s="757"/>
      <c r="Y270" s="661"/>
      <c r="Z270" s="661"/>
    </row>
    <row r="271" hidden="1" outlineLevel="1">
      <c r="A271" s="661"/>
      <c r="B271" s="729"/>
      <c r="C271" s="730"/>
      <c r="D271" s="730"/>
      <c r="E271" s="730"/>
      <c r="F271" s="730"/>
      <c r="G271" s="731"/>
      <c r="H271" s="730"/>
      <c r="I271" s="730"/>
      <c r="J271" s="730"/>
      <c r="K271" s="730"/>
      <c r="L271" s="756"/>
      <c r="M271" s="755"/>
      <c r="N271" s="730"/>
      <c r="O271" s="733"/>
      <c r="Q271" s="728"/>
      <c r="R271" s="661"/>
      <c r="S271" s="228" t="str">
        <f t="array" ref="S271">IFERROR(INDEX('💻シート作成'!$D$6:$D1001, MATCH(T271, '💻シート作成'!$E$6:$E1001, 0)), "")</f>
        <v/>
      </c>
      <c r="T271" s="184"/>
      <c r="U271" s="664"/>
      <c r="V271" s="774"/>
      <c r="W271" s="661"/>
      <c r="X271" s="757"/>
      <c r="Y271" s="661"/>
      <c r="Z271" s="661"/>
    </row>
    <row r="272" hidden="1" outlineLevel="1">
      <c r="A272" s="661"/>
      <c r="B272" s="729"/>
      <c r="C272" s="730"/>
      <c r="D272" s="730"/>
      <c r="E272" s="730"/>
      <c r="F272" s="730"/>
      <c r="G272" s="731"/>
      <c r="H272" s="730"/>
      <c r="I272" s="730"/>
      <c r="J272" s="730"/>
      <c r="K272" s="730"/>
      <c r="L272" s="756"/>
      <c r="M272" s="755"/>
      <c r="N272" s="730"/>
      <c r="O272" s="733"/>
      <c r="Q272" s="728"/>
      <c r="R272" s="661"/>
      <c r="S272" s="228" t="str">
        <f t="array" ref="S272">IFERROR(INDEX('💻シート作成'!$D$6:$D1001, MATCH(T272, '💻シート作成'!$E$6:$E1001, 0)), "")</f>
        <v/>
      </c>
      <c r="T272" s="184"/>
      <c r="U272" s="664"/>
      <c r="V272" s="774"/>
      <c r="W272" s="661"/>
      <c r="X272" s="757"/>
      <c r="Y272" s="661"/>
      <c r="Z272" s="661"/>
    </row>
    <row r="273" hidden="1" outlineLevel="1">
      <c r="A273" s="661"/>
      <c r="B273" s="729"/>
      <c r="C273" s="730"/>
      <c r="D273" s="730"/>
      <c r="E273" s="730"/>
      <c r="F273" s="730"/>
      <c r="G273" s="731"/>
      <c r="H273" s="730"/>
      <c r="I273" s="730"/>
      <c r="J273" s="730"/>
      <c r="K273" s="730"/>
      <c r="L273" s="756"/>
      <c r="M273" s="755"/>
      <c r="N273" s="730"/>
      <c r="O273" s="733"/>
      <c r="Q273" s="728"/>
      <c r="R273" s="661"/>
      <c r="S273" s="228" t="str">
        <f t="array" ref="S273">IFERROR(INDEX('💻シート作成'!$D$6:$D1001, MATCH(T273, '💻シート作成'!$E$6:$E1001, 0)), "")</f>
        <v/>
      </c>
      <c r="T273" s="184"/>
      <c r="U273" s="664"/>
      <c r="V273" s="774"/>
      <c r="W273" s="661"/>
      <c r="X273" s="757"/>
      <c r="Y273" s="661"/>
      <c r="Z273" s="661"/>
    </row>
    <row r="274" hidden="1" outlineLevel="1">
      <c r="A274" s="661"/>
      <c r="B274" s="729"/>
      <c r="C274" s="730"/>
      <c r="D274" s="730"/>
      <c r="E274" s="730"/>
      <c r="F274" s="730"/>
      <c r="G274" s="731"/>
      <c r="H274" s="730"/>
      <c r="I274" s="730"/>
      <c r="J274" s="730"/>
      <c r="K274" s="730"/>
      <c r="L274" s="756"/>
      <c r="M274" s="755"/>
      <c r="N274" s="730"/>
      <c r="O274" s="733"/>
      <c r="Q274" s="728"/>
      <c r="R274" s="661"/>
      <c r="S274" s="228" t="str">
        <f t="array" ref="S274">IFERROR(INDEX('💻シート作成'!$D$6:$D1001, MATCH(T274, '💻シート作成'!$E$6:$E1001, 0)), "")</f>
        <v/>
      </c>
      <c r="T274" s="184"/>
      <c r="U274" s="664"/>
      <c r="V274" s="774"/>
      <c r="W274" s="661"/>
      <c r="X274" s="757"/>
      <c r="Y274" s="661"/>
      <c r="Z274" s="661"/>
    </row>
    <row r="275" hidden="1" outlineLevel="1">
      <c r="A275" s="661"/>
      <c r="B275" s="729"/>
      <c r="C275" s="730"/>
      <c r="D275" s="730"/>
      <c r="E275" s="730"/>
      <c r="F275" s="697"/>
      <c r="G275" s="698"/>
      <c r="H275" s="697"/>
      <c r="I275" s="697"/>
      <c r="J275" s="697"/>
      <c r="K275" s="697"/>
      <c r="L275" s="756"/>
      <c r="M275" s="755"/>
      <c r="N275" s="697"/>
      <c r="O275" s="700"/>
      <c r="P275" s="701"/>
      <c r="Q275" s="737"/>
      <c r="R275" s="661"/>
      <c r="S275" s="228" t="str">
        <f t="array" ref="S275">IFERROR(INDEX('💻シート作成'!$D$6:$D1001, MATCH(T275, '💻シート作成'!$E$6:$E1001, 0)), "")</f>
        <v/>
      </c>
      <c r="T275" s="184"/>
      <c r="U275" s="664"/>
      <c r="V275" s="774"/>
      <c r="W275" s="661"/>
      <c r="X275" s="757"/>
      <c r="Y275" s="661"/>
      <c r="Z275" s="661"/>
    </row>
    <row r="276" hidden="1" outlineLevel="1">
      <c r="A276" s="661"/>
      <c r="B276" s="738"/>
      <c r="C276" s="697"/>
      <c r="D276" s="697"/>
      <c r="E276" s="697"/>
      <c r="F276" s="758" t="s">
        <v>517</v>
      </c>
      <c r="G276" s="759"/>
      <c r="H276" s="741"/>
      <c r="I276" s="741"/>
      <c r="J276" s="741"/>
      <c r="K276" s="741"/>
      <c r="L276" s="759"/>
      <c r="M276" s="759"/>
      <c r="N276" s="759"/>
      <c r="O276" s="759"/>
      <c r="P276" s="759"/>
      <c r="Q276" s="760"/>
      <c r="R276" s="661"/>
      <c r="S276" s="228" t="str">
        <f t="array" ref="S276">IFERROR(INDEX('💻シート作成'!$D$6:$D1001, MATCH(T276, '💻シート作成'!$E$6:$E1001, 0)), "")</f>
        <v/>
      </c>
      <c r="T276" s="184"/>
      <c r="U276" s="664"/>
      <c r="V276" s="774"/>
      <c r="W276" s="661"/>
      <c r="X276" s="757"/>
      <c r="Y276" s="661"/>
      <c r="Z276" s="661"/>
    </row>
    <row r="277" hidden="1" outlineLevel="1">
      <c r="A277" s="661"/>
      <c r="B277" s="761"/>
      <c r="C277" s="762">
        <f>IF(C266="","",IF(DAY(C266+1)=1,"",C266+1))</f>
        <v>46078</v>
      </c>
      <c r="D277" s="763" t="str">
        <f>TEXT(C277,"ddd")</f>
        <v>水</v>
      </c>
      <c r="E277" s="764"/>
      <c r="F277" s="765" t="s">
        <v>518</v>
      </c>
      <c r="G277" s="766" t="s">
        <v>519</v>
      </c>
      <c r="H277" s="767"/>
      <c r="I277" s="768">
        <v>0.0</v>
      </c>
      <c r="J277" s="763"/>
      <c r="K277" s="763"/>
      <c r="L277" s="769"/>
      <c r="M277" s="769"/>
      <c r="N277" s="765"/>
      <c r="O277" s="770"/>
      <c r="P277" s="771"/>
      <c r="Q277" s="772"/>
      <c r="R277" s="661"/>
      <c r="S277" s="228" t="str">
        <f t="array" ref="S277">IFERROR(INDEX('💻シート作成'!$D$6:$D1001, MATCH(T277, '💻シート作成'!$E$6:$E1001, 0)), "")</f>
        <v/>
      </c>
      <c r="T277" s="184"/>
      <c r="U277" s="664"/>
      <c r="V277" s="774"/>
      <c r="W277" s="661"/>
      <c r="X277" s="757"/>
      <c r="Y277" s="661"/>
      <c r="Z277" s="661"/>
    </row>
    <row r="278" hidden="1" outlineLevel="1">
      <c r="A278" s="661"/>
      <c r="B278" s="729"/>
      <c r="C278" s="730"/>
      <c r="D278" s="730"/>
      <c r="E278" s="730"/>
      <c r="F278" s="730"/>
      <c r="G278" s="731"/>
      <c r="H278" s="730"/>
      <c r="I278" s="730"/>
      <c r="J278" s="730"/>
      <c r="K278" s="730"/>
      <c r="L278" s="769"/>
      <c r="M278" s="769"/>
      <c r="N278" s="730"/>
      <c r="O278" s="733"/>
      <c r="Q278" s="728"/>
      <c r="R278" s="661"/>
      <c r="S278" s="228" t="str">
        <f t="array" ref="S278">IFERROR(INDEX('💻シート作成'!$D$6:$D1001, MATCH(T278, '💻シート作成'!$E$6:$E1001, 0)), "")</f>
        <v/>
      </c>
      <c r="T278" s="184"/>
      <c r="U278" s="664"/>
      <c r="V278" s="774"/>
      <c r="W278" s="661"/>
      <c r="X278" s="757"/>
      <c r="Y278" s="661"/>
      <c r="Z278" s="661"/>
    </row>
    <row r="279" hidden="1" outlineLevel="1">
      <c r="A279" s="661"/>
      <c r="B279" s="729"/>
      <c r="C279" s="730"/>
      <c r="D279" s="730"/>
      <c r="E279" s="730"/>
      <c r="F279" s="730"/>
      <c r="G279" s="731"/>
      <c r="H279" s="730"/>
      <c r="I279" s="730"/>
      <c r="J279" s="730"/>
      <c r="K279" s="730"/>
      <c r="L279" s="769"/>
      <c r="M279" s="769"/>
      <c r="N279" s="730"/>
      <c r="O279" s="733"/>
      <c r="Q279" s="728"/>
      <c r="R279" s="661"/>
      <c r="S279" s="228" t="str">
        <f t="array" ref="S279">IFERROR(INDEX('💻シート作成'!$D$6:$D1001, MATCH(T279, '💻シート作成'!$E$6:$E1001, 0)), "")</f>
        <v/>
      </c>
      <c r="T279" s="184"/>
      <c r="U279" s="664"/>
      <c r="V279" s="774"/>
      <c r="W279" s="661"/>
      <c r="X279" s="757"/>
      <c r="Y279" s="661"/>
      <c r="Z279" s="661"/>
    </row>
    <row r="280" hidden="1" outlineLevel="1">
      <c r="A280" s="661"/>
      <c r="B280" s="729"/>
      <c r="C280" s="730"/>
      <c r="D280" s="730"/>
      <c r="E280" s="730"/>
      <c r="F280" s="730"/>
      <c r="G280" s="731"/>
      <c r="H280" s="730"/>
      <c r="I280" s="730"/>
      <c r="J280" s="730"/>
      <c r="K280" s="730"/>
      <c r="L280" s="773"/>
      <c r="M280" s="769"/>
      <c r="N280" s="730"/>
      <c r="O280" s="733"/>
      <c r="Q280" s="728"/>
      <c r="R280" s="661"/>
      <c r="S280" s="228" t="str">
        <f t="array" ref="S280">IFERROR(INDEX('💻シート作成'!$D$6:$D1001, MATCH(T280, '💻シート作成'!$E$6:$E1001, 0)), "")</f>
        <v/>
      </c>
      <c r="T280" s="184"/>
      <c r="U280" s="664"/>
      <c r="V280" s="774"/>
      <c r="W280" s="661"/>
      <c r="X280" s="757"/>
      <c r="Y280" s="661"/>
      <c r="Z280" s="661"/>
    </row>
    <row r="281" hidden="1" outlineLevel="1">
      <c r="A281" s="661"/>
      <c r="B281" s="729"/>
      <c r="C281" s="730"/>
      <c r="D281" s="730"/>
      <c r="E281" s="730"/>
      <c r="F281" s="730"/>
      <c r="G281" s="731"/>
      <c r="H281" s="730"/>
      <c r="I281" s="730"/>
      <c r="J281" s="730"/>
      <c r="K281" s="730"/>
      <c r="L281" s="773"/>
      <c r="M281" s="769"/>
      <c r="N281" s="730"/>
      <c r="O281" s="733"/>
      <c r="Q281" s="728"/>
      <c r="R281" s="661"/>
      <c r="S281" s="228" t="str">
        <f t="array" ref="S281">IFERROR(INDEX('💻シート作成'!$D$6:$D1001, MATCH(T281, '💻シート作成'!$E$6:$E1001, 0)), "")</f>
        <v/>
      </c>
      <c r="T281" s="184"/>
      <c r="U281" s="664"/>
      <c r="V281" s="774"/>
      <c r="W281" s="661"/>
      <c r="X281" s="757"/>
      <c r="Y281" s="661"/>
      <c r="Z281" s="661"/>
    </row>
    <row r="282" hidden="1" outlineLevel="1">
      <c r="A282" s="661"/>
      <c r="B282" s="729"/>
      <c r="C282" s="730"/>
      <c r="D282" s="730"/>
      <c r="E282" s="730"/>
      <c r="F282" s="730"/>
      <c r="G282" s="731"/>
      <c r="H282" s="730"/>
      <c r="I282" s="730"/>
      <c r="J282" s="730"/>
      <c r="K282" s="730"/>
      <c r="L282" s="773"/>
      <c r="M282" s="769"/>
      <c r="N282" s="730"/>
      <c r="O282" s="733"/>
      <c r="Q282" s="728"/>
      <c r="R282" s="661"/>
      <c r="S282" s="228" t="str">
        <f t="array" ref="S282">IFERROR(INDEX('💻シート作成'!$D$6:$D1001, MATCH(T282, '💻シート作成'!$E$6:$E1001, 0)), "")</f>
        <v/>
      </c>
      <c r="T282" s="184"/>
      <c r="U282" s="664"/>
      <c r="V282" s="774"/>
      <c r="W282" s="661"/>
      <c r="X282" s="757"/>
      <c r="Y282" s="661"/>
      <c r="Z282" s="661"/>
    </row>
    <row r="283" hidden="1" outlineLevel="1">
      <c r="A283" s="661"/>
      <c r="B283" s="729"/>
      <c r="C283" s="730"/>
      <c r="D283" s="730"/>
      <c r="E283" s="730"/>
      <c r="F283" s="730"/>
      <c r="G283" s="731"/>
      <c r="H283" s="730"/>
      <c r="I283" s="730"/>
      <c r="J283" s="730"/>
      <c r="K283" s="730"/>
      <c r="L283" s="773"/>
      <c r="M283" s="769"/>
      <c r="N283" s="730"/>
      <c r="O283" s="733"/>
      <c r="Q283" s="728"/>
      <c r="R283" s="661"/>
      <c r="S283" s="228" t="str">
        <f t="array" ref="S283">IFERROR(INDEX('💻シート作成'!$D$6:$D1001, MATCH(T283, '💻シート作成'!$E$6:$E1001, 0)), "")</f>
        <v/>
      </c>
      <c r="T283" s="184"/>
      <c r="U283" s="664"/>
      <c r="V283" s="774"/>
      <c r="W283" s="661"/>
      <c r="X283" s="757"/>
      <c r="Y283" s="661"/>
      <c r="Z283" s="661"/>
    </row>
    <row r="284" hidden="1" outlineLevel="1">
      <c r="A284" s="661"/>
      <c r="B284" s="729"/>
      <c r="C284" s="730"/>
      <c r="D284" s="730"/>
      <c r="E284" s="730"/>
      <c r="F284" s="730"/>
      <c r="G284" s="731"/>
      <c r="H284" s="730"/>
      <c r="I284" s="730"/>
      <c r="J284" s="730"/>
      <c r="K284" s="730"/>
      <c r="L284" s="773"/>
      <c r="M284" s="769"/>
      <c r="N284" s="730"/>
      <c r="O284" s="733"/>
      <c r="Q284" s="728"/>
      <c r="R284" s="661"/>
      <c r="S284" s="228" t="str">
        <f t="array" ref="S284">IFERROR(INDEX('💻シート作成'!$D$6:$D1001, MATCH(T284, '💻シート作成'!$E$6:$E1001, 0)), "")</f>
        <v/>
      </c>
      <c r="T284" s="184"/>
      <c r="U284" s="664"/>
      <c r="V284" s="774"/>
      <c r="W284" s="661"/>
      <c r="X284" s="757"/>
      <c r="Y284" s="661"/>
      <c r="Z284" s="661"/>
    </row>
    <row r="285" hidden="1" outlineLevel="1">
      <c r="A285" s="661"/>
      <c r="B285" s="729"/>
      <c r="C285" s="730"/>
      <c r="D285" s="730"/>
      <c r="E285" s="730"/>
      <c r="F285" s="730"/>
      <c r="G285" s="731"/>
      <c r="H285" s="730"/>
      <c r="I285" s="730"/>
      <c r="J285" s="730"/>
      <c r="K285" s="730"/>
      <c r="L285" s="773"/>
      <c r="M285" s="769"/>
      <c r="N285" s="730"/>
      <c r="O285" s="733"/>
      <c r="Q285" s="728"/>
      <c r="R285" s="661"/>
      <c r="S285" s="228" t="str">
        <f t="array" ref="S285">IFERROR(INDEX('💻シート作成'!$D$6:$D1001, MATCH(T285, '💻シート作成'!$E$6:$E1001, 0)), "")</f>
        <v/>
      </c>
      <c r="T285" s="184"/>
      <c r="U285" s="664"/>
      <c r="V285" s="774"/>
      <c r="W285" s="661"/>
      <c r="X285" s="757"/>
      <c r="Y285" s="661"/>
      <c r="Z285" s="661"/>
    </row>
    <row r="286" hidden="1" outlineLevel="1">
      <c r="A286" s="661"/>
      <c r="B286" s="729"/>
      <c r="C286" s="730"/>
      <c r="D286" s="730"/>
      <c r="E286" s="730"/>
      <c r="F286" s="697"/>
      <c r="G286" s="698"/>
      <c r="H286" s="697"/>
      <c r="I286" s="697"/>
      <c r="J286" s="697"/>
      <c r="K286" s="697"/>
      <c r="L286" s="773"/>
      <c r="M286" s="769"/>
      <c r="N286" s="697"/>
      <c r="O286" s="700"/>
      <c r="P286" s="701"/>
      <c r="Q286" s="737"/>
      <c r="R286" s="661"/>
      <c r="S286" s="228" t="str">
        <f t="array" ref="S286">IFERROR(INDEX('💻シート作成'!$D$6:$D1001, MATCH(T286, '💻シート作成'!$E$6:$E1001, 0)), "")</f>
        <v/>
      </c>
      <c r="T286" s="184"/>
      <c r="U286" s="664"/>
      <c r="V286" s="774"/>
      <c r="W286" s="661"/>
      <c r="X286" s="757"/>
      <c r="Y286" s="661"/>
      <c r="Z286" s="661"/>
    </row>
    <row r="287" hidden="1" outlineLevel="1">
      <c r="A287" s="661"/>
      <c r="B287" s="738"/>
      <c r="C287" s="697"/>
      <c r="D287" s="697"/>
      <c r="E287" s="697"/>
      <c r="F287" s="739" t="s">
        <v>517</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4"/>
      <c r="W287" s="661"/>
      <c r="X287" s="757"/>
      <c r="Y287" s="661"/>
      <c r="Z287" s="661"/>
    </row>
    <row r="288" collapsed="1">
      <c r="A288" s="661"/>
      <c r="B288" s="780" t="s">
        <v>526</v>
      </c>
      <c r="C288" s="781"/>
      <c r="D288" s="781"/>
      <c r="E288" s="781"/>
      <c r="F288" s="782"/>
      <c r="G288" s="783"/>
      <c r="H288" s="784"/>
      <c r="I288" s="784"/>
      <c r="J288" s="785"/>
      <c r="K288" s="785"/>
      <c r="L288" s="783"/>
      <c r="M288" s="783"/>
      <c r="N288" s="786"/>
      <c r="O288" s="787"/>
      <c r="P288" s="787"/>
      <c r="Q288" s="788"/>
      <c r="R288" s="661"/>
      <c r="S288" s="228" t="str">
        <f t="array" ref="S288">IFERROR(INDEX('💻シート作成'!$D$6:$D1001, MATCH(T288, '💻シート作成'!$E$6:$E1001, 0)), "")</f>
        <v/>
      </c>
      <c r="T288" s="184"/>
      <c r="U288" s="664"/>
      <c r="V288" s="774"/>
      <c r="W288" s="661"/>
      <c r="X288" s="757"/>
      <c r="Y288" s="661"/>
      <c r="Z288" s="661"/>
    </row>
    <row r="289" hidden="1" outlineLevel="1">
      <c r="A289" s="661"/>
      <c r="B289" s="743"/>
      <c r="C289" s="744">
        <f>IF(C277="","",IF(DAY(C277+1)=1,"",C277+1))</f>
        <v>46079</v>
      </c>
      <c r="D289" s="745" t="str">
        <f>TEXT(C289,"ddd")</f>
        <v>木</v>
      </c>
      <c r="E289" s="746"/>
      <c r="F289" s="775" t="s">
        <v>518</v>
      </c>
      <c r="G289" s="776" t="s">
        <v>519</v>
      </c>
      <c r="H289" s="777"/>
      <c r="I289" s="778">
        <v>0.0</v>
      </c>
      <c r="J289" s="745"/>
      <c r="K289" s="745"/>
      <c r="L289" s="755"/>
      <c r="M289" s="755"/>
      <c r="N289" s="775"/>
      <c r="O289" s="779"/>
      <c r="P289" s="771"/>
      <c r="Q289" s="772"/>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5"/>
      <c r="M290" s="755"/>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5"/>
      <c r="M291" s="755"/>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6"/>
      <c r="M292" s="755"/>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6"/>
      <c r="M293" s="755"/>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6"/>
      <c r="M294" s="755"/>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6"/>
      <c r="M295" s="755"/>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6"/>
      <c r="M296" s="755"/>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6"/>
      <c r="M297" s="755"/>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6"/>
      <c r="M298" s="755"/>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8" t="s">
        <v>517</v>
      </c>
      <c r="G299" s="759"/>
      <c r="H299" s="741"/>
      <c r="I299" s="741"/>
      <c r="J299" s="741"/>
      <c r="K299" s="741"/>
      <c r="L299" s="759"/>
      <c r="M299" s="759"/>
      <c r="N299" s="759"/>
      <c r="O299" s="759"/>
      <c r="P299" s="759"/>
      <c r="Q299" s="760"/>
      <c r="R299" s="661"/>
      <c r="S299" s="661"/>
      <c r="T299" s="661"/>
      <c r="U299" s="664"/>
      <c r="V299" s="665"/>
      <c r="W299" s="661"/>
      <c r="X299" s="661"/>
      <c r="Y299" s="661"/>
      <c r="Z299" s="661"/>
    </row>
    <row r="300" hidden="1" outlineLevel="1">
      <c r="A300" s="661"/>
      <c r="B300" s="761"/>
      <c r="C300" s="762">
        <f>IF(C289="","",IF(DAY(C289+1)=1,"",C289+1))</f>
        <v>46080</v>
      </c>
      <c r="D300" s="763" t="str">
        <f>TEXT(C300,"ddd")</f>
        <v>金</v>
      </c>
      <c r="E300" s="764"/>
      <c r="F300" s="765" t="s">
        <v>518</v>
      </c>
      <c r="G300" s="766" t="s">
        <v>519</v>
      </c>
      <c r="H300" s="767"/>
      <c r="I300" s="768">
        <v>0.0</v>
      </c>
      <c r="J300" s="763"/>
      <c r="K300" s="763"/>
      <c r="L300" s="769"/>
      <c r="M300" s="769"/>
      <c r="N300" s="765"/>
      <c r="O300" s="770"/>
      <c r="P300" s="771"/>
      <c r="Q300" s="772"/>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9"/>
      <c r="M301" s="769"/>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9"/>
      <c r="M302" s="769"/>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3"/>
      <c r="M303" s="769"/>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3"/>
      <c r="M304" s="769"/>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3"/>
      <c r="M305" s="769"/>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3"/>
      <c r="M306" s="769"/>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3"/>
      <c r="M307" s="769"/>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3"/>
      <c r="M308" s="769"/>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3"/>
      <c r="M309" s="769"/>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517</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46081</v>
      </c>
      <c r="D311" s="745" t="str">
        <f>TEXT(C311,"ddd")</f>
        <v>土</v>
      </c>
      <c r="E311" s="746"/>
      <c r="F311" s="775" t="s">
        <v>518</v>
      </c>
      <c r="G311" s="776" t="s">
        <v>519</v>
      </c>
      <c r="H311" s="777"/>
      <c r="I311" s="778">
        <v>0.0</v>
      </c>
      <c r="J311" s="745"/>
      <c r="K311" s="745"/>
      <c r="L311" s="755"/>
      <c r="M311" s="755"/>
      <c r="N311" s="775"/>
      <c r="O311" s="779"/>
      <c r="P311" s="771"/>
      <c r="Q311" s="772"/>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5"/>
      <c r="M312" s="755"/>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5"/>
      <c r="M313" s="755"/>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6"/>
      <c r="M314" s="755"/>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6"/>
      <c r="M315" s="755"/>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6"/>
      <c r="M316" s="755"/>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6"/>
      <c r="M317" s="755"/>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6"/>
      <c r="M318" s="755"/>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6"/>
      <c r="M319" s="755"/>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6"/>
      <c r="M320" s="755"/>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8" t="s">
        <v>517</v>
      </c>
      <c r="G321" s="759"/>
      <c r="H321" s="741"/>
      <c r="I321" s="741"/>
      <c r="J321" s="741"/>
      <c r="K321" s="741"/>
      <c r="L321" s="759"/>
      <c r="M321" s="759"/>
      <c r="N321" s="759"/>
      <c r="O321" s="759"/>
      <c r="P321" s="759"/>
      <c r="Q321" s="760"/>
      <c r="R321" s="661"/>
      <c r="S321" s="661"/>
      <c r="T321" s="661"/>
      <c r="U321" s="664"/>
      <c r="V321" s="665"/>
      <c r="W321" s="661"/>
      <c r="X321" s="661"/>
      <c r="Y321" s="661"/>
      <c r="Z321" s="661"/>
    </row>
    <row r="322" hidden="1" outlineLevel="1">
      <c r="A322" s="661"/>
      <c r="B322" s="761"/>
      <c r="C322" s="762" t="str">
        <f>IF(C311="","",IF(DAY(C311+1)=1,"",C311+1))</f>
        <v/>
      </c>
      <c r="D322" s="763" t="str">
        <f>TEXT(C322,"ddd")</f>
        <v/>
      </c>
      <c r="E322" s="764"/>
      <c r="F322" s="765" t="s">
        <v>518</v>
      </c>
      <c r="G322" s="766" t="s">
        <v>519</v>
      </c>
      <c r="H322" s="767"/>
      <c r="I322" s="768">
        <v>0.0</v>
      </c>
      <c r="J322" s="763"/>
      <c r="K322" s="763"/>
      <c r="L322" s="769"/>
      <c r="M322" s="769"/>
      <c r="N322" s="765"/>
      <c r="O322" s="770"/>
      <c r="P322" s="771"/>
      <c r="Q322" s="772"/>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9"/>
      <c r="M323" s="769"/>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9"/>
      <c r="M324" s="769"/>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3"/>
      <c r="M325" s="769"/>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3"/>
      <c r="M326" s="769"/>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3"/>
      <c r="M327" s="769"/>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3"/>
      <c r="M328" s="769"/>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3"/>
      <c r="M329" s="769"/>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3"/>
      <c r="M330" s="769"/>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3"/>
      <c r="M331" s="769"/>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517</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t="str">
        <f>IF(C322="","",IF(DAY(C322+1)=1,"",C322+1))</f>
        <v/>
      </c>
      <c r="D333" s="745" t="str">
        <f>TEXT(C333,"ddd")</f>
        <v/>
      </c>
      <c r="E333" s="746"/>
      <c r="F333" s="775" t="s">
        <v>518</v>
      </c>
      <c r="G333" s="776" t="s">
        <v>519</v>
      </c>
      <c r="H333" s="777"/>
      <c r="I333" s="778">
        <v>0.0</v>
      </c>
      <c r="J333" s="745"/>
      <c r="K333" s="745"/>
      <c r="L333" s="755"/>
      <c r="M333" s="755"/>
      <c r="N333" s="775"/>
      <c r="O333" s="779"/>
      <c r="P333" s="771"/>
      <c r="Q333" s="772"/>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5"/>
      <c r="M334" s="755"/>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5"/>
      <c r="M335" s="755"/>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6"/>
      <c r="M336" s="755"/>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6"/>
      <c r="M337" s="755"/>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6"/>
      <c r="M338" s="755"/>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6"/>
      <c r="M339" s="755"/>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6"/>
      <c r="M340" s="755"/>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6"/>
      <c r="M341" s="755"/>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6"/>
      <c r="M342" s="755"/>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8" t="s">
        <v>517</v>
      </c>
      <c r="G343" s="759"/>
      <c r="H343" s="741"/>
      <c r="I343" s="741"/>
      <c r="J343" s="741"/>
      <c r="K343" s="741"/>
      <c r="L343" s="759"/>
      <c r="M343" s="759"/>
      <c r="N343" s="759"/>
      <c r="O343" s="759"/>
      <c r="P343" s="759"/>
      <c r="Q343" s="760"/>
      <c r="R343" s="661"/>
      <c r="S343" s="661"/>
      <c r="T343" s="661"/>
      <c r="U343" s="664"/>
      <c r="V343" s="665"/>
      <c r="W343" s="661"/>
      <c r="X343" s="661"/>
      <c r="Y343" s="661"/>
      <c r="Z343" s="661"/>
    </row>
    <row r="344" hidden="1" outlineLevel="1">
      <c r="A344" s="661"/>
      <c r="B344" s="761"/>
      <c r="C344" s="762" t="str">
        <f>IF(C333="","",IF(DAY(C333+1)=1,"",C333+1))</f>
        <v/>
      </c>
      <c r="D344" s="763" t="str">
        <f>TEXT(C344,"ddd")</f>
        <v/>
      </c>
      <c r="E344" s="764"/>
      <c r="F344" s="765" t="s">
        <v>518</v>
      </c>
      <c r="G344" s="766" t="s">
        <v>519</v>
      </c>
      <c r="H344" s="767"/>
      <c r="I344" s="768">
        <v>0.0</v>
      </c>
      <c r="J344" s="763"/>
      <c r="K344" s="763"/>
      <c r="L344" s="769"/>
      <c r="M344" s="769"/>
      <c r="N344" s="765"/>
      <c r="O344" s="770"/>
      <c r="P344" s="771"/>
      <c r="Q344" s="772"/>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9"/>
      <c r="M345" s="769"/>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9"/>
      <c r="M346" s="769"/>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3"/>
      <c r="M347" s="769"/>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3"/>
      <c r="M348" s="769"/>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3"/>
      <c r="M349" s="769"/>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3"/>
      <c r="M350" s="769"/>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3"/>
      <c r="M351" s="769"/>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3"/>
      <c r="M352" s="769"/>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3"/>
      <c r="M353" s="769"/>
      <c r="N353" s="697"/>
      <c r="O353" s="700"/>
      <c r="P353" s="701"/>
      <c r="Q353" s="737"/>
      <c r="R353" s="661"/>
      <c r="S353" s="661"/>
      <c r="T353" s="661"/>
      <c r="U353" s="664"/>
      <c r="V353" s="665"/>
      <c r="W353" s="661"/>
      <c r="X353" s="661"/>
      <c r="Y353" s="661"/>
      <c r="Z353" s="661"/>
    </row>
    <row r="354" hidden="1" outlineLevel="1">
      <c r="A354" s="661"/>
      <c r="B354" s="789"/>
      <c r="C354" s="790"/>
      <c r="D354" s="790"/>
      <c r="E354" s="790"/>
      <c r="F354" s="791" t="s">
        <v>517</v>
      </c>
      <c r="G354" s="792"/>
      <c r="H354" s="793"/>
      <c r="I354" s="793"/>
      <c r="J354" s="793"/>
      <c r="K354" s="793"/>
      <c r="L354" s="792"/>
      <c r="M354" s="792"/>
      <c r="N354" s="792"/>
      <c r="O354" s="792"/>
      <c r="P354" s="792"/>
      <c r="Q354" s="794"/>
      <c r="R354" s="661"/>
      <c r="S354" s="661"/>
      <c r="T354" s="661"/>
      <c r="U354" s="664"/>
      <c r="V354" s="665"/>
      <c r="W354" s="661"/>
      <c r="X354" s="661"/>
      <c r="Y354" s="661"/>
      <c r="Z354" s="661"/>
    </row>
    <row r="355">
      <c r="A355" s="661"/>
      <c r="B355" s="663"/>
      <c r="C355" s="795"/>
      <c r="D355" s="796"/>
      <c r="E355" s="680"/>
      <c r="F355" s="797"/>
      <c r="G355" s="797"/>
      <c r="H355" s="797"/>
      <c r="I355" s="797"/>
      <c r="J355" s="797"/>
      <c r="K355" s="797"/>
      <c r="L355" s="797"/>
      <c r="M355" s="797"/>
      <c r="N355" s="797"/>
      <c r="O355" s="797"/>
      <c r="P355" s="797"/>
      <c r="Q355" s="797"/>
      <c r="R355" s="661"/>
      <c r="S355" s="661"/>
      <c r="T355" s="661"/>
      <c r="U355" s="664"/>
      <c r="V355" s="665"/>
      <c r="W355" s="661"/>
      <c r="X355" s="661"/>
      <c r="Y355" s="661"/>
      <c r="Z355" s="661"/>
    </row>
    <row r="356">
      <c r="A356" s="661"/>
      <c r="B356" s="663"/>
      <c r="C356" s="795"/>
      <c r="D356" s="796"/>
      <c r="E356" s="680"/>
      <c r="F356" s="797"/>
      <c r="G356" s="797"/>
      <c r="H356" s="797"/>
      <c r="I356" s="797"/>
      <c r="J356" s="797"/>
      <c r="K356" s="797"/>
      <c r="L356" s="797"/>
      <c r="M356" s="797"/>
      <c r="N356" s="797"/>
      <c r="O356" s="797"/>
      <c r="P356" s="797"/>
      <c r="Q356" s="797"/>
      <c r="R356" s="661"/>
      <c r="S356" s="661"/>
      <c r="T356" s="661"/>
      <c r="U356" s="664"/>
      <c r="V356" s="665"/>
      <c r="W356" s="661"/>
      <c r="X356" s="661"/>
      <c r="Y356" s="661"/>
      <c r="Z356" s="661"/>
    </row>
    <row r="357">
      <c r="A357" s="661"/>
      <c r="B357" s="663"/>
      <c r="C357" s="795"/>
      <c r="D357" s="796"/>
      <c r="E357" s="680"/>
      <c r="F357" s="797"/>
      <c r="G357" s="797"/>
      <c r="H357" s="797"/>
      <c r="I357" s="797"/>
      <c r="J357" s="797"/>
      <c r="K357" s="797"/>
      <c r="L357" s="797"/>
      <c r="M357" s="797"/>
      <c r="N357" s="797"/>
      <c r="O357" s="797"/>
      <c r="P357" s="797"/>
      <c r="Q357" s="797"/>
      <c r="R357" s="661"/>
      <c r="S357" s="661"/>
      <c r="T357" s="661"/>
      <c r="U357" s="664"/>
      <c r="V357" s="665"/>
      <c r="W357" s="661"/>
      <c r="X357" s="661"/>
      <c r="Y357" s="661"/>
      <c r="Z357" s="661"/>
    </row>
    <row r="358">
      <c r="A358" s="661"/>
      <c r="B358" s="663"/>
      <c r="C358" s="795"/>
      <c r="D358" s="796"/>
      <c r="E358" s="680"/>
      <c r="F358" s="797"/>
      <c r="G358" s="797"/>
      <c r="H358" s="797"/>
      <c r="I358" s="797"/>
      <c r="J358" s="797"/>
      <c r="K358" s="797"/>
      <c r="L358" s="797"/>
      <c r="M358" s="797"/>
      <c r="N358" s="797"/>
      <c r="O358" s="797"/>
      <c r="P358" s="797"/>
      <c r="Q358" s="797"/>
      <c r="R358" s="661"/>
      <c r="S358" s="661"/>
      <c r="T358" s="661"/>
      <c r="U358" s="664"/>
      <c r="V358" s="665"/>
      <c r="W358" s="661"/>
      <c r="X358" s="661"/>
      <c r="Y358" s="661"/>
      <c r="Z358" s="661"/>
    </row>
    <row r="359">
      <c r="A359" s="661"/>
      <c r="B359" s="663"/>
      <c r="C359" s="795"/>
      <c r="D359" s="796"/>
      <c r="E359" s="680"/>
      <c r="F359" s="797"/>
      <c r="G359" s="797"/>
      <c r="H359" s="797"/>
      <c r="I359" s="797"/>
      <c r="J359" s="797"/>
      <c r="K359" s="797"/>
      <c r="L359" s="797"/>
      <c r="M359" s="797"/>
      <c r="N359" s="797"/>
      <c r="O359" s="797"/>
      <c r="P359" s="797"/>
      <c r="Q359" s="797"/>
      <c r="R359" s="661"/>
      <c r="S359" s="661"/>
      <c r="T359" s="661"/>
      <c r="U359" s="664"/>
      <c r="V359" s="665"/>
      <c r="W359" s="661"/>
      <c r="X359" s="661"/>
      <c r="Y359" s="661"/>
      <c r="Z359" s="661"/>
    </row>
    <row r="360">
      <c r="A360" s="661"/>
      <c r="B360" s="663"/>
      <c r="C360" s="795"/>
      <c r="D360" s="796"/>
      <c r="E360" s="680"/>
      <c r="F360" s="797"/>
      <c r="G360" s="797"/>
      <c r="H360" s="797"/>
      <c r="I360" s="797"/>
      <c r="J360" s="797"/>
      <c r="K360" s="797"/>
      <c r="L360" s="797"/>
      <c r="M360" s="797"/>
      <c r="N360" s="797"/>
      <c r="O360" s="797"/>
      <c r="P360" s="797"/>
      <c r="Q360" s="797"/>
      <c r="R360" s="661"/>
      <c r="S360" s="661"/>
      <c r="T360" s="661"/>
      <c r="U360" s="664"/>
      <c r="V360" s="665"/>
      <c r="W360" s="661"/>
      <c r="X360" s="661"/>
      <c r="Y360" s="661"/>
      <c r="Z360" s="661"/>
    </row>
    <row r="361">
      <c r="A361" s="661"/>
      <c r="B361" s="663"/>
      <c r="C361" s="795"/>
      <c r="D361" s="796"/>
      <c r="E361" s="680"/>
      <c r="F361" s="797"/>
      <c r="G361" s="797"/>
      <c r="H361" s="797"/>
      <c r="I361" s="797"/>
      <c r="J361" s="797"/>
      <c r="K361" s="797"/>
      <c r="L361" s="797"/>
      <c r="M361" s="797"/>
      <c r="N361" s="797"/>
      <c r="O361" s="797"/>
      <c r="P361" s="797"/>
      <c r="Q361" s="797"/>
      <c r="R361" s="661"/>
      <c r="S361" s="661"/>
      <c r="T361" s="661"/>
      <c r="U361" s="664"/>
      <c r="V361" s="665"/>
      <c r="W361" s="661"/>
      <c r="X361" s="661"/>
      <c r="Y361" s="661"/>
      <c r="Z361" s="661"/>
    </row>
    <row r="362">
      <c r="A362" s="661"/>
      <c r="B362" s="663"/>
      <c r="C362" s="795"/>
      <c r="D362" s="796"/>
      <c r="E362" s="680"/>
      <c r="F362" s="797"/>
      <c r="G362" s="797"/>
      <c r="H362" s="797"/>
      <c r="I362" s="797"/>
      <c r="J362" s="797"/>
      <c r="K362" s="797"/>
      <c r="L362" s="797"/>
      <c r="M362" s="797"/>
      <c r="N362" s="797"/>
      <c r="O362" s="797"/>
      <c r="P362" s="797"/>
      <c r="Q362" s="797"/>
      <c r="R362" s="661"/>
      <c r="S362" s="661"/>
      <c r="T362" s="661"/>
      <c r="U362" s="664"/>
      <c r="V362" s="665"/>
      <c r="W362" s="661"/>
      <c r="X362" s="661"/>
      <c r="Y362" s="661"/>
      <c r="Z362" s="661"/>
    </row>
    <row r="363">
      <c r="A363" s="661"/>
      <c r="B363" s="663"/>
      <c r="C363" s="795"/>
      <c r="D363" s="796"/>
      <c r="E363" s="680"/>
      <c r="F363" s="797"/>
      <c r="G363" s="797"/>
      <c r="H363" s="797"/>
      <c r="I363" s="797"/>
      <c r="J363" s="797"/>
      <c r="K363" s="797"/>
      <c r="L363" s="797"/>
      <c r="M363" s="797"/>
      <c r="N363" s="797"/>
      <c r="O363" s="797"/>
      <c r="P363" s="797"/>
      <c r="Q363" s="797"/>
      <c r="R363" s="661"/>
      <c r="S363" s="661"/>
      <c r="T363" s="661"/>
      <c r="U363" s="664"/>
      <c r="V363" s="665"/>
      <c r="W363" s="661"/>
      <c r="X363" s="661"/>
      <c r="Y363" s="661"/>
      <c r="Z363" s="661"/>
    </row>
    <row r="364">
      <c r="A364" s="661"/>
      <c r="B364" s="663"/>
      <c r="C364" s="795"/>
      <c r="D364" s="796"/>
      <c r="E364" s="680"/>
      <c r="F364" s="797"/>
      <c r="G364" s="797"/>
      <c r="H364" s="797"/>
      <c r="I364" s="797"/>
      <c r="J364" s="797"/>
      <c r="K364" s="797"/>
      <c r="L364" s="797"/>
      <c r="M364" s="797"/>
      <c r="N364" s="797"/>
      <c r="O364" s="797"/>
      <c r="P364" s="797"/>
      <c r="Q364" s="797"/>
      <c r="R364" s="661"/>
      <c r="S364" s="661"/>
      <c r="T364" s="661"/>
      <c r="U364" s="664"/>
      <c r="V364" s="665"/>
      <c r="W364" s="661"/>
      <c r="X364" s="661"/>
      <c r="Y364" s="661"/>
      <c r="Z364" s="661"/>
    </row>
    <row r="365">
      <c r="A365" s="661"/>
      <c r="B365" s="663"/>
      <c r="C365" s="795"/>
      <c r="D365" s="796"/>
      <c r="E365" s="680"/>
      <c r="F365" s="797"/>
      <c r="G365" s="797"/>
      <c r="H365" s="797"/>
      <c r="I365" s="797"/>
      <c r="J365" s="797"/>
      <c r="K365" s="797"/>
      <c r="L365" s="797"/>
      <c r="M365" s="797"/>
      <c r="N365" s="797"/>
      <c r="O365" s="797"/>
      <c r="P365" s="797"/>
      <c r="Q365" s="797"/>
      <c r="R365" s="661"/>
      <c r="S365" s="661"/>
      <c r="T365" s="661"/>
      <c r="U365" s="664"/>
      <c r="V365" s="665"/>
      <c r="W365" s="661"/>
      <c r="X365" s="661"/>
      <c r="Y365" s="661"/>
      <c r="Z365" s="661"/>
    </row>
    <row r="366">
      <c r="A366" s="661"/>
      <c r="B366" s="663"/>
      <c r="C366" s="795"/>
      <c r="D366" s="796"/>
      <c r="E366" s="680"/>
      <c r="F366" s="797"/>
      <c r="G366" s="797"/>
      <c r="H366" s="797"/>
      <c r="I366" s="797"/>
      <c r="J366" s="797"/>
      <c r="K366" s="797"/>
      <c r="L366" s="797"/>
      <c r="M366" s="797"/>
      <c r="N366" s="797"/>
      <c r="O366" s="797"/>
      <c r="P366" s="797"/>
      <c r="Q366" s="797"/>
      <c r="R366" s="661"/>
      <c r="S366" s="661"/>
      <c r="T366" s="661"/>
      <c r="U366" s="664"/>
      <c r="V366" s="665"/>
      <c r="W366" s="661"/>
      <c r="X366" s="661"/>
      <c r="Y366" s="661"/>
      <c r="Z366" s="661"/>
    </row>
    <row r="367">
      <c r="A367" s="661"/>
      <c r="B367" s="663"/>
      <c r="C367" s="795"/>
      <c r="D367" s="796"/>
      <c r="E367" s="680"/>
      <c r="F367" s="797"/>
      <c r="G367" s="797"/>
      <c r="H367" s="797"/>
      <c r="I367" s="797"/>
      <c r="J367" s="797"/>
      <c r="K367" s="797"/>
      <c r="L367" s="797"/>
      <c r="M367" s="797"/>
      <c r="N367" s="797"/>
      <c r="O367" s="797"/>
      <c r="P367" s="797"/>
      <c r="Q367" s="797"/>
      <c r="R367" s="661"/>
      <c r="S367" s="661"/>
      <c r="T367" s="661"/>
      <c r="U367" s="664"/>
      <c r="V367" s="665"/>
      <c r="W367" s="661"/>
      <c r="X367" s="661"/>
      <c r="Y367" s="661"/>
      <c r="Z367" s="661"/>
    </row>
    <row r="368">
      <c r="A368" s="661"/>
      <c r="B368" s="663"/>
      <c r="C368" s="795"/>
      <c r="D368" s="796"/>
      <c r="E368" s="680"/>
      <c r="F368" s="797"/>
      <c r="G368" s="797"/>
      <c r="H368" s="797"/>
      <c r="I368" s="797"/>
      <c r="J368" s="797"/>
      <c r="K368" s="797"/>
      <c r="L368" s="797"/>
      <c r="M368" s="797"/>
      <c r="N368" s="797"/>
      <c r="O368" s="797"/>
      <c r="P368" s="797"/>
      <c r="Q368" s="797"/>
      <c r="R368" s="661"/>
      <c r="S368" s="661"/>
      <c r="T368" s="661"/>
      <c r="U368" s="664"/>
      <c r="V368" s="665"/>
      <c r="W368" s="661"/>
      <c r="X368" s="661"/>
      <c r="Y368" s="661"/>
      <c r="Z368" s="661"/>
    </row>
    <row r="369">
      <c r="A369" s="661"/>
      <c r="B369" s="663"/>
      <c r="C369" s="795"/>
      <c r="D369" s="796"/>
      <c r="E369" s="680"/>
      <c r="F369" s="797"/>
      <c r="G369" s="797"/>
      <c r="H369" s="797"/>
      <c r="I369" s="797"/>
      <c r="J369" s="797"/>
      <c r="K369" s="797"/>
      <c r="L369" s="797"/>
      <c r="M369" s="797"/>
      <c r="N369" s="797"/>
      <c r="O369" s="797"/>
      <c r="P369" s="797"/>
      <c r="Q369" s="797"/>
      <c r="R369" s="661"/>
      <c r="S369" s="661"/>
      <c r="T369" s="661"/>
      <c r="U369" s="664"/>
      <c r="V369" s="665"/>
      <c r="W369" s="661"/>
      <c r="X369" s="661"/>
      <c r="Y369" s="661"/>
      <c r="Z369" s="661"/>
    </row>
    <row r="370">
      <c r="A370" s="661"/>
      <c r="B370" s="663"/>
      <c r="C370" s="795"/>
      <c r="D370" s="796"/>
      <c r="E370" s="680"/>
      <c r="F370" s="797"/>
      <c r="G370" s="797"/>
      <c r="H370" s="797"/>
      <c r="I370" s="797"/>
      <c r="J370" s="797"/>
      <c r="K370" s="797"/>
      <c r="L370" s="797"/>
      <c r="M370" s="797"/>
      <c r="N370" s="797"/>
      <c r="O370" s="797"/>
      <c r="P370" s="797"/>
      <c r="Q370" s="797"/>
      <c r="R370" s="661"/>
      <c r="S370" s="661"/>
      <c r="T370" s="661"/>
      <c r="U370" s="664"/>
      <c r="V370" s="665"/>
      <c r="W370" s="661"/>
      <c r="X370" s="661"/>
      <c r="Y370" s="661"/>
      <c r="Z370" s="661"/>
    </row>
    <row r="371">
      <c r="A371" s="661"/>
      <c r="B371" s="663"/>
      <c r="C371" s="795"/>
      <c r="D371" s="796"/>
      <c r="E371" s="680"/>
      <c r="F371" s="797"/>
      <c r="G371" s="797"/>
      <c r="H371" s="797"/>
      <c r="I371" s="797"/>
      <c r="J371" s="797"/>
      <c r="K371" s="797"/>
      <c r="L371" s="797"/>
      <c r="M371" s="797"/>
      <c r="N371" s="797"/>
      <c r="O371" s="797"/>
      <c r="P371" s="797"/>
      <c r="Q371" s="797"/>
      <c r="R371" s="661"/>
      <c r="S371" s="661"/>
      <c r="T371" s="661"/>
      <c r="U371" s="664"/>
      <c r="V371" s="665"/>
      <c r="W371" s="661"/>
      <c r="X371" s="661"/>
      <c r="Y371" s="661"/>
      <c r="Z371" s="661"/>
    </row>
    <row r="372">
      <c r="A372" s="661"/>
      <c r="B372" s="663"/>
      <c r="C372" s="795"/>
      <c r="D372" s="796"/>
      <c r="E372" s="680"/>
      <c r="F372" s="797"/>
      <c r="G372" s="797"/>
      <c r="H372" s="797"/>
      <c r="I372" s="797"/>
      <c r="J372" s="797"/>
      <c r="K372" s="797"/>
      <c r="L372" s="797"/>
      <c r="M372" s="797"/>
      <c r="N372" s="797"/>
      <c r="O372" s="797"/>
      <c r="P372" s="797"/>
      <c r="Q372" s="797"/>
      <c r="R372" s="661"/>
      <c r="S372" s="661"/>
      <c r="T372" s="661"/>
      <c r="U372" s="664"/>
      <c r="V372" s="665"/>
      <c r="W372" s="661"/>
      <c r="X372" s="661"/>
      <c r="Y372" s="661"/>
      <c r="Z372" s="661"/>
    </row>
    <row r="373">
      <c r="A373" s="661"/>
      <c r="B373" s="663"/>
      <c r="C373" s="795"/>
      <c r="D373" s="796"/>
      <c r="E373" s="680"/>
      <c r="F373" s="797"/>
      <c r="G373" s="797"/>
      <c r="H373" s="797"/>
      <c r="I373" s="797"/>
      <c r="J373" s="797"/>
      <c r="K373" s="797"/>
      <c r="L373" s="797"/>
      <c r="M373" s="797"/>
      <c r="N373" s="797"/>
      <c r="O373" s="797"/>
      <c r="P373" s="797"/>
      <c r="Q373" s="797"/>
      <c r="R373" s="661"/>
      <c r="S373" s="661"/>
      <c r="T373" s="661"/>
      <c r="U373" s="664"/>
      <c r="V373" s="665"/>
      <c r="W373" s="661"/>
      <c r="X373" s="661"/>
      <c r="Y373" s="661"/>
      <c r="Z373" s="661"/>
    </row>
    <row r="374">
      <c r="A374" s="661"/>
      <c r="B374" s="663"/>
      <c r="C374" s="795"/>
      <c r="D374" s="796"/>
      <c r="E374" s="680"/>
      <c r="F374" s="797"/>
      <c r="G374" s="797"/>
      <c r="H374" s="797"/>
      <c r="I374" s="797"/>
      <c r="J374" s="797"/>
      <c r="K374" s="797"/>
      <c r="L374" s="797"/>
      <c r="M374" s="797"/>
      <c r="N374" s="797"/>
      <c r="O374" s="797"/>
      <c r="P374" s="797"/>
      <c r="Q374" s="797"/>
      <c r="R374" s="661"/>
      <c r="S374" s="661"/>
      <c r="T374" s="661"/>
      <c r="U374" s="664"/>
      <c r="V374" s="665"/>
      <c r="W374" s="661"/>
      <c r="X374" s="661"/>
      <c r="Y374" s="661"/>
      <c r="Z374" s="661"/>
    </row>
    <row r="375">
      <c r="A375" s="661"/>
      <c r="B375" s="663"/>
      <c r="C375" s="795"/>
      <c r="D375" s="796"/>
      <c r="E375" s="680"/>
      <c r="F375" s="797"/>
      <c r="G375" s="797"/>
      <c r="H375" s="797"/>
      <c r="I375" s="797"/>
      <c r="J375" s="797"/>
      <c r="K375" s="797"/>
      <c r="L375" s="797"/>
      <c r="M375" s="797"/>
      <c r="N375" s="797"/>
      <c r="O375" s="797"/>
      <c r="P375" s="797"/>
      <c r="Q375" s="797"/>
      <c r="R375" s="661"/>
      <c r="S375" s="661"/>
      <c r="T375" s="661"/>
      <c r="U375" s="664"/>
      <c r="V375" s="665"/>
      <c r="W375" s="661"/>
      <c r="X375" s="661"/>
      <c r="Y375" s="661"/>
      <c r="Z375" s="661"/>
    </row>
    <row r="376">
      <c r="A376" s="661"/>
      <c r="B376" s="663"/>
      <c r="C376" s="795"/>
      <c r="D376" s="796"/>
      <c r="E376" s="680"/>
      <c r="F376" s="797"/>
      <c r="G376" s="797"/>
      <c r="H376" s="797"/>
      <c r="I376" s="797"/>
      <c r="J376" s="797"/>
      <c r="K376" s="797"/>
      <c r="L376" s="797"/>
      <c r="M376" s="797"/>
      <c r="N376" s="797"/>
      <c r="O376" s="797"/>
      <c r="P376" s="797"/>
      <c r="Q376" s="797"/>
      <c r="R376" s="661"/>
      <c r="S376" s="661"/>
      <c r="T376" s="661"/>
      <c r="U376" s="664"/>
      <c r="V376" s="665"/>
      <c r="W376" s="661"/>
      <c r="X376" s="661"/>
      <c r="Y376" s="661"/>
      <c r="Z376" s="661"/>
    </row>
    <row r="377">
      <c r="A377" s="661"/>
      <c r="B377" s="663"/>
      <c r="C377" s="795"/>
      <c r="D377" s="796"/>
      <c r="E377" s="680"/>
      <c r="F377" s="797"/>
      <c r="G377" s="797"/>
      <c r="H377" s="797"/>
      <c r="I377" s="797"/>
      <c r="J377" s="797"/>
      <c r="K377" s="797"/>
      <c r="L377" s="797"/>
      <c r="M377" s="797"/>
      <c r="N377" s="797"/>
      <c r="O377" s="797"/>
      <c r="P377" s="797"/>
      <c r="Q377" s="797"/>
      <c r="R377" s="661"/>
      <c r="S377" s="661"/>
      <c r="T377" s="661"/>
      <c r="U377" s="664"/>
      <c r="V377" s="665"/>
      <c r="W377" s="661"/>
      <c r="X377" s="661"/>
      <c r="Y377" s="661"/>
      <c r="Z377" s="661"/>
    </row>
    <row r="378">
      <c r="A378" s="661"/>
      <c r="B378" s="663"/>
      <c r="C378" s="795"/>
      <c r="D378" s="796"/>
      <c r="E378" s="680"/>
      <c r="F378" s="797"/>
      <c r="G378" s="797"/>
      <c r="H378" s="797"/>
      <c r="I378" s="797"/>
      <c r="J378" s="797"/>
      <c r="K378" s="797"/>
      <c r="L378" s="797"/>
      <c r="M378" s="797"/>
      <c r="N378" s="797"/>
      <c r="O378" s="797"/>
      <c r="P378" s="797"/>
      <c r="Q378" s="797"/>
      <c r="R378" s="661"/>
      <c r="S378" s="661"/>
      <c r="T378" s="661"/>
      <c r="U378" s="664"/>
      <c r="V378" s="665"/>
      <c r="W378" s="661"/>
      <c r="X378" s="661"/>
      <c r="Y378" s="661"/>
      <c r="Z378" s="661"/>
    </row>
    <row r="379">
      <c r="A379" s="661"/>
      <c r="B379" s="663"/>
      <c r="C379" s="795"/>
      <c r="D379" s="796"/>
      <c r="E379" s="680"/>
      <c r="F379" s="797"/>
      <c r="G379" s="797"/>
      <c r="H379" s="797"/>
      <c r="I379" s="797"/>
      <c r="J379" s="797"/>
      <c r="K379" s="797"/>
      <c r="L379" s="797"/>
      <c r="M379" s="797"/>
      <c r="N379" s="797"/>
      <c r="O379" s="797"/>
      <c r="P379" s="797"/>
      <c r="Q379" s="797"/>
      <c r="R379" s="661"/>
      <c r="S379" s="661"/>
      <c r="T379" s="661"/>
      <c r="U379" s="664"/>
      <c r="V379" s="665"/>
      <c r="W379" s="661"/>
      <c r="X379" s="661"/>
      <c r="Y379" s="661"/>
      <c r="Z379" s="661"/>
    </row>
    <row r="380">
      <c r="A380" s="661"/>
      <c r="B380" s="663"/>
      <c r="C380" s="795"/>
      <c r="D380" s="796"/>
      <c r="E380" s="680"/>
      <c r="F380" s="797"/>
      <c r="G380" s="797"/>
      <c r="H380" s="797"/>
      <c r="I380" s="797"/>
      <c r="J380" s="797"/>
      <c r="K380" s="797"/>
      <c r="L380" s="797"/>
      <c r="M380" s="797"/>
      <c r="N380" s="797"/>
      <c r="O380" s="797"/>
      <c r="P380" s="797"/>
      <c r="Q380" s="797"/>
      <c r="R380" s="661"/>
      <c r="S380" s="661"/>
      <c r="T380" s="661"/>
      <c r="U380" s="664"/>
      <c r="V380" s="665"/>
      <c r="W380" s="661"/>
      <c r="X380" s="661"/>
      <c r="Y380" s="661"/>
      <c r="Z380" s="661"/>
    </row>
    <row r="381">
      <c r="A381" s="661"/>
      <c r="B381" s="663"/>
      <c r="C381" s="795"/>
      <c r="D381" s="796"/>
      <c r="E381" s="680"/>
      <c r="F381" s="797"/>
      <c r="G381" s="797"/>
      <c r="H381" s="797"/>
      <c r="I381" s="797"/>
      <c r="J381" s="797"/>
      <c r="K381" s="797"/>
      <c r="L381" s="797"/>
      <c r="M381" s="797"/>
      <c r="N381" s="797"/>
      <c r="O381" s="797"/>
      <c r="P381" s="797"/>
      <c r="Q381" s="797"/>
      <c r="R381" s="661"/>
      <c r="S381" s="661"/>
      <c r="T381" s="661"/>
      <c r="U381" s="664"/>
      <c r="V381" s="665"/>
      <c r="W381" s="661"/>
      <c r="X381" s="661"/>
      <c r="Y381" s="661"/>
      <c r="Z381" s="661"/>
    </row>
    <row r="382">
      <c r="A382" s="661"/>
      <c r="B382" s="663"/>
      <c r="C382" s="795"/>
      <c r="D382" s="796"/>
      <c r="E382" s="680"/>
      <c r="F382" s="797"/>
      <c r="G382" s="797"/>
      <c r="H382" s="797"/>
      <c r="I382" s="797"/>
      <c r="J382" s="797"/>
      <c r="K382" s="797"/>
      <c r="L382" s="797"/>
      <c r="M382" s="797"/>
      <c r="N382" s="797"/>
      <c r="O382" s="797"/>
      <c r="P382" s="797"/>
      <c r="Q382" s="797"/>
      <c r="R382" s="661"/>
      <c r="S382" s="661"/>
      <c r="T382" s="661"/>
      <c r="U382" s="664"/>
      <c r="V382" s="665"/>
      <c r="W382" s="661"/>
      <c r="X382" s="661"/>
      <c r="Y382" s="661"/>
      <c r="Z382" s="661"/>
    </row>
    <row r="383">
      <c r="A383" s="661"/>
      <c r="B383" s="663"/>
      <c r="C383" s="795"/>
      <c r="D383" s="796"/>
      <c r="E383" s="680"/>
      <c r="F383" s="797"/>
      <c r="G383" s="797"/>
      <c r="H383" s="797"/>
      <c r="I383" s="797"/>
      <c r="J383" s="797"/>
      <c r="K383" s="797"/>
      <c r="L383" s="797"/>
      <c r="M383" s="797"/>
      <c r="N383" s="797"/>
      <c r="O383" s="797"/>
      <c r="P383" s="797"/>
      <c r="Q383" s="797"/>
      <c r="R383" s="661"/>
      <c r="S383" s="661"/>
      <c r="T383" s="661"/>
      <c r="U383" s="664"/>
      <c r="V383" s="665"/>
      <c r="W383" s="661"/>
      <c r="X383" s="661"/>
      <c r="Y383" s="661"/>
      <c r="Z383" s="661"/>
    </row>
    <row r="384">
      <c r="A384" s="661"/>
      <c r="B384" s="663"/>
      <c r="C384" s="795"/>
      <c r="D384" s="796"/>
      <c r="E384" s="680"/>
      <c r="F384" s="797"/>
      <c r="G384" s="797"/>
      <c r="H384" s="797"/>
      <c r="I384" s="797"/>
      <c r="J384" s="797"/>
      <c r="K384" s="797"/>
      <c r="L384" s="797"/>
      <c r="M384" s="797"/>
      <c r="N384" s="797"/>
      <c r="O384" s="797"/>
      <c r="P384" s="797"/>
      <c r="Q384" s="797"/>
      <c r="R384" s="661"/>
      <c r="S384" s="661"/>
      <c r="T384" s="661"/>
      <c r="U384" s="664"/>
      <c r="V384" s="665"/>
      <c r="W384" s="661"/>
      <c r="X384" s="661"/>
      <c r="Y384" s="661"/>
      <c r="Z384" s="661"/>
    </row>
    <row r="385">
      <c r="A385" s="661"/>
      <c r="B385" s="663"/>
      <c r="C385" s="795"/>
      <c r="D385" s="796"/>
      <c r="E385" s="680"/>
      <c r="F385" s="797"/>
      <c r="G385" s="797"/>
      <c r="H385" s="797"/>
      <c r="I385" s="797"/>
      <c r="J385" s="797"/>
      <c r="K385" s="797"/>
      <c r="L385" s="797"/>
      <c r="M385" s="797"/>
      <c r="N385" s="797"/>
      <c r="O385" s="797"/>
      <c r="P385" s="797"/>
      <c r="Q385" s="797"/>
      <c r="R385" s="661"/>
      <c r="S385" s="661"/>
      <c r="T385" s="661"/>
      <c r="U385" s="664"/>
      <c r="V385" s="665"/>
      <c r="W385" s="661"/>
      <c r="X385" s="661"/>
      <c r="Y385" s="661"/>
      <c r="Z385" s="661"/>
    </row>
    <row r="386">
      <c r="A386" s="661"/>
      <c r="B386" s="663"/>
      <c r="C386" s="795"/>
      <c r="D386" s="796"/>
      <c r="E386" s="680"/>
      <c r="F386" s="797"/>
      <c r="G386" s="797"/>
      <c r="H386" s="797"/>
      <c r="I386" s="797"/>
      <c r="J386" s="797"/>
      <c r="K386" s="797"/>
      <c r="L386" s="797"/>
      <c r="M386" s="797"/>
      <c r="N386" s="797"/>
      <c r="O386" s="797"/>
      <c r="P386" s="797"/>
      <c r="Q386" s="797"/>
      <c r="R386" s="661"/>
      <c r="S386" s="661"/>
      <c r="T386" s="661"/>
      <c r="U386" s="664"/>
      <c r="V386" s="665"/>
      <c r="W386" s="661"/>
      <c r="X386" s="661"/>
      <c r="Y386" s="661"/>
      <c r="Z386" s="661"/>
    </row>
    <row r="387">
      <c r="A387" s="661"/>
      <c r="B387" s="663"/>
      <c r="C387" s="795"/>
      <c r="D387" s="796"/>
      <c r="E387" s="680"/>
      <c r="F387" s="797"/>
      <c r="G387" s="797"/>
      <c r="H387" s="797"/>
      <c r="I387" s="797"/>
      <c r="J387" s="797"/>
      <c r="K387" s="797"/>
      <c r="L387" s="797"/>
      <c r="M387" s="797"/>
      <c r="N387" s="797"/>
      <c r="O387" s="797"/>
      <c r="P387" s="797"/>
      <c r="Q387" s="797"/>
      <c r="R387" s="661"/>
      <c r="S387" s="661"/>
      <c r="T387" s="661"/>
      <c r="U387" s="664"/>
      <c r="V387" s="665"/>
      <c r="W387" s="661"/>
      <c r="X387" s="661"/>
      <c r="Y387" s="661"/>
      <c r="Z387" s="661"/>
    </row>
    <row r="388">
      <c r="A388" s="661"/>
      <c r="B388" s="663"/>
      <c r="C388" s="795"/>
      <c r="D388" s="796"/>
      <c r="E388" s="680"/>
      <c r="F388" s="797"/>
      <c r="G388" s="797"/>
      <c r="H388" s="797"/>
      <c r="I388" s="797"/>
      <c r="J388" s="797"/>
      <c r="K388" s="797"/>
      <c r="L388" s="797"/>
      <c r="M388" s="797"/>
      <c r="N388" s="797"/>
      <c r="O388" s="797"/>
      <c r="P388" s="797"/>
      <c r="Q388" s="797"/>
      <c r="R388" s="661"/>
      <c r="S388" s="661"/>
      <c r="T388" s="661"/>
      <c r="U388" s="664"/>
      <c r="V388" s="665"/>
      <c r="W388" s="661"/>
      <c r="X388" s="661"/>
      <c r="Y388" s="661"/>
      <c r="Z388" s="661"/>
    </row>
    <row r="389">
      <c r="A389" s="661"/>
      <c r="B389" s="663"/>
      <c r="C389" s="795"/>
      <c r="D389" s="796"/>
      <c r="E389" s="680"/>
      <c r="F389" s="797"/>
      <c r="G389" s="797"/>
      <c r="H389" s="797"/>
      <c r="I389" s="797"/>
      <c r="J389" s="797"/>
      <c r="K389" s="797"/>
      <c r="L389" s="797"/>
      <c r="M389" s="797"/>
      <c r="N389" s="797"/>
      <c r="O389" s="797"/>
      <c r="P389" s="797"/>
      <c r="Q389" s="797"/>
      <c r="R389" s="661"/>
      <c r="S389" s="661"/>
      <c r="T389" s="661"/>
      <c r="U389" s="664"/>
      <c r="V389" s="665"/>
      <c r="W389" s="661"/>
      <c r="X389" s="661"/>
      <c r="Y389" s="661"/>
      <c r="Z389" s="661"/>
    </row>
    <row r="390">
      <c r="A390" s="661"/>
      <c r="B390" s="663"/>
      <c r="C390" s="795"/>
      <c r="D390" s="796"/>
      <c r="E390" s="680"/>
      <c r="F390" s="797"/>
      <c r="G390" s="797"/>
      <c r="H390" s="797"/>
      <c r="I390" s="797"/>
      <c r="J390" s="797"/>
      <c r="K390" s="797"/>
      <c r="L390" s="797"/>
      <c r="M390" s="797"/>
      <c r="N390" s="797"/>
      <c r="O390" s="797"/>
      <c r="P390" s="797"/>
      <c r="Q390" s="797"/>
      <c r="R390" s="661"/>
      <c r="S390" s="661"/>
      <c r="T390" s="661"/>
      <c r="U390" s="664"/>
      <c r="V390" s="665"/>
      <c r="W390" s="661"/>
      <c r="X390" s="661"/>
      <c r="Y390" s="661"/>
      <c r="Z390" s="661"/>
    </row>
    <row r="391">
      <c r="A391" s="661"/>
      <c r="B391" s="663"/>
      <c r="C391" s="795"/>
      <c r="D391" s="796"/>
      <c r="E391" s="680"/>
      <c r="F391" s="797"/>
      <c r="G391" s="797"/>
      <c r="H391" s="797"/>
      <c r="I391" s="797"/>
      <c r="J391" s="797"/>
      <c r="K391" s="797"/>
      <c r="L391" s="797"/>
      <c r="M391" s="797"/>
      <c r="N391" s="797"/>
      <c r="O391" s="797"/>
      <c r="P391" s="797"/>
      <c r="Q391" s="797"/>
      <c r="R391" s="661"/>
      <c r="S391" s="661"/>
      <c r="T391" s="661"/>
      <c r="U391" s="664"/>
      <c r="V391" s="665"/>
      <c r="W391" s="661"/>
      <c r="X391" s="661"/>
      <c r="Y391" s="661"/>
      <c r="Z391" s="661"/>
    </row>
    <row r="392">
      <c r="A392" s="661"/>
      <c r="B392" s="663"/>
      <c r="C392" s="795"/>
      <c r="D392" s="796"/>
      <c r="E392" s="680"/>
      <c r="F392" s="797"/>
      <c r="G392" s="797"/>
      <c r="H392" s="797"/>
      <c r="I392" s="797"/>
      <c r="J392" s="797"/>
      <c r="K392" s="797"/>
      <c r="L392" s="797"/>
      <c r="M392" s="797"/>
      <c r="N392" s="797"/>
      <c r="O392" s="797"/>
      <c r="P392" s="797"/>
      <c r="Q392" s="797"/>
      <c r="R392" s="661"/>
      <c r="S392" s="661"/>
      <c r="T392" s="661"/>
      <c r="U392" s="664"/>
      <c r="V392" s="665"/>
      <c r="W392" s="661"/>
      <c r="X392" s="661"/>
      <c r="Y392" s="661"/>
      <c r="Z392" s="661"/>
    </row>
    <row r="393">
      <c r="A393" s="661"/>
      <c r="B393" s="663"/>
      <c r="C393" s="795"/>
      <c r="D393" s="796"/>
      <c r="E393" s="680"/>
      <c r="F393" s="797"/>
      <c r="G393" s="797"/>
      <c r="H393" s="797"/>
      <c r="I393" s="797"/>
      <c r="J393" s="797"/>
      <c r="K393" s="797"/>
      <c r="L393" s="797"/>
      <c r="M393" s="797"/>
      <c r="N393" s="797"/>
      <c r="O393" s="797"/>
      <c r="P393" s="797"/>
      <c r="Q393" s="797"/>
      <c r="R393" s="661"/>
      <c r="S393" s="661"/>
      <c r="T393" s="661"/>
      <c r="U393" s="664"/>
      <c r="V393" s="665"/>
      <c r="W393" s="661"/>
      <c r="X393" s="661"/>
      <c r="Y393" s="661"/>
      <c r="Z393" s="661"/>
    </row>
    <row r="394">
      <c r="A394" s="661"/>
      <c r="B394" s="663"/>
      <c r="C394" s="795"/>
      <c r="D394" s="796"/>
      <c r="E394" s="680"/>
      <c r="F394" s="797"/>
      <c r="G394" s="797"/>
      <c r="H394" s="797"/>
      <c r="I394" s="797"/>
      <c r="J394" s="797"/>
      <c r="K394" s="797"/>
      <c r="L394" s="797"/>
      <c r="M394" s="797"/>
      <c r="N394" s="797"/>
      <c r="O394" s="797"/>
      <c r="P394" s="797"/>
      <c r="Q394" s="797"/>
      <c r="R394" s="661"/>
      <c r="S394" s="661"/>
      <c r="T394" s="661"/>
      <c r="U394" s="664"/>
      <c r="V394" s="665"/>
      <c r="W394" s="661"/>
      <c r="X394" s="661"/>
      <c r="Y394" s="661"/>
      <c r="Z394" s="661"/>
    </row>
    <row r="395">
      <c r="A395" s="661"/>
      <c r="B395" s="663"/>
      <c r="C395" s="795"/>
      <c r="D395" s="796"/>
      <c r="E395" s="680"/>
      <c r="F395" s="797"/>
      <c r="G395" s="797"/>
      <c r="H395" s="797"/>
      <c r="I395" s="797"/>
      <c r="J395" s="797"/>
      <c r="K395" s="797"/>
      <c r="L395" s="797"/>
      <c r="M395" s="797"/>
      <c r="N395" s="797"/>
      <c r="O395" s="797"/>
      <c r="P395" s="797"/>
      <c r="Q395" s="797"/>
      <c r="R395" s="661"/>
      <c r="S395" s="661"/>
      <c r="T395" s="661"/>
      <c r="U395" s="664"/>
      <c r="V395" s="665"/>
      <c r="W395" s="661"/>
      <c r="X395" s="661"/>
      <c r="Y395" s="661"/>
      <c r="Z395" s="661"/>
    </row>
    <row r="396">
      <c r="A396" s="661"/>
      <c r="B396" s="663"/>
      <c r="C396" s="795"/>
      <c r="D396" s="796"/>
      <c r="E396" s="680"/>
      <c r="F396" s="797"/>
      <c r="G396" s="797"/>
      <c r="H396" s="797"/>
      <c r="I396" s="797"/>
      <c r="J396" s="797"/>
      <c r="K396" s="797"/>
      <c r="L396" s="797"/>
      <c r="M396" s="797"/>
      <c r="N396" s="797"/>
      <c r="O396" s="797"/>
      <c r="P396" s="797"/>
      <c r="Q396" s="797"/>
      <c r="R396" s="661"/>
      <c r="S396" s="661"/>
      <c r="T396" s="661"/>
      <c r="U396" s="664"/>
      <c r="V396" s="665"/>
      <c r="W396" s="661"/>
      <c r="X396" s="661"/>
      <c r="Y396" s="661"/>
      <c r="Z396" s="661"/>
    </row>
    <row r="397">
      <c r="A397" s="661"/>
      <c r="B397" s="663"/>
      <c r="C397" s="795"/>
      <c r="D397" s="796"/>
      <c r="E397" s="680"/>
      <c r="F397" s="797"/>
      <c r="G397" s="797"/>
      <c r="H397" s="797"/>
      <c r="I397" s="797"/>
      <c r="J397" s="797"/>
      <c r="K397" s="797"/>
      <c r="L397" s="797"/>
      <c r="M397" s="797"/>
      <c r="N397" s="797"/>
      <c r="O397" s="797"/>
      <c r="P397" s="797"/>
      <c r="Q397" s="797"/>
      <c r="R397" s="661"/>
      <c r="S397" s="661"/>
      <c r="T397" s="661"/>
      <c r="U397" s="664"/>
      <c r="V397" s="665"/>
      <c r="W397" s="661"/>
      <c r="X397" s="661"/>
      <c r="Y397" s="661"/>
      <c r="Z397" s="661"/>
    </row>
    <row r="398">
      <c r="A398" s="661"/>
      <c r="B398" s="663"/>
      <c r="C398" s="795"/>
      <c r="D398" s="796"/>
      <c r="E398" s="680"/>
      <c r="F398" s="797"/>
      <c r="G398" s="797"/>
      <c r="H398" s="797"/>
      <c r="I398" s="797"/>
      <c r="J398" s="797"/>
      <c r="K398" s="797"/>
      <c r="L398" s="797"/>
      <c r="M398" s="797"/>
      <c r="N398" s="797"/>
      <c r="O398" s="797"/>
      <c r="P398" s="797"/>
      <c r="Q398" s="797"/>
      <c r="R398" s="661"/>
      <c r="S398" s="661"/>
      <c r="T398" s="661"/>
      <c r="U398" s="664"/>
      <c r="V398" s="665"/>
      <c r="W398" s="661"/>
      <c r="X398" s="661"/>
      <c r="Y398" s="661"/>
      <c r="Z398" s="661"/>
    </row>
    <row r="399">
      <c r="A399" s="661"/>
      <c r="B399" s="663"/>
      <c r="C399" s="795"/>
      <c r="D399" s="796"/>
      <c r="E399" s="680"/>
      <c r="F399" s="797"/>
      <c r="G399" s="797"/>
      <c r="H399" s="797"/>
      <c r="I399" s="797"/>
      <c r="J399" s="797"/>
      <c r="K399" s="797"/>
      <c r="L399" s="797"/>
      <c r="M399" s="797"/>
      <c r="N399" s="797"/>
      <c r="O399" s="797"/>
      <c r="P399" s="797"/>
      <c r="Q399" s="797"/>
      <c r="R399" s="661"/>
      <c r="S399" s="661"/>
      <c r="T399" s="661"/>
      <c r="U399" s="664"/>
      <c r="V399" s="665"/>
      <c r="W399" s="661"/>
      <c r="X399" s="661"/>
      <c r="Y399" s="661"/>
      <c r="Z399" s="661"/>
    </row>
    <row r="400">
      <c r="A400" s="661"/>
      <c r="B400" s="663"/>
      <c r="C400" s="795"/>
      <c r="D400" s="796"/>
      <c r="E400" s="680"/>
      <c r="F400" s="797"/>
      <c r="G400" s="797"/>
      <c r="H400" s="797"/>
      <c r="I400" s="797"/>
      <c r="J400" s="797"/>
      <c r="K400" s="797"/>
      <c r="L400" s="797"/>
      <c r="M400" s="797"/>
      <c r="N400" s="797"/>
      <c r="O400" s="797"/>
      <c r="P400" s="797"/>
      <c r="Q400" s="797"/>
      <c r="R400" s="661"/>
      <c r="S400" s="661"/>
      <c r="T400" s="661"/>
      <c r="U400" s="664"/>
      <c r="V400" s="665"/>
      <c r="W400" s="661"/>
      <c r="X400" s="661"/>
      <c r="Y400" s="661"/>
      <c r="Z400" s="661"/>
    </row>
    <row r="401">
      <c r="A401" s="661"/>
      <c r="B401" s="663"/>
      <c r="C401" s="795"/>
      <c r="D401" s="796"/>
      <c r="E401" s="680"/>
      <c r="F401" s="797"/>
      <c r="G401" s="797"/>
      <c r="H401" s="797"/>
      <c r="I401" s="797"/>
      <c r="J401" s="797"/>
      <c r="K401" s="797"/>
      <c r="L401" s="797"/>
      <c r="M401" s="797"/>
      <c r="N401" s="797"/>
      <c r="O401" s="797"/>
      <c r="P401" s="797"/>
      <c r="Q401" s="797"/>
      <c r="R401" s="661"/>
      <c r="S401" s="661"/>
      <c r="T401" s="661"/>
      <c r="U401" s="664"/>
      <c r="V401" s="665"/>
      <c r="W401" s="661"/>
      <c r="X401" s="661"/>
      <c r="Y401" s="661"/>
      <c r="Z401" s="661"/>
    </row>
    <row r="402">
      <c r="A402" s="661"/>
      <c r="B402" s="663"/>
      <c r="C402" s="795"/>
      <c r="D402" s="796"/>
      <c r="E402" s="680"/>
      <c r="F402" s="797"/>
      <c r="G402" s="797"/>
      <c r="H402" s="797"/>
      <c r="I402" s="797"/>
      <c r="J402" s="797"/>
      <c r="K402" s="797"/>
      <c r="L402" s="797"/>
      <c r="M402" s="797"/>
      <c r="N402" s="797"/>
      <c r="O402" s="797"/>
      <c r="P402" s="797"/>
      <c r="Q402" s="797"/>
      <c r="R402" s="661"/>
      <c r="S402" s="661"/>
      <c r="T402" s="661"/>
      <c r="U402" s="664"/>
      <c r="V402" s="665"/>
      <c r="W402" s="661"/>
      <c r="X402" s="661"/>
      <c r="Y402" s="661"/>
      <c r="Z402" s="661"/>
    </row>
    <row r="403">
      <c r="A403" s="661"/>
      <c r="B403" s="663"/>
      <c r="C403" s="795"/>
      <c r="D403" s="796"/>
      <c r="E403" s="680"/>
      <c r="F403" s="797"/>
      <c r="G403" s="797"/>
      <c r="H403" s="797"/>
      <c r="I403" s="797"/>
      <c r="J403" s="797"/>
      <c r="K403" s="797"/>
      <c r="L403" s="797"/>
      <c r="M403" s="797"/>
      <c r="N403" s="797"/>
      <c r="O403" s="797"/>
      <c r="P403" s="797"/>
      <c r="Q403" s="797"/>
      <c r="R403" s="661"/>
      <c r="S403" s="661"/>
      <c r="T403" s="661"/>
      <c r="U403" s="664"/>
      <c r="V403" s="665"/>
      <c r="W403" s="661"/>
      <c r="X403" s="661"/>
      <c r="Y403" s="661"/>
      <c r="Z403" s="661"/>
    </row>
    <row r="404">
      <c r="A404" s="661"/>
      <c r="B404" s="663"/>
      <c r="C404" s="795"/>
      <c r="D404" s="796"/>
      <c r="E404" s="680"/>
      <c r="F404" s="797"/>
      <c r="G404" s="797"/>
      <c r="H404" s="797"/>
      <c r="I404" s="797"/>
      <c r="J404" s="797"/>
      <c r="K404" s="797"/>
      <c r="L404" s="797"/>
      <c r="M404" s="797"/>
      <c r="N404" s="797"/>
      <c r="O404" s="797"/>
      <c r="P404" s="797"/>
      <c r="Q404" s="797"/>
      <c r="R404" s="661"/>
      <c r="S404" s="661"/>
      <c r="T404" s="661"/>
      <c r="U404" s="664"/>
      <c r="V404" s="665"/>
      <c r="W404" s="661"/>
      <c r="X404" s="661"/>
      <c r="Y404" s="661"/>
      <c r="Z404" s="661"/>
    </row>
    <row r="405">
      <c r="A405" s="661"/>
      <c r="B405" s="663"/>
      <c r="C405" s="795"/>
      <c r="D405" s="796"/>
      <c r="E405" s="680"/>
      <c r="F405" s="797"/>
      <c r="G405" s="797"/>
      <c r="H405" s="797"/>
      <c r="I405" s="797"/>
      <c r="J405" s="797"/>
      <c r="K405" s="797"/>
      <c r="L405" s="797"/>
      <c r="M405" s="797"/>
      <c r="N405" s="797"/>
      <c r="O405" s="797"/>
      <c r="P405" s="797"/>
      <c r="Q405" s="797"/>
      <c r="R405" s="661"/>
      <c r="S405" s="661"/>
      <c r="T405" s="661"/>
      <c r="U405" s="664"/>
      <c r="V405" s="665"/>
      <c r="W405" s="661"/>
      <c r="X405" s="661"/>
      <c r="Y405" s="661"/>
      <c r="Z405" s="661"/>
    </row>
    <row r="406">
      <c r="A406" s="661"/>
      <c r="B406" s="663"/>
      <c r="C406" s="795"/>
      <c r="D406" s="796"/>
      <c r="E406" s="680"/>
      <c r="F406" s="797"/>
      <c r="G406" s="797"/>
      <c r="H406" s="797"/>
      <c r="I406" s="797"/>
      <c r="J406" s="797"/>
      <c r="K406" s="797"/>
      <c r="L406" s="797"/>
      <c r="M406" s="797"/>
      <c r="N406" s="797"/>
      <c r="O406" s="797"/>
      <c r="P406" s="797"/>
      <c r="Q406" s="797"/>
      <c r="R406" s="661"/>
      <c r="S406" s="661"/>
      <c r="T406" s="661"/>
      <c r="U406" s="664"/>
      <c r="V406" s="665"/>
      <c r="W406" s="661"/>
      <c r="X406" s="661"/>
      <c r="Y406" s="661"/>
      <c r="Z406" s="661"/>
    </row>
    <row r="407">
      <c r="A407" s="661"/>
      <c r="B407" s="663"/>
      <c r="C407" s="795"/>
      <c r="D407" s="796"/>
      <c r="E407" s="680"/>
      <c r="F407" s="797"/>
      <c r="G407" s="797"/>
      <c r="H407" s="797"/>
      <c r="I407" s="797"/>
      <c r="J407" s="797"/>
      <c r="K407" s="797"/>
      <c r="L407" s="797"/>
      <c r="M407" s="797"/>
      <c r="N407" s="797"/>
      <c r="O407" s="797"/>
      <c r="P407" s="797"/>
      <c r="Q407" s="797"/>
      <c r="R407" s="661"/>
      <c r="S407" s="661"/>
      <c r="T407" s="661"/>
      <c r="U407" s="664"/>
      <c r="V407" s="665"/>
      <c r="W407" s="661"/>
      <c r="X407" s="661"/>
      <c r="Y407" s="661"/>
      <c r="Z407" s="661"/>
    </row>
    <row r="408">
      <c r="A408" s="661"/>
      <c r="B408" s="663"/>
      <c r="C408" s="795"/>
      <c r="D408" s="796"/>
      <c r="E408" s="680"/>
      <c r="F408" s="797"/>
      <c r="G408" s="797"/>
      <c r="H408" s="797"/>
      <c r="I408" s="797"/>
      <c r="J408" s="797"/>
      <c r="K408" s="797"/>
      <c r="L408" s="797"/>
      <c r="M408" s="797"/>
      <c r="N408" s="797"/>
      <c r="O408" s="797"/>
      <c r="P408" s="797"/>
      <c r="Q408" s="797"/>
      <c r="R408" s="661"/>
      <c r="S408" s="661"/>
      <c r="T408" s="661"/>
      <c r="U408" s="664"/>
      <c r="V408" s="665"/>
      <c r="W408" s="661"/>
      <c r="X408" s="661"/>
      <c r="Y408" s="661"/>
      <c r="Z408" s="661"/>
    </row>
    <row r="409">
      <c r="A409" s="661"/>
      <c r="B409" s="663"/>
      <c r="C409" s="795"/>
      <c r="D409" s="796"/>
      <c r="E409" s="680"/>
      <c r="F409" s="797"/>
      <c r="G409" s="797"/>
      <c r="H409" s="797"/>
      <c r="I409" s="797"/>
      <c r="J409" s="797"/>
      <c r="K409" s="797"/>
      <c r="L409" s="797"/>
      <c r="M409" s="797"/>
      <c r="N409" s="797"/>
      <c r="O409" s="797"/>
      <c r="P409" s="797"/>
      <c r="Q409" s="797"/>
      <c r="R409" s="661"/>
      <c r="S409" s="661"/>
      <c r="T409" s="661"/>
      <c r="U409" s="664"/>
      <c r="V409" s="665"/>
      <c r="W409" s="661"/>
      <c r="X409" s="661"/>
      <c r="Y409" s="661"/>
      <c r="Z409" s="661"/>
    </row>
    <row r="410">
      <c r="A410" s="661"/>
      <c r="B410" s="663"/>
      <c r="C410" s="795"/>
      <c r="D410" s="796"/>
      <c r="E410" s="680"/>
      <c r="F410" s="797"/>
      <c r="G410" s="797"/>
      <c r="H410" s="797"/>
      <c r="I410" s="797"/>
      <c r="J410" s="797"/>
      <c r="K410" s="797"/>
      <c r="L410" s="797"/>
      <c r="M410" s="797"/>
      <c r="N410" s="797"/>
      <c r="O410" s="797"/>
      <c r="P410" s="797"/>
      <c r="Q410" s="797"/>
      <c r="R410" s="661"/>
      <c r="S410" s="661"/>
      <c r="T410" s="661"/>
      <c r="U410" s="664"/>
      <c r="V410" s="665"/>
      <c r="W410" s="661"/>
      <c r="X410" s="661"/>
      <c r="Y410" s="661"/>
      <c r="Z410" s="661"/>
    </row>
    <row r="411">
      <c r="A411" s="661"/>
      <c r="B411" s="663"/>
      <c r="C411" s="795"/>
      <c r="D411" s="796"/>
      <c r="E411" s="680"/>
      <c r="F411" s="797"/>
      <c r="G411" s="797"/>
      <c r="H411" s="797"/>
      <c r="I411" s="797"/>
      <c r="J411" s="797"/>
      <c r="K411" s="797"/>
      <c r="L411" s="797"/>
      <c r="M411" s="797"/>
      <c r="N411" s="797"/>
      <c r="O411" s="797"/>
      <c r="P411" s="797"/>
      <c r="Q411" s="797"/>
      <c r="R411" s="661"/>
      <c r="S411" s="661"/>
      <c r="T411" s="661"/>
      <c r="U411" s="664"/>
      <c r="V411" s="665"/>
      <c r="W411" s="661"/>
      <c r="X411" s="661"/>
      <c r="Y411" s="661"/>
      <c r="Z411" s="661"/>
    </row>
    <row r="412">
      <c r="A412" s="661"/>
      <c r="B412" s="663"/>
      <c r="C412" s="795"/>
      <c r="D412" s="796"/>
      <c r="E412" s="680"/>
      <c r="F412" s="797"/>
      <c r="G412" s="797"/>
      <c r="H412" s="797"/>
      <c r="I412" s="797"/>
      <c r="J412" s="797"/>
      <c r="K412" s="797"/>
      <c r="L412" s="797"/>
      <c r="M412" s="797"/>
      <c r="N412" s="797"/>
      <c r="O412" s="797"/>
      <c r="P412" s="797"/>
      <c r="Q412" s="797"/>
      <c r="R412" s="661"/>
      <c r="S412" s="661"/>
      <c r="T412" s="661"/>
      <c r="U412" s="664"/>
      <c r="V412" s="665"/>
      <c r="W412" s="661"/>
      <c r="X412" s="661"/>
      <c r="Y412" s="661"/>
      <c r="Z412" s="661"/>
    </row>
    <row r="413">
      <c r="A413" s="661"/>
      <c r="B413" s="663"/>
      <c r="C413" s="795"/>
      <c r="D413" s="796"/>
      <c r="E413" s="680"/>
      <c r="F413" s="797"/>
      <c r="G413" s="797"/>
      <c r="H413" s="797"/>
      <c r="I413" s="797"/>
      <c r="J413" s="797"/>
      <c r="K413" s="797"/>
      <c r="L413" s="797"/>
      <c r="M413" s="797"/>
      <c r="N413" s="797"/>
      <c r="O413" s="797"/>
      <c r="P413" s="797"/>
      <c r="Q413" s="797"/>
      <c r="R413" s="661"/>
      <c r="S413" s="661"/>
      <c r="T413" s="661"/>
      <c r="U413" s="664"/>
      <c r="V413" s="665"/>
      <c r="W413" s="661"/>
      <c r="X413" s="661"/>
      <c r="Y413" s="661"/>
      <c r="Z413" s="661"/>
    </row>
    <row r="414">
      <c r="A414" s="661"/>
      <c r="B414" s="663"/>
      <c r="C414" s="795"/>
      <c r="D414" s="796"/>
      <c r="E414" s="680"/>
      <c r="F414" s="797"/>
      <c r="G414" s="797"/>
      <c r="H414" s="797"/>
      <c r="I414" s="797"/>
      <c r="J414" s="797"/>
      <c r="K414" s="797"/>
      <c r="L414" s="797"/>
      <c r="M414" s="797"/>
      <c r="N414" s="797"/>
      <c r="O414" s="797"/>
      <c r="P414" s="797"/>
      <c r="Q414" s="797"/>
      <c r="R414" s="661"/>
      <c r="S414" s="661"/>
      <c r="T414" s="661"/>
      <c r="U414" s="664"/>
      <c r="V414" s="665"/>
      <c r="W414" s="661"/>
      <c r="X414" s="661"/>
      <c r="Y414" s="661"/>
      <c r="Z414" s="661"/>
    </row>
    <row r="415">
      <c r="A415" s="661"/>
      <c r="B415" s="663"/>
      <c r="C415" s="795"/>
      <c r="D415" s="796"/>
      <c r="E415" s="680"/>
      <c r="F415" s="797"/>
      <c r="G415" s="797"/>
      <c r="H415" s="797"/>
      <c r="I415" s="797"/>
      <c r="J415" s="797"/>
      <c r="K415" s="797"/>
      <c r="L415" s="797"/>
      <c r="M415" s="797"/>
      <c r="N415" s="797"/>
      <c r="O415" s="797"/>
      <c r="P415" s="797"/>
      <c r="Q415" s="797"/>
      <c r="R415" s="661"/>
      <c r="S415" s="661"/>
      <c r="T415" s="661"/>
      <c r="U415" s="664"/>
      <c r="V415" s="665"/>
      <c r="W415" s="661"/>
      <c r="X415" s="661"/>
      <c r="Y415" s="661"/>
      <c r="Z415" s="661"/>
    </row>
    <row r="416">
      <c r="A416" s="661"/>
      <c r="B416" s="663"/>
      <c r="C416" s="795"/>
      <c r="D416" s="796"/>
      <c r="E416" s="680"/>
      <c r="F416" s="797"/>
      <c r="G416" s="797"/>
      <c r="H416" s="797"/>
      <c r="I416" s="797"/>
      <c r="J416" s="797"/>
      <c r="K416" s="797"/>
      <c r="L416" s="797"/>
      <c r="M416" s="797"/>
      <c r="N416" s="797"/>
      <c r="O416" s="797"/>
      <c r="P416" s="797"/>
      <c r="Q416" s="797"/>
      <c r="R416" s="661"/>
      <c r="S416" s="661"/>
      <c r="T416" s="661"/>
      <c r="U416" s="664"/>
      <c r="V416" s="665"/>
      <c r="W416" s="661"/>
      <c r="X416" s="661"/>
      <c r="Y416" s="661"/>
      <c r="Z416" s="661"/>
    </row>
    <row r="417">
      <c r="A417" s="661"/>
      <c r="B417" s="663"/>
      <c r="C417" s="795"/>
      <c r="D417" s="796"/>
      <c r="E417" s="680"/>
      <c r="F417" s="797"/>
      <c r="G417" s="797"/>
      <c r="H417" s="797"/>
      <c r="I417" s="797"/>
      <c r="J417" s="797"/>
      <c r="K417" s="797"/>
      <c r="L417" s="797"/>
      <c r="M417" s="797"/>
      <c r="N417" s="797"/>
      <c r="O417" s="797"/>
      <c r="P417" s="797"/>
      <c r="Q417" s="797"/>
      <c r="R417" s="661"/>
      <c r="S417" s="661"/>
      <c r="T417" s="661"/>
      <c r="U417" s="664"/>
      <c r="V417" s="665"/>
      <c r="W417" s="661"/>
      <c r="X417" s="661"/>
      <c r="Y417" s="661"/>
      <c r="Z417" s="661"/>
    </row>
    <row r="418">
      <c r="A418" s="661"/>
      <c r="B418" s="663"/>
      <c r="C418" s="795"/>
      <c r="D418" s="796"/>
      <c r="E418" s="680"/>
      <c r="F418" s="797"/>
      <c r="G418" s="797"/>
      <c r="H418" s="797"/>
      <c r="I418" s="797"/>
      <c r="J418" s="797"/>
      <c r="K418" s="797"/>
      <c r="L418" s="797"/>
      <c r="M418" s="797"/>
      <c r="N418" s="797"/>
      <c r="O418" s="797"/>
      <c r="P418" s="797"/>
      <c r="Q418" s="797"/>
      <c r="R418" s="661"/>
      <c r="S418" s="661"/>
      <c r="T418" s="661"/>
      <c r="U418" s="664"/>
      <c r="V418" s="665"/>
      <c r="W418" s="661"/>
      <c r="X418" s="661"/>
      <c r="Y418" s="661"/>
      <c r="Z418" s="661"/>
    </row>
    <row r="419">
      <c r="A419" s="661"/>
      <c r="B419" s="663"/>
      <c r="C419" s="795"/>
      <c r="D419" s="796"/>
      <c r="E419" s="680"/>
      <c r="F419" s="797"/>
      <c r="G419" s="797"/>
      <c r="H419" s="797"/>
      <c r="I419" s="797"/>
      <c r="J419" s="797"/>
      <c r="K419" s="797"/>
      <c r="L419" s="797"/>
      <c r="M419" s="797"/>
      <c r="N419" s="797"/>
      <c r="O419" s="797"/>
      <c r="P419" s="797"/>
      <c r="Q419" s="797"/>
      <c r="R419" s="661"/>
      <c r="S419" s="661"/>
      <c r="T419" s="661"/>
      <c r="U419" s="664"/>
      <c r="V419" s="665"/>
      <c r="W419" s="661"/>
      <c r="X419" s="661"/>
      <c r="Y419" s="661"/>
      <c r="Z419" s="661"/>
    </row>
    <row r="420">
      <c r="A420" s="661"/>
      <c r="B420" s="663"/>
      <c r="C420" s="795"/>
      <c r="D420" s="796"/>
      <c r="E420" s="680"/>
      <c r="F420" s="797"/>
      <c r="G420" s="797"/>
      <c r="H420" s="797"/>
      <c r="I420" s="797"/>
      <c r="J420" s="797"/>
      <c r="K420" s="797"/>
      <c r="L420" s="797"/>
      <c r="M420" s="797"/>
      <c r="N420" s="797"/>
      <c r="O420" s="797"/>
      <c r="P420" s="797"/>
      <c r="Q420" s="797"/>
      <c r="R420" s="661"/>
      <c r="S420" s="661"/>
      <c r="T420" s="661"/>
      <c r="U420" s="664"/>
      <c r="V420" s="665"/>
      <c r="W420" s="661"/>
      <c r="X420" s="661"/>
      <c r="Y420" s="661"/>
      <c r="Z420" s="661"/>
    </row>
    <row r="421">
      <c r="A421" s="661"/>
      <c r="B421" s="663"/>
      <c r="C421" s="795"/>
      <c r="D421" s="796"/>
      <c r="E421" s="680"/>
      <c r="F421" s="797"/>
      <c r="G421" s="797"/>
      <c r="H421" s="797"/>
      <c r="I421" s="797"/>
      <c r="J421" s="797"/>
      <c r="K421" s="797"/>
      <c r="L421" s="797"/>
      <c r="M421" s="797"/>
      <c r="N421" s="797"/>
      <c r="O421" s="797"/>
      <c r="P421" s="797"/>
      <c r="Q421" s="797"/>
      <c r="R421" s="661"/>
      <c r="S421" s="661"/>
      <c r="T421" s="661"/>
      <c r="U421" s="664"/>
      <c r="V421" s="665"/>
      <c r="W421" s="661"/>
      <c r="X421" s="661"/>
      <c r="Y421" s="661"/>
      <c r="Z421" s="661"/>
    </row>
    <row r="422">
      <c r="A422" s="661"/>
      <c r="B422" s="663"/>
      <c r="C422" s="795"/>
      <c r="D422" s="796"/>
      <c r="E422" s="680"/>
      <c r="F422" s="797"/>
      <c r="G422" s="797"/>
      <c r="H422" s="797"/>
      <c r="I422" s="797"/>
      <c r="J422" s="797"/>
      <c r="K422" s="797"/>
      <c r="L422" s="797"/>
      <c r="M422" s="797"/>
      <c r="N422" s="797"/>
      <c r="O422" s="797"/>
      <c r="P422" s="797"/>
      <c r="Q422" s="797"/>
      <c r="R422" s="661"/>
      <c r="S422" s="661"/>
      <c r="T422" s="661"/>
      <c r="U422" s="664"/>
      <c r="V422" s="665"/>
      <c r="W422" s="661"/>
      <c r="X422" s="661"/>
      <c r="Y422" s="661"/>
      <c r="Z422" s="661"/>
    </row>
    <row r="423">
      <c r="A423" s="661"/>
      <c r="B423" s="663"/>
      <c r="C423" s="795"/>
      <c r="D423" s="796"/>
      <c r="E423" s="680"/>
      <c r="F423" s="797"/>
      <c r="G423" s="797"/>
      <c r="H423" s="797"/>
      <c r="I423" s="797"/>
      <c r="J423" s="797"/>
      <c r="K423" s="797"/>
      <c r="L423" s="797"/>
      <c r="M423" s="797"/>
      <c r="N423" s="797"/>
      <c r="O423" s="797"/>
      <c r="P423" s="797"/>
      <c r="Q423" s="797"/>
      <c r="R423" s="661"/>
      <c r="S423" s="661"/>
      <c r="T423" s="661"/>
      <c r="U423" s="664"/>
      <c r="V423" s="665"/>
      <c r="W423" s="661"/>
      <c r="X423" s="661"/>
      <c r="Y423" s="661"/>
      <c r="Z423" s="661"/>
    </row>
    <row r="424">
      <c r="A424" s="661"/>
      <c r="B424" s="663"/>
      <c r="C424" s="795"/>
      <c r="D424" s="796"/>
      <c r="E424" s="680"/>
      <c r="F424" s="797"/>
      <c r="G424" s="797"/>
      <c r="H424" s="797"/>
      <c r="I424" s="797"/>
      <c r="J424" s="797"/>
      <c r="K424" s="797"/>
      <c r="L424" s="797"/>
      <c r="M424" s="797"/>
      <c r="N424" s="797"/>
      <c r="O424" s="797"/>
      <c r="P424" s="797"/>
      <c r="Q424" s="797"/>
      <c r="R424" s="661"/>
      <c r="S424" s="661"/>
      <c r="T424" s="661"/>
      <c r="U424" s="664"/>
      <c r="V424" s="665"/>
      <c r="W424" s="661"/>
      <c r="X424" s="661"/>
      <c r="Y424" s="661"/>
      <c r="Z424" s="661"/>
    </row>
    <row r="425">
      <c r="A425" s="661"/>
      <c r="B425" s="663"/>
      <c r="C425" s="795"/>
      <c r="D425" s="796"/>
      <c r="E425" s="680"/>
      <c r="F425" s="797"/>
      <c r="G425" s="797"/>
      <c r="H425" s="797"/>
      <c r="I425" s="797"/>
      <c r="J425" s="797"/>
      <c r="K425" s="797"/>
      <c r="L425" s="797"/>
      <c r="M425" s="797"/>
      <c r="N425" s="797"/>
      <c r="O425" s="797"/>
      <c r="P425" s="797"/>
      <c r="Q425" s="797"/>
      <c r="R425" s="661"/>
      <c r="S425" s="661"/>
      <c r="T425" s="661"/>
      <c r="U425" s="664"/>
      <c r="V425" s="665"/>
      <c r="W425" s="661"/>
      <c r="X425" s="661"/>
      <c r="Y425" s="661"/>
      <c r="Z425" s="661"/>
    </row>
    <row r="426">
      <c r="A426" s="661"/>
      <c r="B426" s="663"/>
      <c r="C426" s="795"/>
      <c r="D426" s="796"/>
      <c r="E426" s="680"/>
      <c r="F426" s="797"/>
      <c r="G426" s="797"/>
      <c r="H426" s="797"/>
      <c r="I426" s="797"/>
      <c r="J426" s="797"/>
      <c r="K426" s="797"/>
      <c r="L426" s="797"/>
      <c r="M426" s="797"/>
      <c r="N426" s="797"/>
      <c r="O426" s="797"/>
      <c r="P426" s="797"/>
      <c r="Q426" s="797"/>
      <c r="R426" s="661"/>
      <c r="S426" s="661"/>
      <c r="T426" s="661"/>
      <c r="U426" s="664"/>
      <c r="V426" s="665"/>
      <c r="W426" s="661"/>
      <c r="X426" s="661"/>
      <c r="Y426" s="661"/>
      <c r="Z426" s="661"/>
    </row>
    <row r="427">
      <c r="A427" s="661"/>
      <c r="B427" s="663"/>
      <c r="C427" s="795"/>
      <c r="D427" s="796"/>
      <c r="E427" s="680"/>
      <c r="F427" s="797"/>
      <c r="G427" s="797"/>
      <c r="H427" s="797"/>
      <c r="I427" s="797"/>
      <c r="J427" s="797"/>
      <c r="K427" s="797"/>
      <c r="L427" s="797"/>
      <c r="M427" s="797"/>
      <c r="N427" s="797"/>
      <c r="O427" s="797"/>
      <c r="P427" s="797"/>
      <c r="Q427" s="797"/>
      <c r="R427" s="661"/>
      <c r="S427" s="661"/>
      <c r="T427" s="661"/>
      <c r="U427" s="664"/>
      <c r="V427" s="665"/>
      <c r="W427" s="661"/>
      <c r="X427" s="661"/>
      <c r="Y427" s="661"/>
      <c r="Z427" s="661"/>
    </row>
    <row r="428">
      <c r="A428" s="661"/>
      <c r="B428" s="663"/>
      <c r="C428" s="795"/>
      <c r="D428" s="796"/>
      <c r="E428" s="680"/>
      <c r="F428" s="797"/>
      <c r="G428" s="797"/>
      <c r="H428" s="797"/>
      <c r="I428" s="797"/>
      <c r="J428" s="797"/>
      <c r="K428" s="797"/>
      <c r="L428" s="797"/>
      <c r="M428" s="797"/>
      <c r="N428" s="797"/>
      <c r="O428" s="797"/>
      <c r="P428" s="797"/>
      <c r="Q428" s="797"/>
      <c r="R428" s="661"/>
      <c r="S428" s="661"/>
      <c r="T428" s="661"/>
      <c r="U428" s="664"/>
      <c r="V428" s="665"/>
      <c r="W428" s="661"/>
      <c r="X428" s="661"/>
      <c r="Y428" s="661"/>
      <c r="Z428" s="661"/>
    </row>
    <row r="429">
      <c r="A429" s="661"/>
      <c r="B429" s="663"/>
      <c r="C429" s="795"/>
      <c r="D429" s="796"/>
      <c r="E429" s="680"/>
      <c r="F429" s="797"/>
      <c r="G429" s="797"/>
      <c r="H429" s="797"/>
      <c r="I429" s="797"/>
      <c r="J429" s="797"/>
      <c r="K429" s="797"/>
      <c r="L429" s="797"/>
      <c r="M429" s="797"/>
      <c r="N429" s="797"/>
      <c r="O429" s="797"/>
      <c r="P429" s="797"/>
      <c r="Q429" s="797"/>
      <c r="R429" s="661"/>
      <c r="S429" s="661"/>
      <c r="T429" s="661"/>
      <c r="U429" s="664"/>
      <c r="V429" s="665"/>
      <c r="W429" s="661"/>
      <c r="X429" s="661"/>
      <c r="Y429" s="661"/>
      <c r="Z429" s="661"/>
    </row>
    <row r="430">
      <c r="A430" s="661"/>
      <c r="B430" s="663"/>
      <c r="C430" s="795"/>
      <c r="D430" s="796"/>
      <c r="E430" s="680"/>
      <c r="F430" s="797"/>
      <c r="G430" s="797"/>
      <c r="H430" s="797"/>
      <c r="I430" s="797"/>
      <c r="J430" s="797"/>
      <c r="K430" s="797"/>
      <c r="L430" s="797"/>
      <c r="M430" s="797"/>
      <c r="N430" s="797"/>
      <c r="O430" s="797"/>
      <c r="P430" s="797"/>
      <c r="Q430" s="797"/>
      <c r="R430" s="661"/>
      <c r="S430" s="661"/>
      <c r="T430" s="661"/>
      <c r="U430" s="664"/>
      <c r="V430" s="665"/>
      <c r="W430" s="661"/>
      <c r="X430" s="661"/>
      <c r="Y430" s="661"/>
      <c r="Z430" s="661"/>
    </row>
    <row r="431">
      <c r="A431" s="661"/>
      <c r="B431" s="663"/>
      <c r="C431" s="795"/>
      <c r="D431" s="796"/>
      <c r="E431" s="680"/>
      <c r="F431" s="797"/>
      <c r="G431" s="797"/>
      <c r="H431" s="797"/>
      <c r="I431" s="797"/>
      <c r="J431" s="797"/>
      <c r="K431" s="797"/>
      <c r="L431" s="797"/>
      <c r="M431" s="797"/>
      <c r="N431" s="797"/>
      <c r="O431" s="797"/>
      <c r="P431" s="797"/>
      <c r="Q431" s="797"/>
      <c r="R431" s="661"/>
      <c r="S431" s="661"/>
      <c r="T431" s="661"/>
      <c r="U431" s="664"/>
      <c r="V431" s="665"/>
      <c r="W431" s="661"/>
      <c r="X431" s="661"/>
      <c r="Y431" s="661"/>
      <c r="Z431" s="661"/>
    </row>
    <row r="432">
      <c r="A432" s="661"/>
      <c r="B432" s="663"/>
      <c r="C432" s="795"/>
      <c r="D432" s="796"/>
      <c r="E432" s="680"/>
      <c r="F432" s="797"/>
      <c r="G432" s="797"/>
      <c r="H432" s="797"/>
      <c r="I432" s="797"/>
      <c r="J432" s="797"/>
      <c r="K432" s="797"/>
      <c r="L432" s="797"/>
      <c r="M432" s="797"/>
      <c r="N432" s="797"/>
      <c r="O432" s="797"/>
      <c r="P432" s="797"/>
      <c r="Q432" s="797"/>
      <c r="R432" s="661"/>
      <c r="S432" s="661"/>
      <c r="T432" s="661"/>
      <c r="U432" s="664"/>
      <c r="V432" s="665"/>
      <c r="W432" s="661"/>
      <c r="X432" s="661"/>
      <c r="Y432" s="661"/>
      <c r="Z432" s="661"/>
    </row>
    <row r="433">
      <c r="A433" s="661"/>
      <c r="B433" s="663"/>
      <c r="C433" s="795"/>
      <c r="D433" s="796"/>
      <c r="E433" s="680"/>
      <c r="F433" s="797"/>
      <c r="G433" s="797"/>
      <c r="H433" s="797"/>
      <c r="I433" s="797"/>
      <c r="J433" s="797"/>
      <c r="K433" s="797"/>
      <c r="L433" s="797"/>
      <c r="M433" s="797"/>
      <c r="N433" s="797"/>
      <c r="O433" s="797"/>
      <c r="P433" s="797"/>
      <c r="Q433" s="797"/>
      <c r="R433" s="661"/>
      <c r="S433" s="661"/>
      <c r="T433" s="661"/>
      <c r="U433" s="664"/>
      <c r="V433" s="665"/>
      <c r="W433" s="661"/>
      <c r="X433" s="661"/>
      <c r="Y433" s="661"/>
      <c r="Z433" s="661"/>
    </row>
    <row r="434">
      <c r="A434" s="661"/>
      <c r="B434" s="663"/>
      <c r="C434" s="795"/>
      <c r="D434" s="796"/>
      <c r="E434" s="680"/>
      <c r="F434" s="797"/>
      <c r="G434" s="797"/>
      <c r="H434" s="797"/>
      <c r="I434" s="797"/>
      <c r="J434" s="797"/>
      <c r="K434" s="797"/>
      <c r="L434" s="797"/>
      <c r="M434" s="797"/>
      <c r="N434" s="797"/>
      <c r="O434" s="797"/>
      <c r="P434" s="797"/>
      <c r="Q434" s="797"/>
      <c r="R434" s="661"/>
      <c r="S434" s="661"/>
      <c r="T434" s="661"/>
      <c r="U434" s="664"/>
      <c r="V434" s="665"/>
      <c r="W434" s="661"/>
      <c r="X434" s="661"/>
      <c r="Y434" s="661"/>
      <c r="Z434" s="661"/>
    </row>
    <row r="435">
      <c r="A435" s="661"/>
      <c r="B435" s="663"/>
      <c r="C435" s="795"/>
      <c r="D435" s="796"/>
      <c r="E435" s="680"/>
      <c r="F435" s="797"/>
      <c r="G435" s="797"/>
      <c r="H435" s="797"/>
      <c r="I435" s="797"/>
      <c r="J435" s="797"/>
      <c r="K435" s="797"/>
      <c r="L435" s="797"/>
      <c r="M435" s="797"/>
      <c r="N435" s="797"/>
      <c r="O435" s="797"/>
      <c r="P435" s="797"/>
      <c r="Q435" s="797"/>
      <c r="R435" s="661"/>
      <c r="S435" s="661"/>
      <c r="T435" s="661"/>
      <c r="U435" s="664"/>
      <c r="V435" s="665"/>
      <c r="W435" s="661"/>
      <c r="X435" s="661"/>
      <c r="Y435" s="661"/>
      <c r="Z435" s="661"/>
    </row>
    <row r="436">
      <c r="A436" s="661"/>
      <c r="B436" s="663"/>
      <c r="C436" s="795"/>
      <c r="D436" s="796"/>
      <c r="E436" s="680"/>
      <c r="F436" s="797"/>
      <c r="G436" s="797"/>
      <c r="H436" s="797"/>
      <c r="I436" s="797"/>
      <c r="J436" s="797"/>
      <c r="K436" s="797"/>
      <c r="L436" s="797"/>
      <c r="M436" s="797"/>
      <c r="N436" s="797"/>
      <c r="O436" s="797"/>
      <c r="P436" s="797"/>
      <c r="Q436" s="797"/>
      <c r="R436" s="661"/>
      <c r="S436" s="661"/>
      <c r="T436" s="661"/>
      <c r="U436" s="664"/>
      <c r="V436" s="665"/>
      <c r="W436" s="661"/>
      <c r="X436" s="661"/>
      <c r="Y436" s="661"/>
      <c r="Z436" s="661"/>
    </row>
    <row r="437">
      <c r="A437" s="661"/>
      <c r="B437" s="663"/>
      <c r="C437" s="795"/>
      <c r="D437" s="796"/>
      <c r="E437" s="680"/>
      <c r="F437" s="797"/>
      <c r="G437" s="797"/>
      <c r="H437" s="797"/>
      <c r="I437" s="797"/>
      <c r="J437" s="797"/>
      <c r="K437" s="797"/>
      <c r="L437" s="797"/>
      <c r="M437" s="797"/>
      <c r="N437" s="797"/>
      <c r="O437" s="797"/>
      <c r="P437" s="797"/>
      <c r="Q437" s="797"/>
      <c r="R437" s="661"/>
      <c r="S437" s="661"/>
      <c r="T437" s="661"/>
      <c r="U437" s="664"/>
      <c r="V437" s="665"/>
      <c r="W437" s="661"/>
      <c r="X437" s="661"/>
      <c r="Y437" s="661"/>
      <c r="Z437" s="661"/>
    </row>
    <row r="438">
      <c r="A438" s="661"/>
      <c r="B438" s="663"/>
      <c r="C438" s="795"/>
      <c r="D438" s="796"/>
      <c r="E438" s="680"/>
      <c r="F438" s="797"/>
      <c r="G438" s="797"/>
      <c r="H438" s="797"/>
      <c r="I438" s="797"/>
      <c r="J438" s="797"/>
      <c r="K438" s="797"/>
      <c r="L438" s="797"/>
      <c r="M438" s="797"/>
      <c r="N438" s="797"/>
      <c r="O438" s="797"/>
      <c r="P438" s="797"/>
      <c r="Q438" s="797"/>
      <c r="R438" s="661"/>
      <c r="S438" s="661"/>
      <c r="T438" s="661"/>
      <c r="U438" s="664"/>
      <c r="V438" s="665"/>
      <c r="W438" s="661"/>
      <c r="X438" s="661"/>
      <c r="Y438" s="661"/>
      <c r="Z438" s="661"/>
    </row>
    <row r="439">
      <c r="A439" s="661"/>
      <c r="B439" s="663"/>
      <c r="C439" s="795"/>
      <c r="D439" s="796"/>
      <c r="E439" s="680"/>
      <c r="F439" s="797"/>
      <c r="G439" s="797"/>
      <c r="H439" s="797"/>
      <c r="I439" s="797"/>
      <c r="J439" s="797"/>
      <c r="K439" s="797"/>
      <c r="L439" s="797"/>
      <c r="M439" s="797"/>
      <c r="N439" s="797"/>
      <c r="O439" s="797"/>
      <c r="P439" s="797"/>
      <c r="Q439" s="797"/>
      <c r="R439" s="661"/>
      <c r="S439" s="661"/>
      <c r="T439" s="661"/>
      <c r="U439" s="664"/>
      <c r="V439" s="665"/>
      <c r="W439" s="661"/>
      <c r="X439" s="661"/>
      <c r="Y439" s="661"/>
      <c r="Z439" s="661"/>
    </row>
    <row r="440">
      <c r="A440" s="661"/>
      <c r="B440" s="663"/>
      <c r="C440" s="795"/>
      <c r="D440" s="796"/>
      <c r="E440" s="680"/>
      <c r="F440" s="797"/>
      <c r="G440" s="797"/>
      <c r="H440" s="797"/>
      <c r="I440" s="797"/>
      <c r="J440" s="797"/>
      <c r="K440" s="797"/>
      <c r="L440" s="797"/>
      <c r="M440" s="797"/>
      <c r="N440" s="797"/>
      <c r="O440" s="797"/>
      <c r="P440" s="797"/>
      <c r="Q440" s="797"/>
      <c r="R440" s="661"/>
      <c r="S440" s="661"/>
      <c r="T440" s="661"/>
      <c r="U440" s="664"/>
      <c r="V440" s="665"/>
      <c r="W440" s="661"/>
      <c r="X440" s="661"/>
      <c r="Y440" s="661"/>
      <c r="Z440" s="661"/>
    </row>
    <row r="441">
      <c r="A441" s="661"/>
      <c r="B441" s="663"/>
      <c r="C441" s="795"/>
      <c r="D441" s="796"/>
      <c r="E441" s="680"/>
      <c r="F441" s="797"/>
      <c r="G441" s="797"/>
      <c r="H441" s="797"/>
      <c r="I441" s="797"/>
      <c r="J441" s="797"/>
      <c r="K441" s="797"/>
      <c r="L441" s="797"/>
      <c r="M441" s="797"/>
      <c r="N441" s="797"/>
      <c r="O441" s="797"/>
      <c r="P441" s="797"/>
      <c r="Q441" s="797"/>
      <c r="R441" s="661"/>
      <c r="S441" s="661"/>
      <c r="T441" s="661"/>
      <c r="U441" s="664"/>
      <c r="V441" s="665"/>
      <c r="W441" s="661"/>
      <c r="X441" s="661"/>
      <c r="Y441" s="661"/>
      <c r="Z441" s="661"/>
    </row>
    <row r="442">
      <c r="A442" s="661"/>
      <c r="B442" s="663"/>
      <c r="C442" s="795"/>
      <c r="D442" s="796"/>
      <c r="E442" s="680"/>
      <c r="F442" s="797"/>
      <c r="G442" s="797"/>
      <c r="H442" s="797"/>
      <c r="I442" s="797"/>
      <c r="J442" s="797"/>
      <c r="K442" s="797"/>
      <c r="L442" s="797"/>
      <c r="M442" s="797"/>
      <c r="N442" s="797"/>
      <c r="O442" s="797"/>
      <c r="P442" s="797"/>
      <c r="Q442" s="797"/>
      <c r="R442" s="661"/>
      <c r="S442" s="661"/>
      <c r="T442" s="661"/>
      <c r="U442" s="664"/>
      <c r="V442" s="665"/>
      <c r="W442" s="661"/>
      <c r="X442" s="661"/>
      <c r="Y442" s="661"/>
      <c r="Z442" s="661"/>
    </row>
    <row r="443">
      <c r="A443" s="661"/>
      <c r="B443" s="663"/>
      <c r="C443" s="795"/>
      <c r="D443" s="796"/>
      <c r="E443" s="680"/>
      <c r="F443" s="797"/>
      <c r="G443" s="797"/>
      <c r="H443" s="797"/>
      <c r="I443" s="797"/>
      <c r="J443" s="797"/>
      <c r="K443" s="797"/>
      <c r="L443" s="797"/>
      <c r="M443" s="797"/>
      <c r="N443" s="797"/>
      <c r="O443" s="797"/>
      <c r="P443" s="797"/>
      <c r="Q443" s="797"/>
      <c r="R443" s="661"/>
      <c r="S443" s="661"/>
      <c r="T443" s="661"/>
      <c r="U443" s="664"/>
      <c r="V443" s="665"/>
      <c r="W443" s="661"/>
      <c r="X443" s="661"/>
      <c r="Y443" s="661"/>
      <c r="Z443" s="661"/>
    </row>
    <row r="444">
      <c r="A444" s="661"/>
      <c r="B444" s="663"/>
      <c r="C444" s="795"/>
      <c r="D444" s="796"/>
      <c r="E444" s="680"/>
      <c r="F444" s="797"/>
      <c r="G444" s="797"/>
      <c r="H444" s="797"/>
      <c r="I444" s="797"/>
      <c r="J444" s="797"/>
      <c r="K444" s="797"/>
      <c r="L444" s="797"/>
      <c r="M444" s="797"/>
      <c r="N444" s="797"/>
      <c r="O444" s="797"/>
      <c r="P444" s="797"/>
      <c r="Q444" s="797"/>
      <c r="R444" s="661"/>
      <c r="S444" s="661"/>
      <c r="T444" s="661"/>
      <c r="U444" s="664"/>
      <c r="V444" s="665"/>
      <c r="W444" s="661"/>
      <c r="X444" s="661"/>
      <c r="Y444" s="661"/>
      <c r="Z444" s="661"/>
    </row>
    <row r="445">
      <c r="A445" s="661"/>
      <c r="B445" s="663"/>
      <c r="C445" s="795"/>
      <c r="D445" s="796"/>
      <c r="E445" s="680"/>
      <c r="F445" s="797"/>
      <c r="G445" s="797"/>
      <c r="H445" s="797"/>
      <c r="I445" s="797"/>
      <c r="J445" s="797"/>
      <c r="K445" s="797"/>
      <c r="L445" s="797"/>
      <c r="M445" s="797"/>
      <c r="N445" s="797"/>
      <c r="O445" s="797"/>
      <c r="P445" s="797"/>
      <c r="Q445" s="797"/>
      <c r="R445" s="661"/>
      <c r="S445" s="661"/>
      <c r="T445" s="661"/>
      <c r="U445" s="664"/>
      <c r="V445" s="665"/>
      <c r="W445" s="661"/>
      <c r="X445" s="661"/>
      <c r="Y445" s="661"/>
      <c r="Z445" s="661"/>
    </row>
    <row r="446">
      <c r="A446" s="661"/>
      <c r="B446" s="663"/>
      <c r="C446" s="795"/>
      <c r="D446" s="796"/>
      <c r="E446" s="680"/>
      <c r="F446" s="797"/>
      <c r="G446" s="797"/>
      <c r="H446" s="797"/>
      <c r="I446" s="797"/>
      <c r="J446" s="797"/>
      <c r="K446" s="797"/>
      <c r="L446" s="797"/>
      <c r="M446" s="797"/>
      <c r="N446" s="797"/>
      <c r="O446" s="797"/>
      <c r="P446" s="797"/>
      <c r="Q446" s="797"/>
      <c r="R446" s="661"/>
      <c r="S446" s="661"/>
      <c r="T446" s="661"/>
      <c r="U446" s="664"/>
      <c r="V446" s="665"/>
      <c r="W446" s="661"/>
      <c r="X446" s="661"/>
      <c r="Y446" s="661"/>
      <c r="Z446" s="661"/>
    </row>
    <row r="447">
      <c r="A447" s="661"/>
      <c r="B447" s="663"/>
      <c r="C447" s="795"/>
      <c r="D447" s="796"/>
      <c r="E447" s="680"/>
      <c r="F447" s="797"/>
      <c r="G447" s="797"/>
      <c r="H447" s="797"/>
      <c r="I447" s="797"/>
      <c r="J447" s="797"/>
      <c r="K447" s="797"/>
      <c r="L447" s="797"/>
      <c r="M447" s="797"/>
      <c r="N447" s="797"/>
      <c r="O447" s="797"/>
      <c r="P447" s="797"/>
      <c r="Q447" s="797"/>
      <c r="R447" s="661"/>
      <c r="S447" s="661"/>
      <c r="T447" s="661"/>
      <c r="U447" s="664"/>
      <c r="V447" s="665"/>
      <c r="W447" s="661"/>
      <c r="X447" s="661"/>
      <c r="Y447" s="661"/>
      <c r="Z447" s="661"/>
    </row>
    <row r="448">
      <c r="A448" s="661"/>
      <c r="B448" s="663"/>
      <c r="C448" s="795"/>
      <c r="D448" s="796"/>
      <c r="E448" s="680"/>
      <c r="F448" s="797"/>
      <c r="G448" s="797"/>
      <c r="H448" s="797"/>
      <c r="I448" s="797"/>
      <c r="J448" s="797"/>
      <c r="K448" s="797"/>
      <c r="L448" s="797"/>
      <c r="M448" s="797"/>
      <c r="N448" s="797"/>
      <c r="O448" s="797"/>
      <c r="P448" s="797"/>
      <c r="Q448" s="797"/>
      <c r="R448" s="661"/>
      <c r="S448" s="661"/>
      <c r="T448" s="661"/>
      <c r="U448" s="664"/>
      <c r="V448" s="665"/>
      <c r="W448" s="661"/>
      <c r="X448" s="661"/>
      <c r="Y448" s="661"/>
      <c r="Z448" s="661"/>
    </row>
    <row r="449">
      <c r="A449" s="661"/>
      <c r="B449" s="663"/>
      <c r="C449" s="795"/>
      <c r="D449" s="796"/>
      <c r="E449" s="680"/>
      <c r="F449" s="797"/>
      <c r="G449" s="797"/>
      <c r="H449" s="797"/>
      <c r="I449" s="797"/>
      <c r="J449" s="797"/>
      <c r="K449" s="797"/>
      <c r="L449" s="797"/>
      <c r="M449" s="797"/>
      <c r="N449" s="797"/>
      <c r="O449" s="797"/>
      <c r="P449" s="797"/>
      <c r="Q449" s="797"/>
      <c r="R449" s="661"/>
      <c r="S449" s="661"/>
      <c r="T449" s="661"/>
      <c r="U449" s="664"/>
      <c r="V449" s="665"/>
      <c r="W449" s="661"/>
      <c r="X449" s="661"/>
      <c r="Y449" s="661"/>
      <c r="Z449" s="661"/>
    </row>
    <row r="450">
      <c r="A450" s="661"/>
      <c r="B450" s="663"/>
      <c r="C450" s="795"/>
      <c r="D450" s="796"/>
      <c r="E450" s="680"/>
      <c r="F450" s="797"/>
      <c r="G450" s="797"/>
      <c r="H450" s="797"/>
      <c r="I450" s="797"/>
      <c r="J450" s="797"/>
      <c r="K450" s="797"/>
      <c r="L450" s="797"/>
      <c r="M450" s="797"/>
      <c r="N450" s="797"/>
      <c r="O450" s="797"/>
      <c r="P450" s="797"/>
      <c r="Q450" s="797"/>
      <c r="R450" s="661"/>
      <c r="S450" s="661"/>
      <c r="T450" s="661"/>
      <c r="U450" s="664"/>
      <c r="V450" s="665"/>
      <c r="W450" s="661"/>
      <c r="X450" s="661"/>
      <c r="Y450" s="661"/>
      <c r="Z450" s="661"/>
    </row>
    <row r="451">
      <c r="A451" s="661"/>
      <c r="B451" s="663"/>
      <c r="C451" s="795"/>
      <c r="D451" s="796"/>
      <c r="E451" s="680"/>
      <c r="F451" s="797"/>
      <c r="G451" s="797"/>
      <c r="H451" s="797"/>
      <c r="I451" s="797"/>
      <c r="J451" s="797"/>
      <c r="K451" s="797"/>
      <c r="L451" s="797"/>
      <c r="M451" s="797"/>
      <c r="N451" s="797"/>
      <c r="O451" s="797"/>
      <c r="P451" s="797"/>
      <c r="Q451" s="797"/>
      <c r="R451" s="661"/>
      <c r="S451" s="661"/>
      <c r="T451" s="661"/>
      <c r="U451" s="664"/>
      <c r="V451" s="665"/>
      <c r="W451" s="661"/>
      <c r="X451" s="661"/>
      <c r="Y451" s="661"/>
      <c r="Z451" s="661"/>
    </row>
    <row r="452">
      <c r="A452" s="661"/>
      <c r="B452" s="663"/>
      <c r="C452" s="795"/>
      <c r="D452" s="796"/>
      <c r="E452" s="680"/>
      <c r="F452" s="797"/>
      <c r="G452" s="797"/>
      <c r="H452" s="797"/>
      <c r="I452" s="797"/>
      <c r="J452" s="797"/>
      <c r="K452" s="797"/>
      <c r="L452" s="797"/>
      <c r="M452" s="797"/>
      <c r="N452" s="797"/>
      <c r="O452" s="797"/>
      <c r="P452" s="797"/>
      <c r="Q452" s="797"/>
      <c r="R452" s="661"/>
      <c r="S452" s="661"/>
      <c r="T452" s="661"/>
      <c r="U452" s="664"/>
      <c r="V452" s="665"/>
      <c r="W452" s="661"/>
      <c r="X452" s="661"/>
      <c r="Y452" s="661"/>
      <c r="Z452" s="661"/>
    </row>
    <row r="453">
      <c r="A453" s="661"/>
      <c r="B453" s="663"/>
      <c r="C453" s="795"/>
      <c r="D453" s="796"/>
      <c r="E453" s="680"/>
      <c r="F453" s="797"/>
      <c r="G453" s="797"/>
      <c r="H453" s="797"/>
      <c r="I453" s="797"/>
      <c r="J453" s="797"/>
      <c r="K453" s="797"/>
      <c r="L453" s="797"/>
      <c r="M453" s="797"/>
      <c r="N453" s="797"/>
      <c r="O453" s="797"/>
      <c r="P453" s="797"/>
      <c r="Q453" s="797"/>
      <c r="R453" s="661"/>
      <c r="S453" s="661"/>
      <c r="T453" s="661"/>
      <c r="U453" s="664"/>
      <c r="V453" s="665"/>
      <c r="W453" s="661"/>
      <c r="X453" s="661"/>
      <c r="Y453" s="661"/>
      <c r="Z453" s="661"/>
    </row>
    <row r="454">
      <c r="A454" s="661"/>
      <c r="B454" s="663"/>
      <c r="C454" s="795"/>
      <c r="D454" s="796"/>
      <c r="E454" s="680"/>
      <c r="F454" s="797"/>
      <c r="G454" s="797"/>
      <c r="H454" s="797"/>
      <c r="I454" s="797"/>
      <c r="J454" s="797"/>
      <c r="K454" s="797"/>
      <c r="L454" s="797"/>
      <c r="M454" s="797"/>
      <c r="N454" s="797"/>
      <c r="O454" s="797"/>
      <c r="P454" s="797"/>
      <c r="Q454" s="797"/>
      <c r="R454" s="661"/>
      <c r="S454" s="661"/>
      <c r="T454" s="661"/>
      <c r="U454" s="664"/>
      <c r="V454" s="665"/>
      <c r="W454" s="661"/>
      <c r="X454" s="661"/>
      <c r="Y454" s="661"/>
      <c r="Z454" s="661"/>
    </row>
    <row r="455">
      <c r="A455" s="661"/>
      <c r="B455" s="663"/>
      <c r="C455" s="795"/>
      <c r="D455" s="796"/>
      <c r="E455" s="680"/>
      <c r="F455" s="797"/>
      <c r="G455" s="797"/>
      <c r="H455" s="797"/>
      <c r="I455" s="797"/>
      <c r="J455" s="797"/>
      <c r="K455" s="797"/>
      <c r="L455" s="797"/>
      <c r="M455" s="797"/>
      <c r="N455" s="797"/>
      <c r="O455" s="797"/>
      <c r="P455" s="797"/>
      <c r="Q455" s="797"/>
      <c r="R455" s="661"/>
      <c r="S455" s="661"/>
      <c r="T455" s="661"/>
      <c r="U455" s="664"/>
      <c r="V455" s="665"/>
      <c r="W455" s="661"/>
      <c r="X455" s="661"/>
      <c r="Y455" s="661"/>
      <c r="Z455" s="661"/>
    </row>
    <row r="456">
      <c r="A456" s="661"/>
      <c r="B456" s="663"/>
      <c r="C456" s="795"/>
      <c r="D456" s="796"/>
      <c r="E456" s="680"/>
      <c r="F456" s="797"/>
      <c r="G456" s="797"/>
      <c r="H456" s="797"/>
      <c r="I456" s="797"/>
      <c r="J456" s="797"/>
      <c r="K456" s="797"/>
      <c r="L456" s="797"/>
      <c r="M456" s="797"/>
      <c r="N456" s="797"/>
      <c r="O456" s="797"/>
      <c r="P456" s="797"/>
      <c r="Q456" s="797"/>
      <c r="R456" s="661"/>
      <c r="S456" s="661"/>
      <c r="T456" s="661"/>
      <c r="U456" s="664"/>
      <c r="V456" s="665"/>
      <c r="W456" s="661"/>
      <c r="X456" s="661"/>
      <c r="Y456" s="661"/>
      <c r="Z456" s="661"/>
    </row>
    <row r="457">
      <c r="A457" s="661"/>
      <c r="B457" s="663"/>
      <c r="C457" s="795"/>
      <c r="D457" s="796"/>
      <c r="E457" s="680"/>
      <c r="F457" s="797"/>
      <c r="G457" s="797"/>
      <c r="H457" s="797"/>
      <c r="I457" s="797"/>
      <c r="J457" s="797"/>
      <c r="K457" s="797"/>
      <c r="L457" s="797"/>
      <c r="M457" s="797"/>
      <c r="N457" s="797"/>
      <c r="O457" s="797"/>
      <c r="P457" s="797"/>
      <c r="Q457" s="797"/>
      <c r="R457" s="661"/>
      <c r="S457" s="661"/>
      <c r="T457" s="661"/>
      <c r="U457" s="664"/>
      <c r="V457" s="665"/>
      <c r="W457" s="661"/>
      <c r="X457" s="661"/>
      <c r="Y457" s="661"/>
      <c r="Z457" s="661"/>
    </row>
    <row r="458">
      <c r="A458" s="661"/>
      <c r="B458" s="663"/>
      <c r="C458" s="795"/>
      <c r="D458" s="796"/>
      <c r="E458" s="680"/>
      <c r="F458" s="797"/>
      <c r="G458" s="797"/>
      <c r="H458" s="797"/>
      <c r="I458" s="797"/>
      <c r="J458" s="797"/>
      <c r="K458" s="797"/>
      <c r="L458" s="797"/>
      <c r="M458" s="797"/>
      <c r="N458" s="797"/>
      <c r="O458" s="797"/>
      <c r="P458" s="797"/>
      <c r="Q458" s="797"/>
      <c r="R458" s="661"/>
      <c r="S458" s="661"/>
      <c r="T458" s="661"/>
      <c r="U458" s="664"/>
      <c r="V458" s="665"/>
      <c r="W458" s="661"/>
      <c r="X458" s="661"/>
      <c r="Y458" s="661"/>
      <c r="Z458" s="661"/>
    </row>
    <row r="459">
      <c r="A459" s="661"/>
      <c r="B459" s="663"/>
      <c r="C459" s="795"/>
      <c r="D459" s="796"/>
      <c r="E459" s="680"/>
      <c r="F459" s="797"/>
      <c r="G459" s="797"/>
      <c r="H459" s="797"/>
      <c r="I459" s="797"/>
      <c r="J459" s="797"/>
      <c r="K459" s="797"/>
      <c r="L459" s="797"/>
      <c r="M459" s="797"/>
      <c r="N459" s="797"/>
      <c r="O459" s="797"/>
      <c r="P459" s="797"/>
      <c r="Q459" s="797"/>
      <c r="R459" s="661"/>
      <c r="S459" s="661"/>
      <c r="T459" s="661"/>
      <c r="U459" s="664"/>
      <c r="V459" s="665"/>
      <c r="W459" s="661"/>
      <c r="X459" s="661"/>
      <c r="Y459" s="661"/>
      <c r="Z459" s="661"/>
    </row>
    <row r="460">
      <c r="A460" s="661"/>
      <c r="B460" s="663"/>
      <c r="C460" s="795"/>
      <c r="D460" s="796"/>
      <c r="E460" s="680"/>
      <c r="F460" s="797"/>
      <c r="G460" s="797"/>
      <c r="H460" s="797"/>
      <c r="I460" s="797"/>
      <c r="J460" s="797"/>
      <c r="K460" s="797"/>
      <c r="L460" s="797"/>
      <c r="M460" s="797"/>
      <c r="N460" s="797"/>
      <c r="O460" s="797"/>
      <c r="P460" s="797"/>
      <c r="Q460" s="797"/>
      <c r="R460" s="661"/>
      <c r="S460" s="661"/>
      <c r="T460" s="661"/>
      <c r="U460" s="664"/>
      <c r="V460" s="665"/>
      <c r="W460" s="661"/>
      <c r="X460" s="661"/>
      <c r="Y460" s="661"/>
      <c r="Z460" s="661"/>
    </row>
    <row r="461">
      <c r="A461" s="661"/>
      <c r="B461" s="663"/>
      <c r="C461" s="795"/>
      <c r="D461" s="796"/>
      <c r="E461" s="680"/>
      <c r="F461" s="797"/>
      <c r="G461" s="797"/>
      <c r="H461" s="797"/>
      <c r="I461" s="797"/>
      <c r="J461" s="797"/>
      <c r="K461" s="797"/>
      <c r="L461" s="797"/>
      <c r="M461" s="797"/>
      <c r="N461" s="797"/>
      <c r="O461" s="797"/>
      <c r="P461" s="797"/>
      <c r="Q461" s="797"/>
      <c r="R461" s="661"/>
      <c r="S461" s="661"/>
      <c r="T461" s="661"/>
      <c r="U461" s="664"/>
      <c r="V461" s="665"/>
      <c r="W461" s="661"/>
      <c r="X461" s="661"/>
      <c r="Y461" s="661"/>
      <c r="Z461" s="661"/>
    </row>
    <row r="462">
      <c r="A462" s="661"/>
      <c r="B462" s="663"/>
      <c r="C462" s="795"/>
      <c r="D462" s="796"/>
      <c r="E462" s="680"/>
      <c r="F462" s="797"/>
      <c r="G462" s="797"/>
      <c r="H462" s="797"/>
      <c r="I462" s="797"/>
      <c r="J462" s="797"/>
      <c r="K462" s="797"/>
      <c r="L462" s="797"/>
      <c r="M462" s="797"/>
      <c r="N462" s="797"/>
      <c r="O462" s="797"/>
      <c r="P462" s="797"/>
      <c r="Q462" s="797"/>
      <c r="R462" s="661"/>
      <c r="S462" s="661"/>
      <c r="T462" s="661"/>
      <c r="U462" s="664"/>
      <c r="V462" s="665"/>
      <c r="W462" s="661"/>
      <c r="X462" s="661"/>
      <c r="Y462" s="661"/>
      <c r="Z462" s="661"/>
    </row>
    <row r="463">
      <c r="A463" s="661"/>
      <c r="B463" s="663"/>
      <c r="C463" s="795"/>
      <c r="D463" s="796"/>
      <c r="E463" s="680"/>
      <c r="F463" s="797"/>
      <c r="G463" s="797"/>
      <c r="H463" s="797"/>
      <c r="I463" s="797"/>
      <c r="J463" s="797"/>
      <c r="K463" s="797"/>
      <c r="L463" s="797"/>
      <c r="M463" s="797"/>
      <c r="N463" s="797"/>
      <c r="O463" s="797"/>
      <c r="P463" s="797"/>
      <c r="Q463" s="797"/>
      <c r="R463" s="661"/>
      <c r="S463" s="661"/>
      <c r="T463" s="661"/>
      <c r="U463" s="664"/>
      <c r="V463" s="665"/>
      <c r="W463" s="661"/>
      <c r="X463" s="661"/>
      <c r="Y463" s="661"/>
      <c r="Z463" s="661"/>
    </row>
    <row r="464">
      <c r="A464" s="661"/>
      <c r="B464" s="663"/>
      <c r="C464" s="795"/>
      <c r="D464" s="796"/>
      <c r="E464" s="680"/>
      <c r="F464" s="797"/>
      <c r="G464" s="797"/>
      <c r="H464" s="797"/>
      <c r="I464" s="797"/>
      <c r="J464" s="797"/>
      <c r="K464" s="797"/>
      <c r="L464" s="797"/>
      <c r="M464" s="797"/>
      <c r="N464" s="797"/>
      <c r="O464" s="797"/>
      <c r="P464" s="797"/>
      <c r="Q464" s="797"/>
      <c r="R464" s="661"/>
      <c r="S464" s="661"/>
      <c r="T464" s="661"/>
      <c r="U464" s="664"/>
      <c r="V464" s="665"/>
      <c r="W464" s="661"/>
      <c r="X464" s="661"/>
      <c r="Y464" s="661"/>
      <c r="Z464" s="661"/>
    </row>
    <row r="465">
      <c r="A465" s="661"/>
      <c r="B465" s="663"/>
      <c r="C465" s="795"/>
      <c r="D465" s="796"/>
      <c r="E465" s="680"/>
      <c r="F465" s="797"/>
      <c r="G465" s="797"/>
      <c r="H465" s="797"/>
      <c r="I465" s="797"/>
      <c r="J465" s="797"/>
      <c r="K465" s="797"/>
      <c r="L465" s="797"/>
      <c r="M465" s="797"/>
      <c r="N465" s="797"/>
      <c r="O465" s="797"/>
      <c r="P465" s="797"/>
      <c r="Q465" s="797"/>
      <c r="R465" s="661"/>
      <c r="S465" s="661"/>
      <c r="T465" s="661"/>
      <c r="U465" s="664"/>
      <c r="V465" s="665"/>
      <c r="W465" s="661"/>
      <c r="X465" s="661"/>
      <c r="Y465" s="661"/>
      <c r="Z465" s="661"/>
    </row>
    <row r="466">
      <c r="A466" s="661"/>
      <c r="B466" s="663"/>
      <c r="C466" s="795"/>
      <c r="D466" s="796"/>
      <c r="E466" s="680"/>
      <c r="F466" s="797"/>
      <c r="G466" s="797"/>
      <c r="H466" s="797"/>
      <c r="I466" s="797"/>
      <c r="J466" s="797"/>
      <c r="K466" s="797"/>
      <c r="L466" s="797"/>
      <c r="M466" s="797"/>
      <c r="N466" s="797"/>
      <c r="O466" s="797"/>
      <c r="P466" s="797"/>
      <c r="Q466" s="797"/>
      <c r="R466" s="661"/>
      <c r="S466" s="661"/>
      <c r="T466" s="661"/>
      <c r="U466" s="664"/>
      <c r="V466" s="665"/>
      <c r="W466" s="661"/>
      <c r="X466" s="661"/>
      <c r="Y466" s="661"/>
      <c r="Z466" s="661"/>
    </row>
    <row r="467">
      <c r="A467" s="661"/>
      <c r="B467" s="663"/>
      <c r="C467" s="795"/>
      <c r="D467" s="796"/>
      <c r="E467" s="680"/>
      <c r="F467" s="797"/>
      <c r="G467" s="797"/>
      <c r="H467" s="797"/>
      <c r="I467" s="797"/>
      <c r="J467" s="797"/>
      <c r="K467" s="797"/>
      <c r="L467" s="797"/>
      <c r="M467" s="797"/>
      <c r="N467" s="797"/>
      <c r="O467" s="797"/>
      <c r="P467" s="797"/>
      <c r="Q467" s="797"/>
      <c r="R467" s="661"/>
      <c r="S467" s="661"/>
      <c r="T467" s="661"/>
      <c r="U467" s="664"/>
      <c r="V467" s="665"/>
      <c r="W467" s="661"/>
      <c r="X467" s="661"/>
      <c r="Y467" s="661"/>
      <c r="Z467" s="661"/>
    </row>
    <row r="468">
      <c r="A468" s="661"/>
      <c r="B468" s="663"/>
      <c r="C468" s="795"/>
      <c r="D468" s="796"/>
      <c r="E468" s="680"/>
      <c r="F468" s="797"/>
      <c r="G468" s="797"/>
      <c r="H468" s="797"/>
      <c r="I468" s="797"/>
      <c r="J468" s="797"/>
      <c r="K468" s="797"/>
      <c r="L468" s="797"/>
      <c r="M468" s="797"/>
      <c r="N468" s="797"/>
      <c r="O468" s="797"/>
      <c r="P468" s="797"/>
      <c r="Q468" s="797"/>
      <c r="R468" s="661"/>
      <c r="S468" s="661"/>
      <c r="T468" s="661"/>
      <c r="U468" s="664"/>
      <c r="V468" s="665"/>
      <c r="W468" s="661"/>
      <c r="X468" s="661"/>
      <c r="Y468" s="661"/>
      <c r="Z468" s="661"/>
    </row>
    <row r="469">
      <c r="A469" s="661"/>
      <c r="B469" s="663"/>
      <c r="C469" s="795"/>
      <c r="D469" s="796"/>
      <c r="E469" s="680"/>
      <c r="F469" s="797"/>
      <c r="G469" s="797"/>
      <c r="H469" s="797"/>
      <c r="I469" s="797"/>
      <c r="J469" s="797"/>
      <c r="K469" s="797"/>
      <c r="L469" s="797"/>
      <c r="M469" s="797"/>
      <c r="N469" s="797"/>
      <c r="O469" s="797"/>
      <c r="P469" s="797"/>
      <c r="Q469" s="797"/>
      <c r="R469" s="661"/>
      <c r="S469" s="661"/>
      <c r="T469" s="661"/>
      <c r="U469" s="664"/>
      <c r="V469" s="665"/>
      <c r="W469" s="661"/>
      <c r="X469" s="661"/>
      <c r="Y469" s="661"/>
      <c r="Z469" s="661"/>
    </row>
    <row r="470">
      <c r="A470" s="661"/>
      <c r="B470" s="663"/>
      <c r="C470" s="795"/>
      <c r="D470" s="796"/>
      <c r="E470" s="680"/>
      <c r="F470" s="797"/>
      <c r="G470" s="797"/>
      <c r="H470" s="797"/>
      <c r="I470" s="797"/>
      <c r="J470" s="797"/>
      <c r="K470" s="797"/>
      <c r="L470" s="797"/>
      <c r="M470" s="797"/>
      <c r="N470" s="797"/>
      <c r="O470" s="797"/>
      <c r="P470" s="797"/>
      <c r="Q470" s="797"/>
      <c r="R470" s="661"/>
      <c r="S470" s="661"/>
      <c r="T470" s="661"/>
      <c r="U470" s="664"/>
      <c r="V470" s="665"/>
      <c r="W470" s="661"/>
      <c r="X470" s="661"/>
      <c r="Y470" s="661"/>
      <c r="Z470" s="661"/>
    </row>
    <row r="471">
      <c r="A471" s="661"/>
      <c r="B471" s="663"/>
      <c r="C471" s="795"/>
      <c r="D471" s="796"/>
      <c r="E471" s="680"/>
      <c r="F471" s="797"/>
      <c r="G471" s="797"/>
      <c r="H471" s="797"/>
      <c r="I471" s="797"/>
      <c r="J471" s="797"/>
      <c r="K471" s="797"/>
      <c r="L471" s="797"/>
      <c r="M471" s="797"/>
      <c r="N471" s="797"/>
      <c r="O471" s="797"/>
      <c r="P471" s="797"/>
      <c r="Q471" s="797"/>
      <c r="R471" s="661"/>
      <c r="S471" s="661"/>
      <c r="T471" s="661"/>
      <c r="U471" s="664"/>
      <c r="V471" s="665"/>
      <c r="W471" s="661"/>
      <c r="X471" s="661"/>
      <c r="Y471" s="661"/>
      <c r="Z471" s="661"/>
    </row>
    <row r="472">
      <c r="A472" s="661"/>
      <c r="B472" s="663"/>
      <c r="C472" s="795"/>
      <c r="D472" s="796"/>
      <c r="E472" s="680"/>
      <c r="F472" s="797"/>
      <c r="G472" s="797"/>
      <c r="H472" s="797"/>
      <c r="I472" s="797"/>
      <c r="J472" s="797"/>
      <c r="K472" s="797"/>
      <c r="L472" s="797"/>
      <c r="M472" s="797"/>
      <c r="N472" s="797"/>
      <c r="O472" s="797"/>
      <c r="P472" s="797"/>
      <c r="Q472" s="797"/>
      <c r="R472" s="661"/>
      <c r="S472" s="661"/>
      <c r="T472" s="661"/>
      <c r="U472" s="664"/>
      <c r="V472" s="665"/>
      <c r="W472" s="661"/>
      <c r="X472" s="661"/>
      <c r="Y472" s="661"/>
      <c r="Z472" s="661"/>
    </row>
    <row r="473">
      <c r="A473" s="661"/>
      <c r="B473" s="663"/>
      <c r="C473" s="795"/>
      <c r="D473" s="796"/>
      <c r="E473" s="680"/>
      <c r="F473" s="797"/>
      <c r="G473" s="797"/>
      <c r="H473" s="797"/>
      <c r="I473" s="797"/>
      <c r="J473" s="797"/>
      <c r="K473" s="797"/>
      <c r="L473" s="797"/>
      <c r="M473" s="797"/>
      <c r="N473" s="797"/>
      <c r="O473" s="797"/>
      <c r="P473" s="797"/>
      <c r="Q473" s="797"/>
      <c r="R473" s="661"/>
      <c r="S473" s="661"/>
      <c r="T473" s="661"/>
      <c r="U473" s="664"/>
      <c r="V473" s="665"/>
      <c r="W473" s="661"/>
      <c r="X473" s="661"/>
      <c r="Y473" s="661"/>
      <c r="Z473" s="661"/>
    </row>
    <row r="474">
      <c r="A474" s="661"/>
      <c r="B474" s="663"/>
      <c r="C474" s="795"/>
      <c r="D474" s="796"/>
      <c r="E474" s="680"/>
      <c r="F474" s="797"/>
      <c r="G474" s="797"/>
      <c r="H474" s="797"/>
      <c r="I474" s="797"/>
      <c r="J474" s="797"/>
      <c r="K474" s="797"/>
      <c r="L474" s="797"/>
      <c r="M474" s="797"/>
      <c r="N474" s="797"/>
      <c r="O474" s="797"/>
      <c r="P474" s="797"/>
      <c r="Q474" s="797"/>
      <c r="R474" s="661"/>
      <c r="S474" s="661"/>
      <c r="T474" s="661"/>
      <c r="U474" s="664"/>
      <c r="V474" s="665"/>
      <c r="W474" s="661"/>
      <c r="X474" s="661"/>
      <c r="Y474" s="661"/>
      <c r="Z474" s="661"/>
    </row>
    <row r="475">
      <c r="A475" s="661"/>
      <c r="B475" s="663"/>
      <c r="C475" s="795"/>
      <c r="D475" s="796"/>
      <c r="E475" s="680"/>
      <c r="F475" s="797"/>
      <c r="G475" s="797"/>
      <c r="H475" s="797"/>
      <c r="I475" s="797"/>
      <c r="J475" s="797"/>
      <c r="K475" s="797"/>
      <c r="L475" s="797"/>
      <c r="M475" s="797"/>
      <c r="N475" s="797"/>
      <c r="O475" s="797"/>
      <c r="P475" s="797"/>
      <c r="Q475" s="797"/>
      <c r="R475" s="661"/>
      <c r="S475" s="661"/>
      <c r="T475" s="661"/>
      <c r="U475" s="664"/>
      <c r="V475" s="665"/>
      <c r="W475" s="661"/>
      <c r="X475" s="661"/>
      <c r="Y475" s="661"/>
      <c r="Z475" s="661"/>
    </row>
    <row r="476">
      <c r="A476" s="661"/>
      <c r="B476" s="663"/>
      <c r="C476" s="795"/>
      <c r="D476" s="796"/>
      <c r="E476" s="680"/>
      <c r="F476" s="797"/>
      <c r="G476" s="797"/>
      <c r="H476" s="797"/>
      <c r="I476" s="797"/>
      <c r="J476" s="797"/>
      <c r="K476" s="797"/>
      <c r="L476" s="797"/>
      <c r="M476" s="797"/>
      <c r="N476" s="797"/>
      <c r="O476" s="797"/>
      <c r="P476" s="797"/>
      <c r="Q476" s="797"/>
      <c r="R476" s="661"/>
      <c r="S476" s="661"/>
      <c r="T476" s="661"/>
      <c r="U476" s="664"/>
      <c r="V476" s="665"/>
      <c r="W476" s="661"/>
      <c r="X476" s="661"/>
      <c r="Y476" s="661"/>
      <c r="Z476" s="661"/>
    </row>
    <row r="477">
      <c r="A477" s="661"/>
      <c r="B477" s="663"/>
      <c r="C477" s="795"/>
      <c r="D477" s="796"/>
      <c r="E477" s="680"/>
      <c r="F477" s="797"/>
      <c r="G477" s="797"/>
      <c r="H477" s="797"/>
      <c r="I477" s="797"/>
      <c r="J477" s="797"/>
      <c r="K477" s="797"/>
      <c r="L477" s="797"/>
      <c r="M477" s="797"/>
      <c r="N477" s="797"/>
      <c r="O477" s="797"/>
      <c r="P477" s="797"/>
      <c r="Q477" s="797"/>
      <c r="R477" s="661"/>
      <c r="S477" s="661"/>
      <c r="T477" s="661"/>
      <c r="U477" s="664"/>
      <c r="V477" s="665"/>
      <c r="W477" s="661"/>
      <c r="X477" s="661"/>
      <c r="Y477" s="661"/>
      <c r="Z477" s="661"/>
    </row>
    <row r="478">
      <c r="A478" s="661"/>
      <c r="B478" s="663"/>
      <c r="C478" s="795"/>
      <c r="D478" s="796"/>
      <c r="E478" s="680"/>
      <c r="F478" s="797"/>
      <c r="G478" s="797"/>
      <c r="H478" s="797"/>
      <c r="I478" s="797"/>
      <c r="J478" s="797"/>
      <c r="K478" s="797"/>
      <c r="L478" s="797"/>
      <c r="M478" s="797"/>
      <c r="N478" s="797"/>
      <c r="O478" s="797"/>
      <c r="P478" s="797"/>
      <c r="Q478" s="797"/>
      <c r="R478" s="661"/>
      <c r="S478" s="661"/>
      <c r="T478" s="661"/>
      <c r="U478" s="664"/>
      <c r="V478" s="665"/>
      <c r="W478" s="661"/>
      <c r="X478" s="661"/>
      <c r="Y478" s="661"/>
      <c r="Z478" s="661"/>
    </row>
    <row r="479">
      <c r="A479" s="661"/>
      <c r="B479" s="663"/>
      <c r="C479" s="795"/>
      <c r="D479" s="796"/>
      <c r="E479" s="680"/>
      <c r="F479" s="797"/>
      <c r="G479" s="797"/>
      <c r="H479" s="797"/>
      <c r="I479" s="797"/>
      <c r="J479" s="797"/>
      <c r="K479" s="797"/>
      <c r="L479" s="797"/>
      <c r="M479" s="797"/>
      <c r="N479" s="797"/>
      <c r="O479" s="797"/>
      <c r="P479" s="797"/>
      <c r="Q479" s="797"/>
      <c r="R479" s="661"/>
      <c r="S479" s="661"/>
      <c r="T479" s="661"/>
      <c r="U479" s="664"/>
      <c r="V479" s="665"/>
      <c r="W479" s="661"/>
      <c r="X479" s="661"/>
      <c r="Y479" s="661"/>
      <c r="Z479" s="661"/>
    </row>
    <row r="480">
      <c r="A480" s="661"/>
      <c r="B480" s="663"/>
      <c r="C480" s="795"/>
      <c r="D480" s="796"/>
      <c r="E480" s="680"/>
      <c r="F480" s="797"/>
      <c r="G480" s="797"/>
      <c r="H480" s="797"/>
      <c r="I480" s="797"/>
      <c r="J480" s="797"/>
      <c r="K480" s="797"/>
      <c r="L480" s="797"/>
      <c r="M480" s="797"/>
      <c r="N480" s="797"/>
      <c r="O480" s="797"/>
      <c r="P480" s="797"/>
      <c r="Q480" s="797"/>
      <c r="R480" s="661"/>
      <c r="S480" s="661"/>
      <c r="T480" s="661"/>
      <c r="U480" s="664"/>
      <c r="V480" s="665"/>
      <c r="W480" s="661"/>
      <c r="X480" s="661"/>
      <c r="Y480" s="661"/>
      <c r="Z480" s="661"/>
    </row>
    <row r="481">
      <c r="A481" s="661"/>
      <c r="B481" s="663"/>
      <c r="C481" s="795"/>
      <c r="D481" s="796"/>
      <c r="E481" s="680"/>
      <c r="F481" s="797"/>
      <c r="G481" s="797"/>
      <c r="H481" s="797"/>
      <c r="I481" s="797"/>
      <c r="J481" s="797"/>
      <c r="K481" s="797"/>
      <c r="L481" s="797"/>
      <c r="M481" s="797"/>
      <c r="N481" s="797"/>
      <c r="O481" s="797"/>
      <c r="P481" s="797"/>
      <c r="Q481" s="797"/>
      <c r="R481" s="661"/>
      <c r="S481" s="661"/>
      <c r="T481" s="661"/>
      <c r="U481" s="664"/>
      <c r="V481" s="665"/>
      <c r="W481" s="661"/>
      <c r="X481" s="661"/>
      <c r="Y481" s="661"/>
      <c r="Z481" s="661"/>
    </row>
    <row r="482">
      <c r="A482" s="661"/>
      <c r="B482" s="663"/>
      <c r="C482" s="795"/>
      <c r="D482" s="796"/>
      <c r="E482" s="680"/>
      <c r="F482" s="797"/>
      <c r="G482" s="797"/>
      <c r="H482" s="797"/>
      <c r="I482" s="797"/>
      <c r="J482" s="797"/>
      <c r="K482" s="797"/>
      <c r="L482" s="797"/>
      <c r="M482" s="797"/>
      <c r="N482" s="797"/>
      <c r="O482" s="797"/>
      <c r="P482" s="797"/>
      <c r="Q482" s="797"/>
      <c r="R482" s="661"/>
      <c r="S482" s="661"/>
      <c r="T482" s="661"/>
      <c r="U482" s="664"/>
      <c r="V482" s="665"/>
      <c r="W482" s="661"/>
      <c r="X482" s="661"/>
      <c r="Y482" s="661"/>
      <c r="Z482" s="661"/>
    </row>
    <row r="483">
      <c r="A483" s="661"/>
      <c r="B483" s="663"/>
      <c r="C483" s="795"/>
      <c r="D483" s="796"/>
      <c r="E483" s="680"/>
      <c r="F483" s="797"/>
      <c r="G483" s="797"/>
      <c r="H483" s="797"/>
      <c r="I483" s="797"/>
      <c r="J483" s="797"/>
      <c r="K483" s="797"/>
      <c r="L483" s="797"/>
      <c r="M483" s="797"/>
      <c r="N483" s="797"/>
      <c r="O483" s="797"/>
      <c r="P483" s="797"/>
      <c r="Q483" s="797"/>
      <c r="R483" s="661"/>
      <c r="S483" s="661"/>
      <c r="T483" s="661"/>
      <c r="U483" s="664"/>
      <c r="V483" s="665"/>
      <c r="W483" s="661"/>
      <c r="X483" s="661"/>
      <c r="Y483" s="661"/>
      <c r="Z483" s="661"/>
    </row>
    <row r="484">
      <c r="A484" s="661"/>
      <c r="B484" s="663"/>
      <c r="C484" s="795"/>
      <c r="D484" s="796"/>
      <c r="E484" s="680"/>
      <c r="F484" s="797"/>
      <c r="G484" s="797"/>
      <c r="H484" s="797"/>
      <c r="I484" s="797"/>
      <c r="J484" s="797"/>
      <c r="K484" s="797"/>
      <c r="L484" s="797"/>
      <c r="M484" s="797"/>
      <c r="N484" s="797"/>
      <c r="O484" s="797"/>
      <c r="P484" s="797"/>
      <c r="Q484" s="797"/>
      <c r="R484" s="661"/>
      <c r="S484" s="661"/>
      <c r="T484" s="661"/>
      <c r="U484" s="664"/>
      <c r="V484" s="665"/>
      <c r="W484" s="661"/>
      <c r="X484" s="661"/>
      <c r="Y484" s="661"/>
      <c r="Z484" s="661"/>
    </row>
    <row r="485">
      <c r="A485" s="661"/>
      <c r="B485" s="663"/>
      <c r="C485" s="795"/>
      <c r="D485" s="796"/>
      <c r="E485" s="680"/>
      <c r="F485" s="797"/>
      <c r="G485" s="797"/>
      <c r="H485" s="797"/>
      <c r="I485" s="797"/>
      <c r="J485" s="797"/>
      <c r="K485" s="797"/>
      <c r="L485" s="797"/>
      <c r="M485" s="797"/>
      <c r="N485" s="797"/>
      <c r="O485" s="797"/>
      <c r="P485" s="797"/>
      <c r="Q485" s="797"/>
      <c r="R485" s="661"/>
      <c r="S485" s="661"/>
      <c r="T485" s="661"/>
      <c r="U485" s="664"/>
      <c r="V485" s="665"/>
      <c r="W485" s="661"/>
      <c r="X485" s="661"/>
      <c r="Y485" s="661"/>
      <c r="Z485" s="661"/>
    </row>
    <row r="486">
      <c r="A486" s="661"/>
      <c r="B486" s="663"/>
      <c r="C486" s="795"/>
      <c r="D486" s="796"/>
      <c r="E486" s="680"/>
      <c r="F486" s="797"/>
      <c r="G486" s="797"/>
      <c r="H486" s="797"/>
      <c r="I486" s="797"/>
      <c r="J486" s="797"/>
      <c r="K486" s="797"/>
      <c r="L486" s="797"/>
      <c r="M486" s="797"/>
      <c r="N486" s="797"/>
      <c r="O486" s="797"/>
      <c r="P486" s="797"/>
      <c r="Q486" s="797"/>
      <c r="R486" s="661"/>
      <c r="S486" s="661"/>
      <c r="T486" s="661"/>
      <c r="U486" s="664"/>
      <c r="V486" s="665"/>
      <c r="W486" s="661"/>
      <c r="X486" s="661"/>
      <c r="Y486" s="661"/>
      <c r="Z486" s="661"/>
    </row>
    <row r="487">
      <c r="A487" s="661"/>
      <c r="B487" s="663"/>
      <c r="C487" s="795"/>
      <c r="D487" s="796"/>
      <c r="E487" s="680"/>
      <c r="F487" s="797"/>
      <c r="G487" s="797"/>
      <c r="H487" s="797"/>
      <c r="I487" s="797"/>
      <c r="J487" s="797"/>
      <c r="K487" s="797"/>
      <c r="L487" s="797"/>
      <c r="M487" s="797"/>
      <c r="N487" s="797"/>
      <c r="O487" s="797"/>
      <c r="P487" s="797"/>
      <c r="Q487" s="797"/>
      <c r="R487" s="661"/>
      <c r="S487" s="661"/>
      <c r="T487" s="661"/>
      <c r="U487" s="664"/>
      <c r="V487" s="665"/>
      <c r="W487" s="661"/>
      <c r="X487" s="661"/>
      <c r="Y487" s="661"/>
      <c r="Z487" s="661"/>
    </row>
    <row r="488">
      <c r="A488" s="661"/>
      <c r="B488" s="663"/>
      <c r="C488" s="795"/>
      <c r="D488" s="796"/>
      <c r="E488" s="680"/>
      <c r="F488" s="797"/>
      <c r="G488" s="797"/>
      <c r="H488" s="797"/>
      <c r="I488" s="797"/>
      <c r="J488" s="797"/>
      <c r="K488" s="797"/>
      <c r="L488" s="797"/>
      <c r="M488" s="797"/>
      <c r="N488" s="797"/>
      <c r="O488" s="797"/>
      <c r="P488" s="797"/>
      <c r="Q488" s="797"/>
      <c r="R488" s="661"/>
      <c r="S488" s="661"/>
      <c r="T488" s="661"/>
      <c r="U488" s="664"/>
      <c r="V488" s="665"/>
      <c r="W488" s="661"/>
      <c r="X488" s="661"/>
      <c r="Y488" s="661"/>
      <c r="Z488" s="661"/>
    </row>
    <row r="489">
      <c r="A489" s="661"/>
      <c r="B489" s="663"/>
      <c r="C489" s="795"/>
      <c r="D489" s="796"/>
      <c r="E489" s="680"/>
      <c r="F489" s="797"/>
      <c r="G489" s="797"/>
      <c r="H489" s="797"/>
      <c r="I489" s="797"/>
      <c r="J489" s="797"/>
      <c r="K489" s="797"/>
      <c r="L489" s="797"/>
      <c r="M489" s="797"/>
      <c r="N489" s="797"/>
      <c r="O489" s="797"/>
      <c r="P489" s="797"/>
      <c r="Q489" s="797"/>
      <c r="R489" s="661"/>
      <c r="S489" s="661"/>
      <c r="T489" s="661"/>
      <c r="U489" s="664"/>
      <c r="V489" s="665"/>
      <c r="W489" s="661"/>
      <c r="X489" s="661"/>
      <c r="Y489" s="661"/>
      <c r="Z489" s="661"/>
    </row>
    <row r="490">
      <c r="A490" s="661"/>
      <c r="B490" s="663"/>
      <c r="C490" s="795"/>
      <c r="D490" s="796"/>
      <c r="E490" s="680"/>
      <c r="F490" s="797"/>
      <c r="G490" s="797"/>
      <c r="H490" s="797"/>
      <c r="I490" s="797"/>
      <c r="J490" s="797"/>
      <c r="K490" s="797"/>
      <c r="L490" s="797"/>
      <c r="M490" s="797"/>
      <c r="N490" s="797"/>
      <c r="O490" s="797"/>
      <c r="P490" s="797"/>
      <c r="Q490" s="797"/>
      <c r="R490" s="661"/>
      <c r="S490" s="661"/>
      <c r="T490" s="661"/>
      <c r="U490" s="664"/>
      <c r="V490" s="665"/>
      <c r="W490" s="661"/>
      <c r="X490" s="661"/>
      <c r="Y490" s="661"/>
      <c r="Z490" s="661"/>
    </row>
    <row r="491">
      <c r="A491" s="661"/>
      <c r="B491" s="663"/>
      <c r="C491" s="795"/>
      <c r="D491" s="796"/>
      <c r="E491" s="680"/>
      <c r="F491" s="797"/>
      <c r="G491" s="797"/>
      <c r="H491" s="797"/>
      <c r="I491" s="797"/>
      <c r="J491" s="797"/>
      <c r="K491" s="797"/>
      <c r="L491" s="797"/>
      <c r="M491" s="797"/>
      <c r="N491" s="797"/>
      <c r="O491" s="797"/>
      <c r="P491" s="797"/>
      <c r="Q491" s="797"/>
      <c r="R491" s="661"/>
      <c r="S491" s="661"/>
      <c r="T491" s="661"/>
      <c r="U491" s="664"/>
      <c r="V491" s="665"/>
      <c r="W491" s="661"/>
      <c r="X491" s="661"/>
      <c r="Y491" s="661"/>
      <c r="Z491" s="661"/>
    </row>
    <row r="492">
      <c r="A492" s="661"/>
      <c r="B492" s="663"/>
      <c r="C492" s="795"/>
      <c r="D492" s="796"/>
      <c r="E492" s="680"/>
      <c r="F492" s="797"/>
      <c r="G492" s="797"/>
      <c r="H492" s="797"/>
      <c r="I492" s="797"/>
      <c r="J492" s="797"/>
      <c r="K492" s="797"/>
      <c r="L492" s="797"/>
      <c r="M492" s="797"/>
      <c r="N492" s="797"/>
      <c r="O492" s="797"/>
      <c r="P492" s="797"/>
      <c r="Q492" s="797"/>
      <c r="R492" s="661"/>
      <c r="S492" s="661"/>
      <c r="T492" s="661"/>
      <c r="U492" s="664"/>
      <c r="V492" s="665"/>
      <c r="W492" s="661"/>
      <c r="X492" s="661"/>
      <c r="Y492" s="661"/>
      <c r="Z492" s="661"/>
    </row>
    <row r="493">
      <c r="A493" s="661"/>
      <c r="B493" s="663"/>
      <c r="C493" s="795"/>
      <c r="D493" s="796"/>
      <c r="E493" s="680"/>
      <c r="F493" s="797"/>
      <c r="G493" s="797"/>
      <c r="H493" s="797"/>
      <c r="I493" s="797"/>
      <c r="J493" s="797"/>
      <c r="K493" s="797"/>
      <c r="L493" s="797"/>
      <c r="M493" s="797"/>
      <c r="N493" s="797"/>
      <c r="O493" s="797"/>
      <c r="P493" s="797"/>
      <c r="Q493" s="797"/>
      <c r="R493" s="661"/>
      <c r="S493" s="661"/>
      <c r="T493" s="661"/>
      <c r="U493" s="664"/>
      <c r="V493" s="665"/>
      <c r="W493" s="661"/>
      <c r="X493" s="661"/>
      <c r="Y493" s="661"/>
      <c r="Z493" s="661"/>
    </row>
    <row r="494">
      <c r="A494" s="661"/>
      <c r="B494" s="663"/>
      <c r="C494" s="795"/>
      <c r="D494" s="796"/>
      <c r="E494" s="680"/>
      <c r="F494" s="797"/>
      <c r="G494" s="797"/>
      <c r="H494" s="797"/>
      <c r="I494" s="797"/>
      <c r="J494" s="797"/>
      <c r="K494" s="797"/>
      <c r="L494" s="797"/>
      <c r="M494" s="797"/>
      <c r="N494" s="797"/>
      <c r="O494" s="797"/>
      <c r="P494" s="797"/>
      <c r="Q494" s="797"/>
      <c r="R494" s="661"/>
      <c r="S494" s="661"/>
      <c r="T494" s="661"/>
      <c r="U494" s="664"/>
      <c r="V494" s="665"/>
      <c r="W494" s="661"/>
      <c r="X494" s="661"/>
      <c r="Y494" s="661"/>
      <c r="Z494" s="661"/>
    </row>
    <row r="495">
      <c r="A495" s="661"/>
      <c r="B495" s="663"/>
      <c r="C495" s="795"/>
      <c r="D495" s="796"/>
      <c r="E495" s="680"/>
      <c r="F495" s="797"/>
      <c r="G495" s="797"/>
      <c r="H495" s="797"/>
      <c r="I495" s="797"/>
      <c r="J495" s="797"/>
      <c r="K495" s="797"/>
      <c r="L495" s="797"/>
      <c r="M495" s="797"/>
      <c r="N495" s="797"/>
      <c r="O495" s="797"/>
      <c r="P495" s="797"/>
      <c r="Q495" s="797"/>
      <c r="R495" s="661"/>
      <c r="S495" s="661"/>
      <c r="T495" s="661"/>
      <c r="U495" s="664"/>
      <c r="V495" s="665"/>
      <c r="W495" s="661"/>
      <c r="X495" s="661"/>
      <c r="Y495" s="661"/>
      <c r="Z495" s="661"/>
    </row>
    <row r="496">
      <c r="A496" s="661"/>
      <c r="B496" s="663"/>
      <c r="C496" s="795"/>
      <c r="D496" s="796"/>
      <c r="E496" s="680"/>
      <c r="F496" s="797"/>
      <c r="G496" s="797"/>
      <c r="H496" s="797"/>
      <c r="I496" s="797"/>
      <c r="J496" s="797"/>
      <c r="K496" s="797"/>
      <c r="L496" s="797"/>
      <c r="M496" s="797"/>
      <c r="N496" s="797"/>
      <c r="O496" s="797"/>
      <c r="P496" s="797"/>
      <c r="Q496" s="797"/>
      <c r="R496" s="661"/>
      <c r="S496" s="661"/>
      <c r="T496" s="661"/>
      <c r="U496" s="664"/>
      <c r="V496" s="665"/>
      <c r="W496" s="661"/>
      <c r="X496" s="661"/>
      <c r="Y496" s="661"/>
      <c r="Z496" s="661"/>
    </row>
    <row r="497">
      <c r="A497" s="661"/>
      <c r="B497" s="663"/>
      <c r="C497" s="795"/>
      <c r="D497" s="796"/>
      <c r="E497" s="680"/>
      <c r="F497" s="797"/>
      <c r="G497" s="797"/>
      <c r="H497" s="797"/>
      <c r="I497" s="797"/>
      <c r="J497" s="797"/>
      <c r="K497" s="797"/>
      <c r="L497" s="797"/>
      <c r="M497" s="797"/>
      <c r="N497" s="797"/>
      <c r="O497" s="797"/>
      <c r="P497" s="797"/>
      <c r="Q497" s="797"/>
      <c r="R497" s="661"/>
      <c r="S497" s="661"/>
      <c r="T497" s="661"/>
      <c r="U497" s="664"/>
      <c r="V497" s="665"/>
      <c r="W497" s="661"/>
      <c r="X497" s="661"/>
      <c r="Y497" s="661"/>
      <c r="Z497" s="661"/>
    </row>
    <row r="498">
      <c r="A498" s="661"/>
      <c r="B498" s="663"/>
      <c r="C498" s="795"/>
      <c r="D498" s="796"/>
      <c r="E498" s="680"/>
      <c r="F498" s="797"/>
      <c r="G498" s="797"/>
      <c r="H498" s="797"/>
      <c r="I498" s="797"/>
      <c r="J498" s="797"/>
      <c r="K498" s="797"/>
      <c r="L498" s="797"/>
      <c r="M498" s="797"/>
      <c r="N498" s="797"/>
      <c r="O498" s="797"/>
      <c r="P498" s="797"/>
      <c r="Q498" s="797"/>
      <c r="R498" s="661"/>
      <c r="S498" s="661"/>
      <c r="T498" s="661"/>
      <c r="U498" s="664"/>
      <c r="V498" s="665"/>
      <c r="W498" s="661"/>
      <c r="X498" s="661"/>
      <c r="Y498" s="661"/>
      <c r="Z498" s="661"/>
    </row>
    <row r="499">
      <c r="A499" s="661"/>
      <c r="B499" s="663"/>
      <c r="C499" s="795"/>
      <c r="D499" s="796"/>
      <c r="E499" s="680"/>
      <c r="F499" s="797"/>
      <c r="G499" s="797"/>
      <c r="H499" s="797"/>
      <c r="I499" s="797"/>
      <c r="J499" s="797"/>
      <c r="K499" s="797"/>
      <c r="L499" s="797"/>
      <c r="M499" s="797"/>
      <c r="N499" s="797"/>
      <c r="O499" s="797"/>
      <c r="P499" s="797"/>
      <c r="Q499" s="797"/>
      <c r="R499" s="661"/>
      <c r="S499" s="661"/>
      <c r="T499" s="661"/>
      <c r="U499" s="664"/>
      <c r="V499" s="665"/>
      <c r="W499" s="661"/>
      <c r="X499" s="661"/>
      <c r="Y499" s="661"/>
      <c r="Z499" s="661"/>
    </row>
    <row r="500">
      <c r="A500" s="661"/>
      <c r="B500" s="663"/>
      <c r="C500" s="795"/>
      <c r="D500" s="796"/>
      <c r="E500" s="680"/>
      <c r="F500" s="797"/>
      <c r="G500" s="797"/>
      <c r="H500" s="797"/>
      <c r="I500" s="797"/>
      <c r="J500" s="797"/>
      <c r="K500" s="797"/>
      <c r="L500" s="797"/>
      <c r="M500" s="797"/>
      <c r="N500" s="797"/>
      <c r="O500" s="797"/>
      <c r="P500" s="797"/>
      <c r="Q500" s="797"/>
      <c r="R500" s="661"/>
      <c r="S500" s="661"/>
      <c r="T500" s="661"/>
      <c r="U500" s="664"/>
      <c r="V500" s="665"/>
      <c r="W500" s="661"/>
      <c r="X500" s="661"/>
      <c r="Y500" s="661"/>
      <c r="Z500" s="661"/>
    </row>
    <row r="501">
      <c r="A501" s="661"/>
      <c r="B501" s="663"/>
      <c r="C501" s="795"/>
      <c r="D501" s="796"/>
      <c r="E501" s="680"/>
      <c r="F501" s="797"/>
      <c r="G501" s="797"/>
      <c r="H501" s="797"/>
      <c r="I501" s="797"/>
      <c r="J501" s="797"/>
      <c r="K501" s="797"/>
      <c r="L501" s="797"/>
      <c r="M501" s="797"/>
      <c r="N501" s="797"/>
      <c r="O501" s="797"/>
      <c r="P501" s="797"/>
      <c r="Q501" s="797"/>
      <c r="R501" s="661"/>
      <c r="S501" s="661"/>
      <c r="T501" s="661"/>
      <c r="U501" s="664"/>
      <c r="V501" s="665"/>
      <c r="W501" s="661"/>
      <c r="X501" s="661"/>
      <c r="Y501" s="661"/>
      <c r="Z501" s="661"/>
    </row>
    <row r="502">
      <c r="A502" s="661"/>
      <c r="B502" s="663"/>
      <c r="C502" s="795"/>
      <c r="D502" s="796"/>
      <c r="E502" s="680"/>
      <c r="F502" s="797"/>
      <c r="G502" s="797"/>
      <c r="H502" s="797"/>
      <c r="I502" s="797"/>
      <c r="J502" s="797"/>
      <c r="K502" s="797"/>
      <c r="L502" s="797"/>
      <c r="M502" s="797"/>
      <c r="N502" s="797"/>
      <c r="O502" s="797"/>
      <c r="P502" s="797"/>
      <c r="Q502" s="797"/>
      <c r="R502" s="661"/>
      <c r="S502" s="661"/>
      <c r="T502" s="661"/>
      <c r="U502" s="664"/>
      <c r="V502" s="665"/>
      <c r="W502" s="661"/>
      <c r="X502" s="661"/>
      <c r="Y502" s="661"/>
      <c r="Z502" s="661"/>
    </row>
    <row r="503">
      <c r="A503" s="661"/>
      <c r="B503" s="663"/>
      <c r="C503" s="795"/>
      <c r="D503" s="796"/>
      <c r="E503" s="680"/>
      <c r="F503" s="797"/>
      <c r="G503" s="797"/>
      <c r="H503" s="797"/>
      <c r="I503" s="797"/>
      <c r="J503" s="797"/>
      <c r="K503" s="797"/>
      <c r="L503" s="797"/>
      <c r="M503" s="797"/>
      <c r="N503" s="797"/>
      <c r="O503" s="797"/>
      <c r="P503" s="797"/>
      <c r="Q503" s="797"/>
      <c r="R503" s="661"/>
      <c r="S503" s="661"/>
      <c r="T503" s="661"/>
      <c r="U503" s="664"/>
      <c r="V503" s="665"/>
      <c r="W503" s="661"/>
      <c r="X503" s="661"/>
      <c r="Y503" s="661"/>
      <c r="Z503" s="661"/>
    </row>
    <row r="504">
      <c r="A504" s="661"/>
      <c r="B504" s="663"/>
      <c r="C504" s="795"/>
      <c r="D504" s="796"/>
      <c r="E504" s="680"/>
      <c r="F504" s="797"/>
      <c r="G504" s="797"/>
      <c r="H504" s="797"/>
      <c r="I504" s="797"/>
      <c r="J504" s="797"/>
      <c r="K504" s="797"/>
      <c r="L504" s="797"/>
      <c r="M504" s="797"/>
      <c r="N504" s="797"/>
      <c r="O504" s="797"/>
      <c r="P504" s="797"/>
      <c r="Q504" s="797"/>
      <c r="R504" s="661"/>
      <c r="S504" s="661"/>
      <c r="T504" s="661"/>
      <c r="U504" s="664"/>
      <c r="V504" s="665"/>
      <c r="W504" s="661"/>
      <c r="X504" s="661"/>
      <c r="Y504" s="661"/>
      <c r="Z504" s="661"/>
    </row>
    <row r="505">
      <c r="A505" s="661"/>
      <c r="B505" s="663"/>
      <c r="C505" s="795"/>
      <c r="D505" s="796"/>
      <c r="E505" s="680"/>
      <c r="F505" s="797"/>
      <c r="G505" s="797"/>
      <c r="H505" s="797"/>
      <c r="I505" s="797"/>
      <c r="J505" s="797"/>
      <c r="K505" s="797"/>
      <c r="L505" s="797"/>
      <c r="M505" s="797"/>
      <c r="N505" s="797"/>
      <c r="O505" s="797"/>
      <c r="P505" s="797"/>
      <c r="Q505" s="797"/>
      <c r="R505" s="661"/>
      <c r="S505" s="661"/>
      <c r="T505" s="661"/>
      <c r="U505" s="664"/>
      <c r="V505" s="665"/>
      <c r="W505" s="661"/>
      <c r="X505" s="661"/>
      <c r="Y505" s="661"/>
      <c r="Z505" s="661"/>
    </row>
    <row r="506">
      <c r="A506" s="661"/>
      <c r="B506" s="663"/>
      <c r="C506" s="795"/>
      <c r="D506" s="796"/>
      <c r="E506" s="680"/>
      <c r="F506" s="797"/>
      <c r="G506" s="797"/>
      <c r="H506" s="797"/>
      <c r="I506" s="797"/>
      <c r="J506" s="797"/>
      <c r="K506" s="797"/>
      <c r="L506" s="797"/>
      <c r="M506" s="797"/>
      <c r="N506" s="797"/>
      <c r="O506" s="797"/>
      <c r="P506" s="797"/>
      <c r="Q506" s="797"/>
      <c r="R506" s="661"/>
      <c r="S506" s="661"/>
      <c r="T506" s="661"/>
      <c r="U506" s="664"/>
      <c r="V506" s="665"/>
      <c r="W506" s="661"/>
      <c r="X506" s="661"/>
      <c r="Y506" s="661"/>
      <c r="Z506" s="661"/>
    </row>
    <row r="507">
      <c r="A507" s="661"/>
      <c r="B507" s="663"/>
      <c r="C507" s="795"/>
      <c r="D507" s="796"/>
      <c r="E507" s="680"/>
      <c r="F507" s="797"/>
      <c r="G507" s="797"/>
      <c r="H507" s="797"/>
      <c r="I507" s="797"/>
      <c r="J507" s="797"/>
      <c r="K507" s="797"/>
      <c r="L507" s="797"/>
      <c r="M507" s="797"/>
      <c r="N507" s="797"/>
      <c r="O507" s="797"/>
      <c r="P507" s="797"/>
      <c r="Q507" s="797"/>
      <c r="R507" s="661"/>
      <c r="S507" s="661"/>
      <c r="T507" s="661"/>
      <c r="U507" s="664"/>
      <c r="V507" s="665"/>
      <c r="W507" s="661"/>
      <c r="X507" s="661"/>
      <c r="Y507" s="661"/>
      <c r="Z507" s="661"/>
    </row>
    <row r="508">
      <c r="A508" s="661"/>
      <c r="B508" s="663"/>
      <c r="C508" s="795"/>
      <c r="D508" s="796"/>
      <c r="E508" s="680"/>
      <c r="F508" s="797"/>
      <c r="G508" s="797"/>
      <c r="H508" s="797"/>
      <c r="I508" s="797"/>
      <c r="J508" s="797"/>
      <c r="K508" s="797"/>
      <c r="L508" s="797"/>
      <c r="M508" s="797"/>
      <c r="N508" s="797"/>
      <c r="O508" s="797"/>
      <c r="P508" s="797"/>
      <c r="Q508" s="797"/>
      <c r="R508" s="661"/>
      <c r="S508" s="661"/>
      <c r="T508" s="661"/>
      <c r="U508" s="664"/>
      <c r="V508" s="665"/>
      <c r="W508" s="661"/>
      <c r="X508" s="661"/>
      <c r="Y508" s="661"/>
      <c r="Z508" s="661"/>
    </row>
    <row r="509">
      <c r="A509" s="661"/>
      <c r="B509" s="663"/>
      <c r="C509" s="795"/>
      <c r="D509" s="796"/>
      <c r="E509" s="680"/>
      <c r="F509" s="797"/>
      <c r="G509" s="797"/>
      <c r="H509" s="797"/>
      <c r="I509" s="797"/>
      <c r="J509" s="797"/>
      <c r="K509" s="797"/>
      <c r="L509" s="797"/>
      <c r="M509" s="797"/>
      <c r="N509" s="797"/>
      <c r="O509" s="797"/>
      <c r="P509" s="797"/>
      <c r="Q509" s="797"/>
      <c r="R509" s="661"/>
      <c r="S509" s="661"/>
      <c r="T509" s="661"/>
      <c r="U509" s="664"/>
      <c r="V509" s="665"/>
      <c r="W509" s="661"/>
      <c r="X509" s="661"/>
      <c r="Y509" s="661"/>
      <c r="Z509" s="661"/>
    </row>
    <row r="510">
      <c r="A510" s="661"/>
      <c r="B510" s="663"/>
      <c r="C510" s="795"/>
      <c r="D510" s="796"/>
      <c r="E510" s="680"/>
      <c r="F510" s="797"/>
      <c r="G510" s="797"/>
      <c r="H510" s="797"/>
      <c r="I510" s="797"/>
      <c r="J510" s="797"/>
      <c r="K510" s="797"/>
      <c r="L510" s="797"/>
      <c r="M510" s="797"/>
      <c r="N510" s="797"/>
      <c r="O510" s="797"/>
      <c r="P510" s="797"/>
      <c r="Q510" s="797"/>
      <c r="R510" s="661"/>
      <c r="S510" s="661"/>
      <c r="T510" s="661"/>
      <c r="U510" s="664"/>
      <c r="V510" s="665"/>
      <c r="W510" s="661"/>
      <c r="X510" s="661"/>
      <c r="Y510" s="661"/>
      <c r="Z510" s="661"/>
    </row>
    <row r="511">
      <c r="A511" s="661"/>
      <c r="B511" s="663"/>
      <c r="C511" s="795"/>
      <c r="D511" s="796"/>
      <c r="E511" s="680"/>
      <c r="F511" s="797"/>
      <c r="G511" s="797"/>
      <c r="H511" s="797"/>
      <c r="I511" s="797"/>
      <c r="J511" s="797"/>
      <c r="K511" s="797"/>
      <c r="L511" s="797"/>
      <c r="M511" s="797"/>
      <c r="N511" s="797"/>
      <c r="O511" s="797"/>
      <c r="P511" s="797"/>
      <c r="Q511" s="797"/>
      <c r="R511" s="661"/>
      <c r="S511" s="661"/>
      <c r="T511" s="661"/>
      <c r="U511" s="664"/>
      <c r="V511" s="665"/>
      <c r="W511" s="661"/>
      <c r="X511" s="661"/>
      <c r="Y511" s="661"/>
      <c r="Z511" s="661"/>
    </row>
    <row r="512">
      <c r="A512" s="661"/>
      <c r="B512" s="663"/>
      <c r="C512" s="795"/>
      <c r="D512" s="796"/>
      <c r="E512" s="680"/>
      <c r="F512" s="797"/>
      <c r="G512" s="797"/>
      <c r="H512" s="797"/>
      <c r="I512" s="797"/>
      <c r="J512" s="797"/>
      <c r="K512" s="797"/>
      <c r="L512" s="797"/>
      <c r="M512" s="797"/>
      <c r="N512" s="797"/>
      <c r="O512" s="797"/>
      <c r="P512" s="797"/>
      <c r="Q512" s="797"/>
      <c r="R512" s="661"/>
      <c r="S512" s="661"/>
      <c r="T512" s="661"/>
      <c r="U512" s="664"/>
      <c r="V512" s="665"/>
      <c r="W512" s="661"/>
      <c r="X512" s="661"/>
      <c r="Y512" s="661"/>
      <c r="Z512" s="661"/>
    </row>
    <row r="513">
      <c r="A513" s="661"/>
      <c r="B513" s="663"/>
      <c r="C513" s="795"/>
      <c r="D513" s="796"/>
      <c r="E513" s="680"/>
      <c r="F513" s="797"/>
      <c r="G513" s="797"/>
      <c r="H513" s="797"/>
      <c r="I513" s="797"/>
      <c r="J513" s="797"/>
      <c r="K513" s="797"/>
      <c r="L513" s="797"/>
      <c r="M513" s="797"/>
      <c r="N513" s="797"/>
      <c r="O513" s="797"/>
      <c r="P513" s="797"/>
      <c r="Q513" s="797"/>
      <c r="R513" s="661"/>
      <c r="S513" s="661"/>
      <c r="T513" s="661"/>
      <c r="U513" s="664"/>
      <c r="V513" s="665"/>
      <c r="W513" s="661"/>
      <c r="X513" s="661"/>
      <c r="Y513" s="661"/>
      <c r="Z513" s="661"/>
    </row>
    <row r="514">
      <c r="A514" s="661"/>
      <c r="B514" s="663"/>
      <c r="C514" s="795"/>
      <c r="D514" s="796"/>
      <c r="E514" s="680"/>
      <c r="F514" s="797"/>
      <c r="G514" s="797"/>
      <c r="H514" s="797"/>
      <c r="I514" s="797"/>
      <c r="J514" s="797"/>
      <c r="K514" s="797"/>
      <c r="L514" s="797"/>
      <c r="M514" s="797"/>
      <c r="N514" s="797"/>
      <c r="O514" s="797"/>
      <c r="P514" s="797"/>
      <c r="Q514" s="797"/>
      <c r="R514" s="661"/>
      <c r="S514" s="661"/>
      <c r="T514" s="661"/>
      <c r="U514" s="664"/>
      <c r="V514" s="665"/>
      <c r="W514" s="661"/>
      <c r="X514" s="661"/>
      <c r="Y514" s="661"/>
      <c r="Z514" s="661"/>
    </row>
    <row r="515">
      <c r="A515" s="661"/>
      <c r="B515" s="663"/>
      <c r="C515" s="795"/>
      <c r="D515" s="796"/>
      <c r="E515" s="680"/>
      <c r="F515" s="797"/>
      <c r="G515" s="797"/>
      <c r="H515" s="797"/>
      <c r="I515" s="797"/>
      <c r="J515" s="797"/>
      <c r="K515" s="797"/>
      <c r="L515" s="797"/>
      <c r="M515" s="797"/>
      <c r="N515" s="797"/>
      <c r="O515" s="797"/>
      <c r="P515" s="797"/>
      <c r="Q515" s="797"/>
      <c r="R515" s="661"/>
      <c r="S515" s="661"/>
      <c r="T515" s="661"/>
      <c r="U515" s="664"/>
      <c r="V515" s="665"/>
      <c r="W515" s="661"/>
      <c r="X515" s="661"/>
      <c r="Y515" s="661"/>
      <c r="Z515" s="661"/>
    </row>
    <row r="516">
      <c r="A516" s="661"/>
      <c r="B516" s="663"/>
      <c r="C516" s="795"/>
      <c r="D516" s="796"/>
      <c r="E516" s="680"/>
      <c r="F516" s="797"/>
      <c r="G516" s="797"/>
      <c r="H516" s="797"/>
      <c r="I516" s="797"/>
      <c r="J516" s="797"/>
      <c r="K516" s="797"/>
      <c r="L516" s="797"/>
      <c r="M516" s="797"/>
      <c r="N516" s="797"/>
      <c r="O516" s="797"/>
      <c r="P516" s="797"/>
      <c r="Q516" s="797"/>
      <c r="R516" s="661"/>
      <c r="S516" s="661"/>
      <c r="T516" s="661"/>
      <c r="U516" s="664"/>
      <c r="V516" s="665"/>
      <c r="W516" s="661"/>
      <c r="X516" s="661"/>
      <c r="Y516" s="661"/>
      <c r="Z516" s="661"/>
    </row>
    <row r="517">
      <c r="A517" s="661"/>
      <c r="B517" s="663"/>
      <c r="C517" s="795"/>
      <c r="D517" s="796"/>
      <c r="E517" s="680"/>
      <c r="F517" s="797"/>
      <c r="G517" s="797"/>
      <c r="H517" s="797"/>
      <c r="I517" s="797"/>
      <c r="J517" s="797"/>
      <c r="K517" s="797"/>
      <c r="L517" s="797"/>
      <c r="M517" s="797"/>
      <c r="N517" s="797"/>
      <c r="O517" s="797"/>
      <c r="P517" s="797"/>
      <c r="Q517" s="797"/>
      <c r="R517" s="661"/>
      <c r="S517" s="661"/>
      <c r="T517" s="661"/>
      <c r="U517" s="664"/>
      <c r="V517" s="665"/>
      <c r="W517" s="661"/>
      <c r="X517" s="661"/>
      <c r="Y517" s="661"/>
      <c r="Z517" s="661"/>
    </row>
    <row r="518">
      <c r="A518" s="661"/>
      <c r="B518" s="663"/>
      <c r="C518" s="795"/>
      <c r="D518" s="796"/>
      <c r="E518" s="680"/>
      <c r="F518" s="797"/>
      <c r="G518" s="797"/>
      <c r="H518" s="797"/>
      <c r="I518" s="797"/>
      <c r="J518" s="797"/>
      <c r="K518" s="797"/>
      <c r="L518" s="797"/>
      <c r="M518" s="797"/>
      <c r="N518" s="797"/>
      <c r="O518" s="797"/>
      <c r="P518" s="797"/>
      <c r="Q518" s="797"/>
      <c r="R518" s="661"/>
      <c r="S518" s="661"/>
      <c r="T518" s="661"/>
      <c r="U518" s="664"/>
      <c r="V518" s="665"/>
      <c r="W518" s="661"/>
      <c r="X518" s="661"/>
      <c r="Y518" s="661"/>
      <c r="Z518" s="661"/>
    </row>
    <row r="519">
      <c r="A519" s="661"/>
      <c r="B519" s="663"/>
      <c r="C519" s="795"/>
      <c r="D519" s="796"/>
      <c r="E519" s="680"/>
      <c r="F519" s="797"/>
      <c r="G519" s="797"/>
      <c r="H519" s="797"/>
      <c r="I519" s="797"/>
      <c r="J519" s="797"/>
      <c r="K519" s="797"/>
      <c r="L519" s="797"/>
      <c r="M519" s="797"/>
      <c r="N519" s="797"/>
      <c r="O519" s="797"/>
      <c r="P519" s="797"/>
      <c r="Q519" s="797"/>
      <c r="R519" s="661"/>
      <c r="S519" s="661"/>
      <c r="T519" s="661"/>
      <c r="U519" s="664"/>
      <c r="V519" s="665"/>
      <c r="W519" s="661"/>
      <c r="X519" s="661"/>
      <c r="Y519" s="661"/>
      <c r="Z519" s="661"/>
    </row>
    <row r="520">
      <c r="A520" s="661"/>
      <c r="B520" s="663"/>
      <c r="C520" s="795"/>
      <c r="D520" s="796"/>
      <c r="E520" s="680"/>
      <c r="F520" s="797"/>
      <c r="G520" s="797"/>
      <c r="H520" s="797"/>
      <c r="I520" s="797"/>
      <c r="J520" s="797"/>
      <c r="K520" s="797"/>
      <c r="L520" s="797"/>
      <c r="M520" s="797"/>
      <c r="N520" s="797"/>
      <c r="O520" s="797"/>
      <c r="P520" s="797"/>
      <c r="Q520" s="797"/>
      <c r="R520" s="661"/>
      <c r="S520" s="661"/>
      <c r="T520" s="661"/>
      <c r="U520" s="664"/>
      <c r="V520" s="665"/>
      <c r="W520" s="661"/>
      <c r="X520" s="661"/>
      <c r="Y520" s="661"/>
      <c r="Z520" s="661"/>
    </row>
    <row r="521">
      <c r="A521" s="661"/>
      <c r="B521" s="663"/>
      <c r="C521" s="795"/>
      <c r="D521" s="796"/>
      <c r="E521" s="680"/>
      <c r="F521" s="797"/>
      <c r="G521" s="797"/>
      <c r="H521" s="797"/>
      <c r="I521" s="797"/>
      <c r="J521" s="797"/>
      <c r="K521" s="797"/>
      <c r="L521" s="797"/>
      <c r="M521" s="797"/>
      <c r="N521" s="797"/>
      <c r="O521" s="797"/>
      <c r="P521" s="797"/>
      <c r="Q521" s="797"/>
      <c r="R521" s="661"/>
      <c r="S521" s="661"/>
      <c r="T521" s="661"/>
      <c r="U521" s="664"/>
      <c r="V521" s="665"/>
      <c r="W521" s="661"/>
      <c r="X521" s="661"/>
      <c r="Y521" s="661"/>
      <c r="Z521" s="661"/>
    </row>
    <row r="522">
      <c r="A522" s="661"/>
      <c r="B522" s="663"/>
      <c r="C522" s="795"/>
      <c r="D522" s="796"/>
      <c r="E522" s="680"/>
      <c r="F522" s="797"/>
      <c r="G522" s="797"/>
      <c r="H522" s="797"/>
      <c r="I522" s="797"/>
      <c r="J522" s="797"/>
      <c r="K522" s="797"/>
      <c r="L522" s="797"/>
      <c r="M522" s="797"/>
      <c r="N522" s="797"/>
      <c r="O522" s="797"/>
      <c r="P522" s="797"/>
      <c r="Q522" s="797"/>
      <c r="R522" s="661"/>
      <c r="S522" s="661"/>
      <c r="T522" s="661"/>
      <c r="U522" s="664"/>
      <c r="V522" s="665"/>
      <c r="W522" s="661"/>
      <c r="X522" s="661"/>
      <c r="Y522" s="661"/>
      <c r="Z522" s="661"/>
    </row>
    <row r="523">
      <c r="A523" s="661"/>
      <c r="B523" s="663"/>
      <c r="C523" s="795"/>
      <c r="D523" s="796"/>
      <c r="E523" s="680"/>
      <c r="F523" s="797"/>
      <c r="G523" s="797"/>
      <c r="H523" s="797"/>
      <c r="I523" s="797"/>
      <c r="J523" s="797"/>
      <c r="K523" s="797"/>
      <c r="L523" s="797"/>
      <c r="M523" s="797"/>
      <c r="N523" s="797"/>
      <c r="O523" s="797"/>
      <c r="P523" s="797"/>
      <c r="Q523" s="797"/>
      <c r="R523" s="661"/>
      <c r="S523" s="661"/>
      <c r="T523" s="661"/>
      <c r="U523" s="664"/>
      <c r="V523" s="665"/>
      <c r="W523" s="661"/>
      <c r="X523" s="661"/>
      <c r="Y523" s="661"/>
      <c r="Z523" s="661"/>
    </row>
    <row r="524">
      <c r="A524" s="661"/>
      <c r="B524" s="663"/>
      <c r="C524" s="795"/>
      <c r="D524" s="796"/>
      <c r="E524" s="680"/>
      <c r="F524" s="797"/>
      <c r="G524" s="797"/>
      <c r="H524" s="797"/>
      <c r="I524" s="797"/>
      <c r="J524" s="797"/>
      <c r="K524" s="797"/>
      <c r="L524" s="797"/>
      <c r="M524" s="797"/>
      <c r="N524" s="797"/>
      <c r="O524" s="797"/>
      <c r="P524" s="797"/>
      <c r="Q524" s="797"/>
      <c r="R524" s="661"/>
      <c r="S524" s="661"/>
      <c r="T524" s="661"/>
      <c r="U524" s="664"/>
      <c r="V524" s="665"/>
      <c r="W524" s="661"/>
      <c r="X524" s="661"/>
      <c r="Y524" s="661"/>
      <c r="Z524" s="661"/>
    </row>
    <row r="525">
      <c r="A525" s="661"/>
      <c r="B525" s="663"/>
      <c r="C525" s="795"/>
      <c r="D525" s="796"/>
      <c r="E525" s="680"/>
      <c r="F525" s="797"/>
      <c r="G525" s="797"/>
      <c r="H525" s="797"/>
      <c r="I525" s="797"/>
      <c r="J525" s="797"/>
      <c r="K525" s="797"/>
      <c r="L525" s="797"/>
      <c r="M525" s="797"/>
      <c r="N525" s="797"/>
      <c r="O525" s="797"/>
      <c r="P525" s="797"/>
      <c r="Q525" s="797"/>
      <c r="R525" s="661"/>
      <c r="S525" s="661"/>
      <c r="T525" s="661"/>
      <c r="U525" s="664"/>
      <c r="V525" s="665"/>
      <c r="W525" s="661"/>
      <c r="X525" s="661"/>
      <c r="Y525" s="661"/>
      <c r="Z525" s="661"/>
    </row>
    <row r="526">
      <c r="A526" s="661"/>
      <c r="B526" s="663"/>
      <c r="C526" s="795"/>
      <c r="D526" s="796"/>
      <c r="E526" s="680"/>
      <c r="F526" s="797"/>
      <c r="G526" s="797"/>
      <c r="H526" s="797"/>
      <c r="I526" s="797"/>
      <c r="J526" s="797"/>
      <c r="K526" s="797"/>
      <c r="L526" s="797"/>
      <c r="M526" s="797"/>
      <c r="N526" s="797"/>
      <c r="O526" s="797"/>
      <c r="P526" s="797"/>
      <c r="Q526" s="797"/>
      <c r="R526" s="661"/>
      <c r="S526" s="661"/>
      <c r="T526" s="661"/>
      <c r="U526" s="664"/>
      <c r="V526" s="665"/>
      <c r="W526" s="661"/>
      <c r="X526" s="661"/>
      <c r="Y526" s="661"/>
      <c r="Z526" s="661"/>
    </row>
    <row r="527">
      <c r="A527" s="661"/>
      <c r="B527" s="663"/>
      <c r="C527" s="795"/>
      <c r="D527" s="796"/>
      <c r="E527" s="680"/>
      <c r="F527" s="797"/>
      <c r="G527" s="797"/>
      <c r="H527" s="797"/>
      <c r="I527" s="797"/>
      <c r="J527" s="797"/>
      <c r="K527" s="797"/>
      <c r="L527" s="797"/>
      <c r="M527" s="797"/>
      <c r="N527" s="797"/>
      <c r="O527" s="797"/>
      <c r="P527" s="797"/>
      <c r="Q527" s="797"/>
      <c r="R527" s="661"/>
      <c r="S527" s="661"/>
      <c r="T527" s="661"/>
      <c r="U527" s="664"/>
      <c r="V527" s="665"/>
      <c r="W527" s="661"/>
      <c r="X527" s="661"/>
      <c r="Y527" s="661"/>
      <c r="Z527" s="661"/>
    </row>
    <row r="528">
      <c r="A528" s="661"/>
      <c r="B528" s="663"/>
      <c r="C528" s="795"/>
      <c r="D528" s="796"/>
      <c r="E528" s="680"/>
      <c r="F528" s="797"/>
      <c r="G528" s="797"/>
      <c r="H528" s="797"/>
      <c r="I528" s="797"/>
      <c r="J528" s="797"/>
      <c r="K528" s="797"/>
      <c r="L528" s="797"/>
      <c r="M528" s="797"/>
      <c r="N528" s="797"/>
      <c r="O528" s="797"/>
      <c r="P528" s="797"/>
      <c r="Q528" s="797"/>
      <c r="R528" s="661"/>
      <c r="S528" s="661"/>
      <c r="T528" s="661"/>
      <c r="U528" s="664"/>
      <c r="V528" s="665"/>
      <c r="W528" s="661"/>
      <c r="X528" s="661"/>
      <c r="Y528" s="661"/>
      <c r="Z528" s="661"/>
    </row>
    <row r="529">
      <c r="A529" s="661"/>
      <c r="B529" s="663"/>
      <c r="C529" s="795"/>
      <c r="D529" s="796"/>
      <c r="E529" s="680"/>
      <c r="F529" s="797"/>
      <c r="G529" s="797"/>
      <c r="H529" s="797"/>
      <c r="I529" s="797"/>
      <c r="J529" s="797"/>
      <c r="K529" s="797"/>
      <c r="L529" s="797"/>
      <c r="M529" s="797"/>
      <c r="N529" s="797"/>
      <c r="O529" s="797"/>
      <c r="P529" s="797"/>
      <c r="Q529" s="797"/>
      <c r="R529" s="661"/>
      <c r="S529" s="661"/>
      <c r="T529" s="661"/>
      <c r="U529" s="664"/>
      <c r="V529" s="665"/>
      <c r="W529" s="661"/>
      <c r="X529" s="661"/>
      <c r="Y529" s="661"/>
      <c r="Z529" s="661"/>
    </row>
    <row r="530">
      <c r="A530" s="661"/>
      <c r="B530" s="663"/>
      <c r="C530" s="795"/>
      <c r="D530" s="796"/>
      <c r="E530" s="680"/>
      <c r="F530" s="797"/>
      <c r="G530" s="797"/>
      <c r="H530" s="797"/>
      <c r="I530" s="797"/>
      <c r="J530" s="797"/>
      <c r="K530" s="797"/>
      <c r="L530" s="797"/>
      <c r="M530" s="797"/>
      <c r="N530" s="797"/>
      <c r="O530" s="797"/>
      <c r="P530" s="797"/>
      <c r="Q530" s="797"/>
      <c r="R530" s="661"/>
      <c r="S530" s="661"/>
      <c r="T530" s="661"/>
      <c r="U530" s="664"/>
      <c r="V530" s="665"/>
      <c r="W530" s="661"/>
      <c r="X530" s="661"/>
      <c r="Y530" s="661"/>
      <c r="Z530" s="661"/>
    </row>
    <row r="531">
      <c r="A531" s="661"/>
      <c r="B531" s="663"/>
      <c r="C531" s="795"/>
      <c r="D531" s="796"/>
      <c r="E531" s="680"/>
      <c r="F531" s="797"/>
      <c r="G531" s="797"/>
      <c r="H531" s="797"/>
      <c r="I531" s="797"/>
      <c r="J531" s="797"/>
      <c r="K531" s="797"/>
      <c r="L531" s="797"/>
      <c r="M531" s="797"/>
      <c r="N531" s="797"/>
      <c r="O531" s="797"/>
      <c r="P531" s="797"/>
      <c r="Q531" s="797"/>
      <c r="R531" s="661"/>
      <c r="S531" s="661"/>
      <c r="T531" s="661"/>
      <c r="U531" s="664"/>
      <c r="V531" s="665"/>
      <c r="W531" s="661"/>
      <c r="X531" s="661"/>
      <c r="Y531" s="661"/>
      <c r="Z531" s="661"/>
    </row>
    <row r="532">
      <c r="A532" s="661"/>
      <c r="B532" s="663"/>
      <c r="C532" s="795"/>
      <c r="D532" s="796"/>
      <c r="E532" s="680"/>
      <c r="F532" s="797"/>
      <c r="G532" s="797"/>
      <c r="H532" s="797"/>
      <c r="I532" s="797"/>
      <c r="J532" s="797"/>
      <c r="K532" s="797"/>
      <c r="L532" s="797"/>
      <c r="M532" s="797"/>
      <c r="N532" s="797"/>
      <c r="O532" s="797"/>
      <c r="P532" s="797"/>
      <c r="Q532" s="797"/>
      <c r="R532" s="661"/>
      <c r="S532" s="661"/>
      <c r="T532" s="661"/>
      <c r="U532" s="664"/>
      <c r="V532" s="665"/>
      <c r="W532" s="661"/>
      <c r="X532" s="661"/>
      <c r="Y532" s="661"/>
      <c r="Z532" s="661"/>
    </row>
    <row r="533">
      <c r="A533" s="661"/>
      <c r="B533" s="663"/>
      <c r="C533" s="795"/>
      <c r="D533" s="796"/>
      <c r="E533" s="680"/>
      <c r="F533" s="797"/>
      <c r="G533" s="797"/>
      <c r="H533" s="797"/>
      <c r="I533" s="797"/>
      <c r="J533" s="797"/>
      <c r="K533" s="797"/>
      <c r="L533" s="797"/>
      <c r="M533" s="797"/>
      <c r="N533" s="797"/>
      <c r="O533" s="797"/>
      <c r="P533" s="797"/>
      <c r="Q533" s="797"/>
      <c r="R533" s="661"/>
      <c r="S533" s="661"/>
      <c r="T533" s="661"/>
      <c r="U533" s="664"/>
      <c r="V533" s="665"/>
      <c r="W533" s="661"/>
      <c r="X533" s="661"/>
      <c r="Y533" s="661"/>
      <c r="Z533" s="661"/>
    </row>
    <row r="534">
      <c r="A534" s="661"/>
      <c r="B534" s="663"/>
      <c r="C534" s="795"/>
      <c r="D534" s="796"/>
      <c r="E534" s="680"/>
      <c r="F534" s="797"/>
      <c r="G534" s="797"/>
      <c r="H534" s="797"/>
      <c r="I534" s="797"/>
      <c r="J534" s="797"/>
      <c r="K534" s="797"/>
      <c r="L534" s="797"/>
      <c r="M534" s="797"/>
      <c r="N534" s="797"/>
      <c r="O534" s="797"/>
      <c r="P534" s="797"/>
      <c r="Q534" s="797"/>
      <c r="R534" s="661"/>
      <c r="S534" s="661"/>
      <c r="T534" s="661"/>
      <c r="U534" s="664"/>
      <c r="V534" s="665"/>
      <c r="W534" s="661"/>
      <c r="X534" s="661"/>
      <c r="Y534" s="661"/>
      <c r="Z534" s="661"/>
    </row>
    <row r="535">
      <c r="A535" s="661"/>
      <c r="B535" s="663"/>
      <c r="C535" s="795"/>
      <c r="D535" s="796"/>
      <c r="E535" s="680"/>
      <c r="F535" s="797"/>
      <c r="G535" s="797"/>
      <c r="H535" s="797"/>
      <c r="I535" s="797"/>
      <c r="J535" s="797"/>
      <c r="K535" s="797"/>
      <c r="L535" s="797"/>
      <c r="M535" s="797"/>
      <c r="N535" s="797"/>
      <c r="O535" s="797"/>
      <c r="P535" s="797"/>
      <c r="Q535" s="797"/>
      <c r="R535" s="661"/>
      <c r="S535" s="661"/>
      <c r="T535" s="661"/>
      <c r="U535" s="664"/>
      <c r="V535" s="665"/>
      <c r="W535" s="661"/>
      <c r="X535" s="661"/>
      <c r="Y535" s="661"/>
      <c r="Z535" s="661"/>
    </row>
    <row r="536">
      <c r="A536" s="661"/>
      <c r="B536" s="663"/>
      <c r="C536" s="795"/>
      <c r="D536" s="796"/>
      <c r="E536" s="680"/>
      <c r="F536" s="797"/>
      <c r="G536" s="797"/>
      <c r="H536" s="797"/>
      <c r="I536" s="797"/>
      <c r="J536" s="797"/>
      <c r="K536" s="797"/>
      <c r="L536" s="797"/>
      <c r="M536" s="797"/>
      <c r="N536" s="797"/>
      <c r="O536" s="797"/>
      <c r="P536" s="797"/>
      <c r="Q536" s="797"/>
      <c r="R536" s="661"/>
      <c r="S536" s="661"/>
      <c r="T536" s="661"/>
      <c r="U536" s="664"/>
      <c r="V536" s="665"/>
      <c r="W536" s="661"/>
      <c r="X536" s="661"/>
      <c r="Y536" s="661"/>
      <c r="Z536" s="661"/>
    </row>
    <row r="537">
      <c r="A537" s="661"/>
      <c r="B537" s="663"/>
      <c r="C537" s="795"/>
      <c r="D537" s="796"/>
      <c r="E537" s="680"/>
      <c r="F537" s="797"/>
      <c r="G537" s="797"/>
      <c r="H537" s="797"/>
      <c r="I537" s="797"/>
      <c r="J537" s="797"/>
      <c r="K537" s="797"/>
      <c r="L537" s="797"/>
      <c r="M537" s="797"/>
      <c r="N537" s="797"/>
      <c r="O537" s="797"/>
      <c r="P537" s="797"/>
      <c r="Q537" s="797"/>
      <c r="R537" s="661"/>
      <c r="S537" s="661"/>
      <c r="T537" s="661"/>
      <c r="U537" s="664"/>
      <c r="V537" s="665"/>
      <c r="W537" s="661"/>
      <c r="X537" s="661"/>
      <c r="Y537" s="661"/>
      <c r="Z537" s="661"/>
    </row>
    <row r="538">
      <c r="A538" s="661"/>
      <c r="B538" s="663"/>
      <c r="C538" s="795"/>
      <c r="D538" s="796"/>
      <c r="E538" s="680"/>
      <c r="F538" s="797"/>
      <c r="G538" s="797"/>
      <c r="H538" s="797"/>
      <c r="I538" s="797"/>
      <c r="J538" s="797"/>
      <c r="K538" s="797"/>
      <c r="L538" s="797"/>
      <c r="M538" s="797"/>
      <c r="N538" s="797"/>
      <c r="O538" s="797"/>
      <c r="P538" s="797"/>
      <c r="Q538" s="797"/>
      <c r="R538" s="661"/>
      <c r="S538" s="661"/>
      <c r="T538" s="661"/>
      <c r="U538" s="664"/>
      <c r="V538" s="665"/>
      <c r="W538" s="661"/>
      <c r="X538" s="661"/>
      <c r="Y538" s="661"/>
      <c r="Z538" s="661"/>
    </row>
    <row r="539">
      <c r="A539" s="661"/>
      <c r="B539" s="663"/>
      <c r="C539" s="795"/>
      <c r="D539" s="796"/>
      <c r="E539" s="680"/>
      <c r="F539" s="797"/>
      <c r="G539" s="797"/>
      <c r="H539" s="797"/>
      <c r="I539" s="797"/>
      <c r="J539" s="797"/>
      <c r="K539" s="797"/>
      <c r="L539" s="797"/>
      <c r="M539" s="797"/>
      <c r="N539" s="797"/>
      <c r="O539" s="797"/>
      <c r="P539" s="797"/>
      <c r="Q539" s="797"/>
      <c r="R539" s="661"/>
      <c r="S539" s="661"/>
      <c r="T539" s="661"/>
      <c r="U539" s="664"/>
      <c r="V539" s="665"/>
      <c r="W539" s="661"/>
      <c r="X539" s="661"/>
      <c r="Y539" s="661"/>
      <c r="Z539" s="661"/>
    </row>
    <row r="540">
      <c r="A540" s="661"/>
      <c r="B540" s="663"/>
      <c r="C540" s="795"/>
      <c r="D540" s="796"/>
      <c r="E540" s="680"/>
      <c r="F540" s="797"/>
      <c r="G540" s="797"/>
      <c r="H540" s="797"/>
      <c r="I540" s="797"/>
      <c r="J540" s="797"/>
      <c r="K540" s="797"/>
      <c r="L540" s="797"/>
      <c r="M540" s="797"/>
      <c r="N540" s="797"/>
      <c r="O540" s="797"/>
      <c r="P540" s="797"/>
      <c r="Q540" s="797"/>
      <c r="R540" s="661"/>
      <c r="S540" s="661"/>
      <c r="T540" s="661"/>
      <c r="U540" s="664"/>
      <c r="V540" s="665"/>
      <c r="W540" s="661"/>
      <c r="X540" s="661"/>
      <c r="Y540" s="661"/>
      <c r="Z540" s="661"/>
    </row>
    <row r="541">
      <c r="A541" s="661"/>
      <c r="B541" s="663"/>
      <c r="C541" s="795"/>
      <c r="D541" s="796"/>
      <c r="E541" s="680"/>
      <c r="F541" s="797"/>
      <c r="G541" s="797"/>
      <c r="H541" s="797"/>
      <c r="I541" s="797"/>
      <c r="J541" s="797"/>
      <c r="K541" s="797"/>
      <c r="L541" s="797"/>
      <c r="M541" s="797"/>
      <c r="N541" s="797"/>
      <c r="O541" s="797"/>
      <c r="P541" s="797"/>
      <c r="Q541" s="797"/>
      <c r="R541" s="661"/>
      <c r="S541" s="661"/>
      <c r="T541" s="661"/>
      <c r="U541" s="664"/>
      <c r="V541" s="665"/>
      <c r="W541" s="661"/>
      <c r="X541" s="661"/>
      <c r="Y541" s="661"/>
      <c r="Z541" s="661"/>
    </row>
    <row r="542">
      <c r="A542" s="661"/>
      <c r="B542" s="663"/>
      <c r="C542" s="795"/>
      <c r="D542" s="796"/>
      <c r="E542" s="680"/>
      <c r="F542" s="797"/>
      <c r="G542" s="797"/>
      <c r="H542" s="797"/>
      <c r="I542" s="797"/>
      <c r="J542" s="797"/>
      <c r="K542" s="797"/>
      <c r="L542" s="797"/>
      <c r="M542" s="797"/>
      <c r="N542" s="797"/>
      <c r="O542" s="797"/>
      <c r="P542" s="797"/>
      <c r="Q542" s="797"/>
      <c r="R542" s="661"/>
      <c r="S542" s="661"/>
      <c r="T542" s="661"/>
      <c r="U542" s="664"/>
      <c r="V542" s="665"/>
      <c r="W542" s="661"/>
      <c r="X542" s="661"/>
      <c r="Y542" s="661"/>
      <c r="Z542" s="661"/>
    </row>
    <row r="543">
      <c r="A543" s="661"/>
      <c r="B543" s="663"/>
      <c r="C543" s="795"/>
      <c r="D543" s="796"/>
      <c r="E543" s="680"/>
      <c r="F543" s="797"/>
      <c r="G543" s="797"/>
      <c r="H543" s="797"/>
      <c r="I543" s="797"/>
      <c r="J543" s="797"/>
      <c r="K543" s="797"/>
      <c r="L543" s="797"/>
      <c r="M543" s="797"/>
      <c r="N543" s="797"/>
      <c r="O543" s="797"/>
      <c r="P543" s="797"/>
      <c r="Q543" s="797"/>
      <c r="R543" s="661"/>
      <c r="S543" s="661"/>
      <c r="T543" s="661"/>
      <c r="U543" s="664"/>
      <c r="V543" s="665"/>
      <c r="W543" s="661"/>
      <c r="X543" s="661"/>
      <c r="Y543" s="661"/>
      <c r="Z543" s="661"/>
    </row>
    <row r="544">
      <c r="A544" s="661"/>
      <c r="B544" s="663"/>
      <c r="C544" s="795"/>
      <c r="D544" s="796"/>
      <c r="E544" s="680"/>
      <c r="F544" s="797"/>
      <c r="G544" s="797"/>
      <c r="H544" s="797"/>
      <c r="I544" s="797"/>
      <c r="J544" s="797"/>
      <c r="K544" s="797"/>
      <c r="L544" s="797"/>
      <c r="M544" s="797"/>
      <c r="N544" s="797"/>
      <c r="O544" s="797"/>
      <c r="P544" s="797"/>
      <c r="Q544" s="797"/>
      <c r="R544" s="661"/>
      <c r="S544" s="661"/>
      <c r="T544" s="661"/>
      <c r="U544" s="664"/>
      <c r="V544" s="665"/>
      <c r="W544" s="661"/>
      <c r="X544" s="661"/>
      <c r="Y544" s="661"/>
      <c r="Z544" s="661"/>
    </row>
    <row r="545">
      <c r="A545" s="661"/>
      <c r="B545" s="663"/>
      <c r="C545" s="795"/>
      <c r="D545" s="796"/>
      <c r="E545" s="680"/>
      <c r="F545" s="797"/>
      <c r="G545" s="797"/>
      <c r="H545" s="797"/>
      <c r="I545" s="797"/>
      <c r="J545" s="797"/>
      <c r="K545" s="797"/>
      <c r="L545" s="797"/>
      <c r="M545" s="797"/>
      <c r="N545" s="797"/>
      <c r="O545" s="797"/>
      <c r="P545" s="797"/>
      <c r="Q545" s="797"/>
      <c r="R545" s="661"/>
      <c r="S545" s="661"/>
      <c r="T545" s="661"/>
      <c r="U545" s="664"/>
      <c r="V545" s="665"/>
      <c r="W545" s="661"/>
      <c r="X545" s="661"/>
      <c r="Y545" s="661"/>
      <c r="Z545" s="661"/>
    </row>
    <row r="546">
      <c r="A546" s="661"/>
      <c r="B546" s="663"/>
      <c r="C546" s="795"/>
      <c r="D546" s="796"/>
      <c r="E546" s="680"/>
      <c r="F546" s="797"/>
      <c r="G546" s="797"/>
      <c r="H546" s="797"/>
      <c r="I546" s="797"/>
      <c r="J546" s="797"/>
      <c r="K546" s="797"/>
      <c r="L546" s="797"/>
      <c r="M546" s="797"/>
      <c r="N546" s="797"/>
      <c r="O546" s="797"/>
      <c r="P546" s="797"/>
      <c r="Q546" s="797"/>
      <c r="R546" s="661"/>
      <c r="S546" s="661"/>
      <c r="T546" s="661"/>
      <c r="U546" s="664"/>
      <c r="V546" s="665"/>
      <c r="W546" s="661"/>
      <c r="X546" s="661"/>
      <c r="Y546" s="661"/>
      <c r="Z546" s="661"/>
    </row>
    <row r="547">
      <c r="A547" s="661"/>
      <c r="B547" s="663"/>
      <c r="C547" s="795"/>
      <c r="D547" s="796"/>
      <c r="E547" s="680"/>
      <c r="F547" s="797"/>
      <c r="G547" s="797"/>
      <c r="H547" s="797"/>
      <c r="I547" s="797"/>
      <c r="J547" s="797"/>
      <c r="K547" s="797"/>
      <c r="L547" s="797"/>
      <c r="M547" s="797"/>
      <c r="N547" s="797"/>
      <c r="O547" s="797"/>
      <c r="P547" s="797"/>
      <c r="Q547" s="797"/>
      <c r="R547" s="661"/>
      <c r="S547" s="661"/>
      <c r="T547" s="661"/>
      <c r="U547" s="664"/>
      <c r="V547" s="665"/>
      <c r="W547" s="661"/>
      <c r="X547" s="661"/>
      <c r="Y547" s="661"/>
      <c r="Z547" s="661"/>
    </row>
    <row r="548">
      <c r="A548" s="661"/>
      <c r="B548" s="663"/>
      <c r="C548" s="795"/>
      <c r="D548" s="796"/>
      <c r="E548" s="680"/>
      <c r="F548" s="797"/>
      <c r="G548" s="797"/>
      <c r="H548" s="797"/>
      <c r="I548" s="797"/>
      <c r="J548" s="797"/>
      <c r="K548" s="797"/>
      <c r="L548" s="797"/>
      <c r="M548" s="797"/>
      <c r="N548" s="797"/>
      <c r="O548" s="797"/>
      <c r="P548" s="797"/>
      <c r="Q548" s="797"/>
      <c r="R548" s="661"/>
      <c r="S548" s="661"/>
      <c r="T548" s="661"/>
      <c r="U548" s="664"/>
      <c r="V548" s="665"/>
      <c r="W548" s="661"/>
      <c r="X548" s="661"/>
      <c r="Y548" s="661"/>
      <c r="Z548" s="661"/>
    </row>
    <row r="549">
      <c r="A549" s="661"/>
      <c r="B549" s="663"/>
      <c r="C549" s="795"/>
      <c r="D549" s="796"/>
      <c r="E549" s="680"/>
      <c r="F549" s="797"/>
      <c r="G549" s="797"/>
      <c r="H549" s="797"/>
      <c r="I549" s="797"/>
      <c r="J549" s="797"/>
      <c r="K549" s="797"/>
      <c r="L549" s="797"/>
      <c r="M549" s="797"/>
      <c r="N549" s="797"/>
      <c r="O549" s="797"/>
      <c r="P549" s="797"/>
      <c r="Q549" s="797"/>
      <c r="R549" s="661"/>
      <c r="S549" s="661"/>
      <c r="T549" s="661"/>
      <c r="U549" s="664"/>
      <c r="V549" s="665"/>
      <c r="W549" s="661"/>
      <c r="X549" s="661"/>
      <c r="Y549" s="661"/>
      <c r="Z549" s="661"/>
    </row>
    <row r="550">
      <c r="A550" s="661"/>
      <c r="B550" s="663"/>
      <c r="C550" s="795"/>
      <c r="D550" s="796"/>
      <c r="E550" s="680"/>
      <c r="F550" s="797"/>
      <c r="G550" s="797"/>
      <c r="H550" s="797"/>
      <c r="I550" s="797"/>
      <c r="J550" s="797"/>
      <c r="K550" s="797"/>
      <c r="L550" s="797"/>
      <c r="M550" s="797"/>
      <c r="N550" s="797"/>
      <c r="O550" s="797"/>
      <c r="P550" s="797"/>
      <c r="Q550" s="797"/>
      <c r="R550" s="661"/>
      <c r="S550" s="661"/>
      <c r="T550" s="661"/>
      <c r="U550" s="664"/>
      <c r="V550" s="665"/>
      <c r="W550" s="661"/>
      <c r="X550" s="661"/>
      <c r="Y550" s="661"/>
      <c r="Z550" s="661"/>
    </row>
    <row r="551">
      <c r="A551" s="661"/>
      <c r="B551" s="663"/>
      <c r="C551" s="795"/>
      <c r="D551" s="796"/>
      <c r="E551" s="680"/>
      <c r="F551" s="797"/>
      <c r="G551" s="797"/>
      <c r="H551" s="797"/>
      <c r="I551" s="797"/>
      <c r="J551" s="797"/>
      <c r="K551" s="797"/>
      <c r="L551" s="797"/>
      <c r="M551" s="797"/>
      <c r="N551" s="797"/>
      <c r="O551" s="797"/>
      <c r="P551" s="797"/>
      <c r="Q551" s="797"/>
      <c r="R551" s="661"/>
      <c r="S551" s="661"/>
      <c r="T551" s="661"/>
      <c r="U551" s="664"/>
      <c r="V551" s="665"/>
      <c r="W551" s="661"/>
      <c r="X551" s="661"/>
      <c r="Y551" s="661"/>
      <c r="Z551" s="661"/>
    </row>
    <row r="552">
      <c r="A552" s="661"/>
      <c r="B552" s="663"/>
      <c r="C552" s="795"/>
      <c r="D552" s="796"/>
      <c r="E552" s="680"/>
      <c r="F552" s="797"/>
      <c r="G552" s="797"/>
      <c r="H552" s="797"/>
      <c r="I552" s="797"/>
      <c r="J552" s="797"/>
      <c r="K552" s="797"/>
      <c r="L552" s="797"/>
      <c r="M552" s="797"/>
      <c r="N552" s="797"/>
      <c r="O552" s="797"/>
      <c r="P552" s="797"/>
      <c r="Q552" s="797"/>
      <c r="R552" s="661"/>
      <c r="S552" s="661"/>
      <c r="T552" s="661"/>
      <c r="U552" s="664"/>
      <c r="V552" s="665"/>
      <c r="W552" s="661"/>
      <c r="X552" s="661"/>
      <c r="Y552" s="661"/>
      <c r="Z552" s="661"/>
    </row>
    <row r="553">
      <c r="A553" s="661"/>
      <c r="B553" s="663"/>
      <c r="C553" s="795"/>
      <c r="D553" s="796"/>
      <c r="E553" s="680"/>
      <c r="F553" s="797"/>
      <c r="G553" s="797"/>
      <c r="H553" s="797"/>
      <c r="I553" s="797"/>
      <c r="J553" s="797"/>
      <c r="K553" s="797"/>
      <c r="L553" s="797"/>
      <c r="M553" s="797"/>
      <c r="N553" s="797"/>
      <c r="O553" s="797"/>
      <c r="P553" s="797"/>
      <c r="Q553" s="797"/>
      <c r="R553" s="661"/>
      <c r="S553" s="661"/>
      <c r="T553" s="661"/>
      <c r="U553" s="664"/>
      <c r="V553" s="665"/>
      <c r="W553" s="661"/>
      <c r="X553" s="661"/>
      <c r="Y553" s="661"/>
      <c r="Z553" s="661"/>
    </row>
    <row r="554">
      <c r="A554" s="661"/>
      <c r="B554" s="663"/>
      <c r="C554" s="795"/>
      <c r="D554" s="796"/>
      <c r="E554" s="680"/>
      <c r="F554" s="797"/>
      <c r="G554" s="797"/>
      <c r="H554" s="797"/>
      <c r="I554" s="797"/>
      <c r="J554" s="797"/>
      <c r="K554" s="797"/>
      <c r="L554" s="797"/>
      <c r="M554" s="797"/>
      <c r="N554" s="797"/>
      <c r="O554" s="797"/>
      <c r="P554" s="797"/>
      <c r="Q554" s="797"/>
      <c r="R554" s="661"/>
      <c r="S554" s="661"/>
      <c r="T554" s="661"/>
      <c r="U554" s="664"/>
      <c r="V554" s="665"/>
      <c r="W554" s="661"/>
      <c r="X554" s="661"/>
      <c r="Y554" s="661"/>
      <c r="Z554" s="661"/>
    </row>
    <row r="555">
      <c r="A555" s="661"/>
      <c r="B555" s="663"/>
      <c r="C555" s="795"/>
      <c r="D555" s="796"/>
      <c r="E555" s="680"/>
      <c r="F555" s="797"/>
      <c r="G555" s="797"/>
      <c r="H555" s="797"/>
      <c r="I555" s="797"/>
      <c r="J555" s="797"/>
      <c r="K555" s="797"/>
      <c r="L555" s="797"/>
      <c r="M555" s="797"/>
      <c r="N555" s="797"/>
      <c r="O555" s="797"/>
      <c r="P555" s="797"/>
      <c r="Q555" s="797"/>
      <c r="R555" s="661"/>
      <c r="S555" s="661"/>
      <c r="T555" s="661"/>
      <c r="U555" s="664"/>
      <c r="V555" s="665"/>
      <c r="W555" s="661"/>
      <c r="X555" s="661"/>
      <c r="Y555" s="661"/>
      <c r="Z555" s="661"/>
    </row>
    <row r="556">
      <c r="A556" s="661"/>
      <c r="B556" s="663"/>
      <c r="C556" s="795"/>
      <c r="D556" s="796"/>
      <c r="E556" s="680"/>
      <c r="F556" s="797"/>
      <c r="G556" s="797"/>
      <c r="H556" s="797"/>
      <c r="I556" s="797"/>
      <c r="J556" s="797"/>
      <c r="K556" s="797"/>
      <c r="L556" s="797"/>
      <c r="M556" s="797"/>
      <c r="N556" s="797"/>
      <c r="O556" s="797"/>
      <c r="P556" s="797"/>
      <c r="Q556" s="797"/>
      <c r="R556" s="661"/>
      <c r="S556" s="661"/>
      <c r="T556" s="661"/>
      <c r="U556" s="664"/>
      <c r="V556" s="665"/>
      <c r="W556" s="661"/>
      <c r="X556" s="661"/>
      <c r="Y556" s="661"/>
      <c r="Z556" s="661"/>
    </row>
    <row r="557">
      <c r="A557" s="661"/>
      <c r="B557" s="663"/>
      <c r="C557" s="795"/>
      <c r="D557" s="796"/>
      <c r="E557" s="680"/>
      <c r="F557" s="797"/>
      <c r="G557" s="797"/>
      <c r="H557" s="797"/>
      <c r="I557" s="797"/>
      <c r="J557" s="797"/>
      <c r="K557" s="797"/>
      <c r="L557" s="797"/>
      <c r="M557" s="797"/>
      <c r="N557" s="797"/>
      <c r="O557" s="797"/>
      <c r="P557" s="797"/>
      <c r="Q557" s="797"/>
      <c r="R557" s="661"/>
      <c r="S557" s="661"/>
      <c r="T557" s="661"/>
      <c r="U557" s="664"/>
      <c r="V557" s="665"/>
      <c r="W557" s="661"/>
      <c r="X557" s="661"/>
      <c r="Y557" s="661"/>
      <c r="Z557" s="661"/>
    </row>
    <row r="558">
      <c r="A558" s="661"/>
      <c r="B558" s="663"/>
      <c r="C558" s="795"/>
      <c r="D558" s="796"/>
      <c r="E558" s="680"/>
      <c r="F558" s="797"/>
      <c r="G558" s="797"/>
      <c r="H558" s="797"/>
      <c r="I558" s="797"/>
      <c r="J558" s="797"/>
      <c r="K558" s="797"/>
      <c r="L558" s="797"/>
      <c r="M558" s="797"/>
      <c r="N558" s="797"/>
      <c r="O558" s="797"/>
      <c r="P558" s="797"/>
      <c r="Q558" s="797"/>
      <c r="R558" s="661"/>
      <c r="S558" s="661"/>
      <c r="T558" s="661"/>
      <c r="U558" s="664"/>
      <c r="V558" s="665"/>
      <c r="W558" s="661"/>
      <c r="X558" s="661"/>
      <c r="Y558" s="661"/>
      <c r="Z558" s="661"/>
    </row>
    <row r="559">
      <c r="A559" s="661"/>
      <c r="B559" s="663"/>
      <c r="C559" s="795"/>
      <c r="D559" s="796"/>
      <c r="E559" s="680"/>
      <c r="F559" s="797"/>
      <c r="G559" s="797"/>
      <c r="H559" s="797"/>
      <c r="I559" s="797"/>
      <c r="J559" s="797"/>
      <c r="K559" s="797"/>
      <c r="L559" s="797"/>
      <c r="M559" s="797"/>
      <c r="N559" s="797"/>
      <c r="O559" s="797"/>
      <c r="P559" s="797"/>
      <c r="Q559" s="797"/>
      <c r="R559" s="661"/>
      <c r="S559" s="661"/>
      <c r="T559" s="661"/>
      <c r="U559" s="664"/>
      <c r="V559" s="665"/>
      <c r="W559" s="661"/>
      <c r="X559" s="661"/>
      <c r="Y559" s="661"/>
      <c r="Z559" s="661"/>
    </row>
    <row r="560">
      <c r="A560" s="661"/>
      <c r="B560" s="663"/>
      <c r="C560" s="795"/>
      <c r="D560" s="796"/>
      <c r="E560" s="680"/>
      <c r="F560" s="797"/>
      <c r="G560" s="797"/>
      <c r="H560" s="797"/>
      <c r="I560" s="797"/>
      <c r="J560" s="797"/>
      <c r="K560" s="797"/>
      <c r="L560" s="797"/>
      <c r="M560" s="797"/>
      <c r="N560" s="797"/>
      <c r="O560" s="797"/>
      <c r="P560" s="797"/>
      <c r="Q560" s="797"/>
      <c r="R560" s="661"/>
      <c r="S560" s="661"/>
      <c r="T560" s="661"/>
      <c r="U560" s="664"/>
      <c r="V560" s="665"/>
      <c r="W560" s="661"/>
      <c r="X560" s="661"/>
      <c r="Y560" s="661"/>
      <c r="Z560" s="661"/>
    </row>
    <row r="561">
      <c r="A561" s="661"/>
      <c r="B561" s="663"/>
      <c r="C561" s="795"/>
      <c r="D561" s="796"/>
      <c r="E561" s="680"/>
      <c r="F561" s="797"/>
      <c r="G561" s="797"/>
      <c r="H561" s="797"/>
      <c r="I561" s="797"/>
      <c r="J561" s="797"/>
      <c r="K561" s="797"/>
      <c r="L561" s="797"/>
      <c r="M561" s="797"/>
      <c r="N561" s="797"/>
      <c r="O561" s="797"/>
      <c r="P561" s="797"/>
      <c r="Q561" s="797"/>
      <c r="R561" s="661"/>
      <c r="S561" s="661"/>
      <c r="T561" s="661"/>
      <c r="U561" s="664"/>
      <c r="V561" s="665"/>
      <c r="W561" s="661"/>
      <c r="X561" s="661"/>
      <c r="Y561" s="661"/>
      <c r="Z561" s="661"/>
    </row>
    <row r="562">
      <c r="A562" s="661"/>
      <c r="B562" s="663"/>
      <c r="C562" s="795"/>
      <c r="D562" s="796"/>
      <c r="E562" s="680"/>
      <c r="F562" s="797"/>
      <c r="G562" s="797"/>
      <c r="H562" s="797"/>
      <c r="I562" s="797"/>
      <c r="J562" s="797"/>
      <c r="K562" s="797"/>
      <c r="L562" s="797"/>
      <c r="M562" s="797"/>
      <c r="N562" s="797"/>
      <c r="O562" s="797"/>
      <c r="P562" s="797"/>
      <c r="Q562" s="797"/>
      <c r="R562" s="661"/>
      <c r="S562" s="661"/>
      <c r="T562" s="661"/>
      <c r="U562" s="664"/>
      <c r="V562" s="665"/>
      <c r="W562" s="661"/>
      <c r="X562" s="661"/>
      <c r="Y562" s="661"/>
      <c r="Z562" s="661"/>
    </row>
    <row r="563">
      <c r="A563" s="661"/>
      <c r="B563" s="663"/>
      <c r="C563" s="795"/>
      <c r="D563" s="796"/>
      <c r="E563" s="680"/>
      <c r="F563" s="797"/>
      <c r="G563" s="797"/>
      <c r="H563" s="797"/>
      <c r="I563" s="797"/>
      <c r="J563" s="797"/>
      <c r="K563" s="797"/>
      <c r="L563" s="797"/>
      <c r="M563" s="797"/>
      <c r="N563" s="797"/>
      <c r="O563" s="797"/>
      <c r="P563" s="797"/>
      <c r="Q563" s="797"/>
      <c r="R563" s="661"/>
      <c r="S563" s="661"/>
      <c r="T563" s="661"/>
      <c r="U563" s="664"/>
      <c r="V563" s="665"/>
      <c r="W563" s="661"/>
      <c r="X563" s="661"/>
      <c r="Y563" s="661"/>
      <c r="Z563" s="661"/>
    </row>
    <row r="564">
      <c r="A564" s="661"/>
      <c r="B564" s="663"/>
      <c r="C564" s="795"/>
      <c r="D564" s="796"/>
      <c r="E564" s="680"/>
      <c r="F564" s="797"/>
      <c r="G564" s="797"/>
      <c r="H564" s="797"/>
      <c r="I564" s="797"/>
      <c r="J564" s="797"/>
      <c r="K564" s="797"/>
      <c r="L564" s="797"/>
      <c r="M564" s="797"/>
      <c r="N564" s="797"/>
      <c r="O564" s="797"/>
      <c r="P564" s="797"/>
      <c r="Q564" s="797"/>
      <c r="R564" s="661"/>
      <c r="S564" s="661"/>
      <c r="T564" s="661"/>
      <c r="U564" s="664"/>
      <c r="V564" s="665"/>
      <c r="W564" s="661"/>
      <c r="X564" s="661"/>
      <c r="Y564" s="661"/>
      <c r="Z564" s="661"/>
    </row>
    <row r="565">
      <c r="A565" s="661"/>
      <c r="B565" s="663"/>
      <c r="C565" s="795"/>
      <c r="D565" s="796"/>
      <c r="E565" s="680"/>
      <c r="F565" s="797"/>
      <c r="G565" s="797"/>
      <c r="H565" s="797"/>
      <c r="I565" s="797"/>
      <c r="J565" s="797"/>
      <c r="K565" s="797"/>
      <c r="L565" s="797"/>
      <c r="M565" s="797"/>
      <c r="N565" s="797"/>
      <c r="O565" s="797"/>
      <c r="P565" s="797"/>
      <c r="Q565" s="797"/>
      <c r="R565" s="661"/>
      <c r="S565" s="661"/>
      <c r="T565" s="661"/>
      <c r="U565" s="664"/>
      <c r="V565" s="665"/>
      <c r="W565" s="661"/>
      <c r="X565" s="661"/>
      <c r="Y565" s="661"/>
      <c r="Z565" s="661"/>
    </row>
    <row r="566">
      <c r="A566" s="661"/>
      <c r="B566" s="663"/>
      <c r="C566" s="795"/>
      <c r="D566" s="796"/>
      <c r="E566" s="680"/>
      <c r="F566" s="797"/>
      <c r="G566" s="797"/>
      <c r="H566" s="797"/>
      <c r="I566" s="797"/>
      <c r="J566" s="797"/>
      <c r="K566" s="797"/>
      <c r="L566" s="797"/>
      <c r="M566" s="797"/>
      <c r="N566" s="797"/>
      <c r="O566" s="797"/>
      <c r="P566" s="797"/>
      <c r="Q566" s="797"/>
      <c r="R566" s="661"/>
      <c r="S566" s="661"/>
      <c r="T566" s="661"/>
      <c r="U566" s="664"/>
      <c r="V566" s="665"/>
      <c r="W566" s="661"/>
      <c r="X566" s="661"/>
      <c r="Y566" s="661"/>
      <c r="Z566" s="661"/>
    </row>
    <row r="567">
      <c r="A567" s="661"/>
      <c r="B567" s="663"/>
      <c r="C567" s="795"/>
      <c r="D567" s="796"/>
      <c r="E567" s="680"/>
      <c r="F567" s="797"/>
      <c r="G567" s="797"/>
      <c r="H567" s="797"/>
      <c r="I567" s="797"/>
      <c r="J567" s="797"/>
      <c r="K567" s="797"/>
      <c r="L567" s="797"/>
      <c r="M567" s="797"/>
      <c r="N567" s="797"/>
      <c r="O567" s="797"/>
      <c r="P567" s="797"/>
      <c r="Q567" s="797"/>
      <c r="R567" s="661"/>
      <c r="S567" s="661"/>
      <c r="T567" s="661"/>
      <c r="U567" s="664"/>
      <c r="V567" s="665"/>
      <c r="W567" s="661"/>
      <c r="X567" s="661"/>
      <c r="Y567" s="661"/>
      <c r="Z567" s="661"/>
    </row>
    <row r="568">
      <c r="A568" s="661"/>
      <c r="B568" s="663"/>
      <c r="C568" s="795"/>
      <c r="D568" s="796"/>
      <c r="E568" s="680"/>
      <c r="F568" s="797"/>
      <c r="G568" s="797"/>
      <c r="H568" s="797"/>
      <c r="I568" s="797"/>
      <c r="J568" s="797"/>
      <c r="K568" s="797"/>
      <c r="L568" s="797"/>
      <c r="M568" s="797"/>
      <c r="N568" s="797"/>
      <c r="O568" s="797"/>
      <c r="P568" s="797"/>
      <c r="Q568" s="797"/>
      <c r="R568" s="661"/>
      <c r="S568" s="661"/>
      <c r="T568" s="661"/>
      <c r="U568" s="664"/>
      <c r="V568" s="665"/>
      <c r="W568" s="661"/>
      <c r="X568" s="661"/>
      <c r="Y568" s="661"/>
      <c r="Z568" s="661"/>
    </row>
    <row r="569">
      <c r="A569" s="661"/>
      <c r="B569" s="663"/>
      <c r="C569" s="795"/>
      <c r="D569" s="796"/>
      <c r="E569" s="680"/>
      <c r="F569" s="797"/>
      <c r="G569" s="797"/>
      <c r="H569" s="797"/>
      <c r="I569" s="797"/>
      <c r="J569" s="797"/>
      <c r="K569" s="797"/>
      <c r="L569" s="797"/>
      <c r="M569" s="797"/>
      <c r="N569" s="797"/>
      <c r="O569" s="797"/>
      <c r="P569" s="797"/>
      <c r="Q569" s="797"/>
      <c r="R569" s="661"/>
      <c r="S569" s="661"/>
      <c r="T569" s="661"/>
      <c r="U569" s="664"/>
      <c r="V569" s="665"/>
      <c r="W569" s="661"/>
      <c r="X569" s="661"/>
      <c r="Y569" s="661"/>
      <c r="Z569" s="661"/>
    </row>
    <row r="570">
      <c r="A570" s="661"/>
      <c r="B570" s="663"/>
      <c r="C570" s="795"/>
      <c r="D570" s="796"/>
      <c r="E570" s="680"/>
      <c r="F570" s="797"/>
      <c r="G570" s="797"/>
      <c r="H570" s="797"/>
      <c r="I570" s="797"/>
      <c r="J570" s="797"/>
      <c r="K570" s="797"/>
      <c r="L570" s="797"/>
      <c r="M570" s="797"/>
      <c r="N570" s="797"/>
      <c r="O570" s="797"/>
      <c r="P570" s="797"/>
      <c r="Q570" s="797"/>
      <c r="R570" s="661"/>
      <c r="S570" s="661"/>
      <c r="T570" s="661"/>
      <c r="U570" s="664"/>
      <c r="V570" s="665"/>
      <c r="W570" s="661"/>
      <c r="X570" s="661"/>
      <c r="Y570" s="661"/>
      <c r="Z570" s="661"/>
    </row>
    <row r="571">
      <c r="A571" s="661"/>
      <c r="B571" s="663"/>
      <c r="C571" s="795"/>
      <c r="D571" s="796"/>
      <c r="E571" s="680"/>
      <c r="F571" s="797"/>
      <c r="G571" s="797"/>
      <c r="H571" s="797"/>
      <c r="I571" s="797"/>
      <c r="J571" s="797"/>
      <c r="K571" s="797"/>
      <c r="L571" s="797"/>
      <c r="M571" s="797"/>
      <c r="N571" s="797"/>
      <c r="O571" s="797"/>
      <c r="P571" s="797"/>
      <c r="Q571" s="797"/>
      <c r="R571" s="661"/>
      <c r="S571" s="661"/>
      <c r="T571" s="661"/>
      <c r="U571" s="664"/>
      <c r="V571" s="665"/>
      <c r="W571" s="661"/>
      <c r="X571" s="661"/>
      <c r="Y571" s="661"/>
      <c r="Z571" s="661"/>
    </row>
    <row r="572">
      <c r="A572" s="661"/>
      <c r="B572" s="663"/>
      <c r="C572" s="795"/>
      <c r="D572" s="796"/>
      <c r="E572" s="680"/>
      <c r="F572" s="797"/>
      <c r="G572" s="797"/>
      <c r="H572" s="797"/>
      <c r="I572" s="797"/>
      <c r="J572" s="797"/>
      <c r="K572" s="797"/>
      <c r="L572" s="797"/>
      <c r="M572" s="797"/>
      <c r="N572" s="797"/>
      <c r="O572" s="797"/>
      <c r="P572" s="797"/>
      <c r="Q572" s="797"/>
      <c r="R572" s="661"/>
      <c r="S572" s="661"/>
      <c r="T572" s="661"/>
      <c r="U572" s="664"/>
      <c r="V572" s="665"/>
      <c r="W572" s="661"/>
      <c r="X572" s="661"/>
      <c r="Y572" s="661"/>
      <c r="Z572" s="661"/>
    </row>
    <row r="573">
      <c r="A573" s="661"/>
      <c r="B573" s="663"/>
      <c r="C573" s="795"/>
      <c r="D573" s="796"/>
      <c r="E573" s="680"/>
      <c r="F573" s="797"/>
      <c r="G573" s="797"/>
      <c r="H573" s="797"/>
      <c r="I573" s="797"/>
      <c r="J573" s="797"/>
      <c r="K573" s="797"/>
      <c r="L573" s="797"/>
      <c r="M573" s="797"/>
      <c r="N573" s="797"/>
      <c r="O573" s="797"/>
      <c r="P573" s="797"/>
      <c r="Q573" s="797"/>
      <c r="R573" s="661"/>
      <c r="S573" s="661"/>
      <c r="T573" s="661"/>
      <c r="U573" s="664"/>
      <c r="V573" s="665"/>
      <c r="W573" s="661"/>
      <c r="X573" s="661"/>
      <c r="Y573" s="661"/>
      <c r="Z573" s="661"/>
    </row>
    <row r="574">
      <c r="A574" s="661"/>
      <c r="B574" s="663"/>
      <c r="C574" s="795"/>
      <c r="D574" s="796"/>
      <c r="E574" s="680"/>
      <c r="F574" s="797"/>
      <c r="G574" s="797"/>
      <c r="H574" s="797"/>
      <c r="I574" s="797"/>
      <c r="J574" s="797"/>
      <c r="K574" s="797"/>
      <c r="L574" s="797"/>
      <c r="M574" s="797"/>
      <c r="N574" s="797"/>
      <c r="O574" s="797"/>
      <c r="P574" s="797"/>
      <c r="Q574" s="797"/>
      <c r="R574" s="661"/>
      <c r="S574" s="661"/>
      <c r="T574" s="661"/>
      <c r="U574" s="664"/>
      <c r="V574" s="665"/>
      <c r="W574" s="661"/>
      <c r="X574" s="661"/>
      <c r="Y574" s="661"/>
      <c r="Z574" s="661"/>
    </row>
    <row r="575">
      <c r="A575" s="661"/>
      <c r="B575" s="663"/>
      <c r="C575" s="795"/>
      <c r="D575" s="796"/>
      <c r="E575" s="680"/>
      <c r="F575" s="797"/>
      <c r="G575" s="797"/>
      <c r="H575" s="797"/>
      <c r="I575" s="797"/>
      <c r="J575" s="797"/>
      <c r="K575" s="797"/>
      <c r="L575" s="797"/>
      <c r="M575" s="797"/>
      <c r="N575" s="797"/>
      <c r="O575" s="797"/>
      <c r="P575" s="797"/>
      <c r="Q575" s="797"/>
      <c r="R575" s="661"/>
      <c r="S575" s="661"/>
      <c r="T575" s="661"/>
      <c r="U575" s="664"/>
      <c r="V575" s="665"/>
      <c r="W575" s="661"/>
      <c r="X575" s="661"/>
      <c r="Y575" s="661"/>
      <c r="Z575" s="661"/>
    </row>
    <row r="576">
      <c r="A576" s="661"/>
      <c r="B576" s="663"/>
      <c r="C576" s="795"/>
      <c r="D576" s="796"/>
      <c r="E576" s="680"/>
      <c r="F576" s="797"/>
      <c r="G576" s="797"/>
      <c r="H576" s="797"/>
      <c r="I576" s="797"/>
      <c r="J576" s="797"/>
      <c r="K576" s="797"/>
      <c r="L576" s="797"/>
      <c r="M576" s="797"/>
      <c r="N576" s="797"/>
      <c r="O576" s="797"/>
      <c r="P576" s="797"/>
      <c r="Q576" s="797"/>
      <c r="R576" s="661"/>
      <c r="S576" s="661"/>
      <c r="T576" s="661"/>
      <c r="U576" s="664"/>
      <c r="V576" s="665"/>
      <c r="W576" s="661"/>
      <c r="X576" s="661"/>
      <c r="Y576" s="661"/>
      <c r="Z576" s="661"/>
    </row>
    <row r="577">
      <c r="A577" s="661"/>
      <c r="B577" s="663"/>
      <c r="C577" s="795"/>
      <c r="D577" s="796"/>
      <c r="E577" s="680"/>
      <c r="F577" s="797"/>
      <c r="G577" s="797"/>
      <c r="H577" s="797"/>
      <c r="I577" s="797"/>
      <c r="J577" s="797"/>
      <c r="K577" s="797"/>
      <c r="L577" s="797"/>
      <c r="M577" s="797"/>
      <c r="N577" s="797"/>
      <c r="O577" s="797"/>
      <c r="P577" s="797"/>
      <c r="Q577" s="797"/>
      <c r="R577" s="661"/>
      <c r="S577" s="661"/>
      <c r="T577" s="661"/>
      <c r="U577" s="664"/>
      <c r="V577" s="665"/>
      <c r="W577" s="661"/>
      <c r="X577" s="661"/>
      <c r="Y577" s="661"/>
      <c r="Z577" s="661"/>
    </row>
    <row r="578">
      <c r="A578" s="661"/>
      <c r="B578" s="663"/>
      <c r="C578" s="795"/>
      <c r="D578" s="796"/>
      <c r="E578" s="680"/>
      <c r="F578" s="797"/>
      <c r="G578" s="797"/>
      <c r="H578" s="797"/>
      <c r="I578" s="797"/>
      <c r="J578" s="797"/>
      <c r="K578" s="797"/>
      <c r="L578" s="797"/>
      <c r="M578" s="797"/>
      <c r="N578" s="797"/>
      <c r="O578" s="797"/>
      <c r="P578" s="797"/>
      <c r="Q578" s="797"/>
      <c r="R578" s="661"/>
      <c r="S578" s="661"/>
      <c r="T578" s="661"/>
      <c r="U578" s="664"/>
      <c r="V578" s="665"/>
      <c r="W578" s="661"/>
      <c r="X578" s="661"/>
      <c r="Y578" s="661"/>
      <c r="Z578" s="661"/>
    </row>
    <row r="579">
      <c r="A579" s="661"/>
      <c r="B579" s="663"/>
      <c r="C579" s="795"/>
      <c r="D579" s="796"/>
      <c r="E579" s="680"/>
      <c r="F579" s="797"/>
      <c r="G579" s="797"/>
      <c r="H579" s="797"/>
      <c r="I579" s="797"/>
      <c r="J579" s="797"/>
      <c r="K579" s="797"/>
      <c r="L579" s="797"/>
      <c r="M579" s="797"/>
      <c r="N579" s="797"/>
      <c r="O579" s="797"/>
      <c r="P579" s="797"/>
      <c r="Q579" s="797"/>
      <c r="R579" s="661"/>
      <c r="S579" s="661"/>
      <c r="T579" s="661"/>
      <c r="U579" s="664"/>
      <c r="V579" s="665"/>
      <c r="W579" s="661"/>
      <c r="X579" s="661"/>
      <c r="Y579" s="661"/>
      <c r="Z579" s="661"/>
    </row>
    <row r="580">
      <c r="A580" s="661"/>
      <c r="B580" s="663"/>
      <c r="C580" s="795"/>
      <c r="D580" s="796"/>
      <c r="E580" s="680"/>
      <c r="F580" s="797"/>
      <c r="G580" s="797"/>
      <c r="H580" s="797"/>
      <c r="I580" s="797"/>
      <c r="J580" s="797"/>
      <c r="K580" s="797"/>
      <c r="L580" s="797"/>
      <c r="M580" s="797"/>
      <c r="N580" s="797"/>
      <c r="O580" s="797"/>
      <c r="P580" s="797"/>
      <c r="Q580" s="797"/>
      <c r="R580" s="661"/>
      <c r="S580" s="661"/>
      <c r="T580" s="661"/>
      <c r="U580" s="664"/>
      <c r="V580" s="665"/>
      <c r="W580" s="661"/>
      <c r="X580" s="661"/>
      <c r="Y580" s="661"/>
      <c r="Z580" s="661"/>
    </row>
    <row r="581">
      <c r="A581" s="661"/>
      <c r="B581" s="663"/>
      <c r="C581" s="795"/>
      <c r="D581" s="796"/>
      <c r="E581" s="680"/>
      <c r="F581" s="797"/>
      <c r="G581" s="797"/>
      <c r="H581" s="797"/>
      <c r="I581" s="797"/>
      <c r="J581" s="797"/>
      <c r="K581" s="797"/>
      <c r="L581" s="797"/>
      <c r="M581" s="797"/>
      <c r="N581" s="797"/>
      <c r="O581" s="797"/>
      <c r="P581" s="797"/>
      <c r="Q581" s="797"/>
      <c r="R581" s="661"/>
      <c r="S581" s="661"/>
      <c r="T581" s="661"/>
      <c r="U581" s="664"/>
      <c r="V581" s="665"/>
      <c r="W581" s="661"/>
      <c r="X581" s="661"/>
      <c r="Y581" s="661"/>
      <c r="Z581" s="661"/>
    </row>
    <row r="582">
      <c r="A582" s="661"/>
      <c r="B582" s="663"/>
      <c r="C582" s="795"/>
      <c r="D582" s="796"/>
      <c r="E582" s="680"/>
      <c r="F582" s="797"/>
      <c r="G582" s="797"/>
      <c r="H582" s="797"/>
      <c r="I582" s="797"/>
      <c r="J582" s="797"/>
      <c r="K582" s="797"/>
      <c r="L582" s="797"/>
      <c r="M582" s="797"/>
      <c r="N582" s="797"/>
      <c r="O582" s="797"/>
      <c r="P582" s="797"/>
      <c r="Q582" s="797"/>
      <c r="R582" s="661"/>
      <c r="S582" s="661"/>
      <c r="T582" s="661"/>
      <c r="U582" s="664"/>
      <c r="V582" s="665"/>
      <c r="W582" s="661"/>
      <c r="X582" s="661"/>
      <c r="Y582" s="661"/>
      <c r="Z582" s="661"/>
    </row>
    <row r="583">
      <c r="A583" s="661"/>
      <c r="B583" s="663"/>
      <c r="C583" s="795"/>
      <c r="D583" s="796"/>
      <c r="E583" s="680"/>
      <c r="F583" s="797"/>
      <c r="G583" s="797"/>
      <c r="H583" s="797"/>
      <c r="I583" s="797"/>
      <c r="J583" s="797"/>
      <c r="K583" s="797"/>
      <c r="L583" s="797"/>
      <c r="M583" s="797"/>
      <c r="N583" s="797"/>
      <c r="O583" s="797"/>
      <c r="P583" s="797"/>
      <c r="Q583" s="797"/>
      <c r="R583" s="661"/>
      <c r="S583" s="661"/>
      <c r="T583" s="661"/>
      <c r="U583" s="664"/>
      <c r="V583" s="665"/>
      <c r="W583" s="661"/>
      <c r="X583" s="661"/>
      <c r="Y583" s="661"/>
      <c r="Z583" s="661"/>
    </row>
    <row r="584">
      <c r="A584" s="661"/>
      <c r="B584" s="663"/>
      <c r="C584" s="795"/>
      <c r="D584" s="796"/>
      <c r="E584" s="680"/>
      <c r="F584" s="797"/>
      <c r="G584" s="797"/>
      <c r="H584" s="797"/>
      <c r="I584" s="797"/>
      <c r="J584" s="797"/>
      <c r="K584" s="797"/>
      <c r="L584" s="797"/>
      <c r="M584" s="797"/>
      <c r="N584" s="797"/>
      <c r="O584" s="797"/>
      <c r="P584" s="797"/>
      <c r="Q584" s="797"/>
      <c r="R584" s="661"/>
      <c r="S584" s="661"/>
      <c r="T584" s="661"/>
      <c r="U584" s="664"/>
      <c r="V584" s="665"/>
      <c r="W584" s="661"/>
      <c r="X584" s="661"/>
      <c r="Y584" s="661"/>
      <c r="Z584" s="661"/>
    </row>
    <row r="585">
      <c r="A585" s="661"/>
      <c r="B585" s="663"/>
      <c r="C585" s="795"/>
      <c r="D585" s="796"/>
      <c r="E585" s="680"/>
      <c r="F585" s="797"/>
      <c r="G585" s="797"/>
      <c r="H585" s="797"/>
      <c r="I585" s="797"/>
      <c r="J585" s="797"/>
      <c r="K585" s="797"/>
      <c r="L585" s="797"/>
      <c r="M585" s="797"/>
      <c r="N585" s="797"/>
      <c r="O585" s="797"/>
      <c r="P585" s="797"/>
      <c r="Q585" s="797"/>
      <c r="R585" s="661"/>
      <c r="S585" s="661"/>
      <c r="T585" s="661"/>
      <c r="U585" s="664"/>
      <c r="V585" s="665"/>
      <c r="W585" s="661"/>
      <c r="X585" s="661"/>
      <c r="Y585" s="661"/>
      <c r="Z585" s="661"/>
    </row>
    <row r="586">
      <c r="A586" s="661"/>
      <c r="B586" s="663"/>
      <c r="C586" s="795"/>
      <c r="D586" s="796"/>
      <c r="E586" s="680"/>
      <c r="F586" s="797"/>
      <c r="G586" s="797"/>
      <c r="H586" s="797"/>
      <c r="I586" s="797"/>
      <c r="J586" s="797"/>
      <c r="K586" s="797"/>
      <c r="L586" s="797"/>
      <c r="M586" s="797"/>
      <c r="N586" s="797"/>
      <c r="O586" s="797"/>
      <c r="P586" s="797"/>
      <c r="Q586" s="797"/>
      <c r="R586" s="661"/>
      <c r="S586" s="661"/>
      <c r="T586" s="661"/>
      <c r="U586" s="664"/>
      <c r="V586" s="665"/>
      <c r="W586" s="661"/>
      <c r="X586" s="661"/>
      <c r="Y586" s="661"/>
      <c r="Z586" s="661"/>
    </row>
    <row r="587">
      <c r="A587" s="661"/>
      <c r="B587" s="663"/>
      <c r="C587" s="795"/>
      <c r="D587" s="796"/>
      <c r="E587" s="680"/>
      <c r="F587" s="797"/>
      <c r="G587" s="797"/>
      <c r="H587" s="797"/>
      <c r="I587" s="797"/>
      <c r="J587" s="797"/>
      <c r="K587" s="797"/>
      <c r="L587" s="797"/>
      <c r="M587" s="797"/>
      <c r="N587" s="797"/>
      <c r="O587" s="797"/>
      <c r="P587" s="797"/>
      <c r="Q587" s="797"/>
      <c r="R587" s="661"/>
      <c r="S587" s="661"/>
      <c r="T587" s="661"/>
      <c r="U587" s="664"/>
      <c r="V587" s="665"/>
      <c r="W587" s="661"/>
      <c r="X587" s="661"/>
      <c r="Y587" s="661"/>
      <c r="Z587" s="661"/>
    </row>
    <row r="588">
      <c r="A588" s="661"/>
      <c r="B588" s="663"/>
      <c r="C588" s="795"/>
      <c r="D588" s="796"/>
      <c r="E588" s="680"/>
      <c r="F588" s="797"/>
      <c r="G588" s="797"/>
      <c r="H588" s="797"/>
      <c r="I588" s="797"/>
      <c r="J588" s="797"/>
      <c r="K588" s="797"/>
      <c r="L588" s="797"/>
      <c r="M588" s="797"/>
      <c r="N588" s="797"/>
      <c r="O588" s="797"/>
      <c r="P588" s="797"/>
      <c r="Q588" s="797"/>
      <c r="R588" s="661"/>
      <c r="S588" s="661"/>
      <c r="T588" s="661"/>
      <c r="U588" s="664"/>
      <c r="V588" s="665"/>
      <c r="W588" s="661"/>
      <c r="X588" s="661"/>
      <c r="Y588" s="661"/>
      <c r="Z588" s="661"/>
    </row>
    <row r="589">
      <c r="A589" s="661"/>
      <c r="B589" s="663"/>
      <c r="C589" s="795"/>
      <c r="D589" s="796"/>
      <c r="E589" s="680"/>
      <c r="F589" s="797"/>
      <c r="G589" s="797"/>
      <c r="H589" s="797"/>
      <c r="I589" s="797"/>
      <c r="J589" s="797"/>
      <c r="K589" s="797"/>
      <c r="L589" s="797"/>
      <c r="M589" s="797"/>
      <c r="N589" s="797"/>
      <c r="O589" s="797"/>
      <c r="P589" s="797"/>
      <c r="Q589" s="797"/>
      <c r="R589" s="661"/>
      <c r="S589" s="661"/>
      <c r="T589" s="661"/>
      <c r="U589" s="664"/>
      <c r="V589" s="665"/>
      <c r="W589" s="661"/>
      <c r="X589" s="661"/>
      <c r="Y589" s="661"/>
      <c r="Z589" s="661"/>
    </row>
    <row r="590">
      <c r="A590" s="661"/>
      <c r="B590" s="663"/>
      <c r="C590" s="795"/>
      <c r="D590" s="796"/>
      <c r="E590" s="680"/>
      <c r="F590" s="797"/>
      <c r="G590" s="797"/>
      <c r="H590" s="797"/>
      <c r="I590" s="797"/>
      <c r="J590" s="797"/>
      <c r="K590" s="797"/>
      <c r="L590" s="797"/>
      <c r="M590" s="797"/>
      <c r="N590" s="797"/>
      <c r="O590" s="797"/>
      <c r="P590" s="797"/>
      <c r="Q590" s="797"/>
      <c r="R590" s="661"/>
      <c r="S590" s="661"/>
      <c r="T590" s="661"/>
      <c r="U590" s="664"/>
      <c r="V590" s="665"/>
      <c r="W590" s="661"/>
      <c r="X590" s="661"/>
      <c r="Y590" s="661"/>
      <c r="Z590" s="661"/>
    </row>
    <row r="591">
      <c r="A591" s="661"/>
      <c r="B591" s="663"/>
      <c r="C591" s="795"/>
      <c r="D591" s="796"/>
      <c r="E591" s="680"/>
      <c r="F591" s="797"/>
      <c r="G591" s="797"/>
      <c r="H591" s="797"/>
      <c r="I591" s="797"/>
      <c r="J591" s="797"/>
      <c r="K591" s="797"/>
      <c r="L591" s="797"/>
      <c r="M591" s="797"/>
      <c r="N591" s="797"/>
      <c r="O591" s="797"/>
      <c r="P591" s="797"/>
      <c r="Q591" s="797"/>
      <c r="R591" s="661"/>
      <c r="S591" s="661"/>
      <c r="T591" s="661"/>
      <c r="U591" s="664"/>
      <c r="V591" s="665"/>
      <c r="W591" s="661"/>
      <c r="X591" s="661"/>
      <c r="Y591" s="661"/>
      <c r="Z591" s="661"/>
    </row>
    <row r="592">
      <c r="A592" s="661"/>
      <c r="B592" s="663"/>
      <c r="C592" s="795"/>
      <c r="D592" s="796"/>
      <c r="E592" s="680"/>
      <c r="F592" s="797"/>
      <c r="G592" s="797"/>
      <c r="H592" s="797"/>
      <c r="I592" s="797"/>
      <c r="J592" s="797"/>
      <c r="K592" s="797"/>
      <c r="L592" s="797"/>
      <c r="M592" s="797"/>
      <c r="N592" s="797"/>
      <c r="O592" s="797"/>
      <c r="P592" s="797"/>
      <c r="Q592" s="797"/>
      <c r="R592" s="661"/>
      <c r="S592" s="661"/>
      <c r="T592" s="661"/>
      <c r="U592" s="664"/>
      <c r="V592" s="665"/>
      <c r="W592" s="661"/>
      <c r="X592" s="661"/>
      <c r="Y592" s="661"/>
      <c r="Z592" s="661"/>
    </row>
    <row r="593">
      <c r="A593" s="661"/>
      <c r="B593" s="663"/>
      <c r="C593" s="795"/>
      <c r="D593" s="796"/>
      <c r="E593" s="680"/>
      <c r="F593" s="797"/>
      <c r="G593" s="797"/>
      <c r="H593" s="797"/>
      <c r="I593" s="797"/>
      <c r="J593" s="797"/>
      <c r="K593" s="797"/>
      <c r="L593" s="797"/>
      <c r="M593" s="797"/>
      <c r="N593" s="797"/>
      <c r="O593" s="797"/>
      <c r="P593" s="797"/>
      <c r="Q593" s="797"/>
      <c r="R593" s="661"/>
      <c r="S593" s="661"/>
      <c r="T593" s="661"/>
      <c r="U593" s="664"/>
      <c r="V593" s="665"/>
      <c r="W593" s="661"/>
      <c r="X593" s="661"/>
      <c r="Y593" s="661"/>
      <c r="Z593" s="661"/>
    </row>
    <row r="594">
      <c r="A594" s="661"/>
      <c r="B594" s="663"/>
      <c r="C594" s="795"/>
      <c r="D594" s="796"/>
      <c r="E594" s="680"/>
      <c r="F594" s="797"/>
      <c r="G594" s="797"/>
      <c r="H594" s="797"/>
      <c r="I594" s="797"/>
      <c r="J594" s="797"/>
      <c r="K594" s="797"/>
      <c r="L594" s="797"/>
      <c r="M594" s="797"/>
      <c r="N594" s="797"/>
      <c r="O594" s="797"/>
      <c r="P594" s="797"/>
      <c r="Q594" s="797"/>
      <c r="R594" s="661"/>
      <c r="S594" s="661"/>
      <c r="T594" s="661"/>
      <c r="U594" s="664"/>
      <c r="V594" s="665"/>
      <c r="W594" s="661"/>
      <c r="X594" s="661"/>
      <c r="Y594" s="661"/>
      <c r="Z594" s="661"/>
    </row>
    <row r="595">
      <c r="A595" s="661"/>
      <c r="B595" s="663"/>
      <c r="C595" s="795"/>
      <c r="D595" s="796"/>
      <c r="E595" s="680"/>
      <c r="F595" s="797"/>
      <c r="G595" s="797"/>
      <c r="H595" s="797"/>
      <c r="I595" s="797"/>
      <c r="J595" s="797"/>
      <c r="K595" s="797"/>
      <c r="L595" s="797"/>
      <c r="M595" s="797"/>
      <c r="N595" s="797"/>
      <c r="O595" s="797"/>
      <c r="P595" s="797"/>
      <c r="Q595" s="797"/>
      <c r="R595" s="661"/>
      <c r="S595" s="661"/>
      <c r="T595" s="661"/>
      <c r="U595" s="664"/>
      <c r="V595" s="665"/>
      <c r="W595" s="661"/>
      <c r="X595" s="661"/>
      <c r="Y595" s="661"/>
      <c r="Z595" s="661"/>
    </row>
    <row r="596">
      <c r="A596" s="661"/>
      <c r="B596" s="663"/>
      <c r="C596" s="795"/>
      <c r="D596" s="796"/>
      <c r="E596" s="680"/>
      <c r="F596" s="797"/>
      <c r="G596" s="797"/>
      <c r="H596" s="797"/>
      <c r="I596" s="797"/>
      <c r="J596" s="797"/>
      <c r="K596" s="797"/>
      <c r="L596" s="797"/>
      <c r="M596" s="797"/>
      <c r="N596" s="797"/>
      <c r="O596" s="797"/>
      <c r="P596" s="797"/>
      <c r="Q596" s="797"/>
      <c r="R596" s="661"/>
      <c r="S596" s="661"/>
      <c r="T596" s="661"/>
      <c r="U596" s="664"/>
      <c r="V596" s="665"/>
      <c r="W596" s="661"/>
      <c r="X596" s="661"/>
      <c r="Y596" s="661"/>
      <c r="Z596" s="661"/>
    </row>
    <row r="597">
      <c r="A597" s="661"/>
      <c r="B597" s="663"/>
      <c r="C597" s="795"/>
      <c r="D597" s="796"/>
      <c r="E597" s="680"/>
      <c r="F597" s="797"/>
      <c r="G597" s="797"/>
      <c r="H597" s="797"/>
      <c r="I597" s="797"/>
      <c r="J597" s="797"/>
      <c r="K597" s="797"/>
      <c r="L597" s="797"/>
      <c r="M597" s="797"/>
      <c r="N597" s="797"/>
      <c r="O597" s="797"/>
      <c r="P597" s="797"/>
      <c r="Q597" s="797"/>
      <c r="R597" s="661"/>
      <c r="S597" s="661"/>
      <c r="T597" s="661"/>
      <c r="U597" s="664"/>
      <c r="V597" s="665"/>
      <c r="W597" s="661"/>
      <c r="X597" s="661"/>
      <c r="Y597" s="661"/>
      <c r="Z597" s="661"/>
    </row>
    <row r="598">
      <c r="A598" s="661"/>
      <c r="B598" s="663"/>
      <c r="C598" s="795"/>
      <c r="D598" s="796"/>
      <c r="E598" s="680"/>
      <c r="F598" s="797"/>
      <c r="G598" s="797"/>
      <c r="H598" s="797"/>
      <c r="I598" s="797"/>
      <c r="J598" s="797"/>
      <c r="K598" s="797"/>
      <c r="L598" s="797"/>
      <c r="M598" s="797"/>
      <c r="N598" s="797"/>
      <c r="O598" s="797"/>
      <c r="P598" s="797"/>
      <c r="Q598" s="797"/>
      <c r="R598" s="661"/>
      <c r="S598" s="661"/>
      <c r="T598" s="661"/>
      <c r="U598" s="664"/>
      <c r="V598" s="665"/>
      <c r="W598" s="661"/>
      <c r="X598" s="661"/>
      <c r="Y598" s="661"/>
      <c r="Z598" s="661"/>
    </row>
    <row r="599">
      <c r="A599" s="661"/>
      <c r="B599" s="663"/>
      <c r="C599" s="795"/>
      <c r="D599" s="796"/>
      <c r="E599" s="680"/>
      <c r="F599" s="797"/>
      <c r="G599" s="797"/>
      <c r="H599" s="797"/>
      <c r="I599" s="797"/>
      <c r="J599" s="797"/>
      <c r="K599" s="797"/>
      <c r="L599" s="797"/>
      <c r="M599" s="797"/>
      <c r="N599" s="797"/>
      <c r="O599" s="797"/>
      <c r="P599" s="797"/>
      <c r="Q599" s="797"/>
      <c r="R599" s="661"/>
      <c r="S599" s="661"/>
      <c r="T599" s="661"/>
      <c r="U599" s="664"/>
      <c r="V599" s="665"/>
      <c r="W599" s="661"/>
      <c r="X599" s="661"/>
      <c r="Y599" s="661"/>
      <c r="Z599" s="661"/>
    </row>
    <row r="600">
      <c r="A600" s="661"/>
      <c r="B600" s="663"/>
      <c r="C600" s="795"/>
      <c r="D600" s="796"/>
      <c r="E600" s="680"/>
      <c r="F600" s="797"/>
      <c r="G600" s="797"/>
      <c r="H600" s="797"/>
      <c r="I600" s="797"/>
      <c r="J600" s="797"/>
      <c r="K600" s="797"/>
      <c r="L600" s="797"/>
      <c r="M600" s="797"/>
      <c r="N600" s="797"/>
      <c r="O600" s="797"/>
      <c r="P600" s="797"/>
      <c r="Q600" s="797"/>
      <c r="R600" s="661"/>
      <c r="S600" s="661"/>
      <c r="T600" s="661"/>
      <c r="U600" s="664"/>
      <c r="V600" s="665"/>
      <c r="W600" s="661"/>
      <c r="X600" s="661"/>
      <c r="Y600" s="661"/>
      <c r="Z600" s="661"/>
    </row>
    <row r="601">
      <c r="A601" s="661"/>
      <c r="B601" s="663"/>
      <c r="C601" s="795"/>
      <c r="D601" s="796"/>
      <c r="E601" s="680"/>
      <c r="F601" s="797"/>
      <c r="G601" s="797"/>
      <c r="H601" s="797"/>
      <c r="I601" s="797"/>
      <c r="J601" s="797"/>
      <c r="K601" s="797"/>
      <c r="L601" s="797"/>
      <c r="M601" s="797"/>
      <c r="N601" s="797"/>
      <c r="O601" s="797"/>
      <c r="P601" s="797"/>
      <c r="Q601" s="797"/>
      <c r="R601" s="661"/>
      <c r="S601" s="661"/>
      <c r="T601" s="661"/>
      <c r="U601" s="664"/>
      <c r="V601" s="665"/>
      <c r="W601" s="661"/>
      <c r="X601" s="661"/>
      <c r="Y601" s="661"/>
      <c r="Z601" s="661"/>
    </row>
    <row r="602">
      <c r="A602" s="661"/>
      <c r="B602" s="663"/>
      <c r="C602" s="795"/>
      <c r="D602" s="796"/>
      <c r="E602" s="680"/>
      <c r="F602" s="797"/>
      <c r="G602" s="797"/>
      <c r="H602" s="797"/>
      <c r="I602" s="797"/>
      <c r="J602" s="797"/>
      <c r="K602" s="797"/>
      <c r="L602" s="797"/>
      <c r="M602" s="797"/>
      <c r="N602" s="797"/>
      <c r="O602" s="797"/>
      <c r="P602" s="797"/>
      <c r="Q602" s="797"/>
      <c r="R602" s="661"/>
      <c r="S602" s="661"/>
      <c r="T602" s="661"/>
      <c r="U602" s="664"/>
      <c r="V602" s="665"/>
      <c r="W602" s="661"/>
      <c r="X602" s="661"/>
      <c r="Y602" s="661"/>
      <c r="Z602" s="661"/>
    </row>
    <row r="603">
      <c r="A603" s="661"/>
      <c r="B603" s="663"/>
      <c r="C603" s="795"/>
      <c r="D603" s="796"/>
      <c r="E603" s="680"/>
      <c r="F603" s="797"/>
      <c r="G603" s="797"/>
      <c r="H603" s="797"/>
      <c r="I603" s="797"/>
      <c r="J603" s="797"/>
      <c r="K603" s="797"/>
      <c r="L603" s="797"/>
      <c r="M603" s="797"/>
      <c r="N603" s="797"/>
      <c r="O603" s="797"/>
      <c r="P603" s="797"/>
      <c r="Q603" s="797"/>
      <c r="R603" s="661"/>
      <c r="S603" s="661"/>
      <c r="T603" s="661"/>
      <c r="U603" s="664"/>
      <c r="V603" s="665"/>
      <c r="W603" s="661"/>
      <c r="X603" s="661"/>
      <c r="Y603" s="661"/>
      <c r="Z603" s="661"/>
    </row>
    <row r="604">
      <c r="A604" s="661"/>
      <c r="B604" s="663"/>
      <c r="C604" s="795"/>
      <c r="D604" s="796"/>
      <c r="E604" s="680"/>
      <c r="F604" s="797"/>
      <c r="G604" s="797"/>
      <c r="H604" s="797"/>
      <c r="I604" s="797"/>
      <c r="J604" s="797"/>
      <c r="K604" s="797"/>
      <c r="L604" s="797"/>
      <c r="M604" s="797"/>
      <c r="N604" s="797"/>
      <c r="O604" s="797"/>
      <c r="P604" s="797"/>
      <c r="Q604" s="797"/>
      <c r="R604" s="661"/>
      <c r="S604" s="661"/>
      <c r="T604" s="661"/>
      <c r="U604" s="664"/>
      <c r="V604" s="665"/>
      <c r="W604" s="661"/>
      <c r="X604" s="661"/>
      <c r="Y604" s="661"/>
      <c r="Z604" s="661"/>
    </row>
    <row r="605">
      <c r="A605" s="661"/>
      <c r="B605" s="663"/>
      <c r="C605" s="795"/>
      <c r="D605" s="796"/>
      <c r="E605" s="680"/>
      <c r="F605" s="797"/>
      <c r="G605" s="797"/>
      <c r="H605" s="797"/>
      <c r="I605" s="797"/>
      <c r="J605" s="797"/>
      <c r="K605" s="797"/>
      <c r="L605" s="797"/>
      <c r="M605" s="797"/>
      <c r="N605" s="797"/>
      <c r="O605" s="797"/>
      <c r="P605" s="797"/>
      <c r="Q605" s="797"/>
      <c r="R605" s="661"/>
      <c r="S605" s="661"/>
      <c r="T605" s="661"/>
      <c r="U605" s="664"/>
      <c r="V605" s="665"/>
      <c r="W605" s="661"/>
      <c r="X605" s="661"/>
      <c r="Y605" s="661"/>
      <c r="Z605" s="661"/>
    </row>
    <row r="606">
      <c r="A606" s="661"/>
      <c r="B606" s="663"/>
      <c r="C606" s="795"/>
      <c r="D606" s="796"/>
      <c r="E606" s="680"/>
      <c r="F606" s="797"/>
      <c r="G606" s="797"/>
      <c r="H606" s="797"/>
      <c r="I606" s="797"/>
      <c r="J606" s="797"/>
      <c r="K606" s="797"/>
      <c r="L606" s="797"/>
      <c r="M606" s="797"/>
      <c r="N606" s="797"/>
      <c r="O606" s="797"/>
      <c r="P606" s="797"/>
      <c r="Q606" s="797"/>
      <c r="R606" s="661"/>
      <c r="S606" s="661"/>
      <c r="T606" s="661"/>
      <c r="U606" s="664"/>
      <c r="V606" s="665"/>
      <c r="W606" s="661"/>
      <c r="X606" s="661"/>
      <c r="Y606" s="661"/>
      <c r="Z606" s="661"/>
    </row>
    <row r="607">
      <c r="A607" s="661"/>
      <c r="B607" s="663"/>
      <c r="C607" s="795"/>
      <c r="D607" s="796"/>
      <c r="E607" s="680"/>
      <c r="F607" s="797"/>
      <c r="G607" s="797"/>
      <c r="H607" s="797"/>
      <c r="I607" s="797"/>
      <c r="J607" s="797"/>
      <c r="K607" s="797"/>
      <c r="L607" s="797"/>
      <c r="M607" s="797"/>
      <c r="N607" s="797"/>
      <c r="O607" s="797"/>
      <c r="P607" s="797"/>
      <c r="Q607" s="797"/>
      <c r="R607" s="661"/>
      <c r="S607" s="661"/>
      <c r="T607" s="661"/>
      <c r="U607" s="664"/>
      <c r="V607" s="665"/>
      <c r="W607" s="661"/>
      <c r="X607" s="661"/>
      <c r="Y607" s="661"/>
      <c r="Z607" s="661"/>
    </row>
    <row r="608">
      <c r="A608" s="661"/>
      <c r="B608" s="663"/>
      <c r="C608" s="795"/>
      <c r="D608" s="796"/>
      <c r="E608" s="680"/>
      <c r="F608" s="797"/>
      <c r="G608" s="797"/>
      <c r="H608" s="797"/>
      <c r="I608" s="797"/>
      <c r="J608" s="797"/>
      <c r="K608" s="797"/>
      <c r="L608" s="797"/>
      <c r="M608" s="797"/>
      <c r="N608" s="797"/>
      <c r="O608" s="797"/>
      <c r="P608" s="797"/>
      <c r="Q608" s="797"/>
      <c r="R608" s="661"/>
      <c r="S608" s="661"/>
      <c r="T608" s="661"/>
      <c r="U608" s="664"/>
      <c r="V608" s="665"/>
      <c r="W608" s="661"/>
      <c r="X608" s="661"/>
      <c r="Y608" s="661"/>
      <c r="Z608" s="661"/>
    </row>
    <row r="609">
      <c r="A609" s="661"/>
      <c r="B609" s="663"/>
      <c r="C609" s="795"/>
      <c r="D609" s="796"/>
      <c r="E609" s="680"/>
      <c r="F609" s="797"/>
      <c r="G609" s="797"/>
      <c r="H609" s="797"/>
      <c r="I609" s="797"/>
      <c r="J609" s="797"/>
      <c r="K609" s="797"/>
      <c r="L609" s="797"/>
      <c r="M609" s="797"/>
      <c r="N609" s="797"/>
      <c r="O609" s="797"/>
      <c r="P609" s="797"/>
      <c r="Q609" s="797"/>
      <c r="R609" s="661"/>
      <c r="S609" s="661"/>
      <c r="T609" s="661"/>
      <c r="U609" s="664"/>
      <c r="V609" s="665"/>
      <c r="W609" s="661"/>
      <c r="X609" s="661"/>
      <c r="Y609" s="661"/>
      <c r="Z609" s="661"/>
    </row>
    <row r="610">
      <c r="A610" s="661"/>
      <c r="B610" s="663"/>
      <c r="C610" s="795"/>
      <c r="D610" s="796"/>
      <c r="E610" s="680"/>
      <c r="F610" s="797"/>
      <c r="G610" s="797"/>
      <c r="H610" s="797"/>
      <c r="I610" s="797"/>
      <c r="J610" s="797"/>
      <c r="K610" s="797"/>
      <c r="L610" s="797"/>
      <c r="M610" s="797"/>
      <c r="N610" s="797"/>
      <c r="O610" s="797"/>
      <c r="P610" s="797"/>
      <c r="Q610" s="797"/>
      <c r="R610" s="661"/>
      <c r="S610" s="661"/>
      <c r="T610" s="661"/>
      <c r="U610" s="664"/>
      <c r="V610" s="665"/>
      <c r="W610" s="661"/>
      <c r="X610" s="661"/>
      <c r="Y610" s="661"/>
      <c r="Z610" s="661"/>
    </row>
    <row r="611">
      <c r="A611" s="661"/>
      <c r="B611" s="663"/>
      <c r="C611" s="795"/>
      <c r="D611" s="796"/>
      <c r="E611" s="680"/>
      <c r="F611" s="797"/>
      <c r="G611" s="797"/>
      <c r="H611" s="797"/>
      <c r="I611" s="797"/>
      <c r="J611" s="797"/>
      <c r="K611" s="797"/>
      <c r="L611" s="797"/>
      <c r="M611" s="797"/>
      <c r="N611" s="797"/>
      <c r="O611" s="797"/>
      <c r="P611" s="797"/>
      <c r="Q611" s="797"/>
      <c r="R611" s="661"/>
      <c r="S611" s="661"/>
      <c r="T611" s="661"/>
      <c r="U611" s="664"/>
      <c r="V611" s="665"/>
      <c r="W611" s="661"/>
      <c r="X611" s="661"/>
      <c r="Y611" s="661"/>
      <c r="Z611" s="661"/>
    </row>
    <row r="612">
      <c r="A612" s="661"/>
      <c r="B612" s="663"/>
      <c r="C612" s="795"/>
      <c r="D612" s="796"/>
      <c r="E612" s="680"/>
      <c r="F612" s="797"/>
      <c r="G612" s="797"/>
      <c r="H612" s="797"/>
      <c r="I612" s="797"/>
      <c r="J612" s="797"/>
      <c r="K612" s="797"/>
      <c r="L612" s="797"/>
      <c r="M612" s="797"/>
      <c r="N612" s="797"/>
      <c r="O612" s="797"/>
      <c r="P612" s="797"/>
      <c r="Q612" s="797"/>
      <c r="R612" s="661"/>
      <c r="S612" s="661"/>
      <c r="T612" s="661"/>
      <c r="U612" s="664"/>
      <c r="V612" s="665"/>
      <c r="W612" s="661"/>
      <c r="X612" s="661"/>
      <c r="Y612" s="661"/>
      <c r="Z612" s="661"/>
    </row>
    <row r="613">
      <c r="A613" s="661"/>
      <c r="B613" s="663"/>
      <c r="C613" s="795"/>
      <c r="D613" s="796"/>
      <c r="E613" s="680"/>
      <c r="F613" s="797"/>
      <c r="G613" s="797"/>
      <c r="H613" s="797"/>
      <c r="I613" s="797"/>
      <c r="J613" s="797"/>
      <c r="K613" s="797"/>
      <c r="L613" s="797"/>
      <c r="M613" s="797"/>
      <c r="N613" s="797"/>
      <c r="O613" s="797"/>
      <c r="P613" s="797"/>
      <c r="Q613" s="797"/>
      <c r="R613" s="661"/>
      <c r="S613" s="661"/>
      <c r="T613" s="661"/>
      <c r="U613" s="664"/>
      <c r="V613" s="665"/>
      <c r="W613" s="661"/>
      <c r="X613" s="661"/>
      <c r="Y613" s="661"/>
      <c r="Z613" s="661"/>
    </row>
    <row r="614">
      <c r="A614" s="661"/>
      <c r="B614" s="663"/>
      <c r="C614" s="795"/>
      <c r="D614" s="796"/>
      <c r="E614" s="680"/>
      <c r="F614" s="797"/>
      <c r="G614" s="797"/>
      <c r="H614" s="797"/>
      <c r="I614" s="797"/>
      <c r="J614" s="797"/>
      <c r="K614" s="797"/>
      <c r="L614" s="797"/>
      <c r="M614" s="797"/>
      <c r="N614" s="797"/>
      <c r="O614" s="797"/>
      <c r="P614" s="797"/>
      <c r="Q614" s="797"/>
      <c r="R614" s="661"/>
      <c r="S614" s="661"/>
      <c r="T614" s="661"/>
      <c r="U614" s="664"/>
      <c r="V614" s="665"/>
      <c r="W614" s="661"/>
      <c r="X614" s="661"/>
      <c r="Y614" s="661"/>
      <c r="Z614" s="661"/>
    </row>
    <row r="615">
      <c r="A615" s="661"/>
      <c r="B615" s="663"/>
      <c r="C615" s="795"/>
      <c r="D615" s="796"/>
      <c r="E615" s="680"/>
      <c r="F615" s="797"/>
      <c r="G615" s="797"/>
      <c r="H615" s="797"/>
      <c r="I615" s="797"/>
      <c r="J615" s="797"/>
      <c r="K615" s="797"/>
      <c r="L615" s="797"/>
      <c r="M615" s="797"/>
      <c r="N615" s="797"/>
      <c r="O615" s="797"/>
      <c r="P615" s="797"/>
      <c r="Q615" s="797"/>
      <c r="R615" s="661"/>
      <c r="S615" s="661"/>
      <c r="T615" s="661"/>
      <c r="U615" s="664"/>
      <c r="V615" s="665"/>
      <c r="W615" s="661"/>
      <c r="X615" s="661"/>
      <c r="Y615" s="661"/>
      <c r="Z615" s="661"/>
    </row>
    <row r="616">
      <c r="A616" s="661"/>
      <c r="B616" s="663"/>
      <c r="C616" s="795"/>
      <c r="D616" s="796"/>
      <c r="E616" s="680"/>
      <c r="F616" s="797"/>
      <c r="G616" s="797"/>
      <c r="H616" s="797"/>
      <c r="I616" s="797"/>
      <c r="J616" s="797"/>
      <c r="K616" s="797"/>
      <c r="L616" s="797"/>
      <c r="M616" s="797"/>
      <c r="N616" s="797"/>
      <c r="O616" s="797"/>
      <c r="P616" s="797"/>
      <c r="Q616" s="797"/>
      <c r="R616" s="661"/>
      <c r="S616" s="661"/>
      <c r="T616" s="661"/>
      <c r="U616" s="664"/>
      <c r="V616" s="665"/>
      <c r="W616" s="661"/>
      <c r="X616" s="661"/>
      <c r="Y616" s="661"/>
      <c r="Z616" s="661"/>
    </row>
    <row r="617">
      <c r="A617" s="661"/>
      <c r="B617" s="663"/>
      <c r="C617" s="795"/>
      <c r="D617" s="796"/>
      <c r="E617" s="680"/>
      <c r="F617" s="797"/>
      <c r="G617" s="797"/>
      <c r="H617" s="797"/>
      <c r="I617" s="797"/>
      <c r="J617" s="797"/>
      <c r="K617" s="797"/>
      <c r="L617" s="797"/>
      <c r="M617" s="797"/>
      <c r="N617" s="797"/>
      <c r="O617" s="797"/>
      <c r="P617" s="797"/>
      <c r="Q617" s="797"/>
      <c r="R617" s="661"/>
      <c r="S617" s="661"/>
      <c r="T617" s="661"/>
      <c r="U617" s="664"/>
      <c r="V617" s="665"/>
      <c r="W617" s="661"/>
      <c r="X617" s="661"/>
      <c r="Y617" s="661"/>
      <c r="Z617" s="661"/>
    </row>
    <row r="618">
      <c r="A618" s="661"/>
      <c r="B618" s="663"/>
      <c r="C618" s="795"/>
      <c r="D618" s="796"/>
      <c r="E618" s="680"/>
      <c r="F618" s="797"/>
      <c r="G618" s="797"/>
      <c r="H618" s="797"/>
      <c r="I618" s="797"/>
      <c r="J618" s="797"/>
      <c r="K618" s="797"/>
      <c r="L618" s="797"/>
      <c r="M618" s="797"/>
      <c r="N618" s="797"/>
      <c r="O618" s="797"/>
      <c r="P618" s="797"/>
      <c r="Q618" s="797"/>
      <c r="R618" s="661"/>
      <c r="S618" s="661"/>
      <c r="T618" s="661"/>
      <c r="U618" s="664"/>
      <c r="V618" s="665"/>
      <c r="W618" s="661"/>
      <c r="X618" s="661"/>
      <c r="Y618" s="661"/>
      <c r="Z618" s="661"/>
    </row>
    <row r="619">
      <c r="A619" s="661"/>
      <c r="B619" s="663"/>
      <c r="C619" s="795"/>
      <c r="D619" s="796"/>
      <c r="E619" s="680"/>
      <c r="F619" s="797"/>
      <c r="G619" s="797"/>
      <c r="H619" s="797"/>
      <c r="I619" s="797"/>
      <c r="J619" s="797"/>
      <c r="K619" s="797"/>
      <c r="L619" s="797"/>
      <c r="M619" s="797"/>
      <c r="N619" s="797"/>
      <c r="O619" s="797"/>
      <c r="P619" s="797"/>
      <c r="Q619" s="797"/>
      <c r="R619" s="661"/>
      <c r="S619" s="661"/>
      <c r="T619" s="661"/>
      <c r="U619" s="664"/>
      <c r="V619" s="665"/>
      <c r="W619" s="661"/>
      <c r="X619" s="661"/>
      <c r="Y619" s="661"/>
      <c r="Z619" s="661"/>
    </row>
    <row r="620">
      <c r="A620" s="661"/>
      <c r="B620" s="663"/>
      <c r="C620" s="795"/>
      <c r="D620" s="796"/>
      <c r="E620" s="680"/>
      <c r="F620" s="797"/>
      <c r="G620" s="797"/>
      <c r="H620" s="797"/>
      <c r="I620" s="797"/>
      <c r="J620" s="797"/>
      <c r="K620" s="797"/>
      <c r="L620" s="797"/>
      <c r="M620" s="797"/>
      <c r="N620" s="797"/>
      <c r="O620" s="797"/>
      <c r="P620" s="797"/>
      <c r="Q620" s="797"/>
      <c r="R620" s="661"/>
      <c r="S620" s="661"/>
      <c r="T620" s="661"/>
      <c r="U620" s="664"/>
      <c r="V620" s="665"/>
      <c r="W620" s="661"/>
      <c r="X620" s="661"/>
      <c r="Y620" s="661"/>
      <c r="Z620" s="661"/>
    </row>
    <row r="621">
      <c r="A621" s="661"/>
      <c r="B621" s="663"/>
      <c r="C621" s="795"/>
      <c r="D621" s="796"/>
      <c r="E621" s="680"/>
      <c r="F621" s="797"/>
      <c r="G621" s="797"/>
      <c r="H621" s="797"/>
      <c r="I621" s="797"/>
      <c r="J621" s="797"/>
      <c r="K621" s="797"/>
      <c r="L621" s="797"/>
      <c r="M621" s="797"/>
      <c r="N621" s="797"/>
      <c r="O621" s="797"/>
      <c r="P621" s="797"/>
      <c r="Q621" s="797"/>
      <c r="R621" s="661"/>
      <c r="S621" s="661"/>
      <c r="T621" s="661"/>
      <c r="U621" s="664"/>
      <c r="V621" s="665"/>
      <c r="W621" s="661"/>
      <c r="X621" s="661"/>
      <c r="Y621" s="661"/>
      <c r="Z621" s="661"/>
    </row>
    <row r="622">
      <c r="A622" s="661"/>
      <c r="B622" s="663"/>
      <c r="C622" s="795"/>
      <c r="D622" s="796"/>
      <c r="E622" s="680"/>
      <c r="F622" s="797"/>
      <c r="G622" s="797"/>
      <c r="H622" s="797"/>
      <c r="I622" s="797"/>
      <c r="J622" s="797"/>
      <c r="K622" s="797"/>
      <c r="L622" s="797"/>
      <c r="M622" s="797"/>
      <c r="N622" s="797"/>
      <c r="O622" s="797"/>
      <c r="P622" s="797"/>
      <c r="Q622" s="797"/>
      <c r="R622" s="661"/>
      <c r="S622" s="661"/>
      <c r="T622" s="661"/>
      <c r="U622" s="664"/>
      <c r="V622" s="665"/>
      <c r="W622" s="661"/>
      <c r="X622" s="661"/>
      <c r="Y622" s="661"/>
      <c r="Z622" s="661"/>
    </row>
    <row r="623">
      <c r="A623" s="661"/>
      <c r="B623" s="663"/>
      <c r="C623" s="795"/>
      <c r="D623" s="796"/>
      <c r="E623" s="680"/>
      <c r="F623" s="797"/>
      <c r="G623" s="797"/>
      <c r="H623" s="797"/>
      <c r="I623" s="797"/>
      <c r="J623" s="797"/>
      <c r="K623" s="797"/>
      <c r="L623" s="797"/>
      <c r="M623" s="797"/>
      <c r="N623" s="797"/>
      <c r="O623" s="797"/>
      <c r="P623" s="797"/>
      <c r="Q623" s="797"/>
      <c r="R623" s="661"/>
      <c r="S623" s="661"/>
      <c r="T623" s="661"/>
      <c r="U623" s="664"/>
      <c r="V623" s="665"/>
      <c r="W623" s="661"/>
      <c r="X623" s="661"/>
      <c r="Y623" s="661"/>
      <c r="Z623" s="661"/>
    </row>
    <row r="624">
      <c r="A624" s="661"/>
      <c r="B624" s="663"/>
      <c r="C624" s="795"/>
      <c r="D624" s="796"/>
      <c r="E624" s="680"/>
      <c r="F624" s="797"/>
      <c r="G624" s="797"/>
      <c r="H624" s="797"/>
      <c r="I624" s="797"/>
      <c r="J624" s="797"/>
      <c r="K624" s="797"/>
      <c r="L624" s="797"/>
      <c r="M624" s="797"/>
      <c r="N624" s="797"/>
      <c r="O624" s="797"/>
      <c r="P624" s="797"/>
      <c r="Q624" s="797"/>
      <c r="R624" s="661"/>
      <c r="S624" s="661"/>
      <c r="T624" s="661"/>
      <c r="U624" s="664"/>
      <c r="V624" s="665"/>
      <c r="W624" s="661"/>
      <c r="X624" s="661"/>
      <c r="Y624" s="661"/>
      <c r="Z624" s="661"/>
    </row>
    <row r="625">
      <c r="A625" s="661"/>
      <c r="B625" s="663"/>
      <c r="C625" s="795"/>
      <c r="D625" s="796"/>
      <c r="E625" s="680"/>
      <c r="F625" s="797"/>
      <c r="G625" s="797"/>
      <c r="H625" s="797"/>
      <c r="I625" s="797"/>
      <c r="J625" s="797"/>
      <c r="K625" s="797"/>
      <c r="L625" s="797"/>
      <c r="M625" s="797"/>
      <c r="N625" s="797"/>
      <c r="O625" s="797"/>
      <c r="P625" s="797"/>
      <c r="Q625" s="797"/>
      <c r="R625" s="661"/>
      <c r="S625" s="661"/>
      <c r="T625" s="661"/>
      <c r="U625" s="664"/>
      <c r="V625" s="665"/>
      <c r="W625" s="661"/>
      <c r="X625" s="661"/>
      <c r="Y625" s="661"/>
      <c r="Z625" s="661"/>
    </row>
    <row r="626">
      <c r="A626" s="661"/>
      <c r="B626" s="663"/>
      <c r="C626" s="795"/>
      <c r="D626" s="796"/>
      <c r="E626" s="680"/>
      <c r="F626" s="797"/>
      <c r="G626" s="797"/>
      <c r="H626" s="797"/>
      <c r="I626" s="797"/>
      <c r="J626" s="797"/>
      <c r="K626" s="797"/>
      <c r="L626" s="797"/>
      <c r="M626" s="797"/>
      <c r="N626" s="797"/>
      <c r="O626" s="797"/>
      <c r="P626" s="797"/>
      <c r="Q626" s="797"/>
      <c r="R626" s="661"/>
      <c r="S626" s="661"/>
      <c r="T626" s="661"/>
      <c r="U626" s="664"/>
      <c r="V626" s="665"/>
      <c r="W626" s="661"/>
      <c r="X626" s="661"/>
      <c r="Y626" s="661"/>
      <c r="Z626" s="661"/>
    </row>
    <row r="627">
      <c r="A627" s="661"/>
      <c r="B627" s="663"/>
      <c r="C627" s="795"/>
      <c r="D627" s="796"/>
      <c r="E627" s="680"/>
      <c r="F627" s="797"/>
      <c r="G627" s="797"/>
      <c r="H627" s="797"/>
      <c r="I627" s="797"/>
      <c r="J627" s="797"/>
      <c r="K627" s="797"/>
      <c r="L627" s="797"/>
      <c r="M627" s="797"/>
      <c r="N627" s="797"/>
      <c r="O627" s="797"/>
      <c r="P627" s="797"/>
      <c r="Q627" s="797"/>
      <c r="R627" s="661"/>
      <c r="S627" s="661"/>
      <c r="T627" s="661"/>
      <c r="U627" s="664"/>
      <c r="V627" s="665"/>
      <c r="W627" s="661"/>
      <c r="X627" s="661"/>
      <c r="Y627" s="661"/>
      <c r="Z627" s="661"/>
    </row>
    <row r="628">
      <c r="A628" s="661"/>
      <c r="B628" s="663"/>
      <c r="C628" s="795"/>
      <c r="D628" s="796"/>
      <c r="E628" s="680"/>
      <c r="F628" s="797"/>
      <c r="G628" s="797"/>
      <c r="H628" s="797"/>
      <c r="I628" s="797"/>
      <c r="J628" s="797"/>
      <c r="K628" s="797"/>
      <c r="L628" s="797"/>
      <c r="M628" s="797"/>
      <c r="N628" s="797"/>
      <c r="O628" s="797"/>
      <c r="P628" s="797"/>
      <c r="Q628" s="797"/>
      <c r="R628" s="661"/>
      <c r="S628" s="661"/>
      <c r="T628" s="661"/>
      <c r="U628" s="664"/>
      <c r="V628" s="665"/>
      <c r="W628" s="661"/>
      <c r="X628" s="661"/>
      <c r="Y628" s="661"/>
      <c r="Z628" s="661"/>
    </row>
    <row r="629">
      <c r="A629" s="661"/>
      <c r="B629" s="663"/>
      <c r="C629" s="795"/>
      <c r="D629" s="796"/>
      <c r="E629" s="680"/>
      <c r="F629" s="797"/>
      <c r="G629" s="797"/>
      <c r="H629" s="797"/>
      <c r="I629" s="797"/>
      <c r="J629" s="797"/>
      <c r="K629" s="797"/>
      <c r="L629" s="797"/>
      <c r="M629" s="797"/>
      <c r="N629" s="797"/>
      <c r="O629" s="797"/>
      <c r="P629" s="797"/>
      <c r="Q629" s="797"/>
      <c r="R629" s="661"/>
      <c r="S629" s="661"/>
      <c r="T629" s="661"/>
      <c r="U629" s="664"/>
      <c r="V629" s="665"/>
      <c r="W629" s="661"/>
      <c r="X629" s="661"/>
      <c r="Y629" s="661"/>
      <c r="Z629" s="661"/>
    </row>
    <row r="630">
      <c r="A630" s="661"/>
      <c r="B630" s="663"/>
      <c r="C630" s="795"/>
      <c r="D630" s="796"/>
      <c r="E630" s="680"/>
      <c r="F630" s="797"/>
      <c r="G630" s="797"/>
      <c r="H630" s="797"/>
      <c r="I630" s="797"/>
      <c r="J630" s="797"/>
      <c r="K630" s="797"/>
      <c r="L630" s="797"/>
      <c r="M630" s="797"/>
      <c r="N630" s="797"/>
      <c r="O630" s="797"/>
      <c r="P630" s="797"/>
      <c r="Q630" s="797"/>
      <c r="R630" s="661"/>
      <c r="S630" s="661"/>
      <c r="T630" s="661"/>
      <c r="U630" s="664"/>
      <c r="V630" s="665"/>
      <c r="W630" s="661"/>
      <c r="X630" s="661"/>
      <c r="Y630" s="661"/>
      <c r="Z630" s="661"/>
    </row>
    <row r="631">
      <c r="A631" s="661"/>
      <c r="B631" s="663"/>
      <c r="C631" s="795"/>
      <c r="D631" s="796"/>
      <c r="E631" s="680"/>
      <c r="F631" s="797"/>
      <c r="G631" s="797"/>
      <c r="H631" s="797"/>
      <c r="I631" s="797"/>
      <c r="J631" s="797"/>
      <c r="K631" s="797"/>
      <c r="L631" s="797"/>
      <c r="M631" s="797"/>
      <c r="N631" s="797"/>
      <c r="O631" s="797"/>
      <c r="P631" s="797"/>
      <c r="Q631" s="797"/>
      <c r="R631" s="661"/>
      <c r="S631" s="661"/>
      <c r="T631" s="661"/>
      <c r="U631" s="664"/>
      <c r="V631" s="665"/>
      <c r="W631" s="661"/>
      <c r="X631" s="661"/>
      <c r="Y631" s="661"/>
      <c r="Z631" s="661"/>
    </row>
    <row r="632">
      <c r="A632" s="661"/>
      <c r="B632" s="663"/>
      <c r="C632" s="795"/>
      <c r="D632" s="796"/>
      <c r="E632" s="680"/>
      <c r="F632" s="797"/>
      <c r="G632" s="797"/>
      <c r="H632" s="797"/>
      <c r="I632" s="797"/>
      <c r="J632" s="797"/>
      <c r="K632" s="797"/>
      <c r="L632" s="797"/>
      <c r="M632" s="797"/>
      <c r="N632" s="797"/>
      <c r="O632" s="797"/>
      <c r="P632" s="797"/>
      <c r="Q632" s="797"/>
      <c r="R632" s="661"/>
      <c r="S632" s="661"/>
      <c r="T632" s="661"/>
      <c r="U632" s="664"/>
      <c r="V632" s="665"/>
      <c r="W632" s="661"/>
      <c r="X632" s="661"/>
      <c r="Y632" s="661"/>
      <c r="Z632" s="661"/>
    </row>
    <row r="633">
      <c r="A633" s="661"/>
      <c r="B633" s="663"/>
      <c r="C633" s="795"/>
      <c r="D633" s="796"/>
      <c r="E633" s="680"/>
      <c r="F633" s="797"/>
      <c r="G633" s="797"/>
      <c r="H633" s="797"/>
      <c r="I633" s="797"/>
      <c r="J633" s="797"/>
      <c r="K633" s="797"/>
      <c r="L633" s="797"/>
      <c r="M633" s="797"/>
      <c r="N633" s="797"/>
      <c r="O633" s="797"/>
      <c r="P633" s="797"/>
      <c r="Q633" s="797"/>
      <c r="R633" s="661"/>
      <c r="S633" s="661"/>
      <c r="T633" s="661"/>
      <c r="U633" s="664"/>
      <c r="V633" s="665"/>
      <c r="W633" s="661"/>
      <c r="X633" s="661"/>
      <c r="Y633" s="661"/>
      <c r="Z633" s="661"/>
    </row>
    <row r="634">
      <c r="A634" s="661"/>
      <c r="B634" s="663"/>
      <c r="C634" s="795"/>
      <c r="D634" s="796"/>
      <c r="E634" s="680"/>
      <c r="F634" s="797"/>
      <c r="G634" s="797"/>
      <c r="H634" s="797"/>
      <c r="I634" s="797"/>
      <c r="J634" s="797"/>
      <c r="K634" s="797"/>
      <c r="L634" s="797"/>
      <c r="M634" s="797"/>
      <c r="N634" s="797"/>
      <c r="O634" s="797"/>
      <c r="P634" s="797"/>
      <c r="Q634" s="797"/>
      <c r="R634" s="661"/>
      <c r="S634" s="661"/>
      <c r="T634" s="661"/>
      <c r="U634" s="664"/>
      <c r="V634" s="665"/>
      <c r="W634" s="661"/>
      <c r="X634" s="661"/>
      <c r="Y634" s="661"/>
      <c r="Z634" s="661"/>
    </row>
    <row r="635">
      <c r="A635" s="661"/>
      <c r="B635" s="663"/>
      <c r="C635" s="795"/>
      <c r="D635" s="796"/>
      <c r="E635" s="680"/>
      <c r="F635" s="797"/>
      <c r="G635" s="797"/>
      <c r="H635" s="797"/>
      <c r="I635" s="797"/>
      <c r="J635" s="797"/>
      <c r="K635" s="797"/>
      <c r="L635" s="797"/>
      <c r="M635" s="797"/>
      <c r="N635" s="797"/>
      <c r="O635" s="797"/>
      <c r="P635" s="797"/>
      <c r="Q635" s="797"/>
      <c r="R635" s="661"/>
      <c r="S635" s="661"/>
      <c r="T635" s="661"/>
      <c r="U635" s="664"/>
      <c r="V635" s="665"/>
      <c r="W635" s="661"/>
      <c r="X635" s="661"/>
      <c r="Y635" s="661"/>
      <c r="Z635" s="661"/>
    </row>
    <row r="636">
      <c r="A636" s="661"/>
      <c r="B636" s="663"/>
      <c r="C636" s="795"/>
      <c r="D636" s="796"/>
      <c r="E636" s="680"/>
      <c r="F636" s="797"/>
      <c r="G636" s="797"/>
      <c r="H636" s="797"/>
      <c r="I636" s="797"/>
      <c r="J636" s="797"/>
      <c r="K636" s="797"/>
      <c r="L636" s="797"/>
      <c r="M636" s="797"/>
      <c r="N636" s="797"/>
      <c r="O636" s="797"/>
      <c r="P636" s="797"/>
      <c r="Q636" s="797"/>
      <c r="R636" s="661"/>
      <c r="S636" s="661"/>
      <c r="T636" s="661"/>
      <c r="U636" s="664"/>
      <c r="V636" s="665"/>
      <c r="W636" s="661"/>
      <c r="X636" s="661"/>
      <c r="Y636" s="661"/>
      <c r="Z636" s="661"/>
    </row>
    <row r="637">
      <c r="A637" s="661"/>
      <c r="B637" s="663"/>
      <c r="C637" s="795"/>
      <c r="D637" s="796"/>
      <c r="E637" s="680"/>
      <c r="F637" s="797"/>
      <c r="G637" s="797"/>
      <c r="H637" s="797"/>
      <c r="I637" s="797"/>
      <c r="J637" s="797"/>
      <c r="K637" s="797"/>
      <c r="L637" s="797"/>
      <c r="M637" s="797"/>
      <c r="N637" s="797"/>
      <c r="O637" s="797"/>
      <c r="P637" s="797"/>
      <c r="Q637" s="797"/>
      <c r="R637" s="661"/>
      <c r="S637" s="661"/>
      <c r="T637" s="661"/>
      <c r="U637" s="664"/>
      <c r="V637" s="665"/>
      <c r="W637" s="661"/>
      <c r="X637" s="661"/>
      <c r="Y637" s="661"/>
      <c r="Z637" s="661"/>
    </row>
    <row r="638">
      <c r="A638" s="661"/>
      <c r="B638" s="663"/>
      <c r="C638" s="795"/>
      <c r="D638" s="796"/>
      <c r="E638" s="680"/>
      <c r="F638" s="797"/>
      <c r="G638" s="797"/>
      <c r="H638" s="797"/>
      <c r="I638" s="797"/>
      <c r="J638" s="797"/>
      <c r="K638" s="797"/>
      <c r="L638" s="797"/>
      <c r="M638" s="797"/>
      <c r="N638" s="797"/>
      <c r="O638" s="797"/>
      <c r="P638" s="797"/>
      <c r="Q638" s="797"/>
      <c r="R638" s="661"/>
      <c r="S638" s="661"/>
      <c r="T638" s="661"/>
      <c r="U638" s="664"/>
      <c r="V638" s="665"/>
      <c r="W638" s="661"/>
      <c r="X638" s="661"/>
      <c r="Y638" s="661"/>
      <c r="Z638" s="661"/>
    </row>
    <row r="639">
      <c r="A639" s="661"/>
      <c r="B639" s="663"/>
      <c r="C639" s="795"/>
      <c r="D639" s="796"/>
      <c r="E639" s="680"/>
      <c r="F639" s="797"/>
      <c r="G639" s="797"/>
      <c r="H639" s="797"/>
      <c r="I639" s="797"/>
      <c r="J639" s="797"/>
      <c r="K639" s="797"/>
      <c r="L639" s="797"/>
      <c r="M639" s="797"/>
      <c r="N639" s="797"/>
      <c r="O639" s="797"/>
      <c r="P639" s="797"/>
      <c r="Q639" s="797"/>
      <c r="R639" s="661"/>
      <c r="S639" s="661"/>
      <c r="T639" s="661"/>
      <c r="U639" s="664"/>
      <c r="V639" s="665"/>
      <c r="W639" s="661"/>
      <c r="X639" s="661"/>
      <c r="Y639" s="661"/>
      <c r="Z639" s="661"/>
    </row>
    <row r="640">
      <c r="A640" s="661"/>
      <c r="B640" s="663"/>
      <c r="C640" s="795"/>
      <c r="D640" s="796"/>
      <c r="E640" s="680"/>
      <c r="F640" s="797"/>
      <c r="G640" s="797"/>
      <c r="H640" s="797"/>
      <c r="I640" s="797"/>
      <c r="J640" s="797"/>
      <c r="K640" s="797"/>
      <c r="L640" s="797"/>
      <c r="M640" s="797"/>
      <c r="N640" s="797"/>
      <c r="O640" s="797"/>
      <c r="P640" s="797"/>
      <c r="Q640" s="797"/>
      <c r="R640" s="661"/>
      <c r="S640" s="661"/>
      <c r="T640" s="661"/>
      <c r="U640" s="664"/>
      <c r="V640" s="665"/>
      <c r="W640" s="661"/>
      <c r="X640" s="661"/>
      <c r="Y640" s="661"/>
      <c r="Z640" s="661"/>
    </row>
    <row r="641">
      <c r="A641" s="661"/>
      <c r="B641" s="663"/>
      <c r="C641" s="795"/>
      <c r="D641" s="796"/>
      <c r="E641" s="680"/>
      <c r="F641" s="797"/>
      <c r="G641" s="797"/>
      <c r="H641" s="797"/>
      <c r="I641" s="797"/>
      <c r="J641" s="797"/>
      <c r="K641" s="797"/>
      <c r="L641" s="797"/>
      <c r="M641" s="797"/>
      <c r="N641" s="797"/>
      <c r="O641" s="797"/>
      <c r="P641" s="797"/>
      <c r="Q641" s="797"/>
      <c r="R641" s="661"/>
      <c r="S641" s="661"/>
      <c r="T641" s="661"/>
      <c r="U641" s="664"/>
      <c r="V641" s="665"/>
      <c r="W641" s="661"/>
      <c r="X641" s="661"/>
      <c r="Y641" s="661"/>
      <c r="Z641" s="661"/>
    </row>
    <row r="642">
      <c r="A642" s="661"/>
      <c r="B642" s="663"/>
      <c r="C642" s="795"/>
      <c r="D642" s="796"/>
      <c r="E642" s="680"/>
      <c r="F642" s="797"/>
      <c r="G642" s="797"/>
      <c r="H642" s="797"/>
      <c r="I642" s="797"/>
      <c r="J642" s="797"/>
      <c r="K642" s="797"/>
      <c r="L642" s="797"/>
      <c r="M642" s="797"/>
      <c r="N642" s="797"/>
      <c r="O642" s="797"/>
      <c r="P642" s="797"/>
      <c r="Q642" s="797"/>
      <c r="R642" s="661"/>
      <c r="S642" s="661"/>
      <c r="T642" s="661"/>
      <c r="U642" s="664"/>
      <c r="V642" s="665"/>
      <c r="W642" s="661"/>
      <c r="X642" s="661"/>
      <c r="Y642" s="661"/>
      <c r="Z642" s="661"/>
    </row>
    <row r="643">
      <c r="A643" s="661"/>
      <c r="B643" s="663"/>
      <c r="C643" s="795"/>
      <c r="D643" s="796"/>
      <c r="E643" s="680"/>
      <c r="F643" s="797"/>
      <c r="G643" s="797"/>
      <c r="H643" s="797"/>
      <c r="I643" s="797"/>
      <c r="J643" s="797"/>
      <c r="K643" s="797"/>
      <c r="L643" s="797"/>
      <c r="M643" s="797"/>
      <c r="N643" s="797"/>
      <c r="O643" s="797"/>
      <c r="P643" s="797"/>
      <c r="Q643" s="797"/>
      <c r="R643" s="661"/>
      <c r="S643" s="661"/>
      <c r="T643" s="661"/>
      <c r="U643" s="664"/>
      <c r="V643" s="665"/>
      <c r="W643" s="661"/>
      <c r="X643" s="661"/>
      <c r="Y643" s="661"/>
      <c r="Z643" s="661"/>
    </row>
    <row r="644">
      <c r="A644" s="661"/>
      <c r="B644" s="663"/>
      <c r="C644" s="795"/>
      <c r="D644" s="796"/>
      <c r="E644" s="680"/>
      <c r="F644" s="797"/>
      <c r="G644" s="797"/>
      <c r="H644" s="797"/>
      <c r="I644" s="797"/>
      <c r="J644" s="797"/>
      <c r="K644" s="797"/>
      <c r="L644" s="797"/>
      <c r="M644" s="797"/>
      <c r="N644" s="797"/>
      <c r="O644" s="797"/>
      <c r="P644" s="797"/>
      <c r="Q644" s="797"/>
      <c r="R644" s="661"/>
      <c r="S644" s="661"/>
      <c r="T644" s="661"/>
      <c r="U644" s="664"/>
      <c r="V644" s="665"/>
      <c r="W644" s="661"/>
      <c r="X644" s="661"/>
      <c r="Y644" s="661"/>
      <c r="Z644" s="661"/>
    </row>
    <row r="645">
      <c r="A645" s="661"/>
      <c r="B645" s="663"/>
      <c r="C645" s="795"/>
      <c r="D645" s="796"/>
      <c r="E645" s="680"/>
      <c r="F645" s="797"/>
      <c r="G645" s="797"/>
      <c r="H645" s="797"/>
      <c r="I645" s="797"/>
      <c r="J645" s="797"/>
      <c r="K645" s="797"/>
      <c r="L645" s="797"/>
      <c r="M645" s="797"/>
      <c r="N645" s="797"/>
      <c r="O645" s="797"/>
      <c r="P645" s="797"/>
      <c r="Q645" s="797"/>
      <c r="R645" s="661"/>
      <c r="S645" s="661"/>
      <c r="T645" s="661"/>
      <c r="U645" s="664"/>
      <c r="V645" s="665"/>
      <c r="W645" s="661"/>
      <c r="X645" s="661"/>
      <c r="Y645" s="661"/>
      <c r="Z645" s="661"/>
    </row>
    <row r="646">
      <c r="A646" s="661"/>
      <c r="B646" s="663"/>
      <c r="C646" s="795"/>
      <c r="D646" s="796"/>
      <c r="E646" s="680"/>
      <c r="F646" s="797"/>
      <c r="G646" s="797"/>
      <c r="H646" s="797"/>
      <c r="I646" s="797"/>
      <c r="J646" s="797"/>
      <c r="K646" s="797"/>
      <c r="L646" s="797"/>
      <c r="M646" s="797"/>
      <c r="N646" s="797"/>
      <c r="O646" s="797"/>
      <c r="P646" s="797"/>
      <c r="Q646" s="797"/>
      <c r="R646" s="661"/>
      <c r="S646" s="661"/>
      <c r="T646" s="661"/>
      <c r="U646" s="664"/>
      <c r="V646" s="665"/>
      <c r="W646" s="661"/>
      <c r="X646" s="661"/>
      <c r="Y646" s="661"/>
      <c r="Z646" s="661"/>
    </row>
    <row r="647">
      <c r="A647" s="661"/>
      <c r="B647" s="663"/>
      <c r="C647" s="795"/>
      <c r="D647" s="796"/>
      <c r="E647" s="680"/>
      <c r="F647" s="797"/>
      <c r="G647" s="797"/>
      <c r="H647" s="797"/>
      <c r="I647" s="797"/>
      <c r="J647" s="797"/>
      <c r="K647" s="797"/>
      <c r="L647" s="797"/>
      <c r="M647" s="797"/>
      <c r="N647" s="797"/>
      <c r="O647" s="797"/>
      <c r="P647" s="797"/>
      <c r="Q647" s="797"/>
      <c r="R647" s="661"/>
      <c r="S647" s="661"/>
      <c r="T647" s="661"/>
      <c r="U647" s="664"/>
      <c r="V647" s="665"/>
      <c r="W647" s="661"/>
      <c r="X647" s="661"/>
      <c r="Y647" s="661"/>
      <c r="Z647" s="661"/>
    </row>
    <row r="648">
      <c r="A648" s="661"/>
      <c r="B648" s="663"/>
      <c r="C648" s="795"/>
      <c r="D648" s="796"/>
      <c r="E648" s="680"/>
      <c r="F648" s="797"/>
      <c r="G648" s="797"/>
      <c r="H648" s="797"/>
      <c r="I648" s="797"/>
      <c r="J648" s="797"/>
      <c r="K648" s="797"/>
      <c r="L648" s="797"/>
      <c r="M648" s="797"/>
      <c r="N648" s="797"/>
      <c r="O648" s="797"/>
      <c r="P648" s="797"/>
      <c r="Q648" s="797"/>
      <c r="R648" s="661"/>
      <c r="S648" s="661"/>
      <c r="T648" s="661"/>
      <c r="U648" s="664"/>
      <c r="V648" s="665"/>
      <c r="W648" s="661"/>
      <c r="X648" s="661"/>
      <c r="Y648" s="661"/>
      <c r="Z648" s="661"/>
    </row>
    <row r="649">
      <c r="A649" s="661"/>
      <c r="B649" s="663"/>
      <c r="C649" s="795"/>
      <c r="D649" s="796"/>
      <c r="E649" s="680"/>
      <c r="F649" s="797"/>
      <c r="G649" s="797"/>
      <c r="H649" s="797"/>
      <c r="I649" s="797"/>
      <c r="J649" s="797"/>
      <c r="K649" s="797"/>
      <c r="L649" s="797"/>
      <c r="M649" s="797"/>
      <c r="N649" s="797"/>
      <c r="O649" s="797"/>
      <c r="P649" s="797"/>
      <c r="Q649" s="797"/>
      <c r="R649" s="661"/>
      <c r="S649" s="661"/>
      <c r="T649" s="661"/>
      <c r="U649" s="664"/>
      <c r="V649" s="665"/>
      <c r="W649" s="661"/>
      <c r="X649" s="661"/>
      <c r="Y649" s="661"/>
      <c r="Z649" s="661"/>
    </row>
    <row r="650">
      <c r="A650" s="661"/>
      <c r="B650" s="663"/>
      <c r="C650" s="795"/>
      <c r="D650" s="796"/>
      <c r="E650" s="680"/>
      <c r="F650" s="797"/>
      <c r="G650" s="797"/>
      <c r="H650" s="797"/>
      <c r="I650" s="797"/>
      <c r="J650" s="797"/>
      <c r="K650" s="797"/>
      <c r="L650" s="797"/>
      <c r="M650" s="797"/>
      <c r="N650" s="797"/>
      <c r="O650" s="797"/>
      <c r="P650" s="797"/>
      <c r="Q650" s="797"/>
      <c r="R650" s="661"/>
      <c r="S650" s="661"/>
      <c r="T650" s="661"/>
      <c r="U650" s="664"/>
      <c r="V650" s="665"/>
      <c r="W650" s="661"/>
      <c r="X650" s="661"/>
      <c r="Y650" s="661"/>
      <c r="Z650" s="661"/>
    </row>
    <row r="651">
      <c r="A651" s="661"/>
      <c r="B651" s="663"/>
      <c r="C651" s="795"/>
      <c r="D651" s="796"/>
      <c r="E651" s="680"/>
      <c r="F651" s="797"/>
      <c r="G651" s="797"/>
      <c r="H651" s="797"/>
      <c r="I651" s="797"/>
      <c r="J651" s="797"/>
      <c r="K651" s="797"/>
      <c r="L651" s="797"/>
      <c r="M651" s="797"/>
      <c r="N651" s="797"/>
      <c r="O651" s="797"/>
      <c r="P651" s="797"/>
      <c r="Q651" s="797"/>
      <c r="R651" s="661"/>
      <c r="S651" s="661"/>
      <c r="T651" s="661"/>
      <c r="U651" s="664"/>
      <c r="V651" s="665"/>
      <c r="W651" s="661"/>
      <c r="X651" s="661"/>
      <c r="Y651" s="661"/>
      <c r="Z651" s="661"/>
    </row>
    <row r="652">
      <c r="A652" s="661"/>
      <c r="B652" s="663"/>
      <c r="C652" s="795"/>
      <c r="D652" s="796"/>
      <c r="E652" s="680"/>
      <c r="F652" s="797"/>
      <c r="G652" s="797"/>
      <c r="H652" s="797"/>
      <c r="I652" s="797"/>
      <c r="J652" s="797"/>
      <c r="K652" s="797"/>
      <c r="L652" s="797"/>
      <c r="M652" s="797"/>
      <c r="N652" s="797"/>
      <c r="O652" s="797"/>
      <c r="P652" s="797"/>
      <c r="Q652" s="797"/>
      <c r="R652" s="661"/>
      <c r="S652" s="661"/>
      <c r="T652" s="661"/>
      <c r="U652" s="664"/>
      <c r="V652" s="665"/>
      <c r="W652" s="661"/>
      <c r="X652" s="661"/>
      <c r="Y652" s="661"/>
      <c r="Z652" s="661"/>
    </row>
    <row r="653">
      <c r="A653" s="661"/>
      <c r="B653" s="663"/>
      <c r="C653" s="795"/>
      <c r="D653" s="796"/>
      <c r="E653" s="680"/>
      <c r="F653" s="797"/>
      <c r="G653" s="797"/>
      <c r="H653" s="797"/>
      <c r="I653" s="797"/>
      <c r="J653" s="797"/>
      <c r="K653" s="797"/>
      <c r="L653" s="797"/>
      <c r="M653" s="797"/>
      <c r="N653" s="797"/>
      <c r="O653" s="797"/>
      <c r="P653" s="797"/>
      <c r="Q653" s="797"/>
      <c r="R653" s="661"/>
      <c r="S653" s="661"/>
      <c r="T653" s="661"/>
      <c r="U653" s="664"/>
      <c r="V653" s="665"/>
      <c r="W653" s="661"/>
      <c r="X653" s="661"/>
      <c r="Y653" s="661"/>
      <c r="Z653" s="661"/>
    </row>
    <row r="654">
      <c r="A654" s="661"/>
      <c r="B654" s="663"/>
      <c r="C654" s="795"/>
      <c r="D654" s="796"/>
      <c r="E654" s="680"/>
      <c r="F654" s="797"/>
      <c r="G654" s="797"/>
      <c r="H654" s="797"/>
      <c r="I654" s="797"/>
      <c r="J654" s="797"/>
      <c r="K654" s="797"/>
      <c r="L654" s="797"/>
      <c r="M654" s="797"/>
      <c r="N654" s="797"/>
      <c r="O654" s="797"/>
      <c r="P654" s="797"/>
      <c r="Q654" s="797"/>
      <c r="R654" s="661"/>
      <c r="S654" s="661"/>
      <c r="T654" s="661"/>
      <c r="U654" s="664"/>
      <c r="V654" s="665"/>
      <c r="W654" s="661"/>
      <c r="X654" s="661"/>
      <c r="Y654" s="661"/>
      <c r="Z654" s="661"/>
    </row>
    <row r="655">
      <c r="A655" s="661"/>
      <c r="B655" s="663"/>
      <c r="C655" s="795"/>
      <c r="D655" s="796"/>
      <c r="E655" s="680"/>
      <c r="F655" s="797"/>
      <c r="G655" s="797"/>
      <c r="H655" s="797"/>
      <c r="I655" s="797"/>
      <c r="J655" s="797"/>
      <c r="K655" s="797"/>
      <c r="L655" s="797"/>
      <c r="M655" s="797"/>
      <c r="N655" s="797"/>
      <c r="O655" s="797"/>
      <c r="P655" s="797"/>
      <c r="Q655" s="797"/>
      <c r="R655" s="661"/>
      <c r="S655" s="661"/>
      <c r="T655" s="661"/>
      <c r="U655" s="664"/>
      <c r="V655" s="665"/>
      <c r="W655" s="661"/>
      <c r="X655" s="661"/>
      <c r="Y655" s="661"/>
      <c r="Z655" s="661"/>
    </row>
    <row r="656">
      <c r="A656" s="661"/>
      <c r="B656" s="663"/>
      <c r="C656" s="795"/>
      <c r="D656" s="796"/>
      <c r="E656" s="680"/>
      <c r="F656" s="797"/>
      <c r="G656" s="797"/>
      <c r="H656" s="797"/>
      <c r="I656" s="797"/>
      <c r="J656" s="797"/>
      <c r="K656" s="797"/>
      <c r="L656" s="797"/>
      <c r="M656" s="797"/>
      <c r="N656" s="797"/>
      <c r="O656" s="797"/>
      <c r="P656" s="797"/>
      <c r="Q656" s="797"/>
      <c r="R656" s="661"/>
      <c r="S656" s="661"/>
      <c r="T656" s="661"/>
      <c r="U656" s="664"/>
      <c r="V656" s="665"/>
      <c r="W656" s="661"/>
      <c r="X656" s="661"/>
      <c r="Y656" s="661"/>
      <c r="Z656" s="661"/>
    </row>
    <row r="657">
      <c r="A657" s="661"/>
      <c r="B657" s="663"/>
      <c r="C657" s="795"/>
      <c r="D657" s="796"/>
      <c r="E657" s="680"/>
      <c r="F657" s="797"/>
      <c r="G657" s="797"/>
      <c r="H657" s="797"/>
      <c r="I657" s="797"/>
      <c r="J657" s="797"/>
      <c r="K657" s="797"/>
      <c r="L657" s="797"/>
      <c r="M657" s="797"/>
      <c r="N657" s="797"/>
      <c r="O657" s="797"/>
      <c r="P657" s="797"/>
      <c r="Q657" s="797"/>
      <c r="R657" s="661"/>
      <c r="S657" s="661"/>
      <c r="T657" s="661"/>
      <c r="U657" s="664"/>
      <c r="V657" s="665"/>
      <c r="W657" s="661"/>
      <c r="X657" s="661"/>
      <c r="Y657" s="661"/>
      <c r="Z657" s="661"/>
    </row>
    <row r="658">
      <c r="A658" s="661"/>
      <c r="B658" s="663"/>
      <c r="C658" s="795"/>
      <c r="D658" s="796"/>
      <c r="E658" s="680"/>
      <c r="F658" s="797"/>
      <c r="G658" s="797"/>
      <c r="H658" s="797"/>
      <c r="I658" s="797"/>
      <c r="J658" s="797"/>
      <c r="K658" s="797"/>
      <c r="L658" s="797"/>
      <c r="M658" s="797"/>
      <c r="N658" s="797"/>
      <c r="O658" s="797"/>
      <c r="P658" s="797"/>
      <c r="Q658" s="797"/>
      <c r="R658" s="661"/>
      <c r="S658" s="661"/>
      <c r="T658" s="661"/>
      <c r="U658" s="664"/>
      <c r="V658" s="665"/>
      <c r="W658" s="661"/>
      <c r="X658" s="661"/>
      <c r="Y658" s="661"/>
      <c r="Z658" s="661"/>
    </row>
    <row r="659">
      <c r="A659" s="661"/>
      <c r="B659" s="663"/>
      <c r="C659" s="795"/>
      <c r="D659" s="796"/>
      <c r="E659" s="680"/>
      <c r="F659" s="797"/>
      <c r="G659" s="797"/>
      <c r="H659" s="797"/>
      <c r="I659" s="797"/>
      <c r="J659" s="797"/>
      <c r="K659" s="797"/>
      <c r="L659" s="797"/>
      <c r="M659" s="797"/>
      <c r="N659" s="797"/>
      <c r="O659" s="797"/>
      <c r="P659" s="797"/>
      <c r="Q659" s="797"/>
      <c r="R659" s="661"/>
      <c r="S659" s="661"/>
      <c r="T659" s="661"/>
      <c r="U659" s="664"/>
      <c r="V659" s="665"/>
      <c r="W659" s="661"/>
      <c r="X659" s="661"/>
      <c r="Y659" s="661"/>
      <c r="Z659" s="661"/>
    </row>
    <row r="660">
      <c r="A660" s="661"/>
      <c r="B660" s="663"/>
      <c r="C660" s="795"/>
      <c r="D660" s="796"/>
      <c r="E660" s="680"/>
      <c r="F660" s="797"/>
      <c r="G660" s="797"/>
      <c r="H660" s="797"/>
      <c r="I660" s="797"/>
      <c r="J660" s="797"/>
      <c r="K660" s="797"/>
      <c r="L660" s="797"/>
      <c r="M660" s="797"/>
      <c r="N660" s="797"/>
      <c r="O660" s="797"/>
      <c r="P660" s="797"/>
      <c r="Q660" s="797"/>
      <c r="R660" s="661"/>
      <c r="S660" s="661"/>
      <c r="T660" s="661"/>
      <c r="U660" s="664"/>
      <c r="V660" s="665"/>
      <c r="W660" s="661"/>
      <c r="X660" s="661"/>
      <c r="Y660" s="661"/>
      <c r="Z660" s="661"/>
    </row>
    <row r="661">
      <c r="A661" s="661"/>
      <c r="B661" s="663"/>
      <c r="C661" s="795"/>
      <c r="D661" s="796"/>
      <c r="E661" s="680"/>
      <c r="F661" s="797"/>
      <c r="G661" s="797"/>
      <c r="H661" s="797"/>
      <c r="I661" s="797"/>
      <c r="J661" s="797"/>
      <c r="K661" s="797"/>
      <c r="L661" s="797"/>
      <c r="M661" s="797"/>
      <c r="N661" s="797"/>
      <c r="O661" s="797"/>
      <c r="P661" s="797"/>
      <c r="Q661" s="797"/>
      <c r="R661" s="661"/>
      <c r="S661" s="661"/>
      <c r="T661" s="661"/>
      <c r="U661" s="664"/>
      <c r="V661" s="665"/>
      <c r="W661" s="661"/>
      <c r="X661" s="661"/>
      <c r="Y661" s="661"/>
      <c r="Z661" s="661"/>
    </row>
    <row r="662">
      <c r="A662" s="661"/>
      <c r="B662" s="663"/>
      <c r="C662" s="795"/>
      <c r="D662" s="796"/>
      <c r="E662" s="680"/>
      <c r="F662" s="797"/>
      <c r="G662" s="797"/>
      <c r="H662" s="797"/>
      <c r="I662" s="797"/>
      <c r="J662" s="797"/>
      <c r="K662" s="797"/>
      <c r="L662" s="797"/>
      <c r="M662" s="797"/>
      <c r="N662" s="797"/>
      <c r="O662" s="797"/>
      <c r="P662" s="797"/>
      <c r="Q662" s="797"/>
      <c r="R662" s="661"/>
      <c r="S662" s="661"/>
      <c r="T662" s="661"/>
      <c r="U662" s="664"/>
      <c r="V662" s="665"/>
      <c r="W662" s="661"/>
      <c r="X662" s="661"/>
      <c r="Y662" s="661"/>
      <c r="Z662" s="661"/>
    </row>
    <row r="663">
      <c r="A663" s="661"/>
      <c r="B663" s="663"/>
      <c r="C663" s="795"/>
      <c r="D663" s="796"/>
      <c r="E663" s="680"/>
      <c r="F663" s="797"/>
      <c r="G663" s="797"/>
      <c r="H663" s="797"/>
      <c r="I663" s="797"/>
      <c r="J663" s="797"/>
      <c r="K663" s="797"/>
      <c r="L663" s="797"/>
      <c r="M663" s="797"/>
      <c r="N663" s="797"/>
      <c r="O663" s="797"/>
      <c r="P663" s="797"/>
      <c r="Q663" s="797"/>
      <c r="R663" s="661"/>
      <c r="S663" s="661"/>
      <c r="T663" s="661"/>
      <c r="U663" s="664"/>
      <c r="V663" s="665"/>
      <c r="W663" s="661"/>
      <c r="X663" s="661"/>
      <c r="Y663" s="661"/>
      <c r="Z663" s="661"/>
    </row>
    <row r="664">
      <c r="A664" s="661"/>
      <c r="B664" s="663"/>
      <c r="C664" s="795"/>
      <c r="D664" s="796"/>
      <c r="E664" s="680"/>
      <c r="F664" s="797"/>
      <c r="G664" s="797"/>
      <c r="H664" s="797"/>
      <c r="I664" s="797"/>
      <c r="J664" s="797"/>
      <c r="K664" s="797"/>
      <c r="L664" s="797"/>
      <c r="M664" s="797"/>
      <c r="N664" s="797"/>
      <c r="O664" s="797"/>
      <c r="P664" s="797"/>
      <c r="Q664" s="797"/>
      <c r="R664" s="661"/>
      <c r="S664" s="661"/>
      <c r="T664" s="661"/>
      <c r="U664" s="664"/>
      <c r="V664" s="665"/>
      <c r="W664" s="661"/>
      <c r="X664" s="661"/>
      <c r="Y664" s="661"/>
      <c r="Z664" s="661"/>
    </row>
    <row r="665">
      <c r="A665" s="661"/>
      <c r="B665" s="663"/>
      <c r="C665" s="795"/>
      <c r="D665" s="796"/>
      <c r="E665" s="680"/>
      <c r="F665" s="797"/>
      <c r="G665" s="797"/>
      <c r="H665" s="797"/>
      <c r="I665" s="797"/>
      <c r="J665" s="797"/>
      <c r="K665" s="797"/>
      <c r="L665" s="797"/>
      <c r="M665" s="797"/>
      <c r="N665" s="797"/>
      <c r="O665" s="797"/>
      <c r="P665" s="797"/>
      <c r="Q665" s="797"/>
      <c r="R665" s="661"/>
      <c r="S665" s="661"/>
      <c r="T665" s="661"/>
      <c r="U665" s="664"/>
      <c r="V665" s="665"/>
      <c r="W665" s="661"/>
      <c r="X665" s="661"/>
      <c r="Y665" s="661"/>
      <c r="Z665" s="661"/>
    </row>
    <row r="666">
      <c r="A666" s="661"/>
      <c r="B666" s="663"/>
      <c r="C666" s="795"/>
      <c r="D666" s="796"/>
      <c r="E666" s="680"/>
      <c r="F666" s="797"/>
      <c r="G666" s="797"/>
      <c r="H666" s="797"/>
      <c r="I666" s="797"/>
      <c r="J666" s="797"/>
      <c r="K666" s="797"/>
      <c r="L666" s="797"/>
      <c r="M666" s="797"/>
      <c r="N666" s="797"/>
      <c r="O666" s="797"/>
      <c r="P666" s="797"/>
      <c r="Q666" s="797"/>
      <c r="R666" s="661"/>
      <c r="S666" s="661"/>
      <c r="T666" s="661"/>
      <c r="U666" s="664"/>
      <c r="V666" s="665"/>
      <c r="W666" s="661"/>
      <c r="X666" s="661"/>
      <c r="Y666" s="661"/>
      <c r="Z666" s="661"/>
    </row>
    <row r="667">
      <c r="A667" s="661"/>
      <c r="B667" s="663"/>
      <c r="C667" s="795"/>
      <c r="D667" s="796"/>
      <c r="E667" s="680"/>
      <c r="F667" s="797"/>
      <c r="G667" s="797"/>
      <c r="H667" s="797"/>
      <c r="I667" s="797"/>
      <c r="J667" s="797"/>
      <c r="K667" s="797"/>
      <c r="L667" s="797"/>
      <c r="M667" s="797"/>
      <c r="N667" s="797"/>
      <c r="O667" s="797"/>
      <c r="P667" s="797"/>
      <c r="Q667" s="797"/>
      <c r="R667" s="661"/>
      <c r="S667" s="661"/>
      <c r="T667" s="661"/>
      <c r="U667" s="664"/>
      <c r="V667" s="665"/>
      <c r="W667" s="661"/>
      <c r="X667" s="661"/>
      <c r="Y667" s="661"/>
      <c r="Z667" s="661"/>
    </row>
    <row r="668">
      <c r="A668" s="661"/>
      <c r="B668" s="663"/>
      <c r="C668" s="795"/>
      <c r="D668" s="796"/>
      <c r="E668" s="680"/>
      <c r="F668" s="797"/>
      <c r="G668" s="797"/>
      <c r="H668" s="797"/>
      <c r="I668" s="797"/>
      <c r="J668" s="797"/>
      <c r="K668" s="797"/>
      <c r="L668" s="797"/>
      <c r="M668" s="797"/>
      <c r="N668" s="797"/>
      <c r="O668" s="797"/>
      <c r="P668" s="797"/>
      <c r="Q668" s="797"/>
      <c r="R668" s="661"/>
      <c r="S668" s="661"/>
      <c r="T668" s="661"/>
      <c r="U668" s="664"/>
      <c r="V668" s="665"/>
      <c r="W668" s="661"/>
      <c r="X668" s="661"/>
      <c r="Y668" s="661"/>
      <c r="Z668" s="661"/>
    </row>
    <row r="669">
      <c r="A669" s="661"/>
      <c r="B669" s="663"/>
      <c r="C669" s="795"/>
      <c r="D669" s="796"/>
      <c r="E669" s="680"/>
      <c r="F669" s="797"/>
      <c r="G669" s="797"/>
      <c r="H669" s="797"/>
      <c r="I669" s="797"/>
      <c r="J669" s="797"/>
      <c r="K669" s="797"/>
      <c r="L669" s="797"/>
      <c r="M669" s="797"/>
      <c r="N669" s="797"/>
      <c r="O669" s="797"/>
      <c r="P669" s="797"/>
      <c r="Q669" s="797"/>
      <c r="R669" s="661"/>
      <c r="S669" s="661"/>
      <c r="T669" s="661"/>
      <c r="U669" s="664"/>
      <c r="V669" s="665"/>
      <c r="W669" s="661"/>
      <c r="X669" s="661"/>
      <c r="Y669" s="661"/>
      <c r="Z669" s="661"/>
    </row>
    <row r="670">
      <c r="A670" s="661"/>
      <c r="B670" s="663"/>
      <c r="C670" s="795"/>
      <c r="D670" s="796"/>
      <c r="E670" s="680"/>
      <c r="F670" s="797"/>
      <c r="G670" s="797"/>
      <c r="H670" s="797"/>
      <c r="I670" s="797"/>
      <c r="J670" s="797"/>
      <c r="K670" s="797"/>
      <c r="L670" s="797"/>
      <c r="M670" s="797"/>
      <c r="N670" s="797"/>
      <c r="O670" s="797"/>
      <c r="P670" s="797"/>
      <c r="Q670" s="797"/>
      <c r="R670" s="661"/>
      <c r="S670" s="661"/>
      <c r="T670" s="661"/>
      <c r="U670" s="664"/>
      <c r="V670" s="665"/>
      <c r="W670" s="661"/>
      <c r="X670" s="661"/>
      <c r="Y670" s="661"/>
      <c r="Z670" s="661"/>
    </row>
    <row r="671">
      <c r="A671" s="661"/>
      <c r="B671" s="663"/>
      <c r="C671" s="795"/>
      <c r="D671" s="796"/>
      <c r="E671" s="680"/>
      <c r="F671" s="797"/>
      <c r="G671" s="797"/>
      <c r="H671" s="797"/>
      <c r="I671" s="797"/>
      <c r="J671" s="797"/>
      <c r="K671" s="797"/>
      <c r="L671" s="797"/>
      <c r="M671" s="797"/>
      <c r="N671" s="797"/>
      <c r="O671" s="797"/>
      <c r="P671" s="797"/>
      <c r="Q671" s="797"/>
      <c r="R671" s="661"/>
      <c r="S671" s="661"/>
      <c r="T671" s="661"/>
      <c r="U671" s="664"/>
      <c r="V671" s="665"/>
      <c r="W671" s="661"/>
      <c r="X671" s="661"/>
      <c r="Y671" s="661"/>
      <c r="Z671" s="661"/>
    </row>
    <row r="672">
      <c r="A672" s="661"/>
      <c r="B672" s="663"/>
      <c r="C672" s="795"/>
      <c r="D672" s="796"/>
      <c r="E672" s="680"/>
      <c r="F672" s="797"/>
      <c r="G672" s="797"/>
      <c r="H672" s="797"/>
      <c r="I672" s="797"/>
      <c r="J672" s="797"/>
      <c r="K672" s="797"/>
      <c r="L672" s="797"/>
      <c r="M672" s="797"/>
      <c r="N672" s="797"/>
      <c r="O672" s="797"/>
      <c r="P672" s="797"/>
      <c r="Q672" s="797"/>
      <c r="R672" s="661"/>
      <c r="S672" s="661"/>
      <c r="T672" s="661"/>
      <c r="U672" s="664"/>
      <c r="V672" s="665"/>
      <c r="W672" s="661"/>
      <c r="X672" s="661"/>
      <c r="Y672" s="661"/>
      <c r="Z672" s="661"/>
    </row>
    <row r="673">
      <c r="A673" s="661"/>
      <c r="B673" s="663"/>
      <c r="C673" s="795"/>
      <c r="D673" s="796"/>
      <c r="E673" s="680"/>
      <c r="F673" s="797"/>
      <c r="G673" s="797"/>
      <c r="H673" s="797"/>
      <c r="I673" s="797"/>
      <c r="J673" s="797"/>
      <c r="K673" s="797"/>
      <c r="L673" s="797"/>
      <c r="M673" s="797"/>
      <c r="N673" s="797"/>
      <c r="O673" s="797"/>
      <c r="P673" s="797"/>
      <c r="Q673" s="797"/>
      <c r="R673" s="661"/>
      <c r="S673" s="661"/>
      <c r="T673" s="661"/>
      <c r="U673" s="664"/>
      <c r="V673" s="665"/>
      <c r="W673" s="661"/>
      <c r="X673" s="661"/>
      <c r="Y673" s="661"/>
      <c r="Z673" s="661"/>
    </row>
    <row r="674">
      <c r="A674" s="661"/>
      <c r="B674" s="663"/>
      <c r="C674" s="795"/>
      <c r="D674" s="796"/>
      <c r="E674" s="680"/>
      <c r="F674" s="797"/>
      <c r="G674" s="797"/>
      <c r="H674" s="797"/>
      <c r="I674" s="797"/>
      <c r="J674" s="797"/>
      <c r="K674" s="797"/>
      <c r="L674" s="797"/>
      <c r="M674" s="797"/>
      <c r="N674" s="797"/>
      <c r="O674" s="797"/>
      <c r="P674" s="797"/>
      <c r="Q674" s="797"/>
      <c r="R674" s="661"/>
      <c r="S674" s="661"/>
      <c r="T674" s="661"/>
      <c r="U674" s="664"/>
      <c r="V674" s="665"/>
      <c r="W674" s="661"/>
      <c r="X674" s="661"/>
      <c r="Y674" s="661"/>
      <c r="Z674" s="661"/>
    </row>
    <row r="675">
      <c r="A675" s="661"/>
      <c r="B675" s="663"/>
      <c r="C675" s="795"/>
      <c r="D675" s="796"/>
      <c r="E675" s="680"/>
      <c r="F675" s="797"/>
      <c r="G675" s="797"/>
      <c r="H675" s="797"/>
      <c r="I675" s="797"/>
      <c r="J675" s="797"/>
      <c r="K675" s="797"/>
      <c r="L675" s="797"/>
      <c r="M675" s="797"/>
      <c r="N675" s="797"/>
      <c r="O675" s="797"/>
      <c r="P675" s="797"/>
      <c r="Q675" s="797"/>
      <c r="R675" s="661"/>
      <c r="S675" s="661"/>
      <c r="T675" s="661"/>
      <c r="U675" s="664"/>
      <c r="V675" s="665"/>
      <c r="W675" s="661"/>
      <c r="X675" s="661"/>
      <c r="Y675" s="661"/>
      <c r="Z675" s="661"/>
    </row>
    <row r="676">
      <c r="A676" s="661"/>
      <c r="B676" s="663"/>
      <c r="C676" s="795"/>
      <c r="D676" s="796"/>
      <c r="E676" s="680"/>
      <c r="F676" s="797"/>
      <c r="G676" s="797"/>
      <c r="H676" s="797"/>
      <c r="I676" s="797"/>
      <c r="J676" s="797"/>
      <c r="K676" s="797"/>
      <c r="L676" s="797"/>
      <c r="M676" s="797"/>
      <c r="N676" s="797"/>
      <c r="O676" s="797"/>
      <c r="P676" s="797"/>
      <c r="Q676" s="797"/>
      <c r="R676" s="661"/>
      <c r="S676" s="661"/>
      <c r="T676" s="661"/>
      <c r="U676" s="664"/>
      <c r="V676" s="665"/>
      <c r="W676" s="661"/>
      <c r="X676" s="661"/>
      <c r="Y676" s="661"/>
      <c r="Z676" s="661"/>
    </row>
    <row r="677">
      <c r="A677" s="661"/>
      <c r="B677" s="663"/>
      <c r="C677" s="795"/>
      <c r="D677" s="796"/>
      <c r="E677" s="680"/>
      <c r="F677" s="797"/>
      <c r="G677" s="797"/>
      <c r="H677" s="797"/>
      <c r="I677" s="797"/>
      <c r="J677" s="797"/>
      <c r="K677" s="797"/>
      <c r="L677" s="797"/>
      <c r="M677" s="797"/>
      <c r="N677" s="797"/>
      <c r="O677" s="797"/>
      <c r="P677" s="797"/>
      <c r="Q677" s="797"/>
      <c r="R677" s="661"/>
      <c r="S677" s="661"/>
      <c r="T677" s="661"/>
      <c r="U677" s="664"/>
      <c r="V677" s="665"/>
      <c r="W677" s="661"/>
      <c r="X677" s="661"/>
      <c r="Y677" s="661"/>
      <c r="Z677" s="661"/>
    </row>
    <row r="678">
      <c r="A678" s="661"/>
      <c r="B678" s="663"/>
      <c r="C678" s="795"/>
      <c r="D678" s="796"/>
      <c r="E678" s="680"/>
      <c r="F678" s="797"/>
      <c r="G678" s="797"/>
      <c r="H678" s="797"/>
      <c r="I678" s="797"/>
      <c r="J678" s="797"/>
      <c r="K678" s="797"/>
      <c r="L678" s="797"/>
      <c r="M678" s="797"/>
      <c r="N678" s="797"/>
      <c r="O678" s="797"/>
      <c r="P678" s="797"/>
      <c r="Q678" s="797"/>
      <c r="R678" s="661"/>
      <c r="S678" s="661"/>
      <c r="T678" s="661"/>
      <c r="U678" s="664"/>
      <c r="V678" s="665"/>
      <c r="W678" s="661"/>
      <c r="X678" s="661"/>
      <c r="Y678" s="661"/>
      <c r="Z678" s="661"/>
    </row>
    <row r="679">
      <c r="A679" s="661"/>
      <c r="B679" s="663"/>
      <c r="C679" s="795"/>
      <c r="D679" s="796"/>
      <c r="E679" s="680"/>
      <c r="F679" s="797"/>
      <c r="G679" s="797"/>
      <c r="H679" s="797"/>
      <c r="I679" s="797"/>
      <c r="J679" s="797"/>
      <c r="K679" s="797"/>
      <c r="L679" s="797"/>
      <c r="M679" s="797"/>
      <c r="N679" s="797"/>
      <c r="O679" s="797"/>
      <c r="P679" s="797"/>
      <c r="Q679" s="797"/>
      <c r="R679" s="661"/>
      <c r="S679" s="661"/>
      <c r="T679" s="661"/>
      <c r="U679" s="664"/>
      <c r="V679" s="665"/>
      <c r="W679" s="661"/>
      <c r="X679" s="661"/>
      <c r="Y679" s="661"/>
      <c r="Z679" s="661"/>
    </row>
    <row r="680">
      <c r="A680" s="661"/>
      <c r="B680" s="663"/>
      <c r="C680" s="795"/>
      <c r="D680" s="796"/>
      <c r="E680" s="680"/>
      <c r="F680" s="797"/>
      <c r="G680" s="797"/>
      <c r="H680" s="797"/>
      <c r="I680" s="797"/>
      <c r="J680" s="797"/>
      <c r="K680" s="797"/>
      <c r="L680" s="797"/>
      <c r="M680" s="797"/>
      <c r="N680" s="797"/>
      <c r="O680" s="797"/>
      <c r="P680" s="797"/>
      <c r="Q680" s="797"/>
      <c r="R680" s="661"/>
      <c r="S680" s="661"/>
      <c r="T680" s="661"/>
      <c r="U680" s="664"/>
      <c r="V680" s="665"/>
      <c r="W680" s="661"/>
      <c r="X680" s="661"/>
      <c r="Y680" s="661"/>
      <c r="Z680" s="661"/>
    </row>
    <row r="681">
      <c r="A681" s="661"/>
      <c r="B681" s="663"/>
      <c r="C681" s="795"/>
      <c r="D681" s="796"/>
      <c r="E681" s="680"/>
      <c r="F681" s="797"/>
      <c r="G681" s="797"/>
      <c r="H681" s="797"/>
      <c r="I681" s="797"/>
      <c r="J681" s="797"/>
      <c r="K681" s="797"/>
      <c r="L681" s="797"/>
      <c r="M681" s="797"/>
      <c r="N681" s="797"/>
      <c r="O681" s="797"/>
      <c r="P681" s="797"/>
      <c r="Q681" s="797"/>
      <c r="R681" s="661"/>
      <c r="S681" s="661"/>
      <c r="T681" s="661"/>
      <c r="U681" s="664"/>
      <c r="V681" s="665"/>
      <c r="W681" s="661"/>
      <c r="X681" s="661"/>
      <c r="Y681" s="661"/>
      <c r="Z681" s="661"/>
    </row>
    <row r="682">
      <c r="A682" s="661"/>
      <c r="B682" s="663"/>
      <c r="C682" s="795"/>
      <c r="D682" s="796"/>
      <c r="E682" s="680"/>
      <c r="F682" s="797"/>
      <c r="G682" s="797"/>
      <c r="H682" s="797"/>
      <c r="I682" s="797"/>
      <c r="J682" s="797"/>
      <c r="K682" s="797"/>
      <c r="L682" s="797"/>
      <c r="M682" s="797"/>
      <c r="N682" s="797"/>
      <c r="O682" s="797"/>
      <c r="P682" s="797"/>
      <c r="Q682" s="797"/>
      <c r="R682" s="661"/>
      <c r="S682" s="661"/>
      <c r="T682" s="661"/>
      <c r="U682" s="664"/>
      <c r="V682" s="665"/>
      <c r="W682" s="661"/>
      <c r="X682" s="661"/>
      <c r="Y682" s="661"/>
      <c r="Z682" s="661"/>
    </row>
    <row r="683">
      <c r="A683" s="661"/>
      <c r="B683" s="663"/>
      <c r="C683" s="795"/>
      <c r="D683" s="796"/>
      <c r="E683" s="680"/>
      <c r="F683" s="797"/>
      <c r="G683" s="797"/>
      <c r="H683" s="797"/>
      <c r="I683" s="797"/>
      <c r="J683" s="797"/>
      <c r="K683" s="797"/>
      <c r="L683" s="797"/>
      <c r="M683" s="797"/>
      <c r="N683" s="797"/>
      <c r="O683" s="797"/>
      <c r="P683" s="797"/>
      <c r="Q683" s="797"/>
      <c r="R683" s="661"/>
      <c r="S683" s="661"/>
      <c r="T683" s="661"/>
      <c r="U683" s="664"/>
      <c r="V683" s="665"/>
      <c r="W683" s="661"/>
      <c r="X683" s="661"/>
      <c r="Y683" s="661"/>
      <c r="Z683" s="661"/>
    </row>
    <row r="684">
      <c r="A684" s="661"/>
      <c r="B684" s="663"/>
      <c r="C684" s="795"/>
      <c r="D684" s="796"/>
      <c r="E684" s="680"/>
      <c r="F684" s="797"/>
      <c r="G684" s="797"/>
      <c r="H684" s="797"/>
      <c r="I684" s="797"/>
      <c r="J684" s="797"/>
      <c r="K684" s="797"/>
      <c r="L684" s="797"/>
      <c r="M684" s="797"/>
      <c r="N684" s="797"/>
      <c r="O684" s="797"/>
      <c r="P684" s="797"/>
      <c r="Q684" s="797"/>
      <c r="R684" s="661"/>
      <c r="S684" s="661"/>
      <c r="T684" s="661"/>
      <c r="U684" s="664"/>
      <c r="V684" s="665"/>
      <c r="W684" s="661"/>
      <c r="X684" s="661"/>
      <c r="Y684" s="661"/>
      <c r="Z684" s="661"/>
    </row>
    <row r="685">
      <c r="A685" s="661"/>
      <c r="B685" s="663"/>
      <c r="C685" s="795"/>
      <c r="D685" s="796"/>
      <c r="E685" s="680"/>
      <c r="F685" s="797"/>
      <c r="G685" s="797"/>
      <c r="H685" s="797"/>
      <c r="I685" s="797"/>
      <c r="J685" s="797"/>
      <c r="K685" s="797"/>
      <c r="L685" s="797"/>
      <c r="M685" s="797"/>
      <c r="N685" s="797"/>
      <c r="O685" s="797"/>
      <c r="P685" s="797"/>
      <c r="Q685" s="797"/>
      <c r="R685" s="661"/>
      <c r="S685" s="661"/>
      <c r="T685" s="661"/>
      <c r="U685" s="664"/>
      <c r="V685" s="665"/>
      <c r="W685" s="661"/>
      <c r="X685" s="661"/>
      <c r="Y685" s="661"/>
      <c r="Z685" s="661"/>
    </row>
    <row r="686">
      <c r="A686" s="661"/>
      <c r="B686" s="663"/>
      <c r="C686" s="795"/>
      <c r="D686" s="796"/>
      <c r="E686" s="680"/>
      <c r="F686" s="797"/>
      <c r="G686" s="797"/>
      <c r="H686" s="797"/>
      <c r="I686" s="797"/>
      <c r="J686" s="797"/>
      <c r="K686" s="797"/>
      <c r="L686" s="797"/>
      <c r="M686" s="797"/>
      <c r="N686" s="797"/>
      <c r="O686" s="797"/>
      <c r="P686" s="797"/>
      <c r="Q686" s="797"/>
      <c r="R686" s="661"/>
      <c r="S686" s="661"/>
      <c r="T686" s="661"/>
      <c r="U686" s="664"/>
      <c r="V686" s="665"/>
      <c r="W686" s="661"/>
      <c r="X686" s="661"/>
      <c r="Y686" s="661"/>
      <c r="Z686" s="661"/>
    </row>
    <row r="687">
      <c r="A687" s="661"/>
      <c r="B687" s="663"/>
      <c r="C687" s="795"/>
      <c r="D687" s="796"/>
      <c r="E687" s="680"/>
      <c r="F687" s="797"/>
      <c r="G687" s="797"/>
      <c r="H687" s="797"/>
      <c r="I687" s="797"/>
      <c r="J687" s="797"/>
      <c r="K687" s="797"/>
      <c r="L687" s="797"/>
      <c r="M687" s="797"/>
      <c r="N687" s="797"/>
      <c r="O687" s="797"/>
      <c r="P687" s="797"/>
      <c r="Q687" s="797"/>
      <c r="R687" s="661"/>
      <c r="S687" s="661"/>
      <c r="T687" s="661"/>
      <c r="U687" s="664"/>
      <c r="V687" s="665"/>
      <c r="W687" s="661"/>
      <c r="X687" s="661"/>
      <c r="Y687" s="661"/>
      <c r="Z687" s="661"/>
    </row>
    <row r="688">
      <c r="A688" s="661"/>
      <c r="B688" s="663"/>
      <c r="C688" s="795"/>
      <c r="D688" s="796"/>
      <c r="E688" s="680"/>
      <c r="F688" s="797"/>
      <c r="G688" s="797"/>
      <c r="H688" s="797"/>
      <c r="I688" s="797"/>
      <c r="J688" s="797"/>
      <c r="K688" s="797"/>
      <c r="L688" s="797"/>
      <c r="M688" s="797"/>
      <c r="N688" s="797"/>
      <c r="O688" s="797"/>
      <c r="P688" s="797"/>
      <c r="Q688" s="797"/>
      <c r="R688" s="661"/>
      <c r="S688" s="661"/>
      <c r="T688" s="661"/>
      <c r="U688" s="664"/>
      <c r="V688" s="665"/>
      <c r="W688" s="661"/>
      <c r="X688" s="661"/>
      <c r="Y688" s="661"/>
      <c r="Z688" s="661"/>
    </row>
    <row r="689">
      <c r="A689" s="661"/>
      <c r="B689" s="663"/>
      <c r="C689" s="795"/>
      <c r="D689" s="796"/>
      <c r="E689" s="680"/>
      <c r="F689" s="797"/>
      <c r="G689" s="797"/>
      <c r="H689" s="797"/>
      <c r="I689" s="797"/>
      <c r="J689" s="797"/>
      <c r="K689" s="797"/>
      <c r="L689" s="797"/>
      <c r="M689" s="797"/>
      <c r="N689" s="797"/>
      <c r="O689" s="797"/>
      <c r="P689" s="797"/>
      <c r="Q689" s="797"/>
      <c r="R689" s="661"/>
      <c r="S689" s="661"/>
      <c r="T689" s="661"/>
      <c r="U689" s="664"/>
      <c r="V689" s="665"/>
      <c r="W689" s="661"/>
      <c r="X689" s="661"/>
      <c r="Y689" s="661"/>
      <c r="Z689" s="661"/>
    </row>
    <row r="690">
      <c r="A690" s="661"/>
      <c r="B690" s="663"/>
      <c r="C690" s="795"/>
      <c r="D690" s="796"/>
      <c r="E690" s="680"/>
      <c r="F690" s="797"/>
      <c r="G690" s="797"/>
      <c r="H690" s="797"/>
      <c r="I690" s="797"/>
      <c r="J690" s="797"/>
      <c r="K690" s="797"/>
      <c r="L690" s="797"/>
      <c r="M690" s="797"/>
      <c r="N690" s="797"/>
      <c r="O690" s="797"/>
      <c r="P690" s="797"/>
      <c r="Q690" s="797"/>
      <c r="R690" s="661"/>
      <c r="S690" s="661"/>
      <c r="T690" s="661"/>
      <c r="U690" s="664"/>
      <c r="V690" s="665"/>
      <c r="W690" s="661"/>
      <c r="X690" s="661"/>
      <c r="Y690" s="661"/>
      <c r="Z690" s="661"/>
    </row>
    <row r="691">
      <c r="A691" s="661"/>
      <c r="B691" s="663"/>
      <c r="C691" s="795"/>
      <c r="D691" s="796"/>
      <c r="E691" s="680"/>
      <c r="F691" s="797"/>
      <c r="G691" s="797"/>
      <c r="H691" s="797"/>
      <c r="I691" s="797"/>
      <c r="J691" s="797"/>
      <c r="K691" s="797"/>
      <c r="L691" s="797"/>
      <c r="M691" s="797"/>
      <c r="N691" s="797"/>
      <c r="O691" s="797"/>
      <c r="P691" s="797"/>
      <c r="Q691" s="797"/>
      <c r="R691" s="661"/>
      <c r="S691" s="661"/>
      <c r="T691" s="661"/>
      <c r="U691" s="664"/>
      <c r="V691" s="665"/>
      <c r="W691" s="661"/>
      <c r="X691" s="661"/>
      <c r="Y691" s="661"/>
      <c r="Z691" s="661"/>
    </row>
    <row r="692">
      <c r="A692" s="661"/>
      <c r="B692" s="663"/>
      <c r="C692" s="795"/>
      <c r="D692" s="796"/>
      <c r="E692" s="680"/>
      <c r="F692" s="797"/>
      <c r="G692" s="797"/>
      <c r="H692" s="797"/>
      <c r="I692" s="797"/>
      <c r="J692" s="797"/>
      <c r="K692" s="797"/>
      <c r="L692" s="797"/>
      <c r="M692" s="797"/>
      <c r="N692" s="797"/>
      <c r="O692" s="797"/>
      <c r="P692" s="797"/>
      <c r="Q692" s="797"/>
      <c r="R692" s="661"/>
      <c r="S692" s="661"/>
      <c r="T692" s="661"/>
      <c r="U692" s="664"/>
      <c r="V692" s="665"/>
      <c r="W692" s="661"/>
      <c r="X692" s="661"/>
      <c r="Y692" s="661"/>
      <c r="Z692" s="661"/>
    </row>
    <row r="693">
      <c r="A693" s="661"/>
      <c r="B693" s="663"/>
      <c r="C693" s="795"/>
      <c r="D693" s="796"/>
      <c r="E693" s="680"/>
      <c r="F693" s="797"/>
      <c r="G693" s="797"/>
      <c r="H693" s="797"/>
      <c r="I693" s="797"/>
      <c r="J693" s="797"/>
      <c r="K693" s="797"/>
      <c r="L693" s="797"/>
      <c r="M693" s="797"/>
      <c r="N693" s="797"/>
      <c r="O693" s="797"/>
      <c r="P693" s="797"/>
      <c r="Q693" s="797"/>
      <c r="R693" s="661"/>
      <c r="S693" s="661"/>
      <c r="T693" s="661"/>
      <c r="U693" s="664"/>
      <c r="V693" s="665"/>
      <c r="W693" s="661"/>
      <c r="X693" s="661"/>
      <c r="Y693" s="661"/>
      <c r="Z693" s="661"/>
    </row>
    <row r="694">
      <c r="A694" s="661"/>
      <c r="B694" s="663"/>
      <c r="C694" s="795"/>
      <c r="D694" s="796"/>
      <c r="E694" s="680"/>
      <c r="F694" s="797"/>
      <c r="G694" s="797"/>
      <c r="H694" s="797"/>
      <c r="I694" s="797"/>
      <c r="J694" s="797"/>
      <c r="K694" s="797"/>
      <c r="L694" s="797"/>
      <c r="M694" s="797"/>
      <c r="N694" s="797"/>
      <c r="O694" s="797"/>
      <c r="P694" s="797"/>
      <c r="Q694" s="797"/>
      <c r="R694" s="661"/>
      <c r="S694" s="661"/>
      <c r="T694" s="661"/>
      <c r="U694" s="664"/>
      <c r="V694" s="665"/>
      <c r="W694" s="661"/>
      <c r="X694" s="661"/>
      <c r="Y694" s="661"/>
      <c r="Z694" s="661"/>
    </row>
    <row r="695">
      <c r="A695" s="661"/>
      <c r="B695" s="663"/>
      <c r="C695" s="795"/>
      <c r="D695" s="796"/>
      <c r="E695" s="680"/>
      <c r="F695" s="797"/>
      <c r="G695" s="797"/>
      <c r="H695" s="797"/>
      <c r="I695" s="797"/>
      <c r="J695" s="797"/>
      <c r="K695" s="797"/>
      <c r="L695" s="797"/>
      <c r="M695" s="797"/>
      <c r="N695" s="797"/>
      <c r="O695" s="797"/>
      <c r="P695" s="797"/>
      <c r="Q695" s="797"/>
      <c r="R695" s="661"/>
      <c r="S695" s="661"/>
      <c r="T695" s="661"/>
      <c r="U695" s="664"/>
      <c r="V695" s="665"/>
      <c r="W695" s="661"/>
      <c r="X695" s="661"/>
      <c r="Y695" s="661"/>
      <c r="Z695" s="661"/>
    </row>
    <row r="696">
      <c r="A696" s="661"/>
      <c r="B696" s="663"/>
      <c r="C696" s="795"/>
      <c r="D696" s="796"/>
      <c r="E696" s="680"/>
      <c r="F696" s="797"/>
      <c r="G696" s="797"/>
      <c r="H696" s="797"/>
      <c r="I696" s="797"/>
      <c r="J696" s="797"/>
      <c r="K696" s="797"/>
      <c r="L696" s="797"/>
      <c r="M696" s="797"/>
      <c r="N696" s="797"/>
      <c r="O696" s="797"/>
      <c r="P696" s="797"/>
      <c r="Q696" s="797"/>
      <c r="R696" s="661"/>
      <c r="S696" s="661"/>
      <c r="T696" s="661"/>
      <c r="U696" s="664"/>
      <c r="V696" s="665"/>
      <c r="W696" s="661"/>
      <c r="X696" s="661"/>
      <c r="Y696" s="661"/>
      <c r="Z696" s="661"/>
    </row>
    <row r="697">
      <c r="A697" s="661"/>
      <c r="B697" s="663"/>
      <c r="C697" s="795"/>
      <c r="D697" s="796"/>
      <c r="E697" s="680"/>
      <c r="F697" s="797"/>
      <c r="G697" s="797"/>
      <c r="H697" s="797"/>
      <c r="I697" s="797"/>
      <c r="J697" s="797"/>
      <c r="K697" s="797"/>
      <c r="L697" s="797"/>
      <c r="M697" s="797"/>
      <c r="N697" s="797"/>
      <c r="O697" s="797"/>
      <c r="P697" s="797"/>
      <c r="Q697" s="797"/>
      <c r="R697" s="661"/>
      <c r="S697" s="661"/>
      <c r="T697" s="661"/>
      <c r="U697" s="664"/>
      <c r="V697" s="665"/>
      <c r="W697" s="661"/>
      <c r="X697" s="661"/>
      <c r="Y697" s="661"/>
      <c r="Z697" s="661"/>
    </row>
    <row r="698">
      <c r="A698" s="661"/>
      <c r="B698" s="663"/>
      <c r="C698" s="795"/>
      <c r="D698" s="796"/>
      <c r="E698" s="680"/>
      <c r="F698" s="797"/>
      <c r="G698" s="797"/>
      <c r="H698" s="797"/>
      <c r="I698" s="797"/>
      <c r="J698" s="797"/>
      <c r="K698" s="797"/>
      <c r="L698" s="797"/>
      <c r="M698" s="797"/>
      <c r="N698" s="797"/>
      <c r="O698" s="797"/>
      <c r="P698" s="797"/>
      <c r="Q698" s="797"/>
      <c r="R698" s="661"/>
      <c r="S698" s="661"/>
      <c r="T698" s="661"/>
      <c r="U698" s="664"/>
      <c r="V698" s="665"/>
      <c r="W698" s="661"/>
      <c r="X698" s="661"/>
      <c r="Y698" s="661"/>
      <c r="Z698" s="661"/>
    </row>
    <row r="699">
      <c r="A699" s="661"/>
      <c r="B699" s="663"/>
      <c r="C699" s="795"/>
      <c r="D699" s="796"/>
      <c r="E699" s="680"/>
      <c r="F699" s="797"/>
      <c r="G699" s="797"/>
      <c r="H699" s="797"/>
      <c r="I699" s="797"/>
      <c r="J699" s="797"/>
      <c r="K699" s="797"/>
      <c r="L699" s="797"/>
      <c r="M699" s="797"/>
      <c r="N699" s="797"/>
      <c r="O699" s="797"/>
      <c r="P699" s="797"/>
      <c r="Q699" s="797"/>
      <c r="R699" s="661"/>
      <c r="S699" s="661"/>
      <c r="T699" s="661"/>
      <c r="U699" s="664"/>
      <c r="V699" s="665"/>
      <c r="W699" s="661"/>
      <c r="X699" s="661"/>
      <c r="Y699" s="661"/>
      <c r="Z699" s="661"/>
    </row>
    <row r="700">
      <c r="A700" s="661"/>
      <c r="B700" s="663"/>
      <c r="C700" s="795"/>
      <c r="D700" s="796"/>
      <c r="E700" s="680"/>
      <c r="F700" s="797"/>
      <c r="G700" s="797"/>
      <c r="H700" s="797"/>
      <c r="I700" s="797"/>
      <c r="J700" s="797"/>
      <c r="K700" s="797"/>
      <c r="L700" s="797"/>
      <c r="M700" s="797"/>
      <c r="N700" s="797"/>
      <c r="O700" s="797"/>
      <c r="P700" s="797"/>
      <c r="Q700" s="797"/>
      <c r="R700" s="661"/>
      <c r="S700" s="661"/>
      <c r="T700" s="661"/>
      <c r="U700" s="664"/>
      <c r="V700" s="665"/>
      <c r="W700" s="661"/>
      <c r="X700" s="661"/>
      <c r="Y700" s="661"/>
      <c r="Z700" s="661"/>
    </row>
    <row r="701">
      <c r="A701" s="661"/>
      <c r="B701" s="663"/>
      <c r="C701" s="795"/>
      <c r="D701" s="796"/>
      <c r="E701" s="680"/>
      <c r="F701" s="797"/>
      <c r="G701" s="797"/>
      <c r="H701" s="797"/>
      <c r="I701" s="797"/>
      <c r="J701" s="797"/>
      <c r="K701" s="797"/>
      <c r="L701" s="797"/>
      <c r="M701" s="797"/>
      <c r="N701" s="797"/>
      <c r="O701" s="797"/>
      <c r="P701" s="797"/>
      <c r="Q701" s="797"/>
      <c r="R701" s="661"/>
      <c r="S701" s="661"/>
      <c r="T701" s="661"/>
      <c r="U701" s="664"/>
      <c r="V701" s="665"/>
      <c r="W701" s="661"/>
      <c r="X701" s="661"/>
      <c r="Y701" s="661"/>
      <c r="Z701" s="661"/>
    </row>
    <row r="702">
      <c r="A702" s="661"/>
      <c r="B702" s="663"/>
      <c r="C702" s="795"/>
      <c r="D702" s="796"/>
      <c r="E702" s="680"/>
      <c r="F702" s="797"/>
      <c r="G702" s="797"/>
      <c r="H702" s="797"/>
      <c r="I702" s="797"/>
      <c r="J702" s="797"/>
      <c r="K702" s="797"/>
      <c r="L702" s="797"/>
      <c r="M702" s="797"/>
      <c r="N702" s="797"/>
      <c r="O702" s="797"/>
      <c r="P702" s="797"/>
      <c r="Q702" s="797"/>
      <c r="R702" s="661"/>
      <c r="S702" s="661"/>
      <c r="T702" s="661"/>
      <c r="U702" s="664"/>
      <c r="V702" s="665"/>
      <c r="W702" s="661"/>
      <c r="X702" s="661"/>
      <c r="Y702" s="661"/>
      <c r="Z702" s="661"/>
    </row>
    <row r="703">
      <c r="A703" s="661"/>
      <c r="B703" s="663"/>
      <c r="C703" s="795"/>
      <c r="D703" s="796"/>
      <c r="E703" s="680"/>
      <c r="F703" s="797"/>
      <c r="G703" s="797"/>
      <c r="H703" s="797"/>
      <c r="I703" s="797"/>
      <c r="J703" s="797"/>
      <c r="K703" s="797"/>
      <c r="L703" s="797"/>
      <c r="M703" s="797"/>
      <c r="N703" s="797"/>
      <c r="O703" s="797"/>
      <c r="P703" s="797"/>
      <c r="Q703" s="797"/>
      <c r="R703" s="661"/>
      <c r="S703" s="661"/>
      <c r="T703" s="661"/>
      <c r="U703" s="664"/>
      <c r="V703" s="665"/>
      <c r="W703" s="661"/>
      <c r="X703" s="661"/>
      <c r="Y703" s="661"/>
      <c r="Z703" s="661"/>
    </row>
    <row r="704">
      <c r="A704" s="661"/>
      <c r="B704" s="663"/>
      <c r="C704" s="795"/>
      <c r="D704" s="796"/>
      <c r="E704" s="680"/>
      <c r="F704" s="797"/>
      <c r="G704" s="797"/>
      <c r="H704" s="797"/>
      <c r="I704" s="797"/>
      <c r="J704" s="797"/>
      <c r="K704" s="797"/>
      <c r="L704" s="797"/>
      <c r="M704" s="797"/>
      <c r="N704" s="797"/>
      <c r="O704" s="797"/>
      <c r="P704" s="797"/>
      <c r="Q704" s="797"/>
      <c r="R704" s="661"/>
      <c r="S704" s="661"/>
      <c r="T704" s="661"/>
      <c r="U704" s="664"/>
      <c r="V704" s="665"/>
      <c r="W704" s="661"/>
      <c r="X704" s="661"/>
      <c r="Y704" s="661"/>
      <c r="Z704" s="661"/>
    </row>
    <row r="705">
      <c r="A705" s="661"/>
      <c r="B705" s="663"/>
      <c r="C705" s="795"/>
      <c r="D705" s="796"/>
      <c r="E705" s="680"/>
      <c r="F705" s="797"/>
      <c r="G705" s="797"/>
      <c r="H705" s="797"/>
      <c r="I705" s="797"/>
      <c r="J705" s="797"/>
      <c r="K705" s="797"/>
      <c r="L705" s="797"/>
      <c r="M705" s="797"/>
      <c r="N705" s="797"/>
      <c r="O705" s="797"/>
      <c r="P705" s="797"/>
      <c r="Q705" s="797"/>
      <c r="R705" s="661"/>
      <c r="S705" s="661"/>
      <c r="T705" s="661"/>
      <c r="U705" s="664"/>
      <c r="V705" s="665"/>
      <c r="W705" s="661"/>
      <c r="X705" s="661"/>
      <c r="Y705" s="661"/>
      <c r="Z705" s="661"/>
    </row>
    <row r="706">
      <c r="A706" s="661"/>
      <c r="B706" s="663"/>
      <c r="C706" s="795"/>
      <c r="D706" s="796"/>
      <c r="E706" s="680"/>
      <c r="F706" s="797"/>
      <c r="G706" s="797"/>
      <c r="H706" s="797"/>
      <c r="I706" s="797"/>
      <c r="J706" s="797"/>
      <c r="K706" s="797"/>
      <c r="L706" s="797"/>
      <c r="M706" s="797"/>
      <c r="N706" s="797"/>
      <c r="O706" s="797"/>
      <c r="P706" s="797"/>
      <c r="Q706" s="797"/>
      <c r="R706" s="661"/>
      <c r="S706" s="661"/>
      <c r="T706" s="661"/>
      <c r="U706" s="664"/>
      <c r="V706" s="665"/>
      <c r="W706" s="661"/>
      <c r="X706" s="661"/>
      <c r="Y706" s="661"/>
      <c r="Z706" s="661"/>
    </row>
    <row r="707">
      <c r="A707" s="661"/>
      <c r="B707" s="663"/>
      <c r="C707" s="795"/>
      <c r="D707" s="796"/>
      <c r="E707" s="680"/>
      <c r="F707" s="797"/>
      <c r="G707" s="797"/>
      <c r="H707" s="797"/>
      <c r="I707" s="797"/>
      <c r="J707" s="797"/>
      <c r="K707" s="797"/>
      <c r="L707" s="797"/>
      <c r="M707" s="797"/>
      <c r="N707" s="797"/>
      <c r="O707" s="797"/>
      <c r="P707" s="797"/>
      <c r="Q707" s="797"/>
      <c r="R707" s="661"/>
      <c r="S707" s="661"/>
      <c r="T707" s="661"/>
      <c r="U707" s="664"/>
      <c r="V707" s="665"/>
      <c r="W707" s="661"/>
      <c r="X707" s="661"/>
      <c r="Y707" s="661"/>
      <c r="Z707" s="661"/>
    </row>
    <row r="708">
      <c r="A708" s="661"/>
      <c r="B708" s="663"/>
      <c r="C708" s="795"/>
      <c r="D708" s="796"/>
      <c r="E708" s="680"/>
      <c r="F708" s="797"/>
      <c r="G708" s="797"/>
      <c r="H708" s="797"/>
      <c r="I708" s="797"/>
      <c r="J708" s="797"/>
      <c r="K708" s="797"/>
      <c r="L708" s="797"/>
      <c r="M708" s="797"/>
      <c r="N708" s="797"/>
      <c r="O708" s="797"/>
      <c r="P708" s="797"/>
      <c r="Q708" s="797"/>
      <c r="R708" s="661"/>
      <c r="S708" s="661"/>
      <c r="T708" s="661"/>
      <c r="U708" s="664"/>
      <c r="V708" s="665"/>
      <c r="W708" s="661"/>
      <c r="X708" s="661"/>
      <c r="Y708" s="661"/>
      <c r="Z708" s="661"/>
    </row>
    <row r="709">
      <c r="A709" s="661"/>
      <c r="B709" s="663"/>
      <c r="C709" s="795"/>
      <c r="D709" s="796"/>
      <c r="E709" s="680"/>
      <c r="F709" s="797"/>
      <c r="G709" s="797"/>
      <c r="H709" s="797"/>
      <c r="I709" s="797"/>
      <c r="J709" s="797"/>
      <c r="K709" s="797"/>
      <c r="L709" s="797"/>
      <c r="M709" s="797"/>
      <c r="N709" s="797"/>
      <c r="O709" s="797"/>
      <c r="P709" s="797"/>
      <c r="Q709" s="797"/>
      <c r="R709" s="661"/>
      <c r="S709" s="661"/>
      <c r="T709" s="661"/>
      <c r="U709" s="664"/>
      <c r="V709" s="665"/>
      <c r="W709" s="661"/>
      <c r="X709" s="661"/>
      <c r="Y709" s="661"/>
      <c r="Z709" s="661"/>
    </row>
    <row r="710">
      <c r="A710" s="661"/>
      <c r="B710" s="663"/>
      <c r="C710" s="795"/>
      <c r="D710" s="796"/>
      <c r="E710" s="680"/>
      <c r="F710" s="797"/>
      <c r="G710" s="797"/>
      <c r="H710" s="797"/>
      <c r="I710" s="797"/>
      <c r="J710" s="797"/>
      <c r="K710" s="797"/>
      <c r="L710" s="797"/>
      <c r="M710" s="797"/>
      <c r="N710" s="797"/>
      <c r="O710" s="797"/>
      <c r="P710" s="797"/>
      <c r="Q710" s="797"/>
      <c r="R710" s="661"/>
      <c r="S710" s="661"/>
      <c r="T710" s="661"/>
      <c r="U710" s="664"/>
      <c r="V710" s="665"/>
      <c r="W710" s="661"/>
      <c r="X710" s="661"/>
      <c r="Y710" s="661"/>
      <c r="Z710" s="661"/>
    </row>
    <row r="711">
      <c r="A711" s="661"/>
      <c r="B711" s="663"/>
      <c r="C711" s="795"/>
      <c r="D711" s="796"/>
      <c r="E711" s="680"/>
      <c r="F711" s="797"/>
      <c r="G711" s="797"/>
      <c r="H711" s="797"/>
      <c r="I711" s="797"/>
      <c r="J711" s="797"/>
      <c r="K711" s="797"/>
      <c r="L711" s="797"/>
      <c r="M711" s="797"/>
      <c r="N711" s="797"/>
      <c r="O711" s="797"/>
      <c r="P711" s="797"/>
      <c r="Q711" s="797"/>
      <c r="R711" s="661"/>
      <c r="S711" s="661"/>
      <c r="T711" s="661"/>
      <c r="U711" s="664"/>
      <c r="V711" s="665"/>
      <c r="W711" s="661"/>
      <c r="X711" s="661"/>
      <c r="Y711" s="661"/>
      <c r="Z711" s="661"/>
    </row>
    <row r="712">
      <c r="A712" s="661"/>
      <c r="B712" s="663"/>
      <c r="C712" s="795"/>
      <c r="D712" s="796"/>
      <c r="E712" s="680"/>
      <c r="F712" s="797"/>
      <c r="G712" s="797"/>
      <c r="H712" s="797"/>
      <c r="I712" s="797"/>
      <c r="J712" s="797"/>
      <c r="K712" s="797"/>
      <c r="L712" s="797"/>
      <c r="M712" s="797"/>
      <c r="N712" s="797"/>
      <c r="O712" s="797"/>
      <c r="P712" s="797"/>
      <c r="Q712" s="797"/>
      <c r="R712" s="661"/>
      <c r="S712" s="661"/>
      <c r="T712" s="661"/>
      <c r="U712" s="664"/>
      <c r="V712" s="665"/>
      <c r="W712" s="661"/>
      <c r="X712" s="661"/>
      <c r="Y712" s="661"/>
      <c r="Z712" s="661"/>
    </row>
    <row r="713">
      <c r="A713" s="661"/>
      <c r="B713" s="663"/>
      <c r="C713" s="795"/>
      <c r="D713" s="796"/>
      <c r="E713" s="680"/>
      <c r="F713" s="797"/>
      <c r="G713" s="797"/>
      <c r="H713" s="797"/>
      <c r="I713" s="797"/>
      <c r="J713" s="797"/>
      <c r="K713" s="797"/>
      <c r="L713" s="797"/>
      <c r="M713" s="797"/>
      <c r="N713" s="797"/>
      <c r="O713" s="797"/>
      <c r="P713" s="797"/>
      <c r="Q713" s="797"/>
      <c r="R713" s="661"/>
      <c r="S713" s="661"/>
      <c r="T713" s="661"/>
      <c r="U713" s="664"/>
      <c r="V713" s="665"/>
      <c r="W713" s="661"/>
      <c r="X713" s="661"/>
      <c r="Y713" s="661"/>
      <c r="Z713" s="661"/>
    </row>
    <row r="714">
      <c r="A714" s="661"/>
      <c r="B714" s="663"/>
      <c r="C714" s="795"/>
      <c r="D714" s="796"/>
      <c r="E714" s="680"/>
      <c r="F714" s="797"/>
      <c r="G714" s="797"/>
      <c r="H714" s="797"/>
      <c r="I714" s="797"/>
      <c r="J714" s="797"/>
      <c r="K714" s="797"/>
      <c r="L714" s="797"/>
      <c r="M714" s="797"/>
      <c r="N714" s="797"/>
      <c r="O714" s="797"/>
      <c r="P714" s="797"/>
      <c r="Q714" s="797"/>
      <c r="R714" s="661"/>
      <c r="S714" s="661"/>
      <c r="T714" s="661"/>
      <c r="U714" s="664"/>
      <c r="V714" s="665"/>
      <c r="W714" s="661"/>
      <c r="X714" s="661"/>
      <c r="Y714" s="661"/>
      <c r="Z714" s="661"/>
    </row>
    <row r="715">
      <c r="A715" s="661"/>
      <c r="B715" s="663"/>
      <c r="C715" s="795"/>
      <c r="D715" s="796"/>
      <c r="E715" s="680"/>
      <c r="F715" s="797"/>
      <c r="G715" s="797"/>
      <c r="H715" s="797"/>
      <c r="I715" s="797"/>
      <c r="J715" s="797"/>
      <c r="K715" s="797"/>
      <c r="L715" s="797"/>
      <c r="M715" s="797"/>
      <c r="N715" s="797"/>
      <c r="O715" s="797"/>
      <c r="P715" s="797"/>
      <c r="Q715" s="797"/>
      <c r="R715" s="661"/>
      <c r="S715" s="661"/>
      <c r="T715" s="661"/>
      <c r="U715" s="664"/>
      <c r="V715" s="665"/>
      <c r="W715" s="661"/>
      <c r="X715" s="661"/>
      <c r="Y715" s="661"/>
      <c r="Z715" s="661"/>
    </row>
    <row r="716">
      <c r="A716" s="661"/>
      <c r="B716" s="663"/>
      <c r="C716" s="795"/>
      <c r="D716" s="796"/>
      <c r="E716" s="680"/>
      <c r="F716" s="797"/>
      <c r="G716" s="797"/>
      <c r="H716" s="797"/>
      <c r="I716" s="797"/>
      <c r="J716" s="797"/>
      <c r="K716" s="797"/>
      <c r="L716" s="797"/>
      <c r="M716" s="797"/>
      <c r="N716" s="797"/>
      <c r="O716" s="797"/>
      <c r="P716" s="797"/>
      <c r="Q716" s="797"/>
      <c r="R716" s="661"/>
      <c r="S716" s="661"/>
      <c r="T716" s="661"/>
      <c r="U716" s="664"/>
      <c r="V716" s="665"/>
      <c r="W716" s="661"/>
      <c r="X716" s="661"/>
      <c r="Y716" s="661"/>
      <c r="Z716" s="661"/>
    </row>
    <row r="717">
      <c r="A717" s="661"/>
      <c r="B717" s="663"/>
      <c r="C717" s="795"/>
      <c r="D717" s="796"/>
      <c r="E717" s="680"/>
      <c r="F717" s="797"/>
      <c r="G717" s="797"/>
      <c r="H717" s="797"/>
      <c r="I717" s="797"/>
      <c r="J717" s="797"/>
      <c r="K717" s="797"/>
      <c r="L717" s="797"/>
      <c r="M717" s="797"/>
      <c r="N717" s="797"/>
      <c r="O717" s="797"/>
      <c r="P717" s="797"/>
      <c r="Q717" s="797"/>
      <c r="R717" s="661"/>
      <c r="S717" s="661"/>
      <c r="T717" s="661"/>
      <c r="U717" s="664"/>
      <c r="V717" s="665"/>
      <c r="W717" s="661"/>
      <c r="X717" s="661"/>
      <c r="Y717" s="661"/>
      <c r="Z717" s="661"/>
    </row>
    <row r="718">
      <c r="A718" s="661"/>
      <c r="B718" s="663"/>
      <c r="C718" s="795"/>
      <c r="D718" s="796"/>
      <c r="E718" s="680"/>
      <c r="F718" s="797"/>
      <c r="G718" s="797"/>
      <c r="H718" s="797"/>
      <c r="I718" s="797"/>
      <c r="J718" s="797"/>
      <c r="K718" s="797"/>
      <c r="L718" s="797"/>
      <c r="M718" s="797"/>
      <c r="N718" s="797"/>
      <c r="O718" s="797"/>
      <c r="P718" s="797"/>
      <c r="Q718" s="797"/>
      <c r="R718" s="661"/>
      <c r="S718" s="661"/>
      <c r="T718" s="661"/>
      <c r="U718" s="664"/>
      <c r="V718" s="665"/>
      <c r="W718" s="661"/>
      <c r="X718" s="661"/>
      <c r="Y718" s="661"/>
      <c r="Z718" s="661"/>
    </row>
    <row r="719">
      <c r="A719" s="661"/>
      <c r="B719" s="663"/>
      <c r="C719" s="795"/>
      <c r="D719" s="796"/>
      <c r="E719" s="680"/>
      <c r="F719" s="797"/>
      <c r="G719" s="797"/>
      <c r="H719" s="797"/>
      <c r="I719" s="797"/>
      <c r="J719" s="797"/>
      <c r="K719" s="797"/>
      <c r="L719" s="797"/>
      <c r="M719" s="797"/>
      <c r="N719" s="797"/>
      <c r="O719" s="797"/>
      <c r="P719" s="797"/>
      <c r="Q719" s="797"/>
      <c r="R719" s="661"/>
      <c r="S719" s="661"/>
      <c r="T719" s="661"/>
      <c r="U719" s="664"/>
      <c r="V719" s="665"/>
      <c r="W719" s="661"/>
      <c r="X719" s="661"/>
      <c r="Y719" s="661"/>
      <c r="Z719" s="661"/>
    </row>
    <row r="720">
      <c r="A720" s="661"/>
      <c r="B720" s="663"/>
      <c r="C720" s="795"/>
      <c r="D720" s="796"/>
      <c r="E720" s="680"/>
      <c r="F720" s="797"/>
      <c r="G720" s="797"/>
      <c r="H720" s="797"/>
      <c r="I720" s="797"/>
      <c r="J720" s="797"/>
      <c r="K720" s="797"/>
      <c r="L720" s="797"/>
      <c r="M720" s="797"/>
      <c r="N720" s="797"/>
      <c r="O720" s="797"/>
      <c r="P720" s="797"/>
      <c r="Q720" s="797"/>
      <c r="R720" s="661"/>
      <c r="S720" s="661"/>
      <c r="T720" s="661"/>
      <c r="U720" s="664"/>
      <c r="V720" s="665"/>
      <c r="W720" s="661"/>
      <c r="X720" s="661"/>
      <c r="Y720" s="661"/>
      <c r="Z720" s="661"/>
    </row>
    <row r="721">
      <c r="A721" s="661"/>
      <c r="B721" s="663"/>
      <c r="C721" s="795"/>
      <c r="D721" s="796"/>
      <c r="E721" s="680"/>
      <c r="F721" s="797"/>
      <c r="G721" s="797"/>
      <c r="H721" s="797"/>
      <c r="I721" s="797"/>
      <c r="J721" s="797"/>
      <c r="K721" s="797"/>
      <c r="L721" s="797"/>
      <c r="M721" s="797"/>
      <c r="N721" s="797"/>
      <c r="O721" s="797"/>
      <c r="P721" s="797"/>
      <c r="Q721" s="797"/>
      <c r="R721" s="661"/>
      <c r="S721" s="661"/>
      <c r="T721" s="661"/>
      <c r="U721" s="664"/>
      <c r="V721" s="665"/>
      <c r="W721" s="661"/>
      <c r="X721" s="661"/>
      <c r="Y721" s="661"/>
      <c r="Z721" s="661"/>
    </row>
    <row r="722">
      <c r="A722" s="661"/>
      <c r="B722" s="663"/>
      <c r="C722" s="795"/>
      <c r="D722" s="796"/>
      <c r="E722" s="680"/>
      <c r="F722" s="797"/>
      <c r="G722" s="797"/>
      <c r="H722" s="797"/>
      <c r="I722" s="797"/>
      <c r="J722" s="797"/>
      <c r="K722" s="797"/>
      <c r="L722" s="797"/>
      <c r="M722" s="797"/>
      <c r="N722" s="797"/>
      <c r="O722" s="797"/>
      <c r="P722" s="797"/>
      <c r="Q722" s="797"/>
      <c r="R722" s="661"/>
      <c r="S722" s="661"/>
      <c r="T722" s="661"/>
      <c r="U722" s="664"/>
      <c r="V722" s="665"/>
      <c r="W722" s="661"/>
      <c r="X722" s="661"/>
      <c r="Y722" s="661"/>
      <c r="Z722" s="661"/>
    </row>
    <row r="723">
      <c r="A723" s="661"/>
      <c r="B723" s="663"/>
      <c r="C723" s="795"/>
      <c r="D723" s="796"/>
      <c r="E723" s="680"/>
      <c r="F723" s="797"/>
      <c r="G723" s="797"/>
      <c r="H723" s="797"/>
      <c r="I723" s="797"/>
      <c r="J723" s="797"/>
      <c r="K723" s="797"/>
      <c r="L723" s="797"/>
      <c r="M723" s="797"/>
      <c r="N723" s="797"/>
      <c r="O723" s="797"/>
      <c r="P723" s="797"/>
      <c r="Q723" s="797"/>
      <c r="R723" s="661"/>
      <c r="S723" s="661"/>
      <c r="T723" s="661"/>
      <c r="U723" s="664"/>
      <c r="V723" s="665"/>
      <c r="W723" s="661"/>
      <c r="X723" s="661"/>
      <c r="Y723" s="661"/>
      <c r="Z723" s="661"/>
    </row>
    <row r="724">
      <c r="A724" s="661"/>
      <c r="B724" s="663"/>
      <c r="C724" s="795"/>
      <c r="D724" s="796"/>
      <c r="E724" s="680"/>
      <c r="F724" s="797"/>
      <c r="G724" s="797"/>
      <c r="H724" s="797"/>
      <c r="I724" s="797"/>
      <c r="J724" s="797"/>
      <c r="K724" s="797"/>
      <c r="L724" s="797"/>
      <c r="M724" s="797"/>
      <c r="N724" s="797"/>
      <c r="O724" s="797"/>
      <c r="P724" s="797"/>
      <c r="Q724" s="797"/>
      <c r="R724" s="661"/>
      <c r="S724" s="661"/>
      <c r="T724" s="661"/>
      <c r="U724" s="664"/>
      <c r="V724" s="665"/>
      <c r="W724" s="661"/>
      <c r="X724" s="661"/>
      <c r="Y724" s="661"/>
      <c r="Z724" s="661"/>
    </row>
    <row r="725">
      <c r="A725" s="661"/>
      <c r="B725" s="663"/>
      <c r="C725" s="795"/>
      <c r="D725" s="796"/>
      <c r="E725" s="680"/>
      <c r="F725" s="797"/>
      <c r="G725" s="797"/>
      <c r="H725" s="797"/>
      <c r="I725" s="797"/>
      <c r="J725" s="797"/>
      <c r="K725" s="797"/>
      <c r="L725" s="797"/>
      <c r="M725" s="797"/>
      <c r="N725" s="797"/>
      <c r="O725" s="797"/>
      <c r="P725" s="797"/>
      <c r="Q725" s="797"/>
      <c r="R725" s="661"/>
      <c r="S725" s="661"/>
      <c r="T725" s="661"/>
      <c r="U725" s="664"/>
      <c r="V725" s="665"/>
      <c r="W725" s="661"/>
      <c r="X725" s="661"/>
      <c r="Y725" s="661"/>
      <c r="Z725" s="661"/>
    </row>
    <row r="726">
      <c r="A726" s="661"/>
      <c r="B726" s="663"/>
      <c r="C726" s="795"/>
      <c r="D726" s="796"/>
      <c r="E726" s="680"/>
      <c r="F726" s="797"/>
      <c r="G726" s="797"/>
      <c r="H726" s="797"/>
      <c r="I726" s="797"/>
      <c r="J726" s="797"/>
      <c r="K726" s="797"/>
      <c r="L726" s="797"/>
      <c r="M726" s="797"/>
      <c r="N726" s="797"/>
      <c r="O726" s="797"/>
      <c r="P726" s="797"/>
      <c r="Q726" s="797"/>
      <c r="R726" s="661"/>
      <c r="S726" s="661"/>
      <c r="T726" s="661"/>
      <c r="U726" s="664"/>
      <c r="V726" s="665"/>
      <c r="W726" s="661"/>
      <c r="X726" s="661"/>
      <c r="Y726" s="661"/>
      <c r="Z726" s="661"/>
    </row>
    <row r="727">
      <c r="A727" s="661"/>
      <c r="B727" s="663"/>
      <c r="C727" s="795"/>
      <c r="D727" s="796"/>
      <c r="E727" s="680"/>
      <c r="F727" s="797"/>
      <c r="G727" s="797"/>
      <c r="H727" s="797"/>
      <c r="I727" s="797"/>
      <c r="J727" s="797"/>
      <c r="K727" s="797"/>
      <c r="L727" s="797"/>
      <c r="M727" s="797"/>
      <c r="N727" s="797"/>
      <c r="O727" s="797"/>
      <c r="P727" s="797"/>
      <c r="Q727" s="797"/>
      <c r="R727" s="661"/>
      <c r="S727" s="661"/>
      <c r="T727" s="661"/>
      <c r="U727" s="664"/>
      <c r="V727" s="665"/>
      <c r="W727" s="661"/>
      <c r="X727" s="661"/>
      <c r="Y727" s="661"/>
      <c r="Z727" s="661"/>
    </row>
    <row r="728">
      <c r="A728" s="661"/>
      <c r="B728" s="663"/>
      <c r="C728" s="795"/>
      <c r="D728" s="796"/>
      <c r="E728" s="680"/>
      <c r="F728" s="797"/>
      <c r="G728" s="797"/>
      <c r="H728" s="797"/>
      <c r="I728" s="797"/>
      <c r="J728" s="797"/>
      <c r="K728" s="797"/>
      <c r="L728" s="797"/>
      <c r="M728" s="797"/>
      <c r="N728" s="797"/>
      <c r="O728" s="797"/>
      <c r="P728" s="797"/>
      <c r="Q728" s="797"/>
      <c r="R728" s="661"/>
      <c r="S728" s="661"/>
      <c r="T728" s="661"/>
      <c r="U728" s="664"/>
      <c r="V728" s="665"/>
      <c r="W728" s="661"/>
      <c r="X728" s="661"/>
      <c r="Y728" s="661"/>
      <c r="Z728" s="661"/>
    </row>
    <row r="729">
      <c r="A729" s="661"/>
      <c r="B729" s="663"/>
      <c r="C729" s="795"/>
      <c r="D729" s="796"/>
      <c r="E729" s="680"/>
      <c r="F729" s="797"/>
      <c r="G729" s="797"/>
      <c r="H729" s="797"/>
      <c r="I729" s="797"/>
      <c r="J729" s="797"/>
      <c r="K729" s="797"/>
      <c r="L729" s="797"/>
      <c r="M729" s="797"/>
      <c r="N729" s="797"/>
      <c r="O729" s="797"/>
      <c r="P729" s="797"/>
      <c r="Q729" s="797"/>
      <c r="R729" s="661"/>
      <c r="S729" s="661"/>
      <c r="T729" s="661"/>
      <c r="U729" s="664"/>
      <c r="V729" s="665"/>
      <c r="W729" s="661"/>
      <c r="X729" s="661"/>
      <c r="Y729" s="661"/>
      <c r="Z729" s="661"/>
    </row>
    <row r="730">
      <c r="A730" s="661"/>
      <c r="B730" s="663"/>
      <c r="C730" s="795"/>
      <c r="D730" s="796"/>
      <c r="E730" s="680"/>
      <c r="F730" s="797"/>
      <c r="G730" s="797"/>
      <c r="H730" s="797"/>
      <c r="I730" s="797"/>
      <c r="J730" s="797"/>
      <c r="K730" s="797"/>
      <c r="L730" s="797"/>
      <c r="M730" s="797"/>
      <c r="N730" s="797"/>
      <c r="O730" s="797"/>
      <c r="P730" s="797"/>
      <c r="Q730" s="797"/>
      <c r="R730" s="661"/>
      <c r="S730" s="661"/>
      <c r="T730" s="661"/>
      <c r="U730" s="664"/>
      <c r="V730" s="665"/>
      <c r="W730" s="661"/>
      <c r="X730" s="661"/>
      <c r="Y730" s="661"/>
      <c r="Z730" s="661"/>
    </row>
    <row r="731">
      <c r="A731" s="661"/>
      <c r="B731" s="663"/>
      <c r="C731" s="795"/>
      <c r="D731" s="796"/>
      <c r="E731" s="680"/>
      <c r="F731" s="797"/>
      <c r="G731" s="797"/>
      <c r="H731" s="797"/>
      <c r="I731" s="797"/>
      <c r="J731" s="797"/>
      <c r="K731" s="797"/>
      <c r="L731" s="797"/>
      <c r="M731" s="797"/>
      <c r="N731" s="797"/>
      <c r="O731" s="797"/>
      <c r="P731" s="797"/>
      <c r="Q731" s="797"/>
      <c r="R731" s="661"/>
      <c r="S731" s="661"/>
      <c r="T731" s="661"/>
      <c r="U731" s="664"/>
      <c r="V731" s="665"/>
      <c r="W731" s="661"/>
      <c r="X731" s="661"/>
      <c r="Y731" s="661"/>
      <c r="Z731" s="661"/>
    </row>
    <row r="732">
      <c r="A732" s="661"/>
      <c r="B732" s="663"/>
      <c r="C732" s="795"/>
      <c r="D732" s="796"/>
      <c r="E732" s="680"/>
      <c r="F732" s="797"/>
      <c r="G732" s="797"/>
      <c r="H732" s="797"/>
      <c r="I732" s="797"/>
      <c r="J732" s="797"/>
      <c r="K732" s="797"/>
      <c r="L732" s="797"/>
      <c r="M732" s="797"/>
      <c r="N732" s="797"/>
      <c r="O732" s="797"/>
      <c r="P732" s="797"/>
      <c r="Q732" s="797"/>
      <c r="R732" s="661"/>
      <c r="S732" s="661"/>
      <c r="T732" s="661"/>
      <c r="U732" s="664"/>
      <c r="V732" s="665"/>
      <c r="W732" s="661"/>
      <c r="X732" s="661"/>
      <c r="Y732" s="661"/>
      <c r="Z732" s="661"/>
    </row>
    <row r="733">
      <c r="A733" s="661"/>
      <c r="B733" s="663"/>
      <c r="C733" s="795"/>
      <c r="D733" s="796"/>
      <c r="E733" s="680"/>
      <c r="F733" s="797"/>
      <c r="G733" s="797"/>
      <c r="H733" s="797"/>
      <c r="I733" s="797"/>
      <c r="J733" s="797"/>
      <c r="K733" s="797"/>
      <c r="L733" s="797"/>
      <c r="M733" s="797"/>
      <c r="N733" s="797"/>
      <c r="O733" s="797"/>
      <c r="P733" s="797"/>
      <c r="Q733" s="797"/>
      <c r="R733" s="661"/>
      <c r="S733" s="661"/>
      <c r="T733" s="661"/>
      <c r="U733" s="664"/>
      <c r="V733" s="665"/>
      <c r="W733" s="661"/>
      <c r="X733" s="661"/>
      <c r="Y733" s="661"/>
      <c r="Z733" s="661"/>
    </row>
    <row r="734">
      <c r="A734" s="661"/>
      <c r="B734" s="663"/>
      <c r="C734" s="795"/>
      <c r="D734" s="796"/>
      <c r="E734" s="680"/>
      <c r="F734" s="797"/>
      <c r="G734" s="797"/>
      <c r="H734" s="797"/>
      <c r="I734" s="797"/>
      <c r="J734" s="797"/>
      <c r="K734" s="797"/>
      <c r="L734" s="797"/>
      <c r="M734" s="797"/>
      <c r="N734" s="797"/>
      <c r="O734" s="797"/>
      <c r="P734" s="797"/>
      <c r="Q734" s="797"/>
      <c r="R734" s="661"/>
      <c r="S734" s="661"/>
      <c r="T734" s="661"/>
      <c r="U734" s="664"/>
      <c r="V734" s="665"/>
      <c r="W734" s="661"/>
      <c r="X734" s="661"/>
      <c r="Y734" s="661"/>
      <c r="Z734" s="661"/>
    </row>
    <row r="735">
      <c r="A735" s="661"/>
      <c r="B735" s="663"/>
      <c r="C735" s="795"/>
      <c r="D735" s="796"/>
      <c r="E735" s="680"/>
      <c r="F735" s="797"/>
      <c r="G735" s="797"/>
      <c r="H735" s="797"/>
      <c r="I735" s="797"/>
      <c r="J735" s="797"/>
      <c r="K735" s="797"/>
      <c r="L735" s="797"/>
      <c r="M735" s="797"/>
      <c r="N735" s="797"/>
      <c r="O735" s="797"/>
      <c r="P735" s="797"/>
      <c r="Q735" s="797"/>
      <c r="R735" s="661"/>
      <c r="S735" s="661"/>
      <c r="T735" s="661"/>
      <c r="U735" s="664"/>
      <c r="V735" s="665"/>
      <c r="W735" s="661"/>
      <c r="X735" s="661"/>
      <c r="Y735" s="661"/>
      <c r="Z735" s="661"/>
    </row>
    <row r="736">
      <c r="A736" s="661"/>
      <c r="B736" s="663"/>
      <c r="C736" s="795"/>
      <c r="D736" s="796"/>
      <c r="E736" s="680"/>
      <c r="F736" s="797"/>
      <c r="G736" s="797"/>
      <c r="H736" s="797"/>
      <c r="I736" s="797"/>
      <c r="J736" s="797"/>
      <c r="K736" s="797"/>
      <c r="L736" s="797"/>
      <c r="M736" s="797"/>
      <c r="N736" s="797"/>
      <c r="O736" s="797"/>
      <c r="P736" s="797"/>
      <c r="Q736" s="797"/>
      <c r="R736" s="661"/>
      <c r="S736" s="661"/>
      <c r="T736" s="661"/>
      <c r="U736" s="664"/>
      <c r="V736" s="665"/>
      <c r="W736" s="661"/>
      <c r="X736" s="661"/>
      <c r="Y736" s="661"/>
      <c r="Z736" s="661"/>
    </row>
    <row r="737">
      <c r="A737" s="661"/>
      <c r="B737" s="663"/>
      <c r="C737" s="795"/>
      <c r="D737" s="796"/>
      <c r="E737" s="680"/>
      <c r="F737" s="797"/>
      <c r="G737" s="797"/>
      <c r="H737" s="797"/>
      <c r="I737" s="797"/>
      <c r="J737" s="797"/>
      <c r="K737" s="797"/>
      <c r="L737" s="797"/>
      <c r="M737" s="797"/>
      <c r="N737" s="797"/>
      <c r="O737" s="797"/>
      <c r="P737" s="797"/>
      <c r="Q737" s="797"/>
      <c r="R737" s="661"/>
      <c r="S737" s="661"/>
      <c r="T737" s="661"/>
      <c r="U737" s="664"/>
      <c r="V737" s="665"/>
      <c r="W737" s="661"/>
      <c r="X737" s="661"/>
      <c r="Y737" s="661"/>
      <c r="Z737" s="661"/>
    </row>
    <row r="738">
      <c r="A738" s="661"/>
      <c r="B738" s="663"/>
      <c r="C738" s="795"/>
      <c r="D738" s="796"/>
      <c r="E738" s="680"/>
      <c r="F738" s="797"/>
      <c r="G738" s="797"/>
      <c r="H738" s="797"/>
      <c r="I738" s="797"/>
      <c r="J738" s="797"/>
      <c r="K738" s="797"/>
      <c r="L738" s="797"/>
      <c r="M738" s="797"/>
      <c r="N738" s="797"/>
      <c r="O738" s="797"/>
      <c r="P738" s="797"/>
      <c r="Q738" s="797"/>
      <c r="R738" s="661"/>
      <c r="S738" s="661"/>
      <c r="T738" s="661"/>
      <c r="U738" s="664"/>
      <c r="V738" s="665"/>
      <c r="W738" s="661"/>
      <c r="X738" s="661"/>
      <c r="Y738" s="661"/>
      <c r="Z738" s="661"/>
    </row>
    <row r="739">
      <c r="A739" s="661"/>
      <c r="B739" s="663"/>
      <c r="C739" s="795"/>
      <c r="D739" s="796"/>
      <c r="E739" s="680"/>
      <c r="F739" s="797"/>
      <c r="G739" s="797"/>
      <c r="H739" s="797"/>
      <c r="I739" s="797"/>
      <c r="J739" s="797"/>
      <c r="K739" s="797"/>
      <c r="L739" s="797"/>
      <c r="M739" s="797"/>
      <c r="N739" s="797"/>
      <c r="O739" s="797"/>
      <c r="P739" s="797"/>
      <c r="Q739" s="797"/>
      <c r="R739" s="661"/>
      <c r="S739" s="661"/>
      <c r="T739" s="661"/>
      <c r="U739" s="664"/>
      <c r="V739" s="665"/>
      <c r="W739" s="661"/>
      <c r="X739" s="661"/>
      <c r="Y739" s="661"/>
      <c r="Z739" s="661"/>
    </row>
    <row r="740">
      <c r="A740" s="661"/>
      <c r="B740" s="663"/>
      <c r="C740" s="795"/>
      <c r="D740" s="796"/>
      <c r="E740" s="680"/>
      <c r="F740" s="797"/>
      <c r="G740" s="797"/>
      <c r="H740" s="797"/>
      <c r="I740" s="797"/>
      <c r="J740" s="797"/>
      <c r="K740" s="797"/>
      <c r="L740" s="797"/>
      <c r="M740" s="797"/>
      <c r="N740" s="797"/>
      <c r="O740" s="797"/>
      <c r="P740" s="797"/>
      <c r="Q740" s="797"/>
      <c r="R740" s="661"/>
      <c r="S740" s="661"/>
      <c r="T740" s="661"/>
      <c r="U740" s="664"/>
      <c r="V740" s="665"/>
      <c r="W740" s="661"/>
      <c r="X740" s="661"/>
      <c r="Y740" s="661"/>
      <c r="Z740" s="661"/>
    </row>
    <row r="741">
      <c r="A741" s="661"/>
      <c r="B741" s="663"/>
      <c r="C741" s="795"/>
      <c r="D741" s="796"/>
      <c r="E741" s="680"/>
      <c r="F741" s="797"/>
      <c r="G741" s="797"/>
      <c r="H741" s="797"/>
      <c r="I741" s="797"/>
      <c r="J741" s="797"/>
      <c r="K741" s="797"/>
      <c r="L741" s="797"/>
      <c r="M741" s="797"/>
      <c r="N741" s="797"/>
      <c r="O741" s="797"/>
      <c r="P741" s="797"/>
      <c r="Q741" s="797"/>
      <c r="R741" s="661"/>
      <c r="S741" s="661"/>
      <c r="T741" s="661"/>
      <c r="U741" s="664"/>
      <c r="V741" s="665"/>
      <c r="W741" s="661"/>
      <c r="X741" s="661"/>
      <c r="Y741" s="661"/>
      <c r="Z741" s="661"/>
    </row>
    <row r="742">
      <c r="A742" s="661"/>
      <c r="B742" s="663"/>
      <c r="C742" s="795"/>
      <c r="D742" s="796"/>
      <c r="E742" s="680"/>
      <c r="F742" s="797"/>
      <c r="G742" s="797"/>
      <c r="H742" s="797"/>
      <c r="I742" s="797"/>
      <c r="J742" s="797"/>
      <c r="K742" s="797"/>
      <c r="L742" s="797"/>
      <c r="M742" s="797"/>
      <c r="N742" s="797"/>
      <c r="O742" s="797"/>
      <c r="P742" s="797"/>
      <c r="Q742" s="797"/>
      <c r="R742" s="661"/>
      <c r="S742" s="661"/>
      <c r="T742" s="661"/>
      <c r="U742" s="664"/>
      <c r="V742" s="665"/>
      <c r="W742" s="661"/>
      <c r="X742" s="661"/>
      <c r="Y742" s="661"/>
      <c r="Z742" s="661"/>
    </row>
    <row r="743">
      <c r="A743" s="661"/>
      <c r="B743" s="663"/>
      <c r="C743" s="795"/>
      <c r="D743" s="796"/>
      <c r="E743" s="680"/>
      <c r="F743" s="797"/>
      <c r="G743" s="797"/>
      <c r="H743" s="797"/>
      <c r="I743" s="797"/>
      <c r="J743" s="797"/>
      <c r="K743" s="797"/>
      <c r="L743" s="797"/>
      <c r="M743" s="797"/>
      <c r="N743" s="797"/>
      <c r="O743" s="797"/>
      <c r="P743" s="797"/>
      <c r="Q743" s="797"/>
      <c r="R743" s="661"/>
      <c r="S743" s="661"/>
      <c r="T743" s="661"/>
      <c r="U743" s="664"/>
      <c r="V743" s="665"/>
      <c r="W743" s="661"/>
      <c r="X743" s="661"/>
      <c r="Y743" s="661"/>
      <c r="Z743" s="661"/>
    </row>
    <row r="744">
      <c r="A744" s="661"/>
      <c r="B744" s="663"/>
      <c r="C744" s="795"/>
      <c r="D744" s="796"/>
      <c r="E744" s="680"/>
      <c r="F744" s="797"/>
      <c r="G744" s="797"/>
      <c r="H744" s="797"/>
      <c r="I744" s="797"/>
      <c r="J744" s="797"/>
      <c r="K744" s="797"/>
      <c r="L744" s="797"/>
      <c r="M744" s="797"/>
      <c r="N744" s="797"/>
      <c r="O744" s="797"/>
      <c r="P744" s="797"/>
      <c r="Q744" s="797"/>
      <c r="R744" s="661"/>
      <c r="S744" s="661"/>
      <c r="T744" s="661"/>
      <c r="U744" s="664"/>
      <c r="V744" s="665"/>
      <c r="W744" s="661"/>
      <c r="X744" s="661"/>
      <c r="Y744" s="661"/>
      <c r="Z744" s="661"/>
    </row>
    <row r="745">
      <c r="A745" s="661"/>
      <c r="B745" s="663"/>
      <c r="C745" s="795"/>
      <c r="D745" s="796"/>
      <c r="E745" s="680"/>
      <c r="F745" s="797"/>
      <c r="G745" s="797"/>
      <c r="H745" s="797"/>
      <c r="I745" s="797"/>
      <c r="J745" s="797"/>
      <c r="K745" s="797"/>
      <c r="L745" s="797"/>
      <c r="M745" s="797"/>
      <c r="N745" s="797"/>
      <c r="O745" s="797"/>
      <c r="P745" s="797"/>
      <c r="Q745" s="797"/>
      <c r="R745" s="661"/>
      <c r="S745" s="661"/>
      <c r="T745" s="661"/>
      <c r="U745" s="664"/>
      <c r="V745" s="665"/>
      <c r="W745" s="661"/>
      <c r="X745" s="661"/>
      <c r="Y745" s="661"/>
      <c r="Z745" s="661"/>
    </row>
    <row r="746">
      <c r="A746" s="661"/>
      <c r="B746" s="663"/>
      <c r="C746" s="795"/>
      <c r="D746" s="796"/>
      <c r="E746" s="680"/>
      <c r="F746" s="797"/>
      <c r="G746" s="797"/>
      <c r="H746" s="797"/>
      <c r="I746" s="797"/>
      <c r="J746" s="797"/>
      <c r="K746" s="797"/>
      <c r="L746" s="797"/>
      <c r="M746" s="797"/>
      <c r="N746" s="797"/>
      <c r="O746" s="797"/>
      <c r="P746" s="797"/>
      <c r="Q746" s="797"/>
      <c r="R746" s="661"/>
      <c r="S746" s="661"/>
      <c r="T746" s="661"/>
      <c r="U746" s="664"/>
      <c r="V746" s="665"/>
      <c r="W746" s="661"/>
      <c r="X746" s="661"/>
      <c r="Y746" s="661"/>
      <c r="Z746" s="661"/>
    </row>
    <row r="747">
      <c r="A747" s="661"/>
      <c r="B747" s="663"/>
      <c r="C747" s="795"/>
      <c r="D747" s="796"/>
      <c r="E747" s="680"/>
      <c r="F747" s="797"/>
      <c r="G747" s="797"/>
      <c r="H747" s="797"/>
      <c r="I747" s="797"/>
      <c r="J747" s="797"/>
      <c r="K747" s="797"/>
      <c r="L747" s="797"/>
      <c r="M747" s="797"/>
      <c r="N747" s="797"/>
      <c r="O747" s="797"/>
      <c r="P747" s="797"/>
      <c r="Q747" s="797"/>
      <c r="R747" s="661"/>
      <c r="S747" s="661"/>
      <c r="T747" s="661"/>
      <c r="U747" s="664"/>
      <c r="V747" s="665"/>
      <c r="W747" s="661"/>
      <c r="X747" s="661"/>
      <c r="Y747" s="661"/>
      <c r="Z747" s="661"/>
    </row>
    <row r="748">
      <c r="A748" s="661"/>
      <c r="B748" s="663"/>
      <c r="C748" s="795"/>
      <c r="D748" s="796"/>
      <c r="E748" s="680"/>
      <c r="F748" s="797"/>
      <c r="G748" s="797"/>
      <c r="H748" s="797"/>
      <c r="I748" s="797"/>
      <c r="J748" s="797"/>
      <c r="K748" s="797"/>
      <c r="L748" s="797"/>
      <c r="M748" s="797"/>
      <c r="N748" s="797"/>
      <c r="O748" s="797"/>
      <c r="P748" s="797"/>
      <c r="Q748" s="797"/>
      <c r="R748" s="661"/>
      <c r="S748" s="661"/>
      <c r="T748" s="661"/>
      <c r="U748" s="664"/>
      <c r="V748" s="665"/>
      <c r="W748" s="661"/>
      <c r="X748" s="661"/>
      <c r="Y748" s="661"/>
      <c r="Z748" s="661"/>
    </row>
    <row r="749">
      <c r="A749" s="661"/>
      <c r="B749" s="663"/>
      <c r="C749" s="795"/>
      <c r="D749" s="796"/>
      <c r="E749" s="680"/>
      <c r="F749" s="797"/>
      <c r="G749" s="797"/>
      <c r="H749" s="797"/>
      <c r="I749" s="797"/>
      <c r="J749" s="797"/>
      <c r="K749" s="797"/>
      <c r="L749" s="797"/>
      <c r="M749" s="797"/>
      <c r="N749" s="797"/>
      <c r="O749" s="797"/>
      <c r="P749" s="797"/>
      <c r="Q749" s="797"/>
      <c r="R749" s="661"/>
      <c r="S749" s="661"/>
      <c r="T749" s="661"/>
      <c r="U749" s="664"/>
      <c r="V749" s="665"/>
      <c r="W749" s="661"/>
      <c r="X749" s="661"/>
      <c r="Y749" s="661"/>
      <c r="Z749" s="661"/>
    </row>
    <row r="750">
      <c r="A750" s="661"/>
      <c r="B750" s="663"/>
      <c r="C750" s="795"/>
      <c r="D750" s="796"/>
      <c r="E750" s="680"/>
      <c r="F750" s="797"/>
      <c r="G750" s="797"/>
      <c r="H750" s="797"/>
      <c r="I750" s="797"/>
      <c r="J750" s="797"/>
      <c r="K750" s="797"/>
      <c r="L750" s="797"/>
      <c r="M750" s="797"/>
      <c r="N750" s="797"/>
      <c r="O750" s="797"/>
      <c r="P750" s="797"/>
      <c r="Q750" s="797"/>
      <c r="R750" s="661"/>
      <c r="S750" s="661"/>
      <c r="T750" s="661"/>
      <c r="U750" s="664"/>
      <c r="V750" s="665"/>
      <c r="W750" s="661"/>
      <c r="X750" s="661"/>
      <c r="Y750" s="661"/>
      <c r="Z750" s="661"/>
    </row>
    <row r="751">
      <c r="A751" s="661"/>
      <c r="B751" s="663"/>
      <c r="C751" s="795"/>
      <c r="D751" s="796"/>
      <c r="E751" s="680"/>
      <c r="F751" s="797"/>
      <c r="G751" s="797"/>
      <c r="H751" s="797"/>
      <c r="I751" s="797"/>
      <c r="J751" s="797"/>
      <c r="K751" s="797"/>
      <c r="L751" s="797"/>
      <c r="M751" s="797"/>
      <c r="N751" s="797"/>
      <c r="O751" s="797"/>
      <c r="P751" s="797"/>
      <c r="Q751" s="797"/>
      <c r="R751" s="661"/>
      <c r="S751" s="661"/>
      <c r="T751" s="661"/>
      <c r="U751" s="664"/>
      <c r="V751" s="665"/>
      <c r="W751" s="661"/>
      <c r="X751" s="661"/>
      <c r="Y751" s="661"/>
      <c r="Z751" s="661"/>
    </row>
    <row r="752">
      <c r="A752" s="661"/>
      <c r="B752" s="663"/>
      <c r="C752" s="795"/>
      <c r="D752" s="796"/>
      <c r="E752" s="680"/>
      <c r="F752" s="797"/>
      <c r="G752" s="797"/>
      <c r="H752" s="797"/>
      <c r="I752" s="797"/>
      <c r="J752" s="797"/>
      <c r="K752" s="797"/>
      <c r="L752" s="797"/>
      <c r="M752" s="797"/>
      <c r="N752" s="797"/>
      <c r="O752" s="797"/>
      <c r="P752" s="797"/>
      <c r="Q752" s="797"/>
      <c r="R752" s="661"/>
      <c r="S752" s="661"/>
      <c r="T752" s="661"/>
      <c r="U752" s="664"/>
      <c r="V752" s="665"/>
      <c r="W752" s="661"/>
      <c r="X752" s="661"/>
      <c r="Y752" s="661"/>
      <c r="Z752" s="661"/>
    </row>
    <row r="753">
      <c r="A753" s="661"/>
      <c r="B753" s="663"/>
      <c r="C753" s="795"/>
      <c r="D753" s="796"/>
      <c r="E753" s="680"/>
      <c r="F753" s="797"/>
      <c r="G753" s="797"/>
      <c r="H753" s="797"/>
      <c r="I753" s="797"/>
      <c r="J753" s="797"/>
      <c r="K753" s="797"/>
      <c r="L753" s="797"/>
      <c r="M753" s="797"/>
      <c r="N753" s="797"/>
      <c r="O753" s="797"/>
      <c r="P753" s="797"/>
      <c r="Q753" s="797"/>
      <c r="R753" s="661"/>
      <c r="S753" s="661"/>
      <c r="T753" s="661"/>
      <c r="U753" s="664"/>
      <c r="V753" s="665"/>
      <c r="W753" s="661"/>
      <c r="X753" s="661"/>
      <c r="Y753" s="661"/>
      <c r="Z753" s="661"/>
    </row>
    <row r="754">
      <c r="A754" s="661"/>
      <c r="B754" s="663"/>
      <c r="C754" s="795"/>
      <c r="D754" s="796"/>
      <c r="E754" s="680"/>
      <c r="F754" s="797"/>
      <c r="G754" s="797"/>
      <c r="H754" s="797"/>
      <c r="I754" s="797"/>
      <c r="J754" s="797"/>
      <c r="K754" s="797"/>
      <c r="L754" s="797"/>
      <c r="M754" s="797"/>
      <c r="N754" s="797"/>
      <c r="O754" s="797"/>
      <c r="P754" s="797"/>
      <c r="Q754" s="797"/>
      <c r="R754" s="661"/>
      <c r="S754" s="661"/>
      <c r="T754" s="661"/>
      <c r="U754" s="664"/>
      <c r="V754" s="665"/>
      <c r="W754" s="661"/>
      <c r="X754" s="661"/>
      <c r="Y754" s="661"/>
      <c r="Z754" s="661"/>
    </row>
    <row r="755">
      <c r="A755" s="661"/>
      <c r="B755" s="663"/>
      <c r="C755" s="795"/>
      <c r="D755" s="796"/>
      <c r="E755" s="680"/>
      <c r="F755" s="797"/>
      <c r="G755" s="797"/>
      <c r="H755" s="797"/>
      <c r="I755" s="797"/>
      <c r="J755" s="797"/>
      <c r="K755" s="797"/>
      <c r="L755" s="797"/>
      <c r="M755" s="797"/>
      <c r="N755" s="797"/>
      <c r="O755" s="797"/>
      <c r="P755" s="797"/>
      <c r="Q755" s="797"/>
      <c r="R755" s="661"/>
      <c r="S755" s="661"/>
      <c r="T755" s="661"/>
      <c r="U755" s="664"/>
      <c r="V755" s="665"/>
      <c r="W755" s="661"/>
      <c r="X755" s="661"/>
      <c r="Y755" s="661"/>
      <c r="Z755" s="661"/>
    </row>
    <row r="756">
      <c r="A756" s="661"/>
      <c r="B756" s="663"/>
      <c r="C756" s="795"/>
      <c r="D756" s="796"/>
      <c r="E756" s="680"/>
      <c r="F756" s="797"/>
      <c r="G756" s="797"/>
      <c r="H756" s="797"/>
      <c r="I756" s="797"/>
      <c r="J756" s="797"/>
      <c r="K756" s="797"/>
      <c r="L756" s="797"/>
      <c r="M756" s="797"/>
      <c r="N756" s="797"/>
      <c r="O756" s="797"/>
      <c r="P756" s="797"/>
      <c r="Q756" s="797"/>
      <c r="R756" s="661"/>
      <c r="S756" s="661"/>
      <c r="T756" s="661"/>
      <c r="U756" s="664"/>
      <c r="V756" s="665"/>
      <c r="W756" s="661"/>
      <c r="X756" s="661"/>
      <c r="Y756" s="661"/>
      <c r="Z756" s="661"/>
    </row>
    <row r="757">
      <c r="A757" s="661"/>
      <c r="B757" s="663"/>
      <c r="C757" s="795"/>
      <c r="D757" s="796"/>
      <c r="E757" s="680"/>
      <c r="F757" s="797"/>
      <c r="G757" s="797"/>
      <c r="H757" s="797"/>
      <c r="I757" s="797"/>
      <c r="J757" s="797"/>
      <c r="K757" s="797"/>
      <c r="L757" s="797"/>
      <c r="M757" s="797"/>
      <c r="N757" s="797"/>
      <c r="O757" s="797"/>
      <c r="P757" s="797"/>
      <c r="Q757" s="797"/>
      <c r="R757" s="661"/>
      <c r="S757" s="661"/>
      <c r="T757" s="661"/>
      <c r="U757" s="664"/>
      <c r="V757" s="665"/>
      <c r="W757" s="661"/>
      <c r="X757" s="661"/>
      <c r="Y757" s="661"/>
      <c r="Z757" s="661"/>
    </row>
    <row r="758">
      <c r="A758" s="661"/>
      <c r="B758" s="663"/>
      <c r="C758" s="795"/>
      <c r="D758" s="796"/>
      <c r="E758" s="680"/>
      <c r="F758" s="797"/>
      <c r="G758" s="797"/>
      <c r="H758" s="797"/>
      <c r="I758" s="797"/>
      <c r="J758" s="797"/>
      <c r="K758" s="797"/>
      <c r="L758" s="797"/>
      <c r="M758" s="797"/>
      <c r="N758" s="797"/>
      <c r="O758" s="797"/>
      <c r="P758" s="797"/>
      <c r="Q758" s="797"/>
      <c r="R758" s="661"/>
      <c r="S758" s="661"/>
      <c r="T758" s="661"/>
      <c r="U758" s="664"/>
      <c r="V758" s="665"/>
      <c r="W758" s="661"/>
      <c r="X758" s="661"/>
      <c r="Y758" s="661"/>
      <c r="Z758" s="661"/>
    </row>
    <row r="759">
      <c r="A759" s="661"/>
      <c r="B759" s="663"/>
      <c r="C759" s="795"/>
      <c r="D759" s="796"/>
      <c r="E759" s="680"/>
      <c r="F759" s="797"/>
      <c r="G759" s="797"/>
      <c r="H759" s="797"/>
      <c r="I759" s="797"/>
      <c r="J759" s="797"/>
      <c r="K759" s="797"/>
      <c r="L759" s="797"/>
      <c r="M759" s="797"/>
      <c r="N759" s="797"/>
      <c r="O759" s="797"/>
      <c r="P759" s="797"/>
      <c r="Q759" s="797"/>
      <c r="R759" s="661"/>
      <c r="S759" s="661"/>
      <c r="T759" s="661"/>
      <c r="U759" s="664"/>
      <c r="V759" s="665"/>
      <c r="W759" s="661"/>
      <c r="X759" s="661"/>
      <c r="Y759" s="661"/>
      <c r="Z759" s="661"/>
    </row>
    <row r="760">
      <c r="A760" s="661"/>
      <c r="B760" s="663"/>
      <c r="C760" s="795"/>
      <c r="D760" s="796"/>
      <c r="E760" s="680"/>
      <c r="F760" s="797"/>
      <c r="G760" s="797"/>
      <c r="H760" s="797"/>
      <c r="I760" s="797"/>
      <c r="J760" s="797"/>
      <c r="K760" s="797"/>
      <c r="L760" s="797"/>
      <c r="M760" s="797"/>
      <c r="N760" s="797"/>
      <c r="O760" s="797"/>
      <c r="P760" s="797"/>
      <c r="Q760" s="797"/>
      <c r="R760" s="661"/>
      <c r="S760" s="661"/>
      <c r="T760" s="661"/>
      <c r="U760" s="664"/>
      <c r="V760" s="665"/>
      <c r="W760" s="661"/>
      <c r="X760" s="661"/>
      <c r="Y760" s="661"/>
      <c r="Z760" s="661"/>
    </row>
    <row r="761">
      <c r="A761" s="661"/>
      <c r="B761" s="663"/>
      <c r="C761" s="795"/>
      <c r="D761" s="796"/>
      <c r="E761" s="680"/>
      <c r="F761" s="797"/>
      <c r="G761" s="797"/>
      <c r="H761" s="797"/>
      <c r="I761" s="797"/>
      <c r="J761" s="797"/>
      <c r="K761" s="797"/>
      <c r="L761" s="797"/>
      <c r="M761" s="797"/>
      <c r="N761" s="797"/>
      <c r="O761" s="797"/>
      <c r="P761" s="797"/>
      <c r="Q761" s="797"/>
      <c r="R761" s="661"/>
      <c r="S761" s="661"/>
      <c r="T761" s="661"/>
      <c r="U761" s="664"/>
      <c r="V761" s="665"/>
      <c r="W761" s="661"/>
      <c r="X761" s="661"/>
      <c r="Y761" s="661"/>
      <c r="Z761" s="661"/>
    </row>
    <row r="762">
      <c r="A762" s="661"/>
      <c r="B762" s="663"/>
      <c r="C762" s="795"/>
      <c r="D762" s="796"/>
      <c r="E762" s="680"/>
      <c r="F762" s="797"/>
      <c r="G762" s="797"/>
      <c r="H762" s="797"/>
      <c r="I762" s="797"/>
      <c r="J762" s="797"/>
      <c r="K762" s="797"/>
      <c r="L762" s="797"/>
      <c r="M762" s="797"/>
      <c r="N762" s="797"/>
      <c r="O762" s="797"/>
      <c r="P762" s="797"/>
      <c r="Q762" s="797"/>
      <c r="R762" s="661"/>
      <c r="S762" s="661"/>
      <c r="T762" s="661"/>
      <c r="U762" s="664"/>
      <c r="V762" s="665"/>
      <c r="W762" s="661"/>
      <c r="X762" s="661"/>
      <c r="Y762" s="661"/>
      <c r="Z762" s="661"/>
    </row>
    <row r="763">
      <c r="A763" s="661"/>
      <c r="B763" s="663"/>
      <c r="C763" s="795"/>
      <c r="D763" s="796"/>
      <c r="E763" s="680"/>
      <c r="F763" s="797"/>
      <c r="G763" s="797"/>
      <c r="H763" s="797"/>
      <c r="I763" s="797"/>
      <c r="J763" s="797"/>
      <c r="K763" s="797"/>
      <c r="L763" s="797"/>
      <c r="M763" s="797"/>
      <c r="N763" s="797"/>
      <c r="O763" s="797"/>
      <c r="P763" s="797"/>
      <c r="Q763" s="797"/>
      <c r="R763" s="661"/>
      <c r="S763" s="661"/>
      <c r="T763" s="661"/>
      <c r="U763" s="664"/>
      <c r="V763" s="665"/>
      <c r="W763" s="661"/>
      <c r="X763" s="661"/>
      <c r="Y763" s="661"/>
      <c r="Z763" s="661"/>
    </row>
    <row r="764">
      <c r="A764" s="661"/>
      <c r="B764" s="663"/>
      <c r="C764" s="795"/>
      <c r="D764" s="796"/>
      <c r="E764" s="680"/>
      <c r="F764" s="797"/>
      <c r="G764" s="797"/>
      <c r="H764" s="797"/>
      <c r="I764" s="797"/>
      <c r="J764" s="797"/>
      <c r="K764" s="797"/>
      <c r="L764" s="797"/>
      <c r="M764" s="797"/>
      <c r="N764" s="797"/>
      <c r="O764" s="797"/>
      <c r="P764" s="797"/>
      <c r="Q764" s="797"/>
      <c r="R764" s="661"/>
      <c r="S764" s="661"/>
      <c r="T764" s="661"/>
      <c r="U764" s="664"/>
      <c r="V764" s="665"/>
      <c r="W764" s="661"/>
      <c r="X764" s="661"/>
      <c r="Y764" s="661"/>
      <c r="Z764" s="661"/>
    </row>
    <row r="765">
      <c r="A765" s="661"/>
      <c r="B765" s="663"/>
      <c r="C765" s="795"/>
      <c r="D765" s="796"/>
      <c r="E765" s="680"/>
      <c r="F765" s="797"/>
      <c r="G765" s="797"/>
      <c r="H765" s="797"/>
      <c r="I765" s="797"/>
      <c r="J765" s="797"/>
      <c r="K765" s="797"/>
      <c r="L765" s="797"/>
      <c r="M765" s="797"/>
      <c r="N765" s="797"/>
      <c r="O765" s="797"/>
      <c r="P765" s="797"/>
      <c r="Q765" s="797"/>
      <c r="R765" s="661"/>
      <c r="S765" s="661"/>
      <c r="T765" s="661"/>
      <c r="U765" s="664"/>
      <c r="V765" s="665"/>
      <c r="W765" s="661"/>
      <c r="X765" s="661"/>
      <c r="Y765" s="661"/>
      <c r="Z765" s="661"/>
    </row>
    <row r="766">
      <c r="A766" s="661"/>
      <c r="B766" s="663"/>
      <c r="C766" s="795"/>
      <c r="D766" s="796"/>
      <c r="E766" s="680"/>
      <c r="F766" s="797"/>
      <c r="G766" s="797"/>
      <c r="H766" s="797"/>
      <c r="I766" s="797"/>
      <c r="J766" s="797"/>
      <c r="K766" s="797"/>
      <c r="L766" s="797"/>
      <c r="M766" s="797"/>
      <c r="N766" s="797"/>
      <c r="O766" s="797"/>
      <c r="P766" s="797"/>
      <c r="Q766" s="797"/>
      <c r="R766" s="661"/>
      <c r="S766" s="661"/>
      <c r="T766" s="661"/>
      <c r="U766" s="664"/>
      <c r="V766" s="665"/>
      <c r="W766" s="661"/>
      <c r="X766" s="661"/>
      <c r="Y766" s="661"/>
      <c r="Z766" s="661"/>
    </row>
    <row r="767">
      <c r="A767" s="661"/>
      <c r="B767" s="663"/>
      <c r="C767" s="795"/>
      <c r="D767" s="796"/>
      <c r="E767" s="680"/>
      <c r="F767" s="797"/>
      <c r="G767" s="797"/>
      <c r="H767" s="797"/>
      <c r="I767" s="797"/>
      <c r="J767" s="797"/>
      <c r="K767" s="797"/>
      <c r="L767" s="797"/>
      <c r="M767" s="797"/>
      <c r="N767" s="797"/>
      <c r="O767" s="797"/>
      <c r="P767" s="797"/>
      <c r="Q767" s="797"/>
      <c r="R767" s="661"/>
      <c r="S767" s="661"/>
      <c r="T767" s="661"/>
      <c r="U767" s="664"/>
      <c r="V767" s="665"/>
      <c r="W767" s="661"/>
      <c r="X767" s="661"/>
      <c r="Y767" s="661"/>
      <c r="Z767" s="661"/>
    </row>
    <row r="768">
      <c r="A768" s="661"/>
      <c r="B768" s="663"/>
      <c r="C768" s="795"/>
      <c r="D768" s="796"/>
      <c r="E768" s="680"/>
      <c r="F768" s="797"/>
      <c r="G768" s="797"/>
      <c r="H768" s="797"/>
      <c r="I768" s="797"/>
      <c r="J768" s="797"/>
      <c r="K768" s="797"/>
      <c r="L768" s="797"/>
      <c r="M768" s="797"/>
      <c r="N768" s="797"/>
      <c r="O768" s="797"/>
      <c r="P768" s="797"/>
      <c r="Q768" s="797"/>
      <c r="R768" s="661"/>
      <c r="S768" s="661"/>
      <c r="T768" s="661"/>
      <c r="U768" s="664"/>
      <c r="V768" s="665"/>
      <c r="W768" s="661"/>
      <c r="X768" s="661"/>
      <c r="Y768" s="661"/>
      <c r="Z768" s="661"/>
    </row>
    <row r="769">
      <c r="A769" s="661"/>
      <c r="B769" s="663"/>
      <c r="C769" s="795"/>
      <c r="D769" s="796"/>
      <c r="E769" s="680"/>
      <c r="F769" s="797"/>
      <c r="G769" s="797"/>
      <c r="H769" s="797"/>
      <c r="I769" s="797"/>
      <c r="J769" s="797"/>
      <c r="K769" s="797"/>
      <c r="L769" s="797"/>
      <c r="M769" s="797"/>
      <c r="N769" s="797"/>
      <c r="O769" s="797"/>
      <c r="P769" s="797"/>
      <c r="Q769" s="797"/>
      <c r="R769" s="661"/>
      <c r="S769" s="661"/>
      <c r="T769" s="661"/>
      <c r="U769" s="664"/>
      <c r="V769" s="665"/>
      <c r="W769" s="661"/>
      <c r="X769" s="661"/>
      <c r="Y769" s="661"/>
      <c r="Z769" s="661"/>
    </row>
    <row r="770">
      <c r="A770" s="661"/>
      <c r="B770" s="663"/>
      <c r="C770" s="795"/>
      <c r="D770" s="796"/>
      <c r="E770" s="680"/>
      <c r="F770" s="797"/>
      <c r="G770" s="797"/>
      <c r="H770" s="797"/>
      <c r="I770" s="797"/>
      <c r="J770" s="797"/>
      <c r="K770" s="797"/>
      <c r="L770" s="797"/>
      <c r="M770" s="797"/>
      <c r="N770" s="797"/>
      <c r="O770" s="797"/>
      <c r="P770" s="797"/>
      <c r="Q770" s="797"/>
      <c r="R770" s="661"/>
      <c r="S770" s="661"/>
      <c r="T770" s="661"/>
      <c r="U770" s="664"/>
      <c r="V770" s="665"/>
      <c r="W770" s="661"/>
      <c r="X770" s="661"/>
      <c r="Y770" s="661"/>
      <c r="Z770" s="661"/>
    </row>
    <row r="771">
      <c r="A771" s="661"/>
      <c r="B771" s="663"/>
      <c r="C771" s="795"/>
      <c r="D771" s="796"/>
      <c r="E771" s="680"/>
      <c r="F771" s="797"/>
      <c r="G771" s="797"/>
      <c r="H771" s="797"/>
      <c r="I771" s="797"/>
      <c r="J771" s="797"/>
      <c r="K771" s="797"/>
      <c r="L771" s="797"/>
      <c r="M771" s="797"/>
      <c r="N771" s="797"/>
      <c r="O771" s="797"/>
      <c r="P771" s="797"/>
      <c r="Q771" s="797"/>
      <c r="R771" s="661"/>
      <c r="S771" s="661"/>
      <c r="T771" s="661"/>
      <c r="U771" s="664"/>
      <c r="V771" s="665"/>
      <c r="W771" s="661"/>
      <c r="X771" s="661"/>
      <c r="Y771" s="661"/>
      <c r="Z771" s="661"/>
    </row>
    <row r="772">
      <c r="A772" s="661"/>
      <c r="B772" s="663"/>
      <c r="C772" s="795"/>
      <c r="D772" s="796"/>
      <c r="E772" s="680"/>
      <c r="F772" s="797"/>
      <c r="G772" s="797"/>
      <c r="H772" s="797"/>
      <c r="I772" s="797"/>
      <c r="J772" s="797"/>
      <c r="K772" s="797"/>
      <c r="L772" s="797"/>
      <c r="M772" s="797"/>
      <c r="N772" s="797"/>
      <c r="O772" s="797"/>
      <c r="P772" s="797"/>
      <c r="Q772" s="797"/>
      <c r="R772" s="661"/>
      <c r="S772" s="661"/>
      <c r="T772" s="661"/>
      <c r="U772" s="664"/>
      <c r="V772" s="665"/>
      <c r="W772" s="661"/>
      <c r="X772" s="661"/>
      <c r="Y772" s="661"/>
      <c r="Z772" s="661"/>
    </row>
    <row r="773">
      <c r="A773" s="661"/>
      <c r="B773" s="663"/>
      <c r="C773" s="795"/>
      <c r="D773" s="796"/>
      <c r="E773" s="680"/>
      <c r="F773" s="797"/>
      <c r="G773" s="797"/>
      <c r="H773" s="797"/>
      <c r="I773" s="797"/>
      <c r="J773" s="797"/>
      <c r="K773" s="797"/>
      <c r="L773" s="797"/>
      <c r="M773" s="797"/>
      <c r="N773" s="797"/>
      <c r="O773" s="797"/>
      <c r="P773" s="797"/>
      <c r="Q773" s="797"/>
      <c r="R773" s="661"/>
      <c r="S773" s="661"/>
      <c r="T773" s="661"/>
      <c r="U773" s="664"/>
      <c r="V773" s="665"/>
      <c r="W773" s="661"/>
      <c r="X773" s="661"/>
      <c r="Y773" s="661"/>
      <c r="Z773" s="661"/>
    </row>
    <row r="774">
      <c r="A774" s="661"/>
      <c r="B774" s="663"/>
      <c r="C774" s="795"/>
      <c r="D774" s="796"/>
      <c r="E774" s="680"/>
      <c r="F774" s="797"/>
      <c r="G774" s="797"/>
      <c r="H774" s="797"/>
      <c r="I774" s="797"/>
      <c r="J774" s="797"/>
      <c r="K774" s="797"/>
      <c r="L774" s="797"/>
      <c r="M774" s="797"/>
      <c r="N774" s="797"/>
      <c r="O774" s="797"/>
      <c r="P774" s="797"/>
      <c r="Q774" s="797"/>
      <c r="R774" s="661"/>
      <c r="S774" s="661"/>
      <c r="T774" s="661"/>
      <c r="U774" s="664"/>
      <c r="V774" s="665"/>
      <c r="W774" s="661"/>
      <c r="X774" s="661"/>
      <c r="Y774" s="661"/>
      <c r="Z774" s="661"/>
    </row>
    <row r="775">
      <c r="A775" s="661"/>
      <c r="B775" s="663"/>
      <c r="C775" s="795"/>
      <c r="D775" s="796"/>
      <c r="E775" s="680"/>
      <c r="F775" s="797"/>
      <c r="G775" s="797"/>
      <c r="H775" s="797"/>
      <c r="I775" s="797"/>
      <c r="J775" s="797"/>
      <c r="K775" s="797"/>
      <c r="L775" s="797"/>
      <c r="M775" s="797"/>
      <c r="N775" s="797"/>
      <c r="O775" s="797"/>
      <c r="P775" s="797"/>
      <c r="Q775" s="797"/>
      <c r="R775" s="661"/>
      <c r="S775" s="661"/>
      <c r="T775" s="661"/>
      <c r="U775" s="664"/>
      <c r="V775" s="665"/>
      <c r="W775" s="661"/>
      <c r="X775" s="661"/>
      <c r="Y775" s="661"/>
      <c r="Z775" s="661"/>
    </row>
    <row r="776">
      <c r="A776" s="661"/>
      <c r="B776" s="663"/>
      <c r="C776" s="795"/>
      <c r="D776" s="796"/>
      <c r="E776" s="680"/>
      <c r="F776" s="797"/>
      <c r="G776" s="797"/>
      <c r="H776" s="797"/>
      <c r="I776" s="797"/>
      <c r="J776" s="797"/>
      <c r="K776" s="797"/>
      <c r="L776" s="797"/>
      <c r="M776" s="797"/>
      <c r="N776" s="797"/>
      <c r="O776" s="797"/>
      <c r="P776" s="797"/>
      <c r="Q776" s="797"/>
      <c r="R776" s="661"/>
      <c r="S776" s="661"/>
      <c r="T776" s="661"/>
      <c r="U776" s="664"/>
      <c r="V776" s="665"/>
      <c r="W776" s="661"/>
      <c r="X776" s="661"/>
      <c r="Y776" s="661"/>
      <c r="Z776" s="661"/>
    </row>
    <row r="777">
      <c r="A777" s="661"/>
      <c r="B777" s="663"/>
      <c r="C777" s="795"/>
      <c r="D777" s="796"/>
      <c r="E777" s="680"/>
      <c r="F777" s="797"/>
      <c r="G777" s="797"/>
      <c r="H777" s="797"/>
      <c r="I777" s="797"/>
      <c r="J777" s="797"/>
      <c r="K777" s="797"/>
      <c r="L777" s="797"/>
      <c r="M777" s="797"/>
      <c r="N777" s="797"/>
      <c r="O777" s="797"/>
      <c r="P777" s="797"/>
      <c r="Q777" s="797"/>
      <c r="R777" s="661"/>
      <c r="S777" s="661"/>
      <c r="T777" s="661"/>
      <c r="U777" s="664"/>
      <c r="V777" s="665"/>
      <c r="W777" s="661"/>
      <c r="X777" s="661"/>
      <c r="Y777" s="661"/>
      <c r="Z777" s="661"/>
    </row>
    <row r="778">
      <c r="A778" s="661"/>
      <c r="B778" s="663"/>
      <c r="C778" s="795"/>
      <c r="D778" s="796"/>
      <c r="E778" s="680"/>
      <c r="F778" s="797"/>
      <c r="G778" s="797"/>
      <c r="H778" s="797"/>
      <c r="I778" s="797"/>
      <c r="J778" s="797"/>
      <c r="K778" s="797"/>
      <c r="L778" s="797"/>
      <c r="M778" s="797"/>
      <c r="N778" s="797"/>
      <c r="O778" s="797"/>
      <c r="P778" s="797"/>
      <c r="Q778" s="797"/>
      <c r="R778" s="661"/>
      <c r="S778" s="661"/>
      <c r="T778" s="661"/>
      <c r="U778" s="664"/>
      <c r="V778" s="665"/>
      <c r="W778" s="661"/>
      <c r="X778" s="661"/>
      <c r="Y778" s="661"/>
      <c r="Z778" s="661"/>
    </row>
    <row r="779">
      <c r="A779" s="661"/>
      <c r="B779" s="663"/>
      <c r="C779" s="795"/>
      <c r="D779" s="796"/>
      <c r="E779" s="680"/>
      <c r="F779" s="797"/>
      <c r="G779" s="797"/>
      <c r="H779" s="797"/>
      <c r="I779" s="797"/>
      <c r="J779" s="797"/>
      <c r="K779" s="797"/>
      <c r="L779" s="797"/>
      <c r="M779" s="797"/>
      <c r="N779" s="797"/>
      <c r="O779" s="797"/>
      <c r="P779" s="797"/>
      <c r="Q779" s="797"/>
      <c r="R779" s="661"/>
      <c r="S779" s="661"/>
      <c r="T779" s="661"/>
      <c r="U779" s="664"/>
      <c r="V779" s="665"/>
      <c r="W779" s="661"/>
      <c r="X779" s="661"/>
      <c r="Y779" s="661"/>
      <c r="Z779" s="661"/>
    </row>
    <row r="780">
      <c r="A780" s="661"/>
      <c r="B780" s="663"/>
      <c r="C780" s="795"/>
      <c r="D780" s="796"/>
      <c r="E780" s="680"/>
      <c r="F780" s="797"/>
      <c r="G780" s="797"/>
      <c r="H780" s="797"/>
      <c r="I780" s="797"/>
      <c r="J780" s="797"/>
      <c r="K780" s="797"/>
      <c r="L780" s="797"/>
      <c r="M780" s="797"/>
      <c r="N780" s="797"/>
      <c r="O780" s="797"/>
      <c r="P780" s="797"/>
      <c r="Q780" s="797"/>
      <c r="R780" s="661"/>
      <c r="S780" s="661"/>
      <c r="T780" s="661"/>
      <c r="U780" s="664"/>
      <c r="V780" s="665"/>
      <c r="W780" s="661"/>
      <c r="X780" s="661"/>
      <c r="Y780" s="661"/>
      <c r="Z780" s="661"/>
    </row>
    <row r="781">
      <c r="A781" s="661"/>
      <c r="B781" s="663"/>
      <c r="C781" s="795"/>
      <c r="D781" s="796"/>
      <c r="E781" s="680"/>
      <c r="F781" s="797"/>
      <c r="G781" s="797"/>
      <c r="H781" s="797"/>
      <c r="I781" s="797"/>
      <c r="J781" s="797"/>
      <c r="K781" s="797"/>
      <c r="L781" s="797"/>
      <c r="M781" s="797"/>
      <c r="N781" s="797"/>
      <c r="O781" s="797"/>
      <c r="P781" s="797"/>
      <c r="Q781" s="797"/>
      <c r="R781" s="661"/>
      <c r="S781" s="661"/>
      <c r="T781" s="661"/>
      <c r="U781" s="664"/>
      <c r="V781" s="665"/>
      <c r="W781" s="661"/>
      <c r="X781" s="661"/>
      <c r="Y781" s="661"/>
      <c r="Z781" s="661"/>
    </row>
    <row r="782">
      <c r="A782" s="661"/>
      <c r="B782" s="663"/>
      <c r="C782" s="795"/>
      <c r="D782" s="796"/>
      <c r="E782" s="680"/>
      <c r="F782" s="797"/>
      <c r="G782" s="797"/>
      <c r="H782" s="797"/>
      <c r="I782" s="797"/>
      <c r="J782" s="797"/>
      <c r="K782" s="797"/>
      <c r="L782" s="797"/>
      <c r="M782" s="797"/>
      <c r="N782" s="797"/>
      <c r="O782" s="797"/>
      <c r="P782" s="797"/>
      <c r="Q782" s="797"/>
      <c r="R782" s="661"/>
      <c r="S782" s="661"/>
      <c r="T782" s="661"/>
      <c r="U782" s="664"/>
      <c r="V782" s="665"/>
      <c r="W782" s="661"/>
      <c r="X782" s="661"/>
      <c r="Y782" s="661"/>
      <c r="Z782" s="661"/>
    </row>
    <row r="783">
      <c r="A783" s="661"/>
      <c r="B783" s="663"/>
      <c r="C783" s="795"/>
      <c r="D783" s="796"/>
      <c r="E783" s="680"/>
      <c r="F783" s="797"/>
      <c r="G783" s="797"/>
      <c r="H783" s="797"/>
      <c r="I783" s="797"/>
      <c r="J783" s="797"/>
      <c r="K783" s="797"/>
      <c r="L783" s="797"/>
      <c r="M783" s="797"/>
      <c r="N783" s="797"/>
      <c r="O783" s="797"/>
      <c r="P783" s="797"/>
      <c r="Q783" s="797"/>
      <c r="R783" s="661"/>
      <c r="S783" s="661"/>
      <c r="T783" s="661"/>
      <c r="U783" s="664"/>
      <c r="V783" s="665"/>
      <c r="W783" s="661"/>
      <c r="X783" s="661"/>
      <c r="Y783" s="661"/>
      <c r="Z783" s="661"/>
    </row>
    <row r="784">
      <c r="A784" s="661"/>
      <c r="B784" s="663"/>
      <c r="C784" s="795"/>
      <c r="D784" s="796"/>
      <c r="E784" s="680"/>
      <c r="F784" s="797"/>
      <c r="G784" s="797"/>
      <c r="H784" s="797"/>
      <c r="I784" s="797"/>
      <c r="J784" s="797"/>
      <c r="K784" s="797"/>
      <c r="L784" s="797"/>
      <c r="M784" s="797"/>
      <c r="N784" s="797"/>
      <c r="O784" s="797"/>
      <c r="P784" s="797"/>
      <c r="Q784" s="797"/>
      <c r="R784" s="661"/>
      <c r="S784" s="661"/>
      <c r="T784" s="661"/>
      <c r="U784" s="664"/>
      <c r="V784" s="665"/>
      <c r="W784" s="661"/>
      <c r="X784" s="661"/>
      <c r="Y784" s="661"/>
      <c r="Z784" s="661"/>
    </row>
    <row r="785">
      <c r="A785" s="661"/>
      <c r="B785" s="663"/>
      <c r="C785" s="795"/>
      <c r="D785" s="796"/>
      <c r="E785" s="680"/>
      <c r="F785" s="797"/>
      <c r="G785" s="797"/>
      <c r="H785" s="797"/>
      <c r="I785" s="797"/>
      <c r="J785" s="797"/>
      <c r="K785" s="797"/>
      <c r="L785" s="797"/>
      <c r="M785" s="797"/>
      <c r="N785" s="797"/>
      <c r="O785" s="797"/>
      <c r="P785" s="797"/>
      <c r="Q785" s="797"/>
      <c r="R785" s="661"/>
      <c r="S785" s="661"/>
      <c r="T785" s="661"/>
      <c r="U785" s="664"/>
      <c r="V785" s="665"/>
      <c r="W785" s="661"/>
      <c r="X785" s="661"/>
      <c r="Y785" s="661"/>
      <c r="Z785" s="661"/>
    </row>
    <row r="786">
      <c r="A786" s="661"/>
      <c r="B786" s="663"/>
      <c r="C786" s="795"/>
      <c r="D786" s="796"/>
      <c r="E786" s="680"/>
      <c r="F786" s="797"/>
      <c r="G786" s="797"/>
      <c r="H786" s="797"/>
      <c r="I786" s="797"/>
      <c r="J786" s="797"/>
      <c r="K786" s="797"/>
      <c r="L786" s="797"/>
      <c r="M786" s="797"/>
      <c r="N786" s="797"/>
      <c r="O786" s="797"/>
      <c r="P786" s="797"/>
      <c r="Q786" s="797"/>
      <c r="R786" s="661"/>
      <c r="S786" s="661"/>
      <c r="T786" s="661"/>
      <c r="U786" s="664"/>
      <c r="V786" s="665"/>
      <c r="W786" s="661"/>
      <c r="X786" s="661"/>
      <c r="Y786" s="661"/>
      <c r="Z786" s="661"/>
    </row>
    <row r="787">
      <c r="A787" s="661"/>
      <c r="B787" s="663"/>
      <c r="C787" s="795"/>
      <c r="D787" s="796"/>
      <c r="E787" s="680"/>
      <c r="F787" s="797"/>
      <c r="G787" s="797"/>
      <c r="H787" s="797"/>
      <c r="I787" s="797"/>
      <c r="J787" s="797"/>
      <c r="K787" s="797"/>
      <c r="L787" s="797"/>
      <c r="M787" s="797"/>
      <c r="N787" s="797"/>
      <c r="O787" s="797"/>
      <c r="P787" s="797"/>
      <c r="Q787" s="797"/>
      <c r="R787" s="661"/>
      <c r="S787" s="661"/>
      <c r="T787" s="661"/>
      <c r="U787" s="664"/>
      <c r="V787" s="665"/>
      <c r="W787" s="661"/>
      <c r="X787" s="661"/>
      <c r="Y787" s="661"/>
      <c r="Z787" s="661"/>
    </row>
    <row r="788">
      <c r="A788" s="661"/>
      <c r="B788" s="663"/>
      <c r="C788" s="795"/>
      <c r="D788" s="796"/>
      <c r="E788" s="680"/>
      <c r="F788" s="797"/>
      <c r="G788" s="797"/>
      <c r="H788" s="797"/>
      <c r="I788" s="797"/>
      <c r="J788" s="797"/>
      <c r="K788" s="797"/>
      <c r="L788" s="797"/>
      <c r="M788" s="797"/>
      <c r="N788" s="797"/>
      <c r="O788" s="797"/>
      <c r="P788" s="797"/>
      <c r="Q788" s="797"/>
      <c r="R788" s="661"/>
      <c r="S788" s="661"/>
      <c r="T788" s="661"/>
      <c r="U788" s="664"/>
      <c r="V788" s="665"/>
      <c r="W788" s="661"/>
      <c r="X788" s="661"/>
      <c r="Y788" s="661"/>
      <c r="Z788" s="661"/>
    </row>
    <row r="789">
      <c r="A789" s="661"/>
      <c r="B789" s="663"/>
      <c r="C789" s="795"/>
      <c r="D789" s="796"/>
      <c r="E789" s="680"/>
      <c r="F789" s="797"/>
      <c r="G789" s="797"/>
      <c r="H789" s="797"/>
      <c r="I789" s="797"/>
      <c r="J789" s="797"/>
      <c r="K789" s="797"/>
      <c r="L789" s="797"/>
      <c r="M789" s="797"/>
      <c r="N789" s="797"/>
      <c r="O789" s="797"/>
      <c r="P789" s="797"/>
      <c r="Q789" s="797"/>
      <c r="R789" s="661"/>
      <c r="S789" s="661"/>
      <c r="T789" s="661"/>
      <c r="U789" s="664"/>
      <c r="V789" s="665"/>
      <c r="W789" s="661"/>
      <c r="X789" s="661"/>
      <c r="Y789" s="661"/>
      <c r="Z789" s="661"/>
    </row>
    <row r="790">
      <c r="A790" s="661"/>
      <c r="B790" s="663"/>
      <c r="C790" s="795"/>
      <c r="D790" s="796"/>
      <c r="E790" s="680"/>
      <c r="F790" s="797"/>
      <c r="G790" s="797"/>
      <c r="H790" s="797"/>
      <c r="I790" s="797"/>
      <c r="J790" s="797"/>
      <c r="K790" s="797"/>
      <c r="L790" s="797"/>
      <c r="M790" s="797"/>
      <c r="N790" s="797"/>
      <c r="O790" s="797"/>
      <c r="P790" s="797"/>
      <c r="Q790" s="797"/>
      <c r="R790" s="661"/>
      <c r="S790" s="661"/>
      <c r="T790" s="661"/>
      <c r="U790" s="664"/>
      <c r="V790" s="665"/>
      <c r="W790" s="661"/>
      <c r="X790" s="661"/>
      <c r="Y790" s="661"/>
      <c r="Z790" s="661"/>
    </row>
    <row r="791">
      <c r="A791" s="661"/>
      <c r="B791" s="663"/>
      <c r="C791" s="795"/>
      <c r="D791" s="796"/>
      <c r="E791" s="680"/>
      <c r="F791" s="797"/>
      <c r="G791" s="797"/>
      <c r="H791" s="797"/>
      <c r="I791" s="797"/>
      <c r="J791" s="797"/>
      <c r="K791" s="797"/>
      <c r="L791" s="797"/>
      <c r="M791" s="797"/>
      <c r="N791" s="797"/>
      <c r="O791" s="797"/>
      <c r="P791" s="797"/>
      <c r="Q791" s="797"/>
      <c r="R791" s="661"/>
      <c r="S791" s="661"/>
      <c r="T791" s="661"/>
      <c r="U791" s="664"/>
      <c r="V791" s="665"/>
      <c r="W791" s="661"/>
      <c r="X791" s="661"/>
      <c r="Y791" s="661"/>
      <c r="Z791" s="661"/>
    </row>
    <row r="792">
      <c r="A792" s="661"/>
      <c r="B792" s="663"/>
      <c r="C792" s="795"/>
      <c r="D792" s="796"/>
      <c r="E792" s="680"/>
      <c r="F792" s="797"/>
      <c r="G792" s="797"/>
      <c r="H792" s="797"/>
      <c r="I792" s="797"/>
      <c r="J792" s="797"/>
      <c r="K792" s="797"/>
      <c r="L792" s="797"/>
      <c r="M792" s="797"/>
      <c r="N792" s="797"/>
      <c r="O792" s="797"/>
      <c r="P792" s="797"/>
      <c r="Q792" s="797"/>
      <c r="R792" s="661"/>
      <c r="S792" s="661"/>
      <c r="T792" s="661"/>
      <c r="U792" s="664"/>
      <c r="V792" s="665"/>
      <c r="W792" s="661"/>
      <c r="X792" s="661"/>
      <c r="Y792" s="661"/>
      <c r="Z792" s="661"/>
    </row>
    <row r="793">
      <c r="A793" s="661"/>
      <c r="B793" s="663"/>
      <c r="C793" s="795"/>
      <c r="D793" s="796"/>
      <c r="E793" s="680"/>
      <c r="F793" s="797"/>
      <c r="G793" s="797"/>
      <c r="H793" s="797"/>
      <c r="I793" s="797"/>
      <c r="J793" s="797"/>
      <c r="K793" s="797"/>
      <c r="L793" s="797"/>
      <c r="M793" s="797"/>
      <c r="N793" s="797"/>
      <c r="O793" s="797"/>
      <c r="P793" s="797"/>
      <c r="Q793" s="797"/>
      <c r="R793" s="661"/>
      <c r="S793" s="661"/>
      <c r="T793" s="661"/>
      <c r="U793" s="664"/>
      <c r="V793" s="665"/>
      <c r="W793" s="661"/>
      <c r="X793" s="661"/>
      <c r="Y793" s="661"/>
      <c r="Z793" s="661"/>
    </row>
    <row r="794">
      <c r="A794" s="661"/>
      <c r="B794" s="663"/>
      <c r="C794" s="795"/>
      <c r="D794" s="796"/>
      <c r="E794" s="680"/>
      <c r="F794" s="797"/>
      <c r="G794" s="797"/>
      <c r="H794" s="797"/>
      <c r="I794" s="797"/>
      <c r="J794" s="797"/>
      <c r="K794" s="797"/>
      <c r="L794" s="797"/>
      <c r="M794" s="797"/>
      <c r="N794" s="797"/>
      <c r="O794" s="797"/>
      <c r="P794" s="797"/>
      <c r="Q794" s="797"/>
      <c r="R794" s="661"/>
      <c r="S794" s="661"/>
      <c r="T794" s="661"/>
      <c r="U794" s="664"/>
      <c r="V794" s="665"/>
      <c r="W794" s="661"/>
      <c r="X794" s="661"/>
      <c r="Y794" s="661"/>
      <c r="Z794" s="661"/>
    </row>
    <row r="795">
      <c r="A795" s="661"/>
      <c r="B795" s="663"/>
      <c r="C795" s="795"/>
      <c r="D795" s="796"/>
      <c r="E795" s="680"/>
      <c r="F795" s="797"/>
      <c r="G795" s="797"/>
      <c r="H795" s="797"/>
      <c r="I795" s="797"/>
      <c r="J795" s="797"/>
      <c r="K795" s="797"/>
      <c r="L795" s="797"/>
      <c r="M795" s="797"/>
      <c r="N795" s="797"/>
      <c r="O795" s="797"/>
      <c r="P795" s="797"/>
      <c r="Q795" s="797"/>
      <c r="R795" s="661"/>
      <c r="S795" s="661"/>
      <c r="T795" s="661"/>
      <c r="U795" s="664"/>
      <c r="V795" s="665"/>
      <c r="W795" s="661"/>
      <c r="X795" s="661"/>
      <c r="Y795" s="661"/>
      <c r="Z795" s="661"/>
    </row>
    <row r="796">
      <c r="A796" s="661"/>
      <c r="B796" s="663"/>
      <c r="C796" s="795"/>
      <c r="D796" s="796"/>
      <c r="E796" s="680"/>
      <c r="F796" s="797"/>
      <c r="G796" s="797"/>
      <c r="H796" s="797"/>
      <c r="I796" s="797"/>
      <c r="J796" s="797"/>
      <c r="K796" s="797"/>
      <c r="L796" s="797"/>
      <c r="M796" s="797"/>
      <c r="N796" s="797"/>
      <c r="O796" s="797"/>
      <c r="P796" s="797"/>
      <c r="Q796" s="797"/>
      <c r="R796" s="661"/>
      <c r="S796" s="661"/>
      <c r="T796" s="661"/>
      <c r="U796" s="664"/>
      <c r="V796" s="665"/>
      <c r="W796" s="661"/>
      <c r="X796" s="661"/>
      <c r="Y796" s="661"/>
      <c r="Z796" s="661"/>
    </row>
    <row r="797">
      <c r="A797" s="661"/>
      <c r="B797" s="663"/>
      <c r="C797" s="795"/>
      <c r="D797" s="796"/>
      <c r="E797" s="680"/>
      <c r="F797" s="797"/>
      <c r="G797" s="797"/>
      <c r="H797" s="797"/>
      <c r="I797" s="797"/>
      <c r="J797" s="797"/>
      <c r="K797" s="797"/>
      <c r="L797" s="797"/>
      <c r="M797" s="797"/>
      <c r="N797" s="797"/>
      <c r="O797" s="797"/>
      <c r="P797" s="797"/>
      <c r="Q797" s="797"/>
      <c r="R797" s="661"/>
      <c r="S797" s="661"/>
      <c r="T797" s="661"/>
      <c r="U797" s="664"/>
      <c r="V797" s="665"/>
      <c r="W797" s="661"/>
      <c r="X797" s="661"/>
      <c r="Y797" s="661"/>
      <c r="Z797" s="661"/>
    </row>
    <row r="798">
      <c r="A798" s="661"/>
      <c r="B798" s="663"/>
      <c r="C798" s="795"/>
      <c r="D798" s="796"/>
      <c r="E798" s="680"/>
      <c r="F798" s="797"/>
      <c r="G798" s="797"/>
      <c r="H798" s="797"/>
      <c r="I798" s="797"/>
      <c r="J798" s="797"/>
      <c r="K798" s="797"/>
      <c r="L798" s="797"/>
      <c r="M798" s="797"/>
      <c r="N798" s="797"/>
      <c r="O798" s="797"/>
      <c r="P798" s="797"/>
      <c r="Q798" s="797"/>
      <c r="R798" s="661"/>
      <c r="S798" s="661"/>
      <c r="T798" s="661"/>
      <c r="U798" s="664"/>
      <c r="V798" s="665"/>
      <c r="W798" s="661"/>
      <c r="X798" s="661"/>
      <c r="Y798" s="661"/>
      <c r="Z798" s="661"/>
    </row>
    <row r="799">
      <c r="A799" s="661"/>
      <c r="B799" s="663"/>
      <c r="C799" s="795"/>
      <c r="D799" s="796"/>
      <c r="E799" s="680"/>
      <c r="F799" s="797"/>
      <c r="G799" s="797"/>
      <c r="H799" s="797"/>
      <c r="I799" s="797"/>
      <c r="J799" s="797"/>
      <c r="K799" s="797"/>
      <c r="L799" s="797"/>
      <c r="M799" s="797"/>
      <c r="N799" s="797"/>
      <c r="O799" s="797"/>
      <c r="P799" s="797"/>
      <c r="Q799" s="797"/>
      <c r="R799" s="661"/>
      <c r="S799" s="661"/>
      <c r="T799" s="661"/>
      <c r="U799" s="664"/>
      <c r="V799" s="665"/>
      <c r="W799" s="661"/>
      <c r="X799" s="661"/>
      <c r="Y799" s="661"/>
      <c r="Z799" s="661"/>
    </row>
    <row r="800">
      <c r="A800" s="661"/>
      <c r="B800" s="663"/>
      <c r="C800" s="795"/>
      <c r="D800" s="796"/>
      <c r="E800" s="680"/>
      <c r="F800" s="797"/>
      <c r="G800" s="797"/>
      <c r="H800" s="797"/>
      <c r="I800" s="797"/>
      <c r="J800" s="797"/>
      <c r="K800" s="797"/>
      <c r="L800" s="797"/>
      <c r="M800" s="797"/>
      <c r="N800" s="797"/>
      <c r="O800" s="797"/>
      <c r="P800" s="797"/>
      <c r="Q800" s="797"/>
      <c r="R800" s="661"/>
      <c r="S800" s="661"/>
      <c r="T800" s="661"/>
      <c r="U800" s="664"/>
      <c r="V800" s="665"/>
      <c r="W800" s="661"/>
      <c r="X800" s="661"/>
      <c r="Y800" s="661"/>
      <c r="Z800" s="661"/>
    </row>
    <row r="801">
      <c r="A801" s="661"/>
      <c r="B801" s="663"/>
      <c r="C801" s="795"/>
      <c r="D801" s="796"/>
      <c r="E801" s="680"/>
      <c r="F801" s="797"/>
      <c r="G801" s="797"/>
      <c r="H801" s="797"/>
      <c r="I801" s="797"/>
      <c r="J801" s="797"/>
      <c r="K801" s="797"/>
      <c r="L801" s="797"/>
      <c r="M801" s="797"/>
      <c r="N801" s="797"/>
      <c r="O801" s="797"/>
      <c r="P801" s="797"/>
      <c r="Q801" s="797"/>
      <c r="R801" s="661"/>
      <c r="S801" s="661"/>
      <c r="T801" s="661"/>
      <c r="U801" s="664"/>
      <c r="V801" s="665"/>
      <c r="W801" s="661"/>
      <c r="X801" s="661"/>
      <c r="Y801" s="661"/>
      <c r="Z801" s="661"/>
    </row>
    <row r="802">
      <c r="A802" s="661"/>
      <c r="B802" s="663"/>
      <c r="C802" s="795"/>
      <c r="D802" s="796"/>
      <c r="E802" s="680"/>
      <c r="F802" s="797"/>
      <c r="G802" s="797"/>
      <c r="H802" s="797"/>
      <c r="I802" s="797"/>
      <c r="J802" s="797"/>
      <c r="K802" s="797"/>
      <c r="L802" s="797"/>
      <c r="M802" s="797"/>
      <c r="N802" s="797"/>
      <c r="O802" s="797"/>
      <c r="P802" s="797"/>
      <c r="Q802" s="797"/>
      <c r="R802" s="661"/>
      <c r="S802" s="661"/>
      <c r="T802" s="661"/>
      <c r="U802" s="664"/>
      <c r="V802" s="665"/>
      <c r="W802" s="661"/>
      <c r="X802" s="661"/>
      <c r="Y802" s="661"/>
      <c r="Z802" s="661"/>
    </row>
    <row r="803">
      <c r="A803" s="661"/>
      <c r="B803" s="663"/>
      <c r="C803" s="795"/>
      <c r="D803" s="796"/>
      <c r="E803" s="680"/>
      <c r="F803" s="797"/>
      <c r="G803" s="797"/>
      <c r="H803" s="797"/>
      <c r="I803" s="797"/>
      <c r="J803" s="797"/>
      <c r="K803" s="797"/>
      <c r="L803" s="797"/>
      <c r="M803" s="797"/>
      <c r="N803" s="797"/>
      <c r="O803" s="797"/>
      <c r="P803" s="797"/>
      <c r="Q803" s="797"/>
      <c r="R803" s="661"/>
      <c r="S803" s="661"/>
      <c r="T803" s="661"/>
      <c r="U803" s="664"/>
      <c r="V803" s="665"/>
      <c r="W803" s="661"/>
      <c r="X803" s="661"/>
      <c r="Y803" s="661"/>
      <c r="Z803" s="661"/>
    </row>
    <row r="804">
      <c r="A804" s="661"/>
      <c r="B804" s="663"/>
      <c r="C804" s="795"/>
      <c r="D804" s="796"/>
      <c r="E804" s="680"/>
      <c r="F804" s="797"/>
      <c r="G804" s="797"/>
      <c r="H804" s="797"/>
      <c r="I804" s="797"/>
      <c r="J804" s="797"/>
      <c r="K804" s="797"/>
      <c r="L804" s="797"/>
      <c r="M804" s="797"/>
      <c r="N804" s="797"/>
      <c r="O804" s="797"/>
      <c r="P804" s="797"/>
      <c r="Q804" s="797"/>
      <c r="R804" s="661"/>
      <c r="S804" s="661"/>
      <c r="T804" s="661"/>
      <c r="U804" s="664"/>
      <c r="V804" s="665"/>
      <c r="W804" s="661"/>
      <c r="X804" s="661"/>
      <c r="Y804" s="661"/>
      <c r="Z804" s="661"/>
    </row>
    <row r="805">
      <c r="A805" s="661"/>
      <c r="B805" s="663"/>
      <c r="C805" s="795"/>
      <c r="D805" s="796"/>
      <c r="E805" s="680"/>
      <c r="F805" s="797"/>
      <c r="G805" s="797"/>
      <c r="H805" s="797"/>
      <c r="I805" s="797"/>
      <c r="J805" s="797"/>
      <c r="K805" s="797"/>
      <c r="L805" s="797"/>
      <c r="M805" s="797"/>
      <c r="N805" s="797"/>
      <c r="O805" s="797"/>
      <c r="P805" s="797"/>
      <c r="Q805" s="797"/>
      <c r="R805" s="661"/>
      <c r="S805" s="661"/>
      <c r="T805" s="661"/>
      <c r="U805" s="664"/>
      <c r="V805" s="665"/>
      <c r="W805" s="661"/>
      <c r="X805" s="661"/>
      <c r="Y805" s="661"/>
      <c r="Z805" s="661"/>
    </row>
    <row r="806">
      <c r="A806" s="661"/>
      <c r="B806" s="663"/>
      <c r="C806" s="795"/>
      <c r="D806" s="796"/>
      <c r="E806" s="680"/>
      <c r="F806" s="797"/>
      <c r="G806" s="797"/>
      <c r="H806" s="797"/>
      <c r="I806" s="797"/>
      <c r="J806" s="797"/>
      <c r="K806" s="797"/>
      <c r="L806" s="797"/>
      <c r="M806" s="797"/>
      <c r="N806" s="797"/>
      <c r="O806" s="797"/>
      <c r="P806" s="797"/>
      <c r="Q806" s="797"/>
      <c r="R806" s="661"/>
      <c r="S806" s="661"/>
      <c r="T806" s="661"/>
      <c r="U806" s="664"/>
      <c r="V806" s="665"/>
      <c r="W806" s="661"/>
      <c r="X806" s="661"/>
      <c r="Y806" s="661"/>
      <c r="Z806" s="661"/>
    </row>
    <row r="807">
      <c r="A807" s="661"/>
      <c r="B807" s="663"/>
      <c r="C807" s="795"/>
      <c r="D807" s="796"/>
      <c r="E807" s="680"/>
      <c r="F807" s="797"/>
      <c r="G807" s="797"/>
      <c r="H807" s="797"/>
      <c r="I807" s="797"/>
      <c r="J807" s="797"/>
      <c r="K807" s="797"/>
      <c r="L807" s="797"/>
      <c r="M807" s="797"/>
      <c r="N807" s="797"/>
      <c r="O807" s="797"/>
      <c r="P807" s="797"/>
      <c r="Q807" s="797"/>
      <c r="R807" s="661"/>
      <c r="S807" s="661"/>
      <c r="T807" s="661"/>
      <c r="U807" s="664"/>
      <c r="V807" s="665"/>
      <c r="W807" s="661"/>
      <c r="X807" s="661"/>
      <c r="Y807" s="661"/>
      <c r="Z807" s="661"/>
    </row>
    <row r="808">
      <c r="A808" s="661"/>
      <c r="B808" s="663"/>
      <c r="C808" s="795"/>
      <c r="D808" s="796"/>
      <c r="E808" s="680"/>
      <c r="F808" s="797"/>
      <c r="G808" s="797"/>
      <c r="H808" s="797"/>
      <c r="I808" s="797"/>
      <c r="J808" s="797"/>
      <c r="K808" s="797"/>
      <c r="L808" s="797"/>
      <c r="M808" s="797"/>
      <c r="N808" s="797"/>
      <c r="O808" s="797"/>
      <c r="P808" s="797"/>
      <c r="Q808" s="797"/>
      <c r="R808" s="661"/>
      <c r="S808" s="661"/>
      <c r="T808" s="661"/>
      <c r="U808" s="664"/>
      <c r="V808" s="665"/>
      <c r="W808" s="661"/>
      <c r="X808" s="661"/>
      <c r="Y808" s="661"/>
      <c r="Z808" s="661"/>
    </row>
    <row r="809">
      <c r="A809" s="661"/>
      <c r="B809" s="663"/>
      <c r="C809" s="795"/>
      <c r="D809" s="796"/>
      <c r="E809" s="680"/>
      <c r="F809" s="797"/>
      <c r="G809" s="797"/>
      <c r="H809" s="797"/>
      <c r="I809" s="797"/>
      <c r="J809" s="797"/>
      <c r="K809" s="797"/>
      <c r="L809" s="797"/>
      <c r="M809" s="797"/>
      <c r="N809" s="797"/>
      <c r="O809" s="797"/>
      <c r="P809" s="797"/>
      <c r="Q809" s="797"/>
      <c r="R809" s="661"/>
      <c r="S809" s="661"/>
      <c r="T809" s="661"/>
      <c r="U809" s="664"/>
      <c r="V809" s="665"/>
      <c r="W809" s="661"/>
      <c r="X809" s="661"/>
      <c r="Y809" s="661"/>
      <c r="Z809" s="661"/>
    </row>
    <row r="810">
      <c r="A810" s="661"/>
      <c r="B810" s="663"/>
      <c r="C810" s="795"/>
      <c r="D810" s="796"/>
      <c r="E810" s="680"/>
      <c r="F810" s="797"/>
      <c r="G810" s="797"/>
      <c r="H810" s="797"/>
      <c r="I810" s="797"/>
      <c r="J810" s="797"/>
      <c r="K810" s="797"/>
      <c r="L810" s="797"/>
      <c r="M810" s="797"/>
      <c r="N810" s="797"/>
      <c r="O810" s="797"/>
      <c r="P810" s="797"/>
      <c r="Q810" s="797"/>
      <c r="R810" s="661"/>
      <c r="S810" s="661"/>
      <c r="T810" s="661"/>
      <c r="U810" s="664"/>
      <c r="V810" s="665"/>
      <c r="W810" s="661"/>
      <c r="X810" s="661"/>
      <c r="Y810" s="661"/>
      <c r="Z810" s="661"/>
    </row>
    <row r="811">
      <c r="A811" s="661"/>
      <c r="B811" s="663"/>
      <c r="C811" s="795"/>
      <c r="D811" s="796"/>
      <c r="E811" s="680"/>
      <c r="F811" s="797"/>
      <c r="G811" s="797"/>
      <c r="H811" s="797"/>
      <c r="I811" s="797"/>
      <c r="J811" s="797"/>
      <c r="K811" s="797"/>
      <c r="L811" s="797"/>
      <c r="M811" s="797"/>
      <c r="N811" s="797"/>
      <c r="O811" s="797"/>
      <c r="P811" s="797"/>
      <c r="Q811" s="797"/>
      <c r="R811" s="661"/>
      <c r="S811" s="661"/>
      <c r="T811" s="661"/>
      <c r="U811" s="664"/>
      <c r="V811" s="665"/>
      <c r="W811" s="661"/>
      <c r="X811" s="661"/>
      <c r="Y811" s="661"/>
      <c r="Z811" s="661"/>
    </row>
    <row r="812">
      <c r="A812" s="661"/>
      <c r="B812" s="663"/>
      <c r="C812" s="795"/>
      <c r="D812" s="796"/>
      <c r="E812" s="680"/>
      <c r="F812" s="797"/>
      <c r="G812" s="797"/>
      <c r="H812" s="797"/>
      <c r="I812" s="797"/>
      <c r="J812" s="797"/>
      <c r="K812" s="797"/>
      <c r="L812" s="797"/>
      <c r="M812" s="797"/>
      <c r="N812" s="797"/>
      <c r="O812" s="797"/>
      <c r="P812" s="797"/>
      <c r="Q812" s="797"/>
      <c r="R812" s="661"/>
      <c r="S812" s="661"/>
      <c r="T812" s="661"/>
      <c r="U812" s="664"/>
      <c r="V812" s="665"/>
      <c r="W812" s="661"/>
      <c r="X812" s="661"/>
      <c r="Y812" s="661"/>
      <c r="Z812" s="661"/>
    </row>
    <row r="813">
      <c r="A813" s="661"/>
      <c r="B813" s="663"/>
      <c r="C813" s="795"/>
      <c r="D813" s="796"/>
      <c r="E813" s="680"/>
      <c r="F813" s="797"/>
      <c r="G813" s="797"/>
      <c r="H813" s="797"/>
      <c r="I813" s="797"/>
      <c r="J813" s="797"/>
      <c r="K813" s="797"/>
      <c r="L813" s="797"/>
      <c r="M813" s="797"/>
      <c r="N813" s="797"/>
      <c r="O813" s="797"/>
      <c r="P813" s="797"/>
      <c r="Q813" s="797"/>
      <c r="R813" s="661"/>
      <c r="S813" s="661"/>
      <c r="T813" s="661"/>
      <c r="U813" s="664"/>
      <c r="V813" s="665"/>
      <c r="W813" s="661"/>
      <c r="X813" s="661"/>
      <c r="Y813" s="661"/>
      <c r="Z813" s="661"/>
    </row>
    <row r="814">
      <c r="A814" s="661"/>
      <c r="B814" s="663"/>
      <c r="C814" s="795"/>
      <c r="D814" s="796"/>
      <c r="E814" s="680"/>
      <c r="F814" s="797"/>
      <c r="G814" s="797"/>
      <c r="H814" s="797"/>
      <c r="I814" s="797"/>
      <c r="J814" s="797"/>
      <c r="K814" s="797"/>
      <c r="L814" s="797"/>
      <c r="M814" s="797"/>
      <c r="N814" s="797"/>
      <c r="O814" s="797"/>
      <c r="P814" s="797"/>
      <c r="Q814" s="797"/>
      <c r="R814" s="661"/>
      <c r="S814" s="661"/>
      <c r="T814" s="661"/>
      <c r="U814" s="664"/>
      <c r="V814" s="665"/>
      <c r="W814" s="661"/>
      <c r="X814" s="661"/>
      <c r="Y814" s="661"/>
      <c r="Z814" s="661"/>
    </row>
    <row r="815">
      <c r="A815" s="661"/>
      <c r="B815" s="663"/>
      <c r="C815" s="795"/>
      <c r="D815" s="796"/>
      <c r="E815" s="680"/>
      <c r="F815" s="797"/>
      <c r="G815" s="797"/>
      <c r="H815" s="797"/>
      <c r="I815" s="797"/>
      <c r="J815" s="797"/>
      <c r="K815" s="797"/>
      <c r="L815" s="797"/>
      <c r="M815" s="797"/>
      <c r="N815" s="797"/>
      <c r="O815" s="797"/>
      <c r="P815" s="797"/>
      <c r="Q815" s="797"/>
      <c r="R815" s="661"/>
      <c r="S815" s="661"/>
      <c r="T815" s="661"/>
      <c r="U815" s="664"/>
      <c r="V815" s="665"/>
      <c r="W815" s="661"/>
      <c r="X815" s="661"/>
      <c r="Y815" s="661"/>
      <c r="Z815" s="661"/>
    </row>
    <row r="816">
      <c r="A816" s="661"/>
      <c r="B816" s="663"/>
      <c r="C816" s="795"/>
      <c r="D816" s="796"/>
      <c r="E816" s="680"/>
      <c r="F816" s="797"/>
      <c r="G816" s="797"/>
      <c r="H816" s="797"/>
      <c r="I816" s="797"/>
      <c r="J816" s="797"/>
      <c r="K816" s="797"/>
      <c r="L816" s="797"/>
      <c r="M816" s="797"/>
      <c r="N816" s="797"/>
      <c r="O816" s="797"/>
      <c r="P816" s="797"/>
      <c r="Q816" s="797"/>
      <c r="R816" s="661"/>
      <c r="S816" s="661"/>
      <c r="T816" s="661"/>
      <c r="U816" s="664"/>
      <c r="V816" s="665"/>
      <c r="W816" s="661"/>
      <c r="X816" s="661"/>
      <c r="Y816" s="661"/>
      <c r="Z816" s="661"/>
    </row>
    <row r="817">
      <c r="A817" s="661"/>
      <c r="B817" s="663"/>
      <c r="C817" s="795"/>
      <c r="D817" s="796"/>
      <c r="E817" s="680"/>
      <c r="F817" s="797"/>
      <c r="G817" s="797"/>
      <c r="H817" s="797"/>
      <c r="I817" s="797"/>
      <c r="J817" s="797"/>
      <c r="K817" s="797"/>
      <c r="L817" s="797"/>
      <c r="M817" s="797"/>
      <c r="N817" s="797"/>
      <c r="O817" s="797"/>
      <c r="P817" s="797"/>
      <c r="Q817" s="797"/>
      <c r="R817" s="661"/>
      <c r="S817" s="661"/>
      <c r="T817" s="661"/>
      <c r="U817" s="664"/>
      <c r="V817" s="665"/>
      <c r="W817" s="661"/>
      <c r="X817" s="661"/>
      <c r="Y817" s="661"/>
      <c r="Z817" s="661"/>
    </row>
    <row r="818">
      <c r="A818" s="661"/>
      <c r="B818" s="663"/>
      <c r="C818" s="795"/>
      <c r="D818" s="796"/>
      <c r="E818" s="680"/>
      <c r="F818" s="797"/>
      <c r="G818" s="797"/>
      <c r="H818" s="797"/>
      <c r="I818" s="797"/>
      <c r="J818" s="797"/>
      <c r="K818" s="797"/>
      <c r="L818" s="797"/>
      <c r="M818" s="797"/>
      <c r="N818" s="797"/>
      <c r="O818" s="797"/>
      <c r="P818" s="797"/>
      <c r="Q818" s="797"/>
      <c r="R818" s="661"/>
      <c r="S818" s="661"/>
      <c r="T818" s="661"/>
      <c r="U818" s="664"/>
      <c r="V818" s="665"/>
      <c r="W818" s="661"/>
      <c r="X818" s="661"/>
      <c r="Y818" s="661"/>
      <c r="Z818" s="661"/>
    </row>
    <row r="819">
      <c r="A819" s="661"/>
      <c r="B819" s="663"/>
      <c r="C819" s="795"/>
      <c r="D819" s="796"/>
      <c r="E819" s="680"/>
      <c r="F819" s="797"/>
      <c r="G819" s="797"/>
      <c r="H819" s="797"/>
      <c r="I819" s="797"/>
      <c r="J819" s="797"/>
      <c r="K819" s="797"/>
      <c r="L819" s="797"/>
      <c r="M819" s="797"/>
      <c r="N819" s="797"/>
      <c r="O819" s="797"/>
      <c r="P819" s="797"/>
      <c r="Q819" s="797"/>
      <c r="R819" s="661"/>
      <c r="S819" s="661"/>
      <c r="T819" s="661"/>
      <c r="U819" s="664"/>
      <c r="V819" s="665"/>
      <c r="W819" s="661"/>
      <c r="X819" s="661"/>
      <c r="Y819" s="661"/>
      <c r="Z819" s="661"/>
    </row>
    <row r="820">
      <c r="A820" s="661"/>
      <c r="B820" s="663"/>
      <c r="C820" s="795"/>
      <c r="D820" s="796"/>
      <c r="E820" s="680"/>
      <c r="F820" s="797"/>
      <c r="G820" s="797"/>
      <c r="H820" s="797"/>
      <c r="I820" s="797"/>
      <c r="J820" s="797"/>
      <c r="K820" s="797"/>
      <c r="L820" s="797"/>
      <c r="M820" s="797"/>
      <c r="N820" s="797"/>
      <c r="O820" s="797"/>
      <c r="P820" s="797"/>
      <c r="Q820" s="797"/>
      <c r="R820" s="661"/>
      <c r="S820" s="661"/>
      <c r="T820" s="661"/>
      <c r="U820" s="664"/>
      <c r="V820" s="665"/>
      <c r="W820" s="661"/>
      <c r="X820" s="661"/>
      <c r="Y820" s="661"/>
      <c r="Z820" s="661"/>
    </row>
    <row r="821">
      <c r="A821" s="661"/>
      <c r="B821" s="663"/>
      <c r="C821" s="795"/>
      <c r="D821" s="796"/>
      <c r="E821" s="680"/>
      <c r="F821" s="797"/>
      <c r="G821" s="797"/>
      <c r="H821" s="797"/>
      <c r="I821" s="797"/>
      <c r="J821" s="797"/>
      <c r="K821" s="797"/>
      <c r="L821" s="797"/>
      <c r="M821" s="797"/>
      <c r="N821" s="797"/>
      <c r="O821" s="797"/>
      <c r="P821" s="797"/>
      <c r="Q821" s="797"/>
      <c r="R821" s="661"/>
      <c r="S821" s="661"/>
      <c r="T821" s="661"/>
      <c r="U821" s="664"/>
      <c r="V821" s="665"/>
      <c r="W821" s="661"/>
      <c r="X821" s="661"/>
      <c r="Y821" s="661"/>
      <c r="Z821" s="661"/>
    </row>
    <row r="822">
      <c r="A822" s="661"/>
      <c r="B822" s="663"/>
      <c r="C822" s="795"/>
      <c r="D822" s="796"/>
      <c r="E822" s="680"/>
      <c r="F822" s="797"/>
      <c r="G822" s="797"/>
      <c r="H822" s="797"/>
      <c r="I822" s="797"/>
      <c r="J822" s="797"/>
      <c r="K822" s="797"/>
      <c r="L822" s="797"/>
      <c r="M822" s="797"/>
      <c r="N822" s="797"/>
      <c r="O822" s="797"/>
      <c r="P822" s="797"/>
      <c r="Q822" s="797"/>
      <c r="R822" s="661"/>
      <c r="S822" s="661"/>
      <c r="T822" s="661"/>
      <c r="U822" s="664"/>
      <c r="V822" s="665"/>
      <c r="W822" s="661"/>
      <c r="X822" s="661"/>
      <c r="Y822" s="661"/>
      <c r="Z822" s="661"/>
    </row>
    <row r="823">
      <c r="A823" s="661"/>
      <c r="B823" s="663"/>
      <c r="C823" s="795"/>
      <c r="D823" s="796"/>
      <c r="E823" s="680"/>
      <c r="F823" s="797"/>
      <c r="G823" s="797"/>
      <c r="H823" s="797"/>
      <c r="I823" s="797"/>
      <c r="J823" s="797"/>
      <c r="K823" s="797"/>
      <c r="L823" s="797"/>
      <c r="M823" s="797"/>
      <c r="N823" s="797"/>
      <c r="O823" s="797"/>
      <c r="P823" s="797"/>
      <c r="Q823" s="797"/>
      <c r="R823" s="661"/>
      <c r="S823" s="661"/>
      <c r="T823" s="661"/>
      <c r="U823" s="664"/>
      <c r="V823" s="665"/>
      <c r="W823" s="661"/>
      <c r="X823" s="661"/>
      <c r="Y823" s="661"/>
      <c r="Z823" s="661"/>
    </row>
    <row r="824">
      <c r="A824" s="661"/>
      <c r="B824" s="663"/>
      <c r="C824" s="795"/>
      <c r="D824" s="796"/>
      <c r="E824" s="680"/>
      <c r="F824" s="797"/>
      <c r="G824" s="797"/>
      <c r="H824" s="797"/>
      <c r="I824" s="797"/>
      <c r="J824" s="797"/>
      <c r="K824" s="797"/>
      <c r="L824" s="797"/>
      <c r="M824" s="797"/>
      <c r="N824" s="797"/>
      <c r="O824" s="797"/>
      <c r="P824" s="797"/>
      <c r="Q824" s="797"/>
      <c r="R824" s="661"/>
      <c r="S824" s="661"/>
      <c r="T824" s="661"/>
      <c r="U824" s="664"/>
      <c r="V824" s="665"/>
      <c r="W824" s="661"/>
      <c r="X824" s="661"/>
      <c r="Y824" s="661"/>
      <c r="Z824" s="661"/>
    </row>
    <row r="825">
      <c r="A825" s="661"/>
      <c r="B825" s="663"/>
      <c r="C825" s="795"/>
      <c r="D825" s="796"/>
      <c r="E825" s="680"/>
      <c r="F825" s="797"/>
      <c r="G825" s="797"/>
      <c r="H825" s="797"/>
      <c r="I825" s="797"/>
      <c r="J825" s="797"/>
      <c r="K825" s="797"/>
      <c r="L825" s="797"/>
      <c r="M825" s="797"/>
      <c r="N825" s="797"/>
      <c r="O825" s="797"/>
      <c r="P825" s="797"/>
      <c r="Q825" s="797"/>
      <c r="R825" s="661"/>
      <c r="S825" s="661"/>
      <c r="T825" s="661"/>
      <c r="U825" s="664"/>
      <c r="V825" s="665"/>
      <c r="W825" s="661"/>
      <c r="X825" s="661"/>
      <c r="Y825" s="661"/>
      <c r="Z825" s="661"/>
    </row>
    <row r="826">
      <c r="A826" s="661"/>
      <c r="B826" s="663"/>
      <c r="C826" s="795"/>
      <c r="D826" s="796"/>
      <c r="E826" s="680"/>
      <c r="F826" s="797"/>
      <c r="G826" s="797"/>
      <c r="H826" s="797"/>
      <c r="I826" s="797"/>
      <c r="J826" s="797"/>
      <c r="K826" s="797"/>
      <c r="L826" s="797"/>
      <c r="M826" s="797"/>
      <c r="N826" s="797"/>
      <c r="O826" s="797"/>
      <c r="P826" s="797"/>
      <c r="Q826" s="797"/>
      <c r="R826" s="661"/>
      <c r="S826" s="661"/>
      <c r="T826" s="661"/>
      <c r="U826" s="664"/>
      <c r="V826" s="665"/>
      <c r="W826" s="661"/>
      <c r="X826" s="661"/>
      <c r="Y826" s="661"/>
      <c r="Z826" s="661"/>
    </row>
    <row r="827">
      <c r="A827" s="661"/>
      <c r="B827" s="663"/>
      <c r="C827" s="795"/>
      <c r="D827" s="796"/>
      <c r="E827" s="680"/>
      <c r="F827" s="797"/>
      <c r="G827" s="797"/>
      <c r="H827" s="797"/>
      <c r="I827" s="797"/>
      <c r="J827" s="797"/>
      <c r="K827" s="797"/>
      <c r="L827" s="797"/>
      <c r="M827" s="797"/>
      <c r="N827" s="797"/>
      <c r="O827" s="797"/>
      <c r="P827" s="797"/>
      <c r="Q827" s="797"/>
      <c r="R827" s="661"/>
      <c r="S827" s="661"/>
      <c r="T827" s="661"/>
      <c r="U827" s="664"/>
      <c r="V827" s="665"/>
      <c r="W827" s="661"/>
      <c r="X827" s="661"/>
      <c r="Y827" s="661"/>
      <c r="Z827" s="661"/>
    </row>
    <row r="828">
      <c r="A828" s="661"/>
      <c r="B828" s="663"/>
      <c r="C828" s="795"/>
      <c r="D828" s="796"/>
      <c r="E828" s="680"/>
      <c r="F828" s="797"/>
      <c r="G828" s="797"/>
      <c r="H828" s="797"/>
      <c r="I828" s="797"/>
      <c r="J828" s="797"/>
      <c r="K828" s="797"/>
      <c r="L828" s="797"/>
      <c r="M828" s="797"/>
      <c r="N828" s="797"/>
      <c r="O828" s="797"/>
      <c r="P828" s="797"/>
      <c r="Q828" s="797"/>
      <c r="R828" s="661"/>
      <c r="S828" s="661"/>
      <c r="T828" s="661"/>
      <c r="U828" s="664"/>
      <c r="V828" s="665"/>
      <c r="W828" s="661"/>
      <c r="X828" s="661"/>
      <c r="Y828" s="661"/>
      <c r="Z828" s="661"/>
    </row>
    <row r="829">
      <c r="A829" s="661"/>
      <c r="B829" s="663"/>
      <c r="C829" s="795"/>
      <c r="D829" s="796"/>
      <c r="E829" s="680"/>
      <c r="F829" s="797"/>
      <c r="G829" s="797"/>
      <c r="H829" s="797"/>
      <c r="I829" s="797"/>
      <c r="J829" s="797"/>
      <c r="K829" s="797"/>
      <c r="L829" s="797"/>
      <c r="M829" s="797"/>
      <c r="N829" s="797"/>
      <c r="O829" s="797"/>
      <c r="P829" s="797"/>
      <c r="Q829" s="797"/>
      <c r="R829" s="661"/>
      <c r="S829" s="661"/>
      <c r="T829" s="661"/>
      <c r="U829" s="664"/>
      <c r="V829" s="665"/>
      <c r="W829" s="661"/>
      <c r="X829" s="661"/>
      <c r="Y829" s="661"/>
      <c r="Z829" s="661"/>
    </row>
    <row r="830">
      <c r="A830" s="661"/>
      <c r="B830" s="663"/>
      <c r="C830" s="795"/>
      <c r="D830" s="796"/>
      <c r="E830" s="680"/>
      <c r="F830" s="797"/>
      <c r="G830" s="797"/>
      <c r="H830" s="797"/>
      <c r="I830" s="797"/>
      <c r="J830" s="797"/>
      <c r="K830" s="797"/>
      <c r="L830" s="797"/>
      <c r="M830" s="797"/>
      <c r="N830" s="797"/>
      <c r="O830" s="797"/>
      <c r="P830" s="797"/>
      <c r="Q830" s="797"/>
      <c r="R830" s="661"/>
      <c r="S830" s="661"/>
      <c r="T830" s="661"/>
      <c r="U830" s="664"/>
      <c r="V830" s="665"/>
      <c r="W830" s="661"/>
      <c r="X830" s="661"/>
      <c r="Y830" s="661"/>
      <c r="Z830" s="661"/>
    </row>
    <row r="831">
      <c r="A831" s="661"/>
      <c r="B831" s="663"/>
      <c r="C831" s="795"/>
      <c r="D831" s="796"/>
      <c r="E831" s="680"/>
      <c r="F831" s="797"/>
      <c r="G831" s="797"/>
      <c r="H831" s="797"/>
      <c r="I831" s="797"/>
      <c r="J831" s="797"/>
      <c r="K831" s="797"/>
      <c r="L831" s="797"/>
      <c r="M831" s="797"/>
      <c r="N831" s="797"/>
      <c r="O831" s="797"/>
      <c r="P831" s="797"/>
      <c r="Q831" s="797"/>
      <c r="R831" s="661"/>
      <c r="S831" s="661"/>
      <c r="T831" s="661"/>
      <c r="U831" s="664"/>
      <c r="V831" s="665"/>
      <c r="W831" s="661"/>
      <c r="X831" s="661"/>
      <c r="Y831" s="661"/>
      <c r="Z831" s="661"/>
    </row>
    <row r="832">
      <c r="A832" s="661"/>
      <c r="B832" s="663"/>
      <c r="C832" s="795"/>
      <c r="D832" s="796"/>
      <c r="E832" s="680"/>
      <c r="F832" s="797"/>
      <c r="G832" s="797"/>
      <c r="H832" s="797"/>
      <c r="I832" s="797"/>
      <c r="J832" s="797"/>
      <c r="K832" s="797"/>
      <c r="L832" s="797"/>
      <c r="M832" s="797"/>
      <c r="N832" s="797"/>
      <c r="O832" s="797"/>
      <c r="P832" s="797"/>
      <c r="Q832" s="797"/>
      <c r="R832" s="661"/>
      <c r="S832" s="661"/>
      <c r="T832" s="661"/>
      <c r="U832" s="664"/>
      <c r="V832" s="665"/>
      <c r="W832" s="661"/>
      <c r="X832" s="661"/>
      <c r="Y832" s="661"/>
      <c r="Z832" s="661"/>
    </row>
    <row r="833">
      <c r="A833" s="661"/>
      <c r="B833" s="663"/>
      <c r="C833" s="795"/>
      <c r="D833" s="796"/>
      <c r="E833" s="680"/>
      <c r="F833" s="797"/>
      <c r="G833" s="797"/>
      <c r="H833" s="797"/>
      <c r="I833" s="797"/>
      <c r="J833" s="797"/>
      <c r="K833" s="797"/>
      <c r="L833" s="797"/>
      <c r="M833" s="797"/>
      <c r="N833" s="797"/>
      <c r="O833" s="797"/>
      <c r="P833" s="797"/>
      <c r="Q833" s="797"/>
      <c r="R833" s="661"/>
      <c r="S833" s="661"/>
      <c r="T833" s="661"/>
      <c r="U833" s="664"/>
      <c r="V833" s="665"/>
      <c r="W833" s="661"/>
      <c r="X833" s="661"/>
      <c r="Y833" s="661"/>
      <c r="Z833" s="661"/>
    </row>
    <row r="834">
      <c r="A834" s="661"/>
      <c r="B834" s="663"/>
      <c r="C834" s="795"/>
      <c r="D834" s="796"/>
      <c r="E834" s="680"/>
      <c r="F834" s="797"/>
      <c r="G834" s="797"/>
      <c r="H834" s="797"/>
      <c r="I834" s="797"/>
      <c r="J834" s="797"/>
      <c r="K834" s="797"/>
      <c r="L834" s="797"/>
      <c r="M834" s="797"/>
      <c r="N834" s="797"/>
      <c r="O834" s="797"/>
      <c r="P834" s="797"/>
      <c r="Q834" s="797"/>
      <c r="R834" s="661"/>
      <c r="S834" s="661"/>
      <c r="T834" s="661"/>
      <c r="U834" s="664"/>
      <c r="V834" s="665"/>
      <c r="W834" s="661"/>
      <c r="X834" s="661"/>
      <c r="Y834" s="661"/>
      <c r="Z834" s="661"/>
    </row>
    <row r="835">
      <c r="A835" s="661"/>
      <c r="B835" s="663"/>
      <c r="C835" s="795"/>
      <c r="D835" s="796"/>
      <c r="E835" s="680"/>
      <c r="F835" s="797"/>
      <c r="G835" s="797"/>
      <c r="H835" s="797"/>
      <c r="I835" s="797"/>
      <c r="J835" s="797"/>
      <c r="K835" s="797"/>
      <c r="L835" s="797"/>
      <c r="M835" s="797"/>
      <c r="N835" s="797"/>
      <c r="O835" s="797"/>
      <c r="P835" s="797"/>
      <c r="Q835" s="797"/>
      <c r="R835" s="661"/>
      <c r="S835" s="661"/>
      <c r="T835" s="661"/>
      <c r="U835" s="664"/>
      <c r="V835" s="665"/>
      <c r="W835" s="661"/>
      <c r="X835" s="661"/>
      <c r="Y835" s="661"/>
      <c r="Z835" s="661"/>
    </row>
    <row r="836">
      <c r="A836" s="661"/>
      <c r="B836" s="663"/>
      <c r="C836" s="795"/>
      <c r="D836" s="796"/>
      <c r="E836" s="680"/>
      <c r="F836" s="797"/>
      <c r="G836" s="797"/>
      <c r="H836" s="797"/>
      <c r="I836" s="797"/>
      <c r="J836" s="797"/>
      <c r="K836" s="797"/>
      <c r="L836" s="797"/>
      <c r="M836" s="797"/>
      <c r="N836" s="797"/>
      <c r="O836" s="797"/>
      <c r="P836" s="797"/>
      <c r="Q836" s="797"/>
      <c r="R836" s="661"/>
      <c r="S836" s="661"/>
      <c r="T836" s="661"/>
      <c r="U836" s="664"/>
      <c r="V836" s="665"/>
      <c r="W836" s="661"/>
      <c r="X836" s="661"/>
      <c r="Y836" s="661"/>
      <c r="Z836" s="661"/>
    </row>
    <row r="837">
      <c r="A837" s="661"/>
      <c r="B837" s="663"/>
      <c r="C837" s="795"/>
      <c r="D837" s="796"/>
      <c r="E837" s="680"/>
      <c r="F837" s="797"/>
      <c r="G837" s="797"/>
      <c r="H837" s="797"/>
      <c r="I837" s="797"/>
      <c r="J837" s="797"/>
      <c r="K837" s="797"/>
      <c r="L837" s="797"/>
      <c r="M837" s="797"/>
      <c r="N837" s="797"/>
      <c r="O837" s="797"/>
      <c r="P837" s="797"/>
      <c r="Q837" s="797"/>
      <c r="R837" s="661"/>
      <c r="S837" s="661"/>
      <c r="T837" s="661"/>
      <c r="U837" s="664"/>
      <c r="V837" s="665"/>
      <c r="W837" s="661"/>
      <c r="X837" s="661"/>
      <c r="Y837" s="661"/>
      <c r="Z837" s="661"/>
    </row>
    <row r="838">
      <c r="A838" s="661"/>
      <c r="B838" s="663"/>
      <c r="C838" s="795"/>
      <c r="D838" s="796"/>
      <c r="E838" s="680"/>
      <c r="F838" s="797"/>
      <c r="G838" s="797"/>
      <c r="H838" s="797"/>
      <c r="I838" s="797"/>
      <c r="J838" s="797"/>
      <c r="K838" s="797"/>
      <c r="L838" s="797"/>
      <c r="M838" s="797"/>
      <c r="N838" s="797"/>
      <c r="O838" s="797"/>
      <c r="P838" s="797"/>
      <c r="Q838" s="797"/>
      <c r="R838" s="661"/>
      <c r="S838" s="661"/>
      <c r="T838" s="661"/>
      <c r="U838" s="664"/>
      <c r="V838" s="665"/>
      <c r="W838" s="661"/>
      <c r="X838" s="661"/>
      <c r="Y838" s="661"/>
      <c r="Z838" s="661"/>
    </row>
    <row r="839">
      <c r="A839" s="661"/>
      <c r="B839" s="663"/>
      <c r="C839" s="795"/>
      <c r="D839" s="796"/>
      <c r="E839" s="680"/>
      <c r="F839" s="797"/>
      <c r="G839" s="797"/>
      <c r="H839" s="797"/>
      <c r="I839" s="797"/>
      <c r="J839" s="797"/>
      <c r="K839" s="797"/>
      <c r="L839" s="797"/>
      <c r="M839" s="797"/>
      <c r="N839" s="797"/>
      <c r="O839" s="797"/>
      <c r="P839" s="797"/>
      <c r="Q839" s="797"/>
      <c r="R839" s="661"/>
      <c r="S839" s="661"/>
      <c r="T839" s="661"/>
      <c r="U839" s="664"/>
      <c r="V839" s="665"/>
      <c r="W839" s="661"/>
      <c r="X839" s="661"/>
      <c r="Y839" s="661"/>
      <c r="Z839" s="661"/>
    </row>
    <row r="840">
      <c r="A840" s="661"/>
      <c r="B840" s="663"/>
      <c r="C840" s="795"/>
      <c r="D840" s="796"/>
      <c r="E840" s="680"/>
      <c r="F840" s="797"/>
      <c r="G840" s="797"/>
      <c r="H840" s="797"/>
      <c r="I840" s="797"/>
      <c r="J840" s="797"/>
      <c r="K840" s="797"/>
      <c r="L840" s="797"/>
      <c r="M840" s="797"/>
      <c r="N840" s="797"/>
      <c r="O840" s="797"/>
      <c r="P840" s="797"/>
      <c r="Q840" s="797"/>
      <c r="R840" s="661"/>
      <c r="S840" s="661"/>
      <c r="T840" s="661"/>
      <c r="U840" s="664"/>
      <c r="V840" s="665"/>
      <c r="W840" s="661"/>
      <c r="X840" s="661"/>
      <c r="Y840" s="661"/>
      <c r="Z840" s="661"/>
    </row>
    <row r="841">
      <c r="A841" s="661"/>
      <c r="B841" s="663"/>
      <c r="C841" s="795"/>
      <c r="D841" s="796"/>
      <c r="E841" s="680"/>
      <c r="F841" s="797"/>
      <c r="G841" s="797"/>
      <c r="H841" s="797"/>
      <c r="I841" s="797"/>
      <c r="J841" s="797"/>
      <c r="K841" s="797"/>
      <c r="L841" s="797"/>
      <c r="M841" s="797"/>
      <c r="N841" s="797"/>
      <c r="O841" s="797"/>
      <c r="P841" s="797"/>
      <c r="Q841" s="797"/>
      <c r="R841" s="661"/>
      <c r="S841" s="661"/>
      <c r="T841" s="661"/>
      <c r="U841" s="664"/>
      <c r="V841" s="665"/>
      <c r="W841" s="661"/>
      <c r="X841" s="661"/>
      <c r="Y841" s="661"/>
      <c r="Z841" s="661"/>
    </row>
    <row r="842">
      <c r="A842" s="661"/>
      <c r="B842" s="663"/>
      <c r="C842" s="795"/>
      <c r="D842" s="796"/>
      <c r="E842" s="680"/>
      <c r="F842" s="797"/>
      <c r="G842" s="797"/>
      <c r="H842" s="797"/>
      <c r="I842" s="797"/>
      <c r="J842" s="797"/>
      <c r="K842" s="797"/>
      <c r="L842" s="797"/>
      <c r="M842" s="797"/>
      <c r="N842" s="797"/>
      <c r="O842" s="797"/>
      <c r="P842" s="797"/>
      <c r="Q842" s="797"/>
      <c r="R842" s="661"/>
      <c r="S842" s="661"/>
      <c r="T842" s="661"/>
      <c r="U842" s="664"/>
      <c r="V842" s="665"/>
      <c r="W842" s="661"/>
      <c r="X842" s="661"/>
      <c r="Y842" s="661"/>
      <c r="Z842" s="661"/>
    </row>
    <row r="843">
      <c r="A843" s="661"/>
      <c r="B843" s="663"/>
      <c r="C843" s="795"/>
      <c r="D843" s="796"/>
      <c r="E843" s="680"/>
      <c r="F843" s="797"/>
      <c r="G843" s="797"/>
      <c r="H843" s="797"/>
      <c r="I843" s="797"/>
      <c r="J843" s="797"/>
      <c r="K843" s="797"/>
      <c r="L843" s="797"/>
      <c r="M843" s="797"/>
      <c r="N843" s="797"/>
      <c r="O843" s="797"/>
      <c r="P843" s="797"/>
      <c r="Q843" s="797"/>
      <c r="R843" s="661"/>
      <c r="S843" s="661"/>
      <c r="T843" s="661"/>
      <c r="U843" s="664"/>
      <c r="V843" s="665"/>
      <c r="W843" s="661"/>
      <c r="X843" s="661"/>
      <c r="Y843" s="661"/>
      <c r="Z843" s="661"/>
    </row>
    <row r="844">
      <c r="A844" s="661"/>
      <c r="B844" s="663"/>
      <c r="C844" s="795"/>
      <c r="D844" s="796"/>
      <c r="E844" s="680"/>
      <c r="F844" s="797"/>
      <c r="G844" s="797"/>
      <c r="H844" s="797"/>
      <c r="I844" s="797"/>
      <c r="J844" s="797"/>
      <c r="K844" s="797"/>
      <c r="L844" s="797"/>
      <c r="M844" s="797"/>
      <c r="N844" s="797"/>
      <c r="O844" s="797"/>
      <c r="P844" s="797"/>
      <c r="Q844" s="797"/>
      <c r="R844" s="661"/>
      <c r="S844" s="661"/>
      <c r="T844" s="661"/>
      <c r="U844" s="664"/>
      <c r="V844" s="665"/>
      <c r="W844" s="661"/>
      <c r="X844" s="661"/>
      <c r="Y844" s="661"/>
      <c r="Z844" s="661"/>
    </row>
    <row r="845">
      <c r="A845" s="661"/>
      <c r="B845" s="663"/>
      <c r="C845" s="795"/>
      <c r="D845" s="796"/>
      <c r="E845" s="680"/>
      <c r="F845" s="797"/>
      <c r="G845" s="797"/>
      <c r="H845" s="797"/>
      <c r="I845" s="797"/>
      <c r="J845" s="797"/>
      <c r="K845" s="797"/>
      <c r="L845" s="797"/>
      <c r="M845" s="797"/>
      <c r="N845" s="797"/>
      <c r="O845" s="797"/>
      <c r="P845" s="797"/>
      <c r="Q845" s="797"/>
      <c r="R845" s="661"/>
      <c r="S845" s="661"/>
      <c r="T845" s="661"/>
      <c r="U845" s="664"/>
      <c r="V845" s="665"/>
      <c r="W845" s="661"/>
      <c r="X845" s="661"/>
      <c r="Y845" s="661"/>
      <c r="Z845" s="661"/>
    </row>
    <row r="846">
      <c r="A846" s="661"/>
      <c r="B846" s="663"/>
      <c r="C846" s="795"/>
      <c r="D846" s="796"/>
      <c r="E846" s="680"/>
      <c r="F846" s="797"/>
      <c r="G846" s="797"/>
      <c r="H846" s="797"/>
      <c r="I846" s="797"/>
      <c r="J846" s="797"/>
      <c r="K846" s="797"/>
      <c r="L846" s="797"/>
      <c r="M846" s="797"/>
      <c r="N846" s="797"/>
      <c r="O846" s="797"/>
      <c r="P846" s="797"/>
      <c r="Q846" s="797"/>
      <c r="R846" s="661"/>
      <c r="S846" s="661"/>
      <c r="T846" s="661"/>
      <c r="U846" s="664"/>
      <c r="V846" s="665"/>
      <c r="W846" s="661"/>
      <c r="X846" s="661"/>
      <c r="Y846" s="661"/>
      <c r="Z846" s="661"/>
    </row>
    <row r="847">
      <c r="A847" s="661"/>
      <c r="B847" s="663"/>
      <c r="C847" s="795"/>
      <c r="D847" s="796"/>
      <c r="E847" s="680"/>
      <c r="F847" s="797"/>
      <c r="G847" s="797"/>
      <c r="H847" s="797"/>
      <c r="I847" s="797"/>
      <c r="J847" s="797"/>
      <c r="K847" s="797"/>
      <c r="L847" s="797"/>
      <c r="M847" s="797"/>
      <c r="N847" s="797"/>
      <c r="O847" s="797"/>
      <c r="P847" s="797"/>
      <c r="Q847" s="797"/>
      <c r="R847" s="661"/>
      <c r="S847" s="661"/>
      <c r="T847" s="661"/>
      <c r="U847" s="664"/>
      <c r="V847" s="665"/>
      <c r="W847" s="661"/>
      <c r="X847" s="661"/>
      <c r="Y847" s="661"/>
      <c r="Z847" s="661"/>
    </row>
    <row r="848">
      <c r="A848" s="661"/>
      <c r="B848" s="663"/>
      <c r="C848" s="795"/>
      <c r="D848" s="796"/>
      <c r="E848" s="680"/>
      <c r="F848" s="797"/>
      <c r="G848" s="797"/>
      <c r="H848" s="797"/>
      <c r="I848" s="797"/>
      <c r="J848" s="797"/>
      <c r="K848" s="797"/>
      <c r="L848" s="797"/>
      <c r="M848" s="797"/>
      <c r="N848" s="797"/>
      <c r="O848" s="797"/>
      <c r="P848" s="797"/>
      <c r="Q848" s="797"/>
      <c r="R848" s="661"/>
      <c r="S848" s="661"/>
      <c r="T848" s="661"/>
      <c r="U848" s="664"/>
      <c r="V848" s="665"/>
      <c r="W848" s="661"/>
      <c r="X848" s="661"/>
      <c r="Y848" s="661"/>
      <c r="Z848" s="661"/>
    </row>
    <row r="849">
      <c r="A849" s="661"/>
      <c r="B849" s="663"/>
      <c r="C849" s="795"/>
      <c r="D849" s="796"/>
      <c r="E849" s="680"/>
      <c r="F849" s="797"/>
      <c r="G849" s="797"/>
      <c r="H849" s="797"/>
      <c r="I849" s="797"/>
      <c r="J849" s="797"/>
      <c r="K849" s="797"/>
      <c r="L849" s="797"/>
      <c r="M849" s="797"/>
      <c r="N849" s="797"/>
      <c r="O849" s="797"/>
      <c r="P849" s="797"/>
      <c r="Q849" s="797"/>
      <c r="R849" s="661"/>
      <c r="S849" s="661"/>
      <c r="T849" s="661"/>
      <c r="U849" s="664"/>
      <c r="V849" s="665"/>
      <c r="W849" s="661"/>
      <c r="X849" s="661"/>
      <c r="Y849" s="661"/>
      <c r="Z849" s="661"/>
    </row>
    <row r="850">
      <c r="A850" s="661"/>
      <c r="B850" s="663"/>
      <c r="C850" s="795"/>
      <c r="D850" s="796"/>
      <c r="E850" s="680"/>
      <c r="F850" s="797"/>
      <c r="G850" s="797"/>
      <c r="H850" s="797"/>
      <c r="I850" s="797"/>
      <c r="J850" s="797"/>
      <c r="K850" s="797"/>
      <c r="L850" s="797"/>
      <c r="M850" s="797"/>
      <c r="N850" s="797"/>
      <c r="O850" s="797"/>
      <c r="P850" s="797"/>
      <c r="Q850" s="797"/>
      <c r="R850" s="661"/>
      <c r="S850" s="661"/>
      <c r="T850" s="661"/>
      <c r="U850" s="664"/>
      <c r="V850" s="665"/>
      <c r="W850" s="661"/>
      <c r="X850" s="661"/>
      <c r="Y850" s="661"/>
      <c r="Z850" s="661"/>
    </row>
    <row r="851">
      <c r="A851" s="661"/>
      <c r="B851" s="663"/>
      <c r="C851" s="795"/>
      <c r="D851" s="796"/>
      <c r="E851" s="680"/>
      <c r="F851" s="797"/>
      <c r="G851" s="797"/>
      <c r="H851" s="797"/>
      <c r="I851" s="797"/>
      <c r="J851" s="797"/>
      <c r="K851" s="797"/>
      <c r="L851" s="797"/>
      <c r="M851" s="797"/>
      <c r="N851" s="797"/>
      <c r="O851" s="797"/>
      <c r="P851" s="797"/>
      <c r="Q851" s="797"/>
      <c r="R851" s="661"/>
      <c r="S851" s="661"/>
      <c r="T851" s="661"/>
      <c r="U851" s="664"/>
      <c r="V851" s="665"/>
      <c r="W851" s="661"/>
      <c r="X851" s="661"/>
      <c r="Y851" s="661"/>
      <c r="Z851" s="661"/>
    </row>
    <row r="852">
      <c r="A852" s="661"/>
      <c r="B852" s="663"/>
      <c r="C852" s="795"/>
      <c r="D852" s="796"/>
      <c r="E852" s="680"/>
      <c r="F852" s="797"/>
      <c r="G852" s="797"/>
      <c r="H852" s="797"/>
      <c r="I852" s="797"/>
      <c r="J852" s="797"/>
      <c r="K852" s="797"/>
      <c r="L852" s="797"/>
      <c r="M852" s="797"/>
      <c r="N852" s="797"/>
      <c r="O852" s="797"/>
      <c r="P852" s="797"/>
      <c r="Q852" s="797"/>
      <c r="R852" s="661"/>
      <c r="S852" s="661"/>
      <c r="T852" s="661"/>
      <c r="U852" s="664"/>
      <c r="V852" s="665"/>
      <c r="W852" s="661"/>
      <c r="X852" s="661"/>
      <c r="Y852" s="661"/>
      <c r="Z852" s="661"/>
    </row>
    <row r="853">
      <c r="A853" s="661"/>
      <c r="B853" s="663"/>
      <c r="C853" s="795"/>
      <c r="D853" s="796"/>
      <c r="E853" s="680"/>
      <c r="F853" s="797"/>
      <c r="G853" s="797"/>
      <c r="H853" s="797"/>
      <c r="I853" s="797"/>
      <c r="J853" s="797"/>
      <c r="K853" s="797"/>
      <c r="L853" s="797"/>
      <c r="M853" s="797"/>
      <c r="N853" s="797"/>
      <c r="O853" s="797"/>
      <c r="P853" s="797"/>
      <c r="Q853" s="797"/>
      <c r="R853" s="661"/>
      <c r="S853" s="661"/>
      <c r="T853" s="661"/>
      <c r="U853" s="664"/>
      <c r="V853" s="665"/>
      <c r="W853" s="661"/>
      <c r="X853" s="661"/>
      <c r="Y853" s="661"/>
      <c r="Z853" s="661"/>
    </row>
    <row r="854">
      <c r="A854" s="661"/>
      <c r="B854" s="663"/>
      <c r="C854" s="795"/>
      <c r="D854" s="796"/>
      <c r="E854" s="680"/>
      <c r="F854" s="797"/>
      <c r="G854" s="797"/>
      <c r="H854" s="797"/>
      <c r="I854" s="797"/>
      <c r="J854" s="797"/>
      <c r="K854" s="797"/>
      <c r="L854" s="797"/>
      <c r="M854" s="797"/>
      <c r="N854" s="797"/>
      <c r="O854" s="797"/>
      <c r="P854" s="797"/>
      <c r="Q854" s="797"/>
      <c r="R854" s="661"/>
      <c r="S854" s="661"/>
      <c r="T854" s="661"/>
      <c r="U854" s="664"/>
      <c r="V854" s="665"/>
      <c r="W854" s="661"/>
      <c r="X854" s="661"/>
      <c r="Y854" s="661"/>
      <c r="Z854" s="661"/>
    </row>
    <row r="855">
      <c r="A855" s="661"/>
      <c r="B855" s="663"/>
      <c r="C855" s="795"/>
      <c r="D855" s="796"/>
      <c r="E855" s="680"/>
      <c r="F855" s="797"/>
      <c r="G855" s="797"/>
      <c r="H855" s="797"/>
      <c r="I855" s="797"/>
      <c r="J855" s="797"/>
      <c r="K855" s="797"/>
      <c r="L855" s="797"/>
      <c r="M855" s="797"/>
      <c r="N855" s="797"/>
      <c r="O855" s="797"/>
      <c r="P855" s="797"/>
      <c r="Q855" s="797"/>
      <c r="R855" s="661"/>
      <c r="S855" s="661"/>
      <c r="T855" s="661"/>
      <c r="U855" s="664"/>
      <c r="V855" s="665"/>
      <c r="W855" s="661"/>
      <c r="X855" s="661"/>
      <c r="Y855" s="661"/>
      <c r="Z855" s="661"/>
    </row>
    <row r="856">
      <c r="A856" s="661"/>
      <c r="B856" s="663"/>
      <c r="C856" s="795"/>
      <c r="D856" s="796"/>
      <c r="E856" s="680"/>
      <c r="F856" s="797"/>
      <c r="G856" s="797"/>
      <c r="H856" s="797"/>
      <c r="I856" s="797"/>
      <c r="J856" s="797"/>
      <c r="K856" s="797"/>
      <c r="L856" s="797"/>
      <c r="M856" s="797"/>
      <c r="N856" s="797"/>
      <c r="O856" s="797"/>
      <c r="P856" s="797"/>
      <c r="Q856" s="797"/>
      <c r="R856" s="661"/>
      <c r="S856" s="661"/>
      <c r="T856" s="661"/>
      <c r="U856" s="664"/>
      <c r="V856" s="665"/>
      <c r="W856" s="661"/>
      <c r="X856" s="661"/>
      <c r="Y856" s="661"/>
      <c r="Z856" s="661"/>
    </row>
    <row r="857">
      <c r="A857" s="661"/>
      <c r="B857" s="663"/>
      <c r="C857" s="795"/>
      <c r="D857" s="796"/>
      <c r="E857" s="680"/>
      <c r="F857" s="797"/>
      <c r="G857" s="797"/>
      <c r="H857" s="797"/>
      <c r="I857" s="797"/>
      <c r="J857" s="797"/>
      <c r="K857" s="797"/>
      <c r="L857" s="797"/>
      <c r="M857" s="797"/>
      <c r="N857" s="797"/>
      <c r="O857" s="797"/>
      <c r="P857" s="797"/>
      <c r="Q857" s="797"/>
      <c r="R857" s="661"/>
      <c r="S857" s="661"/>
      <c r="T857" s="661"/>
      <c r="U857" s="664"/>
      <c r="V857" s="665"/>
      <c r="W857" s="661"/>
      <c r="X857" s="661"/>
      <c r="Y857" s="661"/>
      <c r="Z857" s="661"/>
    </row>
    <row r="858">
      <c r="A858" s="661"/>
      <c r="B858" s="663"/>
      <c r="C858" s="795"/>
      <c r="D858" s="796"/>
      <c r="E858" s="680"/>
      <c r="F858" s="797"/>
      <c r="G858" s="797"/>
      <c r="H858" s="797"/>
      <c r="I858" s="797"/>
      <c r="J858" s="797"/>
      <c r="K858" s="797"/>
      <c r="L858" s="797"/>
      <c r="M858" s="797"/>
      <c r="N858" s="797"/>
      <c r="O858" s="797"/>
      <c r="P858" s="797"/>
      <c r="Q858" s="797"/>
      <c r="R858" s="661"/>
      <c r="S858" s="661"/>
      <c r="T858" s="661"/>
      <c r="U858" s="664"/>
      <c r="V858" s="665"/>
      <c r="W858" s="661"/>
      <c r="X858" s="661"/>
      <c r="Y858" s="661"/>
      <c r="Z858" s="661"/>
    </row>
    <row r="859">
      <c r="A859" s="661"/>
      <c r="B859" s="663"/>
      <c r="C859" s="795"/>
      <c r="D859" s="796"/>
      <c r="E859" s="680"/>
      <c r="F859" s="797"/>
      <c r="G859" s="797"/>
      <c r="H859" s="797"/>
      <c r="I859" s="797"/>
      <c r="J859" s="797"/>
      <c r="K859" s="797"/>
      <c r="L859" s="797"/>
      <c r="M859" s="797"/>
      <c r="N859" s="797"/>
      <c r="O859" s="797"/>
      <c r="P859" s="797"/>
      <c r="Q859" s="797"/>
      <c r="R859" s="661"/>
      <c r="S859" s="661"/>
      <c r="T859" s="661"/>
      <c r="U859" s="664"/>
      <c r="V859" s="665"/>
      <c r="W859" s="661"/>
      <c r="X859" s="661"/>
      <c r="Y859" s="661"/>
      <c r="Z859" s="661"/>
    </row>
    <row r="860">
      <c r="A860" s="661"/>
      <c r="B860" s="663"/>
      <c r="C860" s="795"/>
      <c r="D860" s="796"/>
      <c r="E860" s="680"/>
      <c r="F860" s="797"/>
      <c r="G860" s="797"/>
      <c r="H860" s="797"/>
      <c r="I860" s="797"/>
      <c r="J860" s="797"/>
      <c r="K860" s="797"/>
      <c r="L860" s="797"/>
      <c r="M860" s="797"/>
      <c r="N860" s="797"/>
      <c r="O860" s="797"/>
      <c r="P860" s="797"/>
      <c r="Q860" s="797"/>
      <c r="R860" s="661"/>
      <c r="S860" s="661"/>
      <c r="T860" s="661"/>
      <c r="U860" s="664"/>
      <c r="V860" s="665"/>
      <c r="W860" s="661"/>
      <c r="X860" s="661"/>
      <c r="Y860" s="661"/>
      <c r="Z860" s="661"/>
    </row>
    <row r="861">
      <c r="A861" s="661"/>
      <c r="B861" s="663"/>
      <c r="C861" s="795"/>
      <c r="D861" s="796"/>
      <c r="E861" s="680"/>
      <c r="F861" s="797"/>
      <c r="G861" s="797"/>
      <c r="H861" s="797"/>
      <c r="I861" s="797"/>
      <c r="J861" s="797"/>
      <c r="K861" s="797"/>
      <c r="L861" s="797"/>
      <c r="M861" s="797"/>
      <c r="N861" s="797"/>
      <c r="O861" s="797"/>
      <c r="P861" s="797"/>
      <c r="Q861" s="797"/>
      <c r="R861" s="661"/>
      <c r="S861" s="661"/>
      <c r="T861" s="661"/>
      <c r="U861" s="664"/>
      <c r="V861" s="665"/>
      <c r="W861" s="661"/>
      <c r="X861" s="661"/>
      <c r="Y861" s="661"/>
      <c r="Z861" s="661"/>
    </row>
    <row r="862">
      <c r="A862" s="661"/>
      <c r="B862" s="663"/>
      <c r="C862" s="795"/>
      <c r="D862" s="796"/>
      <c r="E862" s="680"/>
      <c r="F862" s="797"/>
      <c r="G862" s="797"/>
      <c r="H862" s="797"/>
      <c r="I862" s="797"/>
      <c r="J862" s="797"/>
      <c r="K862" s="797"/>
      <c r="L862" s="797"/>
      <c r="M862" s="797"/>
      <c r="N862" s="797"/>
      <c r="O862" s="797"/>
      <c r="P862" s="797"/>
      <c r="Q862" s="797"/>
      <c r="R862" s="661"/>
      <c r="S862" s="661"/>
      <c r="T862" s="661"/>
      <c r="U862" s="664"/>
      <c r="V862" s="665"/>
      <c r="W862" s="661"/>
      <c r="X862" s="661"/>
      <c r="Y862" s="661"/>
      <c r="Z862" s="661"/>
    </row>
    <row r="863">
      <c r="A863" s="661"/>
      <c r="B863" s="663"/>
      <c r="C863" s="795"/>
      <c r="D863" s="796"/>
      <c r="E863" s="680"/>
      <c r="F863" s="797"/>
      <c r="G863" s="797"/>
      <c r="H863" s="797"/>
      <c r="I863" s="797"/>
      <c r="J863" s="797"/>
      <c r="K863" s="797"/>
      <c r="L863" s="797"/>
      <c r="M863" s="797"/>
      <c r="N863" s="797"/>
      <c r="O863" s="797"/>
      <c r="P863" s="797"/>
      <c r="Q863" s="797"/>
      <c r="R863" s="661"/>
      <c r="S863" s="661"/>
      <c r="T863" s="661"/>
      <c r="U863" s="664"/>
      <c r="V863" s="665"/>
      <c r="W863" s="661"/>
      <c r="X863" s="661"/>
      <c r="Y863" s="661"/>
      <c r="Z863" s="661"/>
    </row>
    <row r="864">
      <c r="A864" s="661"/>
      <c r="B864" s="663"/>
      <c r="C864" s="795"/>
      <c r="D864" s="796"/>
      <c r="E864" s="680"/>
      <c r="F864" s="797"/>
      <c r="G864" s="797"/>
      <c r="H864" s="797"/>
      <c r="I864" s="797"/>
      <c r="J864" s="797"/>
      <c r="K864" s="797"/>
      <c r="L864" s="797"/>
      <c r="M864" s="797"/>
      <c r="N864" s="797"/>
      <c r="O864" s="797"/>
      <c r="P864" s="797"/>
      <c r="Q864" s="797"/>
      <c r="R864" s="661"/>
      <c r="S864" s="661"/>
      <c r="T864" s="661"/>
      <c r="U864" s="664"/>
      <c r="V864" s="665"/>
      <c r="W864" s="661"/>
      <c r="X864" s="661"/>
      <c r="Y864" s="661"/>
      <c r="Z864" s="661"/>
    </row>
    <row r="865">
      <c r="A865" s="661"/>
      <c r="B865" s="663"/>
      <c r="C865" s="795"/>
      <c r="D865" s="796"/>
      <c r="E865" s="680"/>
      <c r="F865" s="797"/>
      <c r="G865" s="797"/>
      <c r="H865" s="797"/>
      <c r="I865" s="797"/>
      <c r="J865" s="797"/>
      <c r="K865" s="797"/>
      <c r="L865" s="797"/>
      <c r="M865" s="797"/>
      <c r="N865" s="797"/>
      <c r="O865" s="797"/>
      <c r="P865" s="797"/>
      <c r="Q865" s="797"/>
      <c r="R865" s="661"/>
      <c r="S865" s="661"/>
      <c r="T865" s="661"/>
      <c r="U865" s="664"/>
      <c r="V865" s="665"/>
      <c r="W865" s="661"/>
      <c r="X865" s="661"/>
      <c r="Y865" s="661"/>
      <c r="Z865" s="661"/>
    </row>
    <row r="866">
      <c r="A866" s="661"/>
      <c r="B866" s="663"/>
      <c r="C866" s="795"/>
      <c r="D866" s="796"/>
      <c r="E866" s="680"/>
      <c r="F866" s="797"/>
      <c r="G866" s="797"/>
      <c r="H866" s="797"/>
      <c r="I866" s="797"/>
      <c r="J866" s="797"/>
      <c r="K866" s="797"/>
      <c r="L866" s="797"/>
      <c r="M866" s="797"/>
      <c r="N866" s="797"/>
      <c r="O866" s="797"/>
      <c r="P866" s="797"/>
      <c r="Q866" s="797"/>
      <c r="R866" s="661"/>
      <c r="S866" s="661"/>
      <c r="T866" s="661"/>
      <c r="U866" s="664"/>
      <c r="V866" s="665"/>
      <c r="W866" s="661"/>
      <c r="X866" s="661"/>
      <c r="Y866" s="661"/>
      <c r="Z866" s="661"/>
    </row>
    <row r="867">
      <c r="A867" s="661"/>
      <c r="B867" s="663"/>
      <c r="C867" s="795"/>
      <c r="D867" s="796"/>
      <c r="E867" s="680"/>
      <c r="F867" s="797"/>
      <c r="G867" s="797"/>
      <c r="H867" s="797"/>
      <c r="I867" s="797"/>
      <c r="J867" s="797"/>
      <c r="K867" s="797"/>
      <c r="L867" s="797"/>
      <c r="M867" s="797"/>
      <c r="N867" s="797"/>
      <c r="O867" s="797"/>
      <c r="P867" s="797"/>
      <c r="Q867" s="797"/>
      <c r="R867" s="661"/>
      <c r="S867" s="661"/>
      <c r="T867" s="661"/>
      <c r="U867" s="664"/>
      <c r="V867" s="665"/>
      <c r="W867" s="661"/>
      <c r="X867" s="661"/>
      <c r="Y867" s="661"/>
      <c r="Z867" s="661"/>
    </row>
    <row r="868">
      <c r="A868" s="661"/>
      <c r="B868" s="663"/>
      <c r="C868" s="795"/>
      <c r="D868" s="796"/>
      <c r="E868" s="680"/>
      <c r="F868" s="797"/>
      <c r="G868" s="797"/>
      <c r="H868" s="797"/>
      <c r="I868" s="797"/>
      <c r="J868" s="797"/>
      <c r="K868" s="797"/>
      <c r="L868" s="797"/>
      <c r="M868" s="797"/>
      <c r="N868" s="797"/>
      <c r="O868" s="797"/>
      <c r="P868" s="797"/>
      <c r="Q868" s="797"/>
      <c r="R868" s="661"/>
      <c r="S868" s="661"/>
      <c r="T868" s="661"/>
      <c r="U868" s="664"/>
      <c r="V868" s="665"/>
      <c r="W868" s="661"/>
      <c r="X868" s="661"/>
      <c r="Y868" s="661"/>
      <c r="Z868" s="661"/>
    </row>
    <row r="869">
      <c r="A869" s="661"/>
      <c r="B869" s="663"/>
      <c r="C869" s="795"/>
      <c r="D869" s="796"/>
      <c r="E869" s="680"/>
      <c r="F869" s="797"/>
      <c r="G869" s="797"/>
      <c r="H869" s="797"/>
      <c r="I869" s="797"/>
      <c r="J869" s="797"/>
      <c r="K869" s="797"/>
      <c r="L869" s="797"/>
      <c r="M869" s="797"/>
      <c r="N869" s="797"/>
      <c r="O869" s="797"/>
      <c r="P869" s="797"/>
      <c r="Q869" s="797"/>
      <c r="R869" s="661"/>
      <c r="S869" s="661"/>
      <c r="T869" s="661"/>
      <c r="U869" s="664"/>
      <c r="V869" s="665"/>
      <c r="W869" s="661"/>
      <c r="X869" s="661"/>
      <c r="Y869" s="661"/>
      <c r="Z869" s="661"/>
    </row>
    <row r="870">
      <c r="A870" s="661"/>
      <c r="B870" s="663"/>
      <c r="C870" s="795"/>
      <c r="D870" s="796"/>
      <c r="E870" s="680"/>
      <c r="F870" s="797"/>
      <c r="G870" s="797"/>
      <c r="H870" s="797"/>
      <c r="I870" s="797"/>
      <c r="J870" s="797"/>
      <c r="K870" s="797"/>
      <c r="L870" s="797"/>
      <c r="M870" s="797"/>
      <c r="N870" s="797"/>
      <c r="O870" s="797"/>
      <c r="P870" s="797"/>
      <c r="Q870" s="797"/>
      <c r="R870" s="661"/>
      <c r="S870" s="661"/>
      <c r="T870" s="661"/>
      <c r="U870" s="664"/>
      <c r="V870" s="665"/>
      <c r="W870" s="661"/>
      <c r="X870" s="661"/>
      <c r="Y870" s="661"/>
      <c r="Z870" s="661"/>
    </row>
    <row r="871">
      <c r="A871" s="661"/>
      <c r="B871" s="663"/>
      <c r="C871" s="795"/>
      <c r="D871" s="796"/>
      <c r="E871" s="680"/>
      <c r="F871" s="797"/>
      <c r="G871" s="797"/>
      <c r="H871" s="797"/>
      <c r="I871" s="797"/>
      <c r="J871" s="797"/>
      <c r="K871" s="797"/>
      <c r="L871" s="797"/>
      <c r="M871" s="797"/>
      <c r="N871" s="797"/>
      <c r="O871" s="797"/>
      <c r="P871" s="797"/>
      <c r="Q871" s="797"/>
      <c r="R871" s="661"/>
      <c r="S871" s="661"/>
      <c r="T871" s="661"/>
      <c r="U871" s="664"/>
      <c r="V871" s="665"/>
      <c r="W871" s="661"/>
      <c r="X871" s="661"/>
      <c r="Y871" s="661"/>
      <c r="Z871" s="661"/>
    </row>
    <row r="872">
      <c r="A872" s="661"/>
      <c r="B872" s="663"/>
      <c r="C872" s="795"/>
      <c r="D872" s="796"/>
      <c r="E872" s="680"/>
      <c r="F872" s="797"/>
      <c r="G872" s="797"/>
      <c r="H872" s="797"/>
      <c r="I872" s="797"/>
      <c r="J872" s="797"/>
      <c r="K872" s="797"/>
      <c r="L872" s="797"/>
      <c r="M872" s="797"/>
      <c r="N872" s="797"/>
      <c r="O872" s="797"/>
      <c r="P872" s="797"/>
      <c r="Q872" s="797"/>
      <c r="R872" s="661"/>
      <c r="S872" s="661"/>
      <c r="T872" s="661"/>
      <c r="U872" s="664"/>
      <c r="V872" s="665"/>
      <c r="W872" s="661"/>
      <c r="X872" s="661"/>
      <c r="Y872" s="661"/>
      <c r="Z872" s="661"/>
    </row>
    <row r="873">
      <c r="A873" s="661"/>
      <c r="B873" s="663"/>
      <c r="C873" s="795"/>
      <c r="D873" s="796"/>
      <c r="E873" s="680"/>
      <c r="F873" s="797"/>
      <c r="G873" s="797"/>
      <c r="H873" s="797"/>
      <c r="I873" s="797"/>
      <c r="J873" s="797"/>
      <c r="K873" s="797"/>
      <c r="L873" s="797"/>
      <c r="M873" s="797"/>
      <c r="N873" s="797"/>
      <c r="O873" s="797"/>
      <c r="P873" s="797"/>
      <c r="Q873" s="797"/>
      <c r="R873" s="661"/>
      <c r="S873" s="661"/>
      <c r="T873" s="661"/>
      <c r="U873" s="664"/>
      <c r="V873" s="665"/>
      <c r="W873" s="661"/>
      <c r="X873" s="661"/>
      <c r="Y873" s="661"/>
      <c r="Z873" s="661"/>
    </row>
    <row r="874">
      <c r="A874" s="661"/>
      <c r="B874" s="663"/>
      <c r="C874" s="795"/>
      <c r="D874" s="796"/>
      <c r="E874" s="680"/>
      <c r="F874" s="797"/>
      <c r="G874" s="797"/>
      <c r="H874" s="797"/>
      <c r="I874" s="797"/>
      <c r="J874" s="797"/>
      <c r="K874" s="797"/>
      <c r="L874" s="797"/>
      <c r="M874" s="797"/>
      <c r="N874" s="797"/>
      <c r="O874" s="797"/>
      <c r="P874" s="797"/>
      <c r="Q874" s="797"/>
      <c r="R874" s="661"/>
      <c r="S874" s="661"/>
      <c r="T874" s="661"/>
      <c r="U874" s="664"/>
      <c r="V874" s="665"/>
      <c r="W874" s="661"/>
      <c r="X874" s="661"/>
      <c r="Y874" s="661"/>
      <c r="Z874" s="661"/>
    </row>
    <row r="875">
      <c r="A875" s="661"/>
      <c r="B875" s="663"/>
      <c r="C875" s="795"/>
      <c r="D875" s="796"/>
      <c r="E875" s="680"/>
      <c r="F875" s="797"/>
      <c r="G875" s="797"/>
      <c r="H875" s="797"/>
      <c r="I875" s="797"/>
      <c r="J875" s="797"/>
      <c r="K875" s="797"/>
      <c r="L875" s="797"/>
      <c r="M875" s="797"/>
      <c r="N875" s="797"/>
      <c r="O875" s="797"/>
      <c r="P875" s="797"/>
      <c r="Q875" s="797"/>
      <c r="R875" s="661"/>
      <c r="S875" s="661"/>
      <c r="T875" s="661"/>
      <c r="U875" s="664"/>
      <c r="V875" s="665"/>
      <c r="W875" s="661"/>
      <c r="X875" s="661"/>
      <c r="Y875" s="661"/>
      <c r="Z875" s="661"/>
    </row>
    <row r="876">
      <c r="A876" s="661"/>
      <c r="B876" s="663"/>
      <c r="C876" s="795"/>
      <c r="D876" s="796"/>
      <c r="E876" s="680"/>
      <c r="F876" s="797"/>
      <c r="G876" s="797"/>
      <c r="H876" s="797"/>
      <c r="I876" s="797"/>
      <c r="J876" s="797"/>
      <c r="K876" s="797"/>
      <c r="L876" s="797"/>
      <c r="M876" s="797"/>
      <c r="N876" s="797"/>
      <c r="O876" s="797"/>
      <c r="P876" s="797"/>
      <c r="Q876" s="797"/>
      <c r="R876" s="661"/>
      <c r="S876" s="661"/>
      <c r="T876" s="661"/>
      <c r="U876" s="664"/>
      <c r="V876" s="665"/>
      <c r="W876" s="661"/>
      <c r="X876" s="661"/>
      <c r="Y876" s="661"/>
      <c r="Z876" s="661"/>
    </row>
    <row r="877">
      <c r="A877" s="661"/>
      <c r="B877" s="663"/>
      <c r="C877" s="795"/>
      <c r="D877" s="796"/>
      <c r="E877" s="680"/>
      <c r="F877" s="797"/>
      <c r="G877" s="797"/>
      <c r="H877" s="797"/>
      <c r="I877" s="797"/>
      <c r="J877" s="797"/>
      <c r="K877" s="797"/>
      <c r="L877" s="797"/>
      <c r="M877" s="797"/>
      <c r="N877" s="797"/>
      <c r="O877" s="797"/>
      <c r="P877" s="797"/>
      <c r="Q877" s="797"/>
      <c r="R877" s="661"/>
      <c r="S877" s="661"/>
      <c r="T877" s="661"/>
      <c r="U877" s="664"/>
      <c r="V877" s="665"/>
      <c r="W877" s="661"/>
      <c r="X877" s="661"/>
      <c r="Y877" s="661"/>
      <c r="Z877" s="661"/>
    </row>
    <row r="878">
      <c r="A878" s="661"/>
      <c r="B878" s="663"/>
      <c r="C878" s="795"/>
      <c r="D878" s="796"/>
      <c r="E878" s="680"/>
      <c r="F878" s="797"/>
      <c r="G878" s="797"/>
      <c r="H878" s="797"/>
      <c r="I878" s="797"/>
      <c r="J878" s="797"/>
      <c r="K878" s="797"/>
      <c r="L878" s="797"/>
      <c r="M878" s="797"/>
      <c r="N878" s="797"/>
      <c r="O878" s="797"/>
      <c r="P878" s="797"/>
      <c r="Q878" s="797"/>
      <c r="R878" s="661"/>
      <c r="S878" s="661"/>
      <c r="T878" s="661"/>
      <c r="U878" s="664"/>
      <c r="V878" s="665"/>
      <c r="W878" s="661"/>
      <c r="X878" s="661"/>
      <c r="Y878" s="661"/>
      <c r="Z878" s="661"/>
    </row>
    <row r="879">
      <c r="A879" s="661"/>
      <c r="B879" s="663"/>
      <c r="C879" s="795"/>
      <c r="D879" s="796"/>
      <c r="E879" s="680"/>
      <c r="F879" s="797"/>
      <c r="G879" s="797"/>
      <c r="H879" s="797"/>
      <c r="I879" s="797"/>
      <c r="J879" s="797"/>
      <c r="K879" s="797"/>
      <c r="L879" s="797"/>
      <c r="M879" s="797"/>
      <c r="N879" s="797"/>
      <c r="O879" s="797"/>
      <c r="P879" s="797"/>
      <c r="Q879" s="797"/>
      <c r="R879" s="661"/>
      <c r="S879" s="661"/>
      <c r="T879" s="661"/>
      <c r="U879" s="664"/>
      <c r="V879" s="665"/>
      <c r="W879" s="661"/>
      <c r="X879" s="661"/>
      <c r="Y879" s="661"/>
      <c r="Z879" s="661"/>
    </row>
    <row r="880">
      <c r="A880" s="661"/>
      <c r="B880" s="663"/>
      <c r="C880" s="795"/>
      <c r="D880" s="796"/>
      <c r="E880" s="680"/>
      <c r="F880" s="797"/>
      <c r="G880" s="797"/>
      <c r="H880" s="797"/>
      <c r="I880" s="797"/>
      <c r="J880" s="797"/>
      <c r="K880" s="797"/>
      <c r="L880" s="797"/>
      <c r="M880" s="797"/>
      <c r="N880" s="797"/>
      <c r="O880" s="797"/>
      <c r="P880" s="797"/>
      <c r="Q880" s="797"/>
      <c r="R880" s="661"/>
      <c r="S880" s="661"/>
      <c r="T880" s="661"/>
      <c r="U880" s="664"/>
      <c r="V880" s="665"/>
      <c r="W880" s="661"/>
      <c r="X880" s="661"/>
      <c r="Y880" s="661"/>
      <c r="Z880" s="661"/>
    </row>
    <row r="881">
      <c r="A881" s="661"/>
      <c r="B881" s="663"/>
      <c r="C881" s="795"/>
      <c r="D881" s="796"/>
      <c r="E881" s="680"/>
      <c r="F881" s="797"/>
      <c r="G881" s="797"/>
      <c r="H881" s="797"/>
      <c r="I881" s="797"/>
      <c r="J881" s="797"/>
      <c r="K881" s="797"/>
      <c r="L881" s="797"/>
      <c r="M881" s="797"/>
      <c r="N881" s="797"/>
      <c r="O881" s="797"/>
      <c r="P881" s="797"/>
      <c r="Q881" s="797"/>
      <c r="R881" s="661"/>
      <c r="S881" s="661"/>
      <c r="T881" s="661"/>
      <c r="U881" s="664"/>
      <c r="V881" s="665"/>
      <c r="W881" s="661"/>
      <c r="X881" s="661"/>
      <c r="Y881" s="661"/>
      <c r="Z881" s="661"/>
    </row>
    <row r="882">
      <c r="A882" s="661"/>
      <c r="B882" s="663"/>
      <c r="C882" s="795"/>
      <c r="D882" s="796"/>
      <c r="E882" s="680"/>
      <c r="F882" s="797"/>
      <c r="G882" s="797"/>
      <c r="H882" s="797"/>
      <c r="I882" s="797"/>
      <c r="J882" s="797"/>
      <c r="K882" s="797"/>
      <c r="L882" s="797"/>
      <c r="M882" s="797"/>
      <c r="N882" s="797"/>
      <c r="O882" s="797"/>
      <c r="P882" s="797"/>
      <c r="Q882" s="797"/>
      <c r="R882" s="661"/>
      <c r="S882" s="661"/>
      <c r="T882" s="661"/>
      <c r="U882" s="664"/>
      <c r="V882" s="665"/>
      <c r="W882" s="661"/>
      <c r="X882" s="661"/>
      <c r="Y882" s="661"/>
      <c r="Z882" s="661"/>
    </row>
    <row r="883">
      <c r="A883" s="661"/>
      <c r="B883" s="663"/>
      <c r="C883" s="795"/>
      <c r="D883" s="796"/>
      <c r="E883" s="680"/>
      <c r="F883" s="797"/>
      <c r="G883" s="797"/>
      <c r="H883" s="797"/>
      <c r="I883" s="797"/>
      <c r="J883" s="797"/>
      <c r="K883" s="797"/>
      <c r="L883" s="797"/>
      <c r="M883" s="797"/>
      <c r="N883" s="797"/>
      <c r="O883" s="797"/>
      <c r="P883" s="797"/>
      <c r="Q883" s="797"/>
      <c r="R883" s="661"/>
      <c r="S883" s="661"/>
      <c r="T883" s="661"/>
      <c r="U883" s="664"/>
      <c r="V883" s="665"/>
      <c r="W883" s="661"/>
      <c r="X883" s="661"/>
      <c r="Y883" s="661"/>
      <c r="Z883" s="661"/>
    </row>
    <row r="884">
      <c r="A884" s="661"/>
      <c r="B884" s="663"/>
      <c r="C884" s="795"/>
      <c r="D884" s="796"/>
      <c r="E884" s="680"/>
      <c r="F884" s="797"/>
      <c r="G884" s="797"/>
      <c r="H884" s="797"/>
      <c r="I884" s="797"/>
      <c r="J884" s="797"/>
      <c r="K884" s="797"/>
      <c r="L884" s="797"/>
      <c r="M884" s="797"/>
      <c r="N884" s="797"/>
      <c r="O884" s="797"/>
      <c r="P884" s="797"/>
      <c r="Q884" s="797"/>
      <c r="R884" s="661"/>
      <c r="S884" s="661"/>
      <c r="T884" s="661"/>
      <c r="U884" s="664"/>
      <c r="V884" s="665"/>
      <c r="W884" s="661"/>
      <c r="X884" s="661"/>
      <c r="Y884" s="661"/>
      <c r="Z884" s="661"/>
    </row>
    <row r="885">
      <c r="A885" s="661"/>
      <c r="B885" s="663"/>
      <c r="C885" s="795"/>
      <c r="D885" s="796"/>
      <c r="E885" s="680"/>
      <c r="F885" s="797"/>
      <c r="G885" s="797"/>
      <c r="H885" s="797"/>
      <c r="I885" s="797"/>
      <c r="J885" s="797"/>
      <c r="K885" s="797"/>
      <c r="L885" s="797"/>
      <c r="M885" s="797"/>
      <c r="N885" s="797"/>
      <c r="O885" s="797"/>
      <c r="P885" s="797"/>
      <c r="Q885" s="797"/>
      <c r="R885" s="661"/>
      <c r="S885" s="661"/>
      <c r="T885" s="661"/>
      <c r="U885" s="664"/>
      <c r="V885" s="665"/>
      <c r="W885" s="661"/>
      <c r="X885" s="661"/>
      <c r="Y885" s="661"/>
      <c r="Z885" s="661"/>
    </row>
    <row r="886">
      <c r="A886" s="661"/>
      <c r="B886" s="663"/>
      <c r="C886" s="795"/>
      <c r="D886" s="796"/>
      <c r="E886" s="680"/>
      <c r="F886" s="797"/>
      <c r="G886" s="797"/>
      <c r="H886" s="797"/>
      <c r="I886" s="797"/>
      <c r="J886" s="797"/>
      <c r="K886" s="797"/>
      <c r="L886" s="797"/>
      <c r="M886" s="797"/>
      <c r="N886" s="797"/>
      <c r="O886" s="797"/>
      <c r="P886" s="797"/>
      <c r="Q886" s="797"/>
      <c r="R886" s="661"/>
      <c r="S886" s="661"/>
      <c r="T886" s="661"/>
      <c r="U886" s="664"/>
      <c r="V886" s="665"/>
      <c r="W886" s="661"/>
      <c r="X886" s="661"/>
      <c r="Y886" s="661"/>
      <c r="Z886" s="661"/>
    </row>
    <row r="887">
      <c r="A887" s="661"/>
      <c r="B887" s="663"/>
      <c r="C887" s="795"/>
      <c r="D887" s="796"/>
      <c r="E887" s="680"/>
      <c r="F887" s="797"/>
      <c r="G887" s="797"/>
      <c r="H887" s="797"/>
      <c r="I887" s="797"/>
      <c r="J887" s="797"/>
      <c r="K887" s="797"/>
      <c r="L887" s="797"/>
      <c r="M887" s="797"/>
      <c r="N887" s="797"/>
      <c r="O887" s="797"/>
      <c r="P887" s="797"/>
      <c r="Q887" s="797"/>
      <c r="R887" s="661"/>
      <c r="S887" s="661"/>
      <c r="T887" s="661"/>
      <c r="U887" s="664"/>
      <c r="V887" s="665"/>
      <c r="W887" s="661"/>
      <c r="X887" s="661"/>
      <c r="Y887" s="661"/>
      <c r="Z887" s="661"/>
    </row>
    <row r="888">
      <c r="A888" s="661"/>
      <c r="B888" s="663"/>
      <c r="C888" s="795"/>
      <c r="D888" s="796"/>
      <c r="E888" s="680"/>
      <c r="F888" s="797"/>
      <c r="G888" s="797"/>
      <c r="H888" s="797"/>
      <c r="I888" s="797"/>
      <c r="J888" s="797"/>
      <c r="K888" s="797"/>
      <c r="L888" s="797"/>
      <c r="M888" s="797"/>
      <c r="N888" s="797"/>
      <c r="O888" s="797"/>
      <c r="P888" s="797"/>
      <c r="Q888" s="797"/>
      <c r="R888" s="661"/>
      <c r="S888" s="661"/>
      <c r="T888" s="661"/>
      <c r="U888" s="664"/>
      <c r="V888" s="665"/>
      <c r="W888" s="661"/>
      <c r="X888" s="661"/>
      <c r="Y888" s="661"/>
      <c r="Z888" s="661"/>
    </row>
    <row r="889">
      <c r="A889" s="661"/>
      <c r="B889" s="663"/>
      <c r="C889" s="795"/>
      <c r="D889" s="796"/>
      <c r="E889" s="680"/>
      <c r="F889" s="797"/>
      <c r="G889" s="797"/>
      <c r="H889" s="797"/>
      <c r="I889" s="797"/>
      <c r="J889" s="797"/>
      <c r="K889" s="797"/>
      <c r="L889" s="797"/>
      <c r="M889" s="797"/>
      <c r="N889" s="797"/>
      <c r="O889" s="797"/>
      <c r="P889" s="797"/>
      <c r="Q889" s="797"/>
      <c r="R889" s="661"/>
      <c r="S889" s="661"/>
      <c r="T889" s="661"/>
      <c r="U889" s="664"/>
      <c r="V889" s="665"/>
      <c r="W889" s="661"/>
      <c r="X889" s="661"/>
      <c r="Y889" s="661"/>
      <c r="Z889" s="661"/>
    </row>
    <row r="890">
      <c r="A890" s="661"/>
      <c r="B890" s="663"/>
      <c r="C890" s="795"/>
      <c r="D890" s="796"/>
      <c r="E890" s="680"/>
      <c r="F890" s="797"/>
      <c r="G890" s="797"/>
      <c r="H890" s="797"/>
      <c r="I890" s="797"/>
      <c r="J890" s="797"/>
      <c r="K890" s="797"/>
      <c r="L890" s="797"/>
      <c r="M890" s="797"/>
      <c r="N890" s="797"/>
      <c r="O890" s="797"/>
      <c r="P890" s="797"/>
      <c r="Q890" s="797"/>
      <c r="R890" s="661"/>
      <c r="S890" s="661"/>
      <c r="T890" s="661"/>
      <c r="U890" s="664"/>
      <c r="V890" s="665"/>
      <c r="W890" s="661"/>
      <c r="X890" s="661"/>
      <c r="Y890" s="661"/>
      <c r="Z890" s="661"/>
    </row>
    <row r="891">
      <c r="A891" s="661"/>
      <c r="B891" s="663"/>
      <c r="C891" s="795"/>
      <c r="D891" s="796"/>
      <c r="E891" s="680"/>
      <c r="F891" s="797"/>
      <c r="G891" s="797"/>
      <c r="H891" s="797"/>
      <c r="I891" s="797"/>
      <c r="J891" s="797"/>
      <c r="K891" s="797"/>
      <c r="L891" s="797"/>
      <c r="M891" s="797"/>
      <c r="N891" s="797"/>
      <c r="O891" s="797"/>
      <c r="P891" s="797"/>
      <c r="Q891" s="797"/>
      <c r="R891" s="661"/>
      <c r="S891" s="661"/>
      <c r="T891" s="661"/>
      <c r="U891" s="664"/>
      <c r="V891" s="665"/>
      <c r="W891" s="661"/>
      <c r="X891" s="661"/>
      <c r="Y891" s="661"/>
      <c r="Z891" s="661"/>
    </row>
    <row r="892">
      <c r="A892" s="661"/>
      <c r="B892" s="663"/>
      <c r="C892" s="795"/>
      <c r="D892" s="796"/>
      <c r="E892" s="680"/>
      <c r="F892" s="797"/>
      <c r="G892" s="797"/>
      <c r="H892" s="797"/>
      <c r="I892" s="797"/>
      <c r="J892" s="797"/>
      <c r="K892" s="797"/>
      <c r="L892" s="797"/>
      <c r="M892" s="797"/>
      <c r="N892" s="797"/>
      <c r="O892" s="797"/>
      <c r="P892" s="797"/>
      <c r="Q892" s="797"/>
      <c r="R892" s="661"/>
      <c r="S892" s="661"/>
      <c r="T892" s="661"/>
      <c r="U892" s="664"/>
      <c r="V892" s="665"/>
      <c r="W892" s="661"/>
      <c r="X892" s="661"/>
      <c r="Y892" s="661"/>
      <c r="Z892" s="661"/>
    </row>
    <row r="893">
      <c r="A893" s="661"/>
      <c r="B893" s="663"/>
      <c r="C893" s="795"/>
      <c r="D893" s="796"/>
      <c r="E893" s="680"/>
      <c r="F893" s="797"/>
      <c r="G893" s="797"/>
      <c r="H893" s="797"/>
      <c r="I893" s="797"/>
      <c r="J893" s="797"/>
      <c r="K893" s="797"/>
      <c r="L893" s="797"/>
      <c r="M893" s="797"/>
      <c r="N893" s="797"/>
      <c r="O893" s="797"/>
      <c r="P893" s="797"/>
      <c r="Q893" s="797"/>
      <c r="R893" s="661"/>
      <c r="S893" s="661"/>
      <c r="T893" s="661"/>
      <c r="U893" s="664"/>
      <c r="V893" s="665"/>
      <c r="W893" s="661"/>
      <c r="X893" s="661"/>
      <c r="Y893" s="661"/>
      <c r="Z893" s="661"/>
    </row>
    <row r="894">
      <c r="A894" s="661"/>
      <c r="B894" s="663"/>
      <c r="C894" s="795"/>
      <c r="D894" s="796"/>
      <c r="E894" s="680"/>
      <c r="F894" s="797"/>
      <c r="G894" s="797"/>
      <c r="H894" s="797"/>
      <c r="I894" s="797"/>
      <c r="J894" s="797"/>
      <c r="K894" s="797"/>
      <c r="L894" s="797"/>
      <c r="M894" s="797"/>
      <c r="N894" s="797"/>
      <c r="O894" s="797"/>
      <c r="P894" s="797"/>
      <c r="Q894" s="797"/>
      <c r="R894" s="661"/>
      <c r="S894" s="661"/>
      <c r="T894" s="661"/>
      <c r="U894" s="664"/>
      <c r="V894" s="665"/>
      <c r="W894" s="661"/>
      <c r="X894" s="661"/>
      <c r="Y894" s="661"/>
      <c r="Z894" s="661"/>
    </row>
    <row r="895">
      <c r="A895" s="661"/>
      <c r="B895" s="663"/>
      <c r="C895" s="795"/>
      <c r="D895" s="796"/>
      <c r="E895" s="680"/>
      <c r="F895" s="797"/>
      <c r="G895" s="797"/>
      <c r="H895" s="797"/>
      <c r="I895" s="797"/>
      <c r="J895" s="797"/>
      <c r="K895" s="797"/>
      <c r="L895" s="797"/>
      <c r="M895" s="797"/>
      <c r="N895" s="797"/>
      <c r="O895" s="797"/>
      <c r="P895" s="797"/>
      <c r="Q895" s="797"/>
      <c r="R895" s="661"/>
      <c r="S895" s="661"/>
      <c r="T895" s="661"/>
      <c r="U895" s="664"/>
      <c r="V895" s="665"/>
      <c r="W895" s="661"/>
      <c r="X895" s="661"/>
      <c r="Y895" s="661"/>
      <c r="Z895" s="661"/>
    </row>
    <row r="896">
      <c r="A896" s="661"/>
      <c r="B896" s="663"/>
      <c r="C896" s="795"/>
      <c r="D896" s="796"/>
      <c r="E896" s="680"/>
      <c r="F896" s="797"/>
      <c r="G896" s="797"/>
      <c r="H896" s="797"/>
      <c r="I896" s="797"/>
      <c r="J896" s="797"/>
      <c r="K896" s="797"/>
      <c r="L896" s="797"/>
      <c r="M896" s="797"/>
      <c r="N896" s="797"/>
      <c r="O896" s="797"/>
      <c r="P896" s="797"/>
      <c r="Q896" s="797"/>
      <c r="R896" s="661"/>
      <c r="S896" s="661"/>
      <c r="T896" s="661"/>
      <c r="U896" s="664"/>
      <c r="V896" s="665"/>
      <c r="W896" s="661"/>
      <c r="X896" s="661"/>
      <c r="Y896" s="661"/>
      <c r="Z896" s="661"/>
    </row>
    <row r="897">
      <c r="A897" s="661"/>
      <c r="B897" s="663"/>
      <c r="C897" s="795"/>
      <c r="D897" s="796"/>
      <c r="E897" s="680"/>
      <c r="F897" s="797"/>
      <c r="G897" s="797"/>
      <c r="H897" s="797"/>
      <c r="I897" s="797"/>
      <c r="J897" s="797"/>
      <c r="K897" s="797"/>
      <c r="L897" s="797"/>
      <c r="M897" s="797"/>
      <c r="N897" s="797"/>
      <c r="O897" s="797"/>
      <c r="P897" s="797"/>
      <c r="Q897" s="797"/>
      <c r="R897" s="661"/>
      <c r="S897" s="661"/>
      <c r="T897" s="661"/>
      <c r="U897" s="664"/>
      <c r="V897" s="665"/>
      <c r="W897" s="661"/>
      <c r="X897" s="661"/>
      <c r="Y897" s="661"/>
      <c r="Z897" s="661"/>
    </row>
    <row r="898">
      <c r="A898" s="661"/>
      <c r="B898" s="663"/>
      <c r="C898" s="795"/>
      <c r="D898" s="796"/>
      <c r="E898" s="680"/>
      <c r="F898" s="797"/>
      <c r="G898" s="797"/>
      <c r="H898" s="797"/>
      <c r="I898" s="797"/>
      <c r="J898" s="797"/>
      <c r="K898" s="797"/>
      <c r="L898" s="797"/>
      <c r="M898" s="797"/>
      <c r="N898" s="797"/>
      <c r="O898" s="797"/>
      <c r="P898" s="797"/>
      <c r="Q898" s="797"/>
      <c r="R898" s="661"/>
      <c r="S898" s="661"/>
      <c r="T898" s="661"/>
      <c r="U898" s="664"/>
      <c r="V898" s="665"/>
      <c r="W898" s="661"/>
      <c r="X898" s="661"/>
      <c r="Y898" s="661"/>
      <c r="Z898" s="661"/>
    </row>
    <row r="899">
      <c r="A899" s="661"/>
      <c r="B899" s="663"/>
      <c r="C899" s="795"/>
      <c r="D899" s="796"/>
      <c r="E899" s="680"/>
      <c r="F899" s="797"/>
      <c r="G899" s="797"/>
      <c r="H899" s="797"/>
      <c r="I899" s="797"/>
      <c r="J899" s="797"/>
      <c r="K899" s="797"/>
      <c r="L899" s="797"/>
      <c r="M899" s="797"/>
      <c r="N899" s="797"/>
      <c r="O899" s="797"/>
      <c r="P899" s="797"/>
      <c r="Q899" s="797"/>
      <c r="R899" s="661"/>
      <c r="S899" s="661"/>
      <c r="T899" s="661"/>
      <c r="U899" s="664"/>
      <c r="V899" s="665"/>
      <c r="W899" s="661"/>
      <c r="X899" s="661"/>
      <c r="Y899" s="661"/>
      <c r="Z899" s="661"/>
    </row>
    <row r="900">
      <c r="A900" s="661"/>
      <c r="B900" s="663"/>
      <c r="C900" s="795"/>
      <c r="D900" s="796"/>
      <c r="E900" s="680"/>
      <c r="F900" s="797"/>
      <c r="G900" s="797"/>
      <c r="H900" s="797"/>
      <c r="I900" s="797"/>
      <c r="J900" s="797"/>
      <c r="K900" s="797"/>
      <c r="L900" s="797"/>
      <c r="M900" s="797"/>
      <c r="N900" s="797"/>
      <c r="O900" s="797"/>
      <c r="P900" s="797"/>
      <c r="Q900" s="797"/>
      <c r="R900" s="661"/>
      <c r="S900" s="661"/>
      <c r="T900" s="661"/>
      <c r="U900" s="664"/>
      <c r="V900" s="665"/>
      <c r="W900" s="661"/>
      <c r="X900" s="661"/>
      <c r="Y900" s="661"/>
      <c r="Z900" s="661"/>
    </row>
    <row r="901">
      <c r="A901" s="661"/>
      <c r="B901" s="663"/>
      <c r="C901" s="795"/>
      <c r="D901" s="796"/>
      <c r="E901" s="680"/>
      <c r="F901" s="797"/>
      <c r="G901" s="797"/>
      <c r="H901" s="797"/>
      <c r="I901" s="797"/>
      <c r="J901" s="797"/>
      <c r="K901" s="797"/>
      <c r="L901" s="797"/>
      <c r="M901" s="797"/>
      <c r="N901" s="797"/>
      <c r="O901" s="797"/>
      <c r="P901" s="797"/>
      <c r="Q901" s="797"/>
      <c r="R901" s="661"/>
      <c r="S901" s="661"/>
      <c r="T901" s="661"/>
      <c r="U901" s="664"/>
      <c r="V901" s="665"/>
      <c r="W901" s="661"/>
      <c r="X901" s="661"/>
      <c r="Y901" s="661"/>
      <c r="Z901" s="661"/>
    </row>
    <row r="902">
      <c r="A902" s="661"/>
      <c r="B902" s="663"/>
      <c r="C902" s="795"/>
      <c r="D902" s="796"/>
      <c r="E902" s="680"/>
      <c r="F902" s="797"/>
      <c r="G902" s="797"/>
      <c r="H902" s="797"/>
      <c r="I902" s="797"/>
      <c r="J902" s="797"/>
      <c r="K902" s="797"/>
      <c r="L902" s="797"/>
      <c r="M902" s="797"/>
      <c r="N902" s="797"/>
      <c r="O902" s="797"/>
      <c r="P902" s="797"/>
      <c r="Q902" s="797"/>
      <c r="R902" s="661"/>
      <c r="S902" s="661"/>
      <c r="T902" s="661"/>
      <c r="U902" s="664"/>
      <c r="V902" s="665"/>
      <c r="W902" s="661"/>
      <c r="X902" s="661"/>
      <c r="Y902" s="661"/>
      <c r="Z902" s="661"/>
    </row>
    <row r="903">
      <c r="A903" s="661"/>
      <c r="B903" s="663"/>
      <c r="C903" s="795"/>
      <c r="D903" s="796"/>
      <c r="E903" s="680"/>
      <c r="F903" s="797"/>
      <c r="G903" s="797"/>
      <c r="H903" s="797"/>
      <c r="I903" s="797"/>
      <c r="J903" s="797"/>
      <c r="K903" s="797"/>
      <c r="L903" s="797"/>
      <c r="M903" s="797"/>
      <c r="N903" s="797"/>
      <c r="O903" s="797"/>
      <c r="P903" s="797"/>
      <c r="Q903" s="797"/>
      <c r="R903" s="661"/>
      <c r="S903" s="661"/>
      <c r="T903" s="661"/>
      <c r="U903" s="664"/>
      <c r="V903" s="665"/>
      <c r="W903" s="661"/>
      <c r="X903" s="661"/>
      <c r="Y903" s="661"/>
      <c r="Z903" s="661"/>
    </row>
    <row r="904">
      <c r="A904" s="661"/>
      <c r="B904" s="663"/>
      <c r="C904" s="795"/>
      <c r="D904" s="796"/>
      <c r="E904" s="680"/>
      <c r="F904" s="797"/>
      <c r="G904" s="797"/>
      <c r="H904" s="797"/>
      <c r="I904" s="797"/>
      <c r="J904" s="797"/>
      <c r="K904" s="797"/>
      <c r="L904" s="797"/>
      <c r="M904" s="797"/>
      <c r="N904" s="797"/>
      <c r="O904" s="797"/>
      <c r="P904" s="797"/>
      <c r="Q904" s="797"/>
      <c r="R904" s="661"/>
      <c r="S904" s="661"/>
      <c r="T904" s="661"/>
      <c r="U904" s="664"/>
      <c r="V904" s="665"/>
      <c r="W904" s="661"/>
      <c r="X904" s="661"/>
      <c r="Y904" s="661"/>
      <c r="Z904" s="661"/>
    </row>
    <row r="905">
      <c r="A905" s="661"/>
      <c r="B905" s="663"/>
      <c r="C905" s="795"/>
      <c r="D905" s="796"/>
      <c r="E905" s="680"/>
      <c r="F905" s="797"/>
      <c r="G905" s="797"/>
      <c r="H905" s="797"/>
      <c r="I905" s="797"/>
      <c r="J905" s="797"/>
      <c r="K905" s="797"/>
      <c r="L905" s="797"/>
      <c r="M905" s="797"/>
      <c r="N905" s="797"/>
      <c r="O905" s="797"/>
      <c r="P905" s="797"/>
      <c r="Q905" s="797"/>
      <c r="R905" s="661"/>
      <c r="S905" s="661"/>
      <c r="T905" s="661"/>
      <c r="U905" s="664"/>
      <c r="V905" s="665"/>
      <c r="W905" s="661"/>
      <c r="X905" s="661"/>
      <c r="Y905" s="661"/>
      <c r="Z905" s="661"/>
    </row>
    <row r="906">
      <c r="A906" s="661"/>
      <c r="B906" s="663"/>
      <c r="C906" s="795"/>
      <c r="D906" s="796"/>
      <c r="E906" s="680"/>
      <c r="F906" s="797"/>
      <c r="G906" s="797"/>
      <c r="H906" s="797"/>
      <c r="I906" s="797"/>
      <c r="J906" s="797"/>
      <c r="K906" s="797"/>
      <c r="L906" s="797"/>
      <c r="M906" s="797"/>
      <c r="N906" s="797"/>
      <c r="O906" s="797"/>
      <c r="P906" s="797"/>
      <c r="Q906" s="797"/>
      <c r="R906" s="661"/>
      <c r="S906" s="661"/>
      <c r="T906" s="661"/>
      <c r="U906" s="664"/>
      <c r="V906" s="665"/>
      <c r="W906" s="661"/>
      <c r="X906" s="661"/>
      <c r="Y906" s="661"/>
      <c r="Z906" s="661"/>
    </row>
    <row r="907">
      <c r="A907" s="661"/>
      <c r="B907" s="663"/>
      <c r="C907" s="795"/>
      <c r="D907" s="796"/>
      <c r="E907" s="680"/>
      <c r="F907" s="797"/>
      <c r="G907" s="797"/>
      <c r="H907" s="797"/>
      <c r="I907" s="797"/>
      <c r="J907" s="797"/>
      <c r="K907" s="797"/>
      <c r="L907" s="797"/>
      <c r="M907" s="797"/>
      <c r="N907" s="797"/>
      <c r="O907" s="797"/>
      <c r="P907" s="797"/>
      <c r="Q907" s="797"/>
      <c r="R907" s="661"/>
      <c r="S907" s="661"/>
      <c r="T907" s="661"/>
      <c r="U907" s="664"/>
      <c r="V907" s="665"/>
      <c r="W907" s="661"/>
      <c r="X907" s="661"/>
      <c r="Y907" s="661"/>
      <c r="Z907" s="661"/>
    </row>
    <row r="908">
      <c r="A908" s="661"/>
      <c r="B908" s="663"/>
      <c r="C908" s="795"/>
      <c r="D908" s="796"/>
      <c r="E908" s="680"/>
      <c r="F908" s="797"/>
      <c r="G908" s="797"/>
      <c r="H908" s="797"/>
      <c r="I908" s="797"/>
      <c r="J908" s="797"/>
      <c r="K908" s="797"/>
      <c r="L908" s="797"/>
      <c r="M908" s="797"/>
      <c r="N908" s="797"/>
      <c r="O908" s="797"/>
      <c r="P908" s="797"/>
      <c r="Q908" s="797"/>
      <c r="R908" s="661"/>
      <c r="S908" s="661"/>
      <c r="T908" s="661"/>
      <c r="U908" s="664"/>
      <c r="V908" s="665"/>
      <c r="W908" s="661"/>
      <c r="X908" s="661"/>
      <c r="Y908" s="661"/>
      <c r="Z908" s="661"/>
    </row>
    <row r="909">
      <c r="A909" s="661"/>
      <c r="B909" s="663"/>
      <c r="C909" s="795"/>
      <c r="D909" s="796"/>
      <c r="E909" s="680"/>
      <c r="F909" s="797"/>
      <c r="G909" s="797"/>
      <c r="H909" s="797"/>
      <c r="I909" s="797"/>
      <c r="J909" s="797"/>
      <c r="K909" s="797"/>
      <c r="L909" s="797"/>
      <c r="M909" s="797"/>
      <c r="N909" s="797"/>
      <c r="O909" s="797"/>
      <c r="P909" s="797"/>
      <c r="Q909" s="797"/>
      <c r="R909" s="661"/>
      <c r="S909" s="661"/>
      <c r="T909" s="661"/>
      <c r="U909" s="664"/>
      <c r="V909" s="665"/>
      <c r="W909" s="661"/>
      <c r="X909" s="661"/>
      <c r="Y909" s="661"/>
      <c r="Z909" s="661"/>
    </row>
    <row r="910">
      <c r="A910" s="661"/>
      <c r="B910" s="663"/>
      <c r="C910" s="795"/>
      <c r="D910" s="796"/>
      <c r="E910" s="680"/>
      <c r="F910" s="797"/>
      <c r="G910" s="797"/>
      <c r="H910" s="797"/>
      <c r="I910" s="797"/>
      <c r="J910" s="797"/>
      <c r="K910" s="797"/>
      <c r="L910" s="797"/>
      <c r="M910" s="797"/>
      <c r="N910" s="797"/>
      <c r="O910" s="797"/>
      <c r="P910" s="797"/>
      <c r="Q910" s="797"/>
      <c r="R910" s="661"/>
      <c r="S910" s="661"/>
      <c r="T910" s="661"/>
      <c r="U910" s="664"/>
      <c r="V910" s="665"/>
      <c r="W910" s="661"/>
      <c r="X910" s="661"/>
      <c r="Y910" s="661"/>
      <c r="Z910" s="661"/>
    </row>
    <row r="911">
      <c r="A911" s="661"/>
      <c r="B911" s="663"/>
      <c r="C911" s="795"/>
      <c r="D911" s="796"/>
      <c r="E911" s="680"/>
      <c r="F911" s="797"/>
      <c r="G911" s="797"/>
      <c r="H911" s="797"/>
      <c r="I911" s="797"/>
      <c r="J911" s="797"/>
      <c r="K911" s="797"/>
      <c r="L911" s="797"/>
      <c r="M911" s="797"/>
      <c r="N911" s="797"/>
      <c r="O911" s="797"/>
      <c r="P911" s="797"/>
      <c r="Q911" s="797"/>
      <c r="R911" s="661"/>
      <c r="S911" s="661"/>
      <c r="T911" s="661"/>
      <c r="U911" s="664"/>
      <c r="V911" s="665"/>
      <c r="W911" s="661"/>
      <c r="X911" s="661"/>
      <c r="Y911" s="661"/>
      <c r="Z911" s="661"/>
    </row>
    <row r="912">
      <c r="A912" s="661"/>
      <c r="B912" s="663"/>
      <c r="C912" s="795"/>
      <c r="D912" s="796"/>
      <c r="E912" s="680"/>
      <c r="F912" s="797"/>
      <c r="G912" s="797"/>
      <c r="H912" s="797"/>
      <c r="I912" s="797"/>
      <c r="J912" s="797"/>
      <c r="K912" s="797"/>
      <c r="L912" s="797"/>
      <c r="M912" s="797"/>
      <c r="N912" s="797"/>
      <c r="O912" s="797"/>
      <c r="P912" s="797"/>
      <c r="Q912" s="797"/>
      <c r="R912" s="661"/>
      <c r="S912" s="661"/>
      <c r="T912" s="661"/>
      <c r="U912" s="664"/>
      <c r="V912" s="665"/>
      <c r="W912" s="661"/>
      <c r="X912" s="661"/>
      <c r="Y912" s="661"/>
      <c r="Z912" s="661"/>
    </row>
    <row r="913">
      <c r="A913" s="661"/>
      <c r="B913" s="663"/>
      <c r="C913" s="795"/>
      <c r="D913" s="796"/>
      <c r="E913" s="680"/>
      <c r="F913" s="797"/>
      <c r="G913" s="797"/>
      <c r="H913" s="797"/>
      <c r="I913" s="797"/>
      <c r="J913" s="797"/>
      <c r="K913" s="797"/>
      <c r="L913" s="797"/>
      <c r="M913" s="797"/>
      <c r="N913" s="797"/>
      <c r="O913" s="797"/>
      <c r="P913" s="797"/>
      <c r="Q913" s="797"/>
      <c r="R913" s="661"/>
      <c r="S913" s="661"/>
      <c r="T913" s="661"/>
      <c r="U913" s="664"/>
      <c r="V913" s="665"/>
      <c r="W913" s="661"/>
      <c r="X913" s="661"/>
      <c r="Y913" s="661"/>
      <c r="Z913" s="661"/>
    </row>
    <row r="914">
      <c r="A914" s="661"/>
      <c r="B914" s="663"/>
      <c r="C914" s="795"/>
      <c r="D914" s="796"/>
      <c r="E914" s="680"/>
      <c r="F914" s="797"/>
      <c r="G914" s="797"/>
      <c r="H914" s="797"/>
      <c r="I914" s="797"/>
      <c r="J914" s="797"/>
      <c r="K914" s="797"/>
      <c r="L914" s="797"/>
      <c r="M914" s="797"/>
      <c r="N914" s="797"/>
      <c r="O914" s="797"/>
      <c r="P914" s="797"/>
      <c r="Q914" s="797"/>
      <c r="R914" s="661"/>
      <c r="S914" s="661"/>
      <c r="T914" s="661"/>
      <c r="U914" s="664"/>
      <c r="V914" s="665"/>
      <c r="W914" s="661"/>
      <c r="X914" s="661"/>
      <c r="Y914" s="661"/>
      <c r="Z914" s="661"/>
    </row>
    <row r="915">
      <c r="A915" s="661"/>
      <c r="B915" s="663"/>
      <c r="C915" s="795"/>
      <c r="D915" s="796"/>
      <c r="E915" s="680"/>
      <c r="F915" s="797"/>
      <c r="G915" s="797"/>
      <c r="H915" s="797"/>
      <c r="I915" s="797"/>
      <c r="J915" s="797"/>
      <c r="K915" s="797"/>
      <c r="L915" s="797"/>
      <c r="M915" s="797"/>
      <c r="N915" s="797"/>
      <c r="O915" s="797"/>
      <c r="P915" s="797"/>
      <c r="Q915" s="797"/>
      <c r="R915" s="661"/>
      <c r="S915" s="661"/>
      <c r="T915" s="661"/>
      <c r="U915" s="664"/>
      <c r="V915" s="665"/>
      <c r="W915" s="661"/>
      <c r="X915" s="661"/>
      <c r="Y915" s="661"/>
      <c r="Z915" s="661"/>
    </row>
    <row r="916">
      <c r="A916" s="661"/>
      <c r="B916" s="663"/>
      <c r="C916" s="795"/>
      <c r="D916" s="796"/>
      <c r="E916" s="680"/>
      <c r="F916" s="797"/>
      <c r="G916" s="797"/>
      <c r="H916" s="797"/>
      <c r="I916" s="797"/>
      <c r="J916" s="797"/>
      <c r="K916" s="797"/>
      <c r="L916" s="797"/>
      <c r="M916" s="797"/>
      <c r="N916" s="797"/>
      <c r="O916" s="797"/>
      <c r="P916" s="797"/>
      <c r="Q916" s="797"/>
      <c r="R916" s="661"/>
      <c r="S916" s="661"/>
      <c r="T916" s="661"/>
      <c r="U916" s="664"/>
      <c r="V916" s="665"/>
      <c r="W916" s="661"/>
      <c r="X916" s="661"/>
      <c r="Y916" s="661"/>
      <c r="Z916" s="661"/>
    </row>
    <row r="917">
      <c r="A917" s="661"/>
      <c r="B917" s="663"/>
      <c r="C917" s="795"/>
      <c r="D917" s="796"/>
      <c r="E917" s="680"/>
      <c r="F917" s="797"/>
      <c r="G917" s="797"/>
      <c r="H917" s="797"/>
      <c r="I917" s="797"/>
      <c r="J917" s="797"/>
      <c r="K917" s="797"/>
      <c r="L917" s="797"/>
      <c r="M917" s="797"/>
      <c r="N917" s="797"/>
      <c r="O917" s="797"/>
      <c r="P917" s="797"/>
      <c r="Q917" s="797"/>
      <c r="R917" s="661"/>
      <c r="S917" s="661"/>
      <c r="T917" s="661"/>
      <c r="U917" s="664"/>
      <c r="V917" s="665"/>
      <c r="W917" s="661"/>
      <c r="X917" s="661"/>
      <c r="Y917" s="661"/>
      <c r="Z917" s="661"/>
    </row>
    <row r="918">
      <c r="A918" s="661"/>
      <c r="B918" s="663"/>
      <c r="C918" s="795"/>
      <c r="D918" s="796"/>
      <c r="E918" s="680"/>
      <c r="F918" s="797"/>
      <c r="G918" s="797"/>
      <c r="H918" s="797"/>
      <c r="I918" s="797"/>
      <c r="J918" s="797"/>
      <c r="K918" s="797"/>
      <c r="L918" s="797"/>
      <c r="M918" s="797"/>
      <c r="N918" s="797"/>
      <c r="O918" s="797"/>
      <c r="P918" s="797"/>
      <c r="Q918" s="797"/>
      <c r="R918" s="661"/>
      <c r="S918" s="661"/>
      <c r="T918" s="661"/>
      <c r="U918" s="664"/>
      <c r="V918" s="665"/>
      <c r="W918" s="661"/>
      <c r="X918" s="661"/>
      <c r="Y918" s="661"/>
      <c r="Z918" s="661"/>
    </row>
    <row r="919">
      <c r="A919" s="661"/>
      <c r="B919" s="663"/>
      <c r="C919" s="795"/>
      <c r="D919" s="796"/>
      <c r="E919" s="680"/>
      <c r="F919" s="797"/>
      <c r="G919" s="797"/>
      <c r="H919" s="797"/>
      <c r="I919" s="797"/>
      <c r="J919" s="797"/>
      <c r="K919" s="797"/>
      <c r="L919" s="797"/>
      <c r="M919" s="797"/>
      <c r="N919" s="797"/>
      <c r="O919" s="797"/>
      <c r="P919" s="797"/>
      <c r="Q919" s="797"/>
      <c r="R919" s="661"/>
      <c r="S919" s="661"/>
      <c r="T919" s="661"/>
      <c r="U919" s="664"/>
      <c r="V919" s="665"/>
      <c r="W919" s="661"/>
      <c r="X919" s="661"/>
      <c r="Y919" s="661"/>
      <c r="Z919" s="661"/>
    </row>
    <row r="920">
      <c r="A920" s="661"/>
      <c r="B920" s="663"/>
      <c r="C920" s="795"/>
      <c r="D920" s="796"/>
      <c r="E920" s="680"/>
      <c r="F920" s="797"/>
      <c r="G920" s="797"/>
      <c r="H920" s="797"/>
      <c r="I920" s="797"/>
      <c r="J920" s="797"/>
      <c r="K920" s="797"/>
      <c r="L920" s="797"/>
      <c r="M920" s="797"/>
      <c r="N920" s="797"/>
      <c r="O920" s="797"/>
      <c r="P920" s="797"/>
      <c r="Q920" s="797"/>
      <c r="R920" s="661"/>
      <c r="S920" s="661"/>
      <c r="T920" s="661"/>
      <c r="U920" s="664"/>
      <c r="V920" s="665"/>
      <c r="W920" s="661"/>
      <c r="X920" s="661"/>
      <c r="Y920" s="661"/>
      <c r="Z920" s="661"/>
    </row>
    <row r="921">
      <c r="A921" s="661"/>
      <c r="B921" s="663"/>
      <c r="C921" s="795"/>
      <c r="D921" s="796"/>
      <c r="E921" s="680"/>
      <c r="F921" s="797"/>
      <c r="G921" s="797"/>
      <c r="H921" s="797"/>
      <c r="I921" s="797"/>
      <c r="J921" s="797"/>
      <c r="K921" s="797"/>
      <c r="L921" s="797"/>
      <c r="M921" s="797"/>
      <c r="N921" s="797"/>
      <c r="O921" s="797"/>
      <c r="P921" s="797"/>
      <c r="Q921" s="797"/>
      <c r="R921" s="661"/>
      <c r="S921" s="661"/>
      <c r="T921" s="661"/>
      <c r="U921" s="664"/>
      <c r="V921" s="665"/>
      <c r="W921" s="661"/>
      <c r="X921" s="661"/>
      <c r="Y921" s="661"/>
      <c r="Z921" s="661"/>
    </row>
    <row r="922">
      <c r="A922" s="661"/>
      <c r="B922" s="663"/>
      <c r="C922" s="795"/>
      <c r="D922" s="796"/>
      <c r="E922" s="680"/>
      <c r="F922" s="797"/>
      <c r="G922" s="797"/>
      <c r="H922" s="797"/>
      <c r="I922" s="797"/>
      <c r="J922" s="797"/>
      <c r="K922" s="797"/>
      <c r="L922" s="797"/>
      <c r="M922" s="797"/>
      <c r="N922" s="797"/>
      <c r="O922" s="797"/>
      <c r="P922" s="797"/>
      <c r="Q922" s="797"/>
      <c r="R922" s="661"/>
      <c r="S922" s="661"/>
      <c r="T922" s="661"/>
      <c r="U922" s="664"/>
      <c r="V922" s="665"/>
      <c r="W922" s="661"/>
      <c r="X922" s="661"/>
      <c r="Y922" s="661"/>
      <c r="Z922" s="661"/>
    </row>
    <row r="923">
      <c r="A923" s="661"/>
      <c r="B923" s="663"/>
      <c r="C923" s="795"/>
      <c r="D923" s="796"/>
      <c r="E923" s="680"/>
      <c r="F923" s="797"/>
      <c r="G923" s="797"/>
      <c r="H923" s="797"/>
      <c r="I923" s="797"/>
      <c r="J923" s="797"/>
      <c r="K923" s="797"/>
      <c r="L923" s="797"/>
      <c r="M923" s="797"/>
      <c r="N923" s="797"/>
      <c r="O923" s="797"/>
      <c r="P923" s="797"/>
      <c r="Q923" s="797"/>
      <c r="R923" s="661"/>
      <c r="S923" s="661"/>
      <c r="T923" s="661"/>
      <c r="U923" s="664"/>
      <c r="V923" s="665"/>
      <c r="W923" s="661"/>
      <c r="X923" s="661"/>
      <c r="Y923" s="661"/>
      <c r="Z923" s="661"/>
    </row>
    <row r="924">
      <c r="A924" s="661"/>
      <c r="B924" s="663"/>
      <c r="C924" s="795"/>
      <c r="D924" s="796"/>
      <c r="E924" s="680"/>
      <c r="F924" s="797"/>
      <c r="G924" s="797"/>
      <c r="H924" s="797"/>
      <c r="I924" s="797"/>
      <c r="J924" s="797"/>
      <c r="K924" s="797"/>
      <c r="L924" s="797"/>
      <c r="M924" s="797"/>
      <c r="N924" s="797"/>
      <c r="O924" s="797"/>
      <c r="P924" s="797"/>
      <c r="Q924" s="797"/>
      <c r="R924" s="661"/>
      <c r="S924" s="661"/>
      <c r="T924" s="661"/>
      <c r="U924" s="664"/>
      <c r="V924" s="665"/>
      <c r="W924" s="661"/>
      <c r="X924" s="661"/>
      <c r="Y924" s="661"/>
      <c r="Z924" s="661"/>
    </row>
    <row r="925">
      <c r="A925" s="661"/>
      <c r="B925" s="663"/>
      <c r="C925" s="795"/>
      <c r="D925" s="796"/>
      <c r="E925" s="680"/>
      <c r="F925" s="797"/>
      <c r="G925" s="797"/>
      <c r="H925" s="797"/>
      <c r="I925" s="797"/>
      <c r="J925" s="797"/>
      <c r="K925" s="797"/>
      <c r="L925" s="797"/>
      <c r="M925" s="797"/>
      <c r="N925" s="797"/>
      <c r="O925" s="797"/>
      <c r="P925" s="797"/>
      <c r="Q925" s="797"/>
      <c r="R925" s="661"/>
      <c r="S925" s="661"/>
      <c r="T925" s="661"/>
      <c r="U925" s="664"/>
      <c r="V925" s="665"/>
      <c r="W925" s="661"/>
      <c r="X925" s="661"/>
      <c r="Y925" s="661"/>
      <c r="Z925" s="661"/>
    </row>
    <row r="926">
      <c r="A926" s="661"/>
      <c r="B926" s="663"/>
      <c r="C926" s="795"/>
      <c r="D926" s="796"/>
      <c r="E926" s="680"/>
      <c r="F926" s="797"/>
      <c r="G926" s="797"/>
      <c r="H926" s="797"/>
      <c r="I926" s="797"/>
      <c r="J926" s="797"/>
      <c r="K926" s="797"/>
      <c r="L926" s="797"/>
      <c r="M926" s="797"/>
      <c r="N926" s="797"/>
      <c r="O926" s="797"/>
      <c r="P926" s="797"/>
      <c r="Q926" s="797"/>
      <c r="R926" s="661"/>
      <c r="S926" s="661"/>
      <c r="T926" s="661"/>
      <c r="U926" s="664"/>
      <c r="V926" s="665"/>
      <c r="W926" s="661"/>
      <c r="X926" s="661"/>
      <c r="Y926" s="661"/>
      <c r="Z926" s="661"/>
    </row>
    <row r="927">
      <c r="A927" s="661"/>
      <c r="B927" s="663"/>
      <c r="C927" s="795"/>
      <c r="D927" s="796"/>
      <c r="E927" s="680"/>
      <c r="F927" s="797"/>
      <c r="G927" s="797"/>
      <c r="H927" s="797"/>
      <c r="I927" s="797"/>
      <c r="J927" s="797"/>
      <c r="K927" s="797"/>
      <c r="L927" s="797"/>
      <c r="M927" s="797"/>
      <c r="N927" s="797"/>
      <c r="O927" s="797"/>
      <c r="P927" s="797"/>
      <c r="Q927" s="797"/>
      <c r="R927" s="661"/>
      <c r="S927" s="661"/>
      <c r="T927" s="661"/>
      <c r="U927" s="664"/>
      <c r="V927" s="665"/>
      <c r="W927" s="661"/>
      <c r="X927" s="661"/>
      <c r="Y927" s="661"/>
      <c r="Z927" s="661"/>
    </row>
    <row r="928">
      <c r="A928" s="661"/>
      <c r="B928" s="663"/>
      <c r="C928" s="795"/>
      <c r="D928" s="796"/>
      <c r="E928" s="680"/>
      <c r="F928" s="797"/>
      <c r="G928" s="797"/>
      <c r="H928" s="797"/>
      <c r="I928" s="797"/>
      <c r="J928" s="797"/>
      <c r="K928" s="797"/>
      <c r="L928" s="797"/>
      <c r="M928" s="797"/>
      <c r="N928" s="797"/>
      <c r="O928" s="797"/>
      <c r="P928" s="797"/>
      <c r="Q928" s="797"/>
      <c r="R928" s="661"/>
      <c r="S928" s="661"/>
      <c r="T928" s="661"/>
      <c r="U928" s="664"/>
      <c r="V928" s="665"/>
      <c r="W928" s="661"/>
      <c r="X928" s="661"/>
      <c r="Y928" s="661"/>
      <c r="Z928" s="661"/>
    </row>
    <row r="929">
      <c r="A929" s="661"/>
      <c r="B929" s="663"/>
      <c r="C929" s="795"/>
      <c r="D929" s="796"/>
      <c r="E929" s="680"/>
      <c r="F929" s="797"/>
      <c r="G929" s="797"/>
      <c r="H929" s="797"/>
      <c r="I929" s="797"/>
      <c r="J929" s="797"/>
      <c r="K929" s="797"/>
      <c r="L929" s="797"/>
      <c r="M929" s="797"/>
      <c r="N929" s="797"/>
      <c r="O929" s="797"/>
      <c r="P929" s="797"/>
      <c r="Q929" s="797"/>
      <c r="R929" s="661"/>
      <c r="S929" s="661"/>
      <c r="T929" s="661"/>
      <c r="U929" s="664"/>
      <c r="V929" s="665"/>
      <c r="W929" s="661"/>
      <c r="X929" s="661"/>
      <c r="Y929" s="661"/>
      <c r="Z929" s="661"/>
    </row>
    <row r="930">
      <c r="A930" s="661"/>
      <c r="B930" s="663"/>
      <c r="C930" s="795"/>
      <c r="D930" s="796"/>
      <c r="E930" s="680"/>
      <c r="F930" s="797"/>
      <c r="G930" s="797"/>
      <c r="H930" s="797"/>
      <c r="I930" s="797"/>
      <c r="J930" s="797"/>
      <c r="K930" s="797"/>
      <c r="L930" s="797"/>
      <c r="M930" s="797"/>
      <c r="N930" s="797"/>
      <c r="O930" s="797"/>
      <c r="P930" s="797"/>
      <c r="Q930" s="797"/>
      <c r="R930" s="661"/>
      <c r="S930" s="661"/>
      <c r="T930" s="661"/>
      <c r="U930" s="664"/>
      <c r="V930" s="665"/>
      <c r="W930" s="661"/>
      <c r="X930" s="661"/>
      <c r="Y930" s="661"/>
      <c r="Z930" s="661"/>
    </row>
    <row r="931">
      <c r="A931" s="661"/>
      <c r="B931" s="663"/>
      <c r="C931" s="795"/>
      <c r="D931" s="796"/>
      <c r="E931" s="680"/>
      <c r="F931" s="797"/>
      <c r="G931" s="797"/>
      <c r="H931" s="797"/>
      <c r="I931" s="797"/>
      <c r="J931" s="797"/>
      <c r="K931" s="797"/>
      <c r="L931" s="797"/>
      <c r="M931" s="797"/>
      <c r="N931" s="797"/>
      <c r="O931" s="797"/>
      <c r="P931" s="797"/>
      <c r="Q931" s="797"/>
      <c r="R931" s="661"/>
      <c r="S931" s="661"/>
      <c r="T931" s="661"/>
      <c r="U931" s="664"/>
      <c r="V931" s="665"/>
      <c r="W931" s="661"/>
      <c r="X931" s="661"/>
      <c r="Y931" s="661"/>
      <c r="Z931" s="661"/>
    </row>
    <row r="932">
      <c r="A932" s="661"/>
      <c r="B932" s="663"/>
      <c r="C932" s="795"/>
      <c r="D932" s="796"/>
      <c r="E932" s="680"/>
      <c r="F932" s="797"/>
      <c r="G932" s="797"/>
      <c r="H932" s="797"/>
      <c r="I932" s="797"/>
      <c r="J932" s="797"/>
      <c r="K932" s="797"/>
      <c r="L932" s="797"/>
      <c r="M932" s="797"/>
      <c r="N932" s="797"/>
      <c r="O932" s="797"/>
      <c r="P932" s="797"/>
      <c r="Q932" s="797"/>
      <c r="R932" s="661"/>
      <c r="S932" s="661"/>
      <c r="T932" s="661"/>
      <c r="U932" s="664"/>
      <c r="V932" s="665"/>
      <c r="W932" s="661"/>
      <c r="X932" s="661"/>
      <c r="Y932" s="661"/>
      <c r="Z932" s="661"/>
    </row>
    <row r="933">
      <c r="A933" s="661"/>
      <c r="B933" s="663"/>
      <c r="C933" s="795"/>
      <c r="D933" s="796"/>
      <c r="E933" s="680"/>
      <c r="F933" s="797"/>
      <c r="G933" s="797"/>
      <c r="H933" s="797"/>
      <c r="I933" s="797"/>
      <c r="J933" s="797"/>
      <c r="K933" s="797"/>
      <c r="L933" s="797"/>
      <c r="M933" s="797"/>
      <c r="N933" s="797"/>
      <c r="O933" s="797"/>
      <c r="P933" s="797"/>
      <c r="Q933" s="797"/>
      <c r="R933" s="661"/>
      <c r="S933" s="661"/>
      <c r="T933" s="661"/>
      <c r="U933" s="664"/>
      <c r="V933" s="665"/>
      <c r="W933" s="661"/>
      <c r="X933" s="661"/>
      <c r="Y933" s="661"/>
      <c r="Z933" s="661"/>
    </row>
    <row r="934">
      <c r="A934" s="661"/>
      <c r="B934" s="663"/>
      <c r="C934" s="795"/>
      <c r="D934" s="796"/>
      <c r="E934" s="680"/>
      <c r="F934" s="797"/>
      <c r="G934" s="797"/>
      <c r="H934" s="797"/>
      <c r="I934" s="797"/>
      <c r="J934" s="797"/>
      <c r="K934" s="797"/>
      <c r="L934" s="797"/>
      <c r="M934" s="797"/>
      <c r="N934" s="797"/>
      <c r="O934" s="797"/>
      <c r="P934" s="797"/>
      <c r="Q934" s="797"/>
      <c r="R934" s="661"/>
      <c r="S934" s="661"/>
      <c r="T934" s="661"/>
      <c r="U934" s="664"/>
      <c r="V934" s="665"/>
      <c r="W934" s="661"/>
      <c r="X934" s="661"/>
      <c r="Y934" s="661"/>
      <c r="Z934" s="661"/>
    </row>
    <row r="935">
      <c r="A935" s="661"/>
      <c r="B935" s="663"/>
      <c r="C935" s="795"/>
      <c r="D935" s="796"/>
      <c r="E935" s="680"/>
      <c r="F935" s="797"/>
      <c r="G935" s="797"/>
      <c r="H935" s="797"/>
      <c r="I935" s="797"/>
      <c r="J935" s="797"/>
      <c r="K935" s="797"/>
      <c r="L935" s="797"/>
      <c r="M935" s="797"/>
      <c r="N935" s="797"/>
      <c r="O935" s="797"/>
      <c r="P935" s="797"/>
      <c r="Q935" s="797"/>
      <c r="R935" s="661"/>
      <c r="S935" s="661"/>
      <c r="T935" s="661"/>
      <c r="U935" s="664"/>
      <c r="V935" s="665"/>
      <c r="W935" s="661"/>
      <c r="X935" s="661"/>
      <c r="Y935" s="661"/>
      <c r="Z935" s="661"/>
    </row>
    <row r="936">
      <c r="A936" s="661"/>
      <c r="B936" s="663"/>
      <c r="C936" s="795"/>
      <c r="D936" s="796"/>
      <c r="E936" s="680"/>
      <c r="F936" s="797"/>
      <c r="G936" s="797"/>
      <c r="H936" s="797"/>
      <c r="I936" s="797"/>
      <c r="J936" s="797"/>
      <c r="K936" s="797"/>
      <c r="L936" s="797"/>
      <c r="M936" s="797"/>
      <c r="N936" s="797"/>
      <c r="O936" s="797"/>
      <c r="P936" s="797"/>
      <c r="Q936" s="797"/>
      <c r="R936" s="661"/>
      <c r="S936" s="661"/>
      <c r="T936" s="661"/>
      <c r="U936" s="664"/>
      <c r="V936" s="665"/>
      <c r="W936" s="661"/>
      <c r="X936" s="661"/>
      <c r="Y936" s="661"/>
      <c r="Z936" s="661"/>
    </row>
    <row r="937">
      <c r="A937" s="661"/>
      <c r="B937" s="663"/>
      <c r="C937" s="795"/>
      <c r="D937" s="796"/>
      <c r="E937" s="680"/>
      <c r="F937" s="797"/>
      <c r="G937" s="797"/>
      <c r="H937" s="797"/>
      <c r="I937" s="797"/>
      <c r="J937" s="797"/>
      <c r="K937" s="797"/>
      <c r="L937" s="797"/>
      <c r="M937" s="797"/>
      <c r="N937" s="797"/>
      <c r="O937" s="797"/>
      <c r="P937" s="797"/>
      <c r="Q937" s="797"/>
      <c r="R937" s="661"/>
      <c r="S937" s="661"/>
      <c r="T937" s="661"/>
      <c r="U937" s="664"/>
      <c r="V937" s="665"/>
      <c r="W937" s="661"/>
      <c r="X937" s="661"/>
      <c r="Y937" s="661"/>
      <c r="Z937" s="661"/>
    </row>
    <row r="938">
      <c r="A938" s="661"/>
      <c r="B938" s="663"/>
      <c r="C938" s="795"/>
      <c r="D938" s="796"/>
      <c r="E938" s="680"/>
      <c r="F938" s="797"/>
      <c r="G938" s="797"/>
      <c r="H938" s="797"/>
      <c r="I938" s="797"/>
      <c r="J938" s="797"/>
      <c r="K938" s="797"/>
      <c r="L938" s="797"/>
      <c r="M938" s="797"/>
      <c r="N938" s="797"/>
      <c r="O938" s="797"/>
      <c r="P938" s="797"/>
      <c r="Q938" s="797"/>
      <c r="R938" s="661"/>
      <c r="S938" s="661"/>
      <c r="T938" s="661"/>
      <c r="U938" s="664"/>
      <c r="V938" s="665"/>
      <c r="W938" s="661"/>
      <c r="X938" s="661"/>
      <c r="Y938" s="661"/>
      <c r="Z938" s="661"/>
    </row>
    <row r="939">
      <c r="A939" s="661"/>
      <c r="B939" s="663"/>
      <c r="C939" s="795"/>
      <c r="D939" s="796"/>
      <c r="E939" s="680"/>
      <c r="F939" s="797"/>
      <c r="G939" s="797"/>
      <c r="H939" s="797"/>
      <c r="I939" s="797"/>
      <c r="J939" s="797"/>
      <c r="K939" s="797"/>
      <c r="L939" s="797"/>
      <c r="M939" s="797"/>
      <c r="N939" s="797"/>
      <c r="O939" s="797"/>
      <c r="P939" s="797"/>
      <c r="Q939" s="797"/>
      <c r="R939" s="661"/>
      <c r="S939" s="661"/>
      <c r="T939" s="661"/>
      <c r="U939" s="664"/>
      <c r="V939" s="665"/>
      <c r="W939" s="661"/>
      <c r="X939" s="661"/>
      <c r="Y939" s="661"/>
      <c r="Z939" s="661"/>
    </row>
    <row r="940">
      <c r="A940" s="661"/>
      <c r="B940" s="663"/>
      <c r="C940" s="795"/>
      <c r="D940" s="796"/>
      <c r="E940" s="680"/>
      <c r="F940" s="797"/>
      <c r="G940" s="797"/>
      <c r="H940" s="797"/>
      <c r="I940" s="797"/>
      <c r="J940" s="797"/>
      <c r="K940" s="797"/>
      <c r="L940" s="797"/>
      <c r="M940" s="797"/>
      <c r="N940" s="797"/>
      <c r="O940" s="797"/>
      <c r="P940" s="797"/>
      <c r="Q940" s="797"/>
      <c r="R940" s="661"/>
      <c r="S940" s="661"/>
      <c r="T940" s="661"/>
      <c r="U940" s="664"/>
      <c r="V940" s="665"/>
      <c r="W940" s="661"/>
      <c r="X940" s="661"/>
      <c r="Y940" s="661"/>
      <c r="Z940" s="661"/>
    </row>
    <row r="941">
      <c r="A941" s="661"/>
      <c r="B941" s="663"/>
      <c r="C941" s="795"/>
      <c r="D941" s="796"/>
      <c r="E941" s="680"/>
      <c r="F941" s="797"/>
      <c r="G941" s="797"/>
      <c r="H941" s="797"/>
      <c r="I941" s="797"/>
      <c r="J941" s="797"/>
      <c r="K941" s="797"/>
      <c r="L941" s="797"/>
      <c r="M941" s="797"/>
      <c r="N941" s="797"/>
      <c r="O941" s="797"/>
      <c r="P941" s="797"/>
      <c r="Q941" s="797"/>
      <c r="R941" s="661"/>
      <c r="S941" s="661"/>
      <c r="T941" s="661"/>
      <c r="U941" s="664"/>
      <c r="V941" s="665"/>
      <c r="W941" s="661"/>
      <c r="X941" s="661"/>
      <c r="Y941" s="661"/>
      <c r="Z941" s="661"/>
    </row>
    <row r="942">
      <c r="A942" s="661"/>
      <c r="B942" s="663"/>
      <c r="C942" s="795"/>
      <c r="D942" s="796"/>
      <c r="E942" s="680"/>
      <c r="F942" s="797"/>
      <c r="G942" s="797"/>
      <c r="H942" s="797"/>
      <c r="I942" s="797"/>
      <c r="J942" s="797"/>
      <c r="K942" s="797"/>
      <c r="L942" s="797"/>
      <c r="M942" s="797"/>
      <c r="N942" s="797"/>
      <c r="O942" s="797"/>
      <c r="P942" s="797"/>
      <c r="Q942" s="797"/>
      <c r="R942" s="661"/>
      <c r="S942" s="661"/>
      <c r="T942" s="661"/>
      <c r="U942" s="664"/>
      <c r="V942" s="665"/>
      <c r="W942" s="661"/>
      <c r="X942" s="661"/>
      <c r="Y942" s="661"/>
      <c r="Z942" s="661"/>
    </row>
    <row r="943">
      <c r="A943" s="661"/>
      <c r="B943" s="663"/>
      <c r="C943" s="795"/>
      <c r="D943" s="796"/>
      <c r="E943" s="680"/>
      <c r="F943" s="797"/>
      <c r="G943" s="797"/>
      <c r="H943" s="797"/>
      <c r="I943" s="797"/>
      <c r="J943" s="797"/>
      <c r="K943" s="797"/>
      <c r="L943" s="797"/>
      <c r="M943" s="797"/>
      <c r="N943" s="797"/>
      <c r="O943" s="797"/>
      <c r="P943" s="797"/>
      <c r="Q943" s="797"/>
      <c r="R943" s="661"/>
      <c r="S943" s="661"/>
      <c r="T943" s="661"/>
      <c r="U943" s="664"/>
      <c r="V943" s="665"/>
      <c r="W943" s="661"/>
      <c r="X943" s="661"/>
      <c r="Y943" s="661"/>
      <c r="Z943" s="661"/>
    </row>
    <row r="944">
      <c r="A944" s="661"/>
      <c r="B944" s="663"/>
      <c r="C944" s="795"/>
      <c r="D944" s="796"/>
      <c r="E944" s="680"/>
      <c r="F944" s="797"/>
      <c r="G944" s="797"/>
      <c r="H944" s="797"/>
      <c r="I944" s="797"/>
      <c r="J944" s="797"/>
      <c r="K944" s="797"/>
      <c r="L944" s="797"/>
      <c r="M944" s="797"/>
      <c r="N944" s="797"/>
      <c r="O944" s="797"/>
      <c r="P944" s="797"/>
      <c r="Q944" s="797"/>
      <c r="R944" s="661"/>
      <c r="S944" s="661"/>
      <c r="T944" s="661"/>
      <c r="U944" s="664"/>
      <c r="V944" s="665"/>
      <c r="W944" s="661"/>
      <c r="X944" s="661"/>
      <c r="Y944" s="661"/>
      <c r="Z944" s="661"/>
    </row>
    <row r="945">
      <c r="A945" s="661"/>
      <c r="B945" s="663"/>
      <c r="C945" s="795"/>
      <c r="D945" s="796"/>
      <c r="E945" s="680"/>
      <c r="F945" s="797"/>
      <c r="G945" s="797"/>
      <c r="H945" s="797"/>
      <c r="I945" s="797"/>
      <c r="J945" s="797"/>
      <c r="K945" s="797"/>
      <c r="L945" s="797"/>
      <c r="M945" s="797"/>
      <c r="N945" s="797"/>
      <c r="O945" s="797"/>
      <c r="P945" s="797"/>
      <c r="Q945" s="797"/>
      <c r="R945" s="661"/>
      <c r="S945" s="661"/>
      <c r="T945" s="661"/>
      <c r="U945" s="664"/>
      <c r="V945" s="665"/>
      <c r="W945" s="661"/>
      <c r="X945" s="661"/>
      <c r="Y945" s="661"/>
      <c r="Z945" s="661"/>
    </row>
    <row r="946">
      <c r="A946" s="661"/>
      <c r="B946" s="663"/>
      <c r="C946" s="795"/>
      <c r="D946" s="796"/>
      <c r="E946" s="680"/>
      <c r="F946" s="797"/>
      <c r="G946" s="797"/>
      <c r="H946" s="797"/>
      <c r="I946" s="797"/>
      <c r="J946" s="797"/>
      <c r="K946" s="797"/>
      <c r="L946" s="797"/>
      <c r="M946" s="797"/>
      <c r="N946" s="797"/>
      <c r="O946" s="797"/>
      <c r="P946" s="797"/>
      <c r="Q946" s="797"/>
      <c r="R946" s="661"/>
      <c r="S946" s="661"/>
      <c r="T946" s="661"/>
      <c r="U946" s="664"/>
      <c r="V946" s="665"/>
      <c r="W946" s="661"/>
      <c r="X946" s="661"/>
      <c r="Y946" s="661"/>
      <c r="Z946" s="661"/>
    </row>
    <row r="947">
      <c r="A947" s="661"/>
      <c r="B947" s="663"/>
      <c r="C947" s="795"/>
      <c r="D947" s="796"/>
      <c r="E947" s="680"/>
      <c r="F947" s="797"/>
      <c r="G947" s="797"/>
      <c r="H947" s="797"/>
      <c r="I947" s="797"/>
      <c r="J947" s="797"/>
      <c r="K947" s="797"/>
      <c r="L947" s="797"/>
      <c r="M947" s="797"/>
      <c r="N947" s="797"/>
      <c r="O947" s="797"/>
      <c r="P947" s="797"/>
      <c r="Q947" s="797"/>
      <c r="R947" s="661"/>
      <c r="S947" s="661"/>
      <c r="T947" s="661"/>
      <c r="U947" s="664"/>
      <c r="V947" s="665"/>
      <c r="W947" s="661"/>
      <c r="X947" s="661"/>
      <c r="Y947" s="661"/>
      <c r="Z947" s="661"/>
    </row>
    <row r="948">
      <c r="A948" s="661"/>
      <c r="B948" s="663"/>
      <c r="C948" s="795"/>
      <c r="D948" s="796"/>
      <c r="E948" s="680"/>
      <c r="F948" s="797"/>
      <c r="G948" s="797"/>
      <c r="H948" s="797"/>
      <c r="I948" s="797"/>
      <c r="J948" s="797"/>
      <c r="K948" s="797"/>
      <c r="L948" s="797"/>
      <c r="M948" s="797"/>
      <c r="N948" s="797"/>
      <c r="O948" s="797"/>
      <c r="P948" s="797"/>
      <c r="Q948" s="797"/>
      <c r="R948" s="661"/>
      <c r="S948" s="661"/>
      <c r="T948" s="661"/>
      <c r="U948" s="664"/>
      <c r="V948" s="665"/>
      <c r="W948" s="661"/>
      <c r="X948" s="661"/>
      <c r="Y948" s="661"/>
      <c r="Z948" s="661"/>
    </row>
    <row r="949">
      <c r="A949" s="661"/>
      <c r="B949" s="663"/>
      <c r="C949" s="795"/>
      <c r="D949" s="796"/>
      <c r="E949" s="680"/>
      <c r="F949" s="797"/>
      <c r="G949" s="797"/>
      <c r="H949" s="797"/>
      <c r="I949" s="797"/>
      <c r="J949" s="797"/>
      <c r="K949" s="797"/>
      <c r="L949" s="797"/>
      <c r="M949" s="797"/>
      <c r="N949" s="797"/>
      <c r="O949" s="797"/>
      <c r="P949" s="797"/>
      <c r="Q949" s="797"/>
      <c r="R949" s="661"/>
      <c r="S949" s="661"/>
      <c r="T949" s="661"/>
      <c r="U949" s="664"/>
      <c r="V949" s="665"/>
      <c r="W949" s="661"/>
      <c r="X949" s="661"/>
      <c r="Y949" s="661"/>
      <c r="Z949" s="661"/>
    </row>
    <row r="950">
      <c r="A950" s="661"/>
      <c r="B950" s="663"/>
      <c r="C950" s="795"/>
      <c r="D950" s="796"/>
      <c r="E950" s="680"/>
      <c r="F950" s="797"/>
      <c r="G950" s="797"/>
      <c r="H950" s="797"/>
      <c r="I950" s="797"/>
      <c r="J950" s="797"/>
      <c r="K950" s="797"/>
      <c r="L950" s="797"/>
      <c r="M950" s="797"/>
      <c r="N950" s="797"/>
      <c r="O950" s="797"/>
      <c r="P950" s="797"/>
      <c r="Q950" s="797"/>
      <c r="R950" s="661"/>
      <c r="S950" s="661"/>
      <c r="T950" s="661"/>
      <c r="U950" s="664"/>
      <c r="V950" s="665"/>
      <c r="W950" s="661"/>
      <c r="X950" s="661"/>
      <c r="Y950" s="661"/>
      <c r="Z950" s="661"/>
    </row>
    <row r="951">
      <c r="A951" s="661"/>
      <c r="B951" s="663"/>
      <c r="C951" s="795"/>
      <c r="D951" s="796"/>
      <c r="E951" s="680"/>
      <c r="F951" s="797"/>
      <c r="G951" s="797"/>
      <c r="H951" s="797"/>
      <c r="I951" s="797"/>
      <c r="J951" s="797"/>
      <c r="K951" s="797"/>
      <c r="L951" s="797"/>
      <c r="M951" s="797"/>
      <c r="N951" s="797"/>
      <c r="O951" s="797"/>
      <c r="P951" s="797"/>
      <c r="Q951" s="797"/>
      <c r="R951" s="661"/>
      <c r="S951" s="661"/>
      <c r="T951" s="661"/>
      <c r="U951" s="664"/>
      <c r="V951" s="665"/>
      <c r="W951" s="661"/>
      <c r="X951" s="661"/>
      <c r="Y951" s="661"/>
      <c r="Z951" s="661"/>
    </row>
    <row r="952">
      <c r="A952" s="661"/>
      <c r="B952" s="663"/>
      <c r="C952" s="795"/>
      <c r="D952" s="796"/>
      <c r="E952" s="680"/>
      <c r="F952" s="797"/>
      <c r="G952" s="797"/>
      <c r="H952" s="797"/>
      <c r="I952" s="797"/>
      <c r="J952" s="797"/>
      <c r="K952" s="797"/>
      <c r="L952" s="797"/>
      <c r="M952" s="797"/>
      <c r="N952" s="797"/>
      <c r="O952" s="797"/>
      <c r="P952" s="797"/>
      <c r="Q952" s="797"/>
      <c r="R952" s="661"/>
      <c r="S952" s="661"/>
      <c r="T952" s="661"/>
      <c r="U952" s="664"/>
      <c r="V952" s="665"/>
      <c r="W952" s="661"/>
      <c r="X952" s="661"/>
      <c r="Y952" s="661"/>
      <c r="Z952" s="661"/>
    </row>
    <row r="953">
      <c r="A953" s="661"/>
      <c r="B953" s="663"/>
      <c r="C953" s="795"/>
      <c r="D953" s="796"/>
      <c r="E953" s="680"/>
      <c r="F953" s="797"/>
      <c r="G953" s="797"/>
      <c r="H953" s="797"/>
      <c r="I953" s="797"/>
      <c r="J953" s="797"/>
      <c r="K953" s="797"/>
      <c r="L953" s="797"/>
      <c r="M953" s="797"/>
      <c r="N953" s="797"/>
      <c r="O953" s="797"/>
      <c r="P953" s="797"/>
      <c r="Q953" s="797"/>
      <c r="R953" s="661"/>
      <c r="S953" s="661"/>
      <c r="T953" s="661"/>
      <c r="U953" s="664"/>
      <c r="V953" s="665"/>
      <c r="W953" s="661"/>
      <c r="X953" s="661"/>
      <c r="Y953" s="661"/>
      <c r="Z953" s="661"/>
    </row>
    <row r="954">
      <c r="A954" s="661"/>
      <c r="B954" s="663"/>
      <c r="C954" s="795"/>
      <c r="D954" s="796"/>
      <c r="E954" s="680"/>
      <c r="F954" s="797"/>
      <c r="G954" s="797"/>
      <c r="H954" s="797"/>
      <c r="I954" s="797"/>
      <c r="J954" s="797"/>
      <c r="K954" s="797"/>
      <c r="L954" s="797"/>
      <c r="M954" s="797"/>
      <c r="N954" s="797"/>
      <c r="O954" s="797"/>
      <c r="P954" s="797"/>
      <c r="Q954" s="797"/>
      <c r="R954" s="661"/>
      <c r="S954" s="661"/>
      <c r="T954" s="661"/>
      <c r="U954" s="664"/>
      <c r="V954" s="665"/>
      <c r="W954" s="661"/>
      <c r="X954" s="661"/>
      <c r="Y954" s="661"/>
      <c r="Z954" s="661"/>
    </row>
    <row r="955">
      <c r="A955" s="661"/>
      <c r="B955" s="663"/>
      <c r="C955" s="795"/>
      <c r="D955" s="796"/>
      <c r="E955" s="680"/>
      <c r="F955" s="797"/>
      <c r="G955" s="797"/>
      <c r="H955" s="797"/>
      <c r="I955" s="797"/>
      <c r="J955" s="797"/>
      <c r="K955" s="797"/>
      <c r="L955" s="797"/>
      <c r="M955" s="797"/>
      <c r="N955" s="797"/>
      <c r="O955" s="797"/>
      <c r="P955" s="797"/>
      <c r="Q955" s="797"/>
      <c r="R955" s="661"/>
      <c r="S955" s="661"/>
      <c r="T955" s="661"/>
      <c r="U955" s="664"/>
      <c r="V955" s="665"/>
      <c r="W955" s="661"/>
      <c r="X955" s="661"/>
      <c r="Y955" s="661"/>
      <c r="Z955" s="661"/>
    </row>
    <row r="956">
      <c r="A956" s="661"/>
      <c r="B956" s="663"/>
      <c r="C956" s="795"/>
      <c r="D956" s="796"/>
      <c r="E956" s="680"/>
      <c r="F956" s="797"/>
      <c r="G956" s="797"/>
      <c r="H956" s="797"/>
      <c r="I956" s="797"/>
      <c r="J956" s="797"/>
      <c r="K956" s="797"/>
      <c r="L956" s="797"/>
      <c r="M956" s="797"/>
      <c r="N956" s="797"/>
      <c r="O956" s="797"/>
      <c r="P956" s="797"/>
      <c r="Q956" s="797"/>
      <c r="R956" s="661"/>
      <c r="S956" s="661"/>
      <c r="T956" s="661"/>
      <c r="U956" s="664"/>
      <c r="V956" s="665"/>
      <c r="W956" s="661"/>
      <c r="X956" s="661"/>
      <c r="Y956" s="661"/>
      <c r="Z956" s="661"/>
    </row>
    <row r="957">
      <c r="A957" s="661"/>
      <c r="B957" s="663"/>
      <c r="C957" s="795"/>
      <c r="D957" s="796"/>
      <c r="E957" s="680"/>
      <c r="F957" s="797"/>
      <c r="G957" s="797"/>
      <c r="H957" s="797"/>
      <c r="I957" s="797"/>
      <c r="J957" s="797"/>
      <c r="K957" s="797"/>
      <c r="L957" s="797"/>
      <c r="M957" s="797"/>
      <c r="N957" s="797"/>
      <c r="O957" s="797"/>
      <c r="P957" s="797"/>
      <c r="Q957" s="797"/>
      <c r="R957" s="661"/>
      <c r="S957" s="661"/>
      <c r="T957" s="661"/>
      <c r="U957" s="664"/>
      <c r="V957" s="665"/>
      <c r="W957" s="661"/>
      <c r="X957" s="661"/>
      <c r="Y957" s="661"/>
      <c r="Z957" s="661"/>
    </row>
    <row r="958">
      <c r="A958" s="661"/>
      <c r="B958" s="663"/>
      <c r="C958" s="795"/>
      <c r="D958" s="796"/>
      <c r="E958" s="680"/>
      <c r="F958" s="797"/>
      <c r="G958" s="797"/>
      <c r="H958" s="797"/>
      <c r="I958" s="797"/>
      <c r="J958" s="797"/>
      <c r="K958" s="797"/>
      <c r="L958" s="797"/>
      <c r="M958" s="797"/>
      <c r="N958" s="797"/>
      <c r="O958" s="797"/>
      <c r="P958" s="797"/>
      <c r="Q958" s="797"/>
      <c r="R958" s="661"/>
      <c r="S958" s="661"/>
      <c r="T958" s="661"/>
      <c r="U958" s="664"/>
      <c r="V958" s="665"/>
      <c r="W958" s="661"/>
      <c r="X958" s="661"/>
      <c r="Y958" s="661"/>
      <c r="Z958" s="661"/>
    </row>
    <row r="959">
      <c r="A959" s="661"/>
      <c r="B959" s="663"/>
      <c r="C959" s="795"/>
      <c r="D959" s="796"/>
      <c r="E959" s="680"/>
      <c r="F959" s="797"/>
      <c r="G959" s="797"/>
      <c r="H959" s="797"/>
      <c r="I959" s="797"/>
      <c r="J959" s="797"/>
      <c r="K959" s="797"/>
      <c r="L959" s="797"/>
      <c r="M959" s="797"/>
      <c r="N959" s="797"/>
      <c r="O959" s="797"/>
      <c r="P959" s="797"/>
      <c r="Q959" s="797"/>
      <c r="R959" s="661"/>
      <c r="S959" s="661"/>
      <c r="T959" s="661"/>
      <c r="U959" s="664"/>
      <c r="V959" s="665"/>
      <c r="W959" s="661"/>
      <c r="X959" s="661"/>
      <c r="Y959" s="661"/>
      <c r="Z959" s="661"/>
    </row>
    <row r="960">
      <c r="A960" s="661"/>
      <c r="B960" s="663"/>
      <c r="C960" s="795"/>
      <c r="D960" s="796"/>
      <c r="E960" s="680"/>
      <c r="F960" s="797"/>
      <c r="G960" s="797"/>
      <c r="H960" s="797"/>
      <c r="I960" s="797"/>
      <c r="J960" s="797"/>
      <c r="K960" s="797"/>
      <c r="L960" s="797"/>
      <c r="M960" s="797"/>
      <c r="N960" s="797"/>
      <c r="O960" s="797"/>
      <c r="P960" s="797"/>
      <c r="Q960" s="797"/>
      <c r="R960" s="661"/>
      <c r="S960" s="661"/>
      <c r="T960" s="661"/>
      <c r="U960" s="664"/>
      <c r="V960" s="665"/>
      <c r="W960" s="661"/>
      <c r="X960" s="661"/>
      <c r="Y960" s="661"/>
      <c r="Z960" s="661"/>
    </row>
    <row r="961">
      <c r="A961" s="661"/>
      <c r="B961" s="663"/>
      <c r="C961" s="795"/>
      <c r="D961" s="796"/>
      <c r="E961" s="680"/>
      <c r="F961" s="797"/>
      <c r="G961" s="797"/>
      <c r="H961" s="797"/>
      <c r="I961" s="797"/>
      <c r="J961" s="797"/>
      <c r="K961" s="797"/>
      <c r="L961" s="797"/>
      <c r="M961" s="797"/>
      <c r="N961" s="797"/>
      <c r="O961" s="797"/>
      <c r="P961" s="797"/>
      <c r="Q961" s="797"/>
      <c r="R961" s="661"/>
      <c r="S961" s="661"/>
      <c r="T961" s="661"/>
      <c r="U961" s="664"/>
      <c r="V961" s="665"/>
      <c r="W961" s="661"/>
      <c r="X961" s="661"/>
      <c r="Y961" s="661"/>
      <c r="Z961" s="661"/>
    </row>
    <row r="962">
      <c r="A962" s="661"/>
      <c r="B962" s="663"/>
      <c r="C962" s="795"/>
      <c r="D962" s="796"/>
      <c r="E962" s="680"/>
      <c r="F962" s="797"/>
      <c r="G962" s="797"/>
      <c r="H962" s="797"/>
      <c r="I962" s="797"/>
      <c r="J962" s="797"/>
      <c r="K962" s="797"/>
      <c r="L962" s="797"/>
      <c r="M962" s="797"/>
      <c r="N962" s="797"/>
      <c r="O962" s="797"/>
      <c r="P962" s="797"/>
      <c r="Q962" s="797"/>
      <c r="R962" s="661"/>
      <c r="S962" s="661"/>
      <c r="T962" s="661"/>
      <c r="U962" s="664"/>
      <c r="V962" s="665"/>
      <c r="W962" s="661"/>
      <c r="X962" s="661"/>
      <c r="Y962" s="661"/>
      <c r="Z962" s="661"/>
    </row>
    <row r="963">
      <c r="A963" s="661"/>
      <c r="B963" s="663"/>
      <c r="C963" s="795"/>
      <c r="D963" s="796"/>
      <c r="E963" s="680"/>
      <c r="F963" s="797"/>
      <c r="G963" s="797"/>
      <c r="H963" s="797"/>
      <c r="I963" s="797"/>
      <c r="J963" s="797"/>
      <c r="K963" s="797"/>
      <c r="L963" s="797"/>
      <c r="M963" s="797"/>
      <c r="N963" s="797"/>
      <c r="O963" s="797"/>
      <c r="P963" s="797"/>
      <c r="Q963" s="797"/>
      <c r="R963" s="661"/>
      <c r="S963" s="661"/>
      <c r="T963" s="661"/>
      <c r="U963" s="664"/>
      <c r="V963" s="665"/>
      <c r="W963" s="661"/>
      <c r="X963" s="661"/>
      <c r="Y963" s="661"/>
      <c r="Z963" s="661"/>
    </row>
    <row r="964">
      <c r="A964" s="661"/>
      <c r="B964" s="663"/>
      <c r="C964" s="795"/>
      <c r="D964" s="796"/>
      <c r="E964" s="680"/>
      <c r="F964" s="797"/>
      <c r="G964" s="797"/>
      <c r="H964" s="797"/>
      <c r="I964" s="797"/>
      <c r="J964" s="797"/>
      <c r="K964" s="797"/>
      <c r="L964" s="797"/>
      <c r="M964" s="797"/>
      <c r="N964" s="797"/>
      <c r="O964" s="797"/>
      <c r="P964" s="797"/>
      <c r="Q964" s="797"/>
      <c r="R964" s="661"/>
      <c r="S964" s="661"/>
      <c r="T964" s="661"/>
      <c r="U964" s="664"/>
      <c r="V964" s="665"/>
      <c r="W964" s="661"/>
      <c r="X964" s="661"/>
      <c r="Y964" s="661"/>
      <c r="Z964" s="661"/>
    </row>
    <row r="965">
      <c r="A965" s="661"/>
      <c r="B965" s="663"/>
      <c r="C965" s="795"/>
      <c r="D965" s="796"/>
      <c r="E965" s="680"/>
      <c r="F965" s="797"/>
      <c r="G965" s="797"/>
      <c r="H965" s="797"/>
      <c r="I965" s="797"/>
      <c r="J965" s="797"/>
      <c r="K965" s="797"/>
      <c r="L965" s="797"/>
      <c r="M965" s="797"/>
      <c r="N965" s="797"/>
      <c r="O965" s="797"/>
      <c r="P965" s="797"/>
      <c r="Q965" s="797"/>
      <c r="R965" s="661"/>
      <c r="S965" s="661"/>
      <c r="T965" s="661"/>
      <c r="U965" s="664"/>
      <c r="V965" s="665"/>
      <c r="W965" s="661"/>
      <c r="X965" s="661"/>
      <c r="Y965" s="661"/>
      <c r="Z965" s="661"/>
    </row>
    <row r="966">
      <c r="A966" s="661"/>
      <c r="B966" s="663"/>
      <c r="C966" s="795"/>
      <c r="D966" s="796"/>
      <c r="E966" s="680"/>
      <c r="F966" s="797"/>
      <c r="G966" s="797"/>
      <c r="H966" s="797"/>
      <c r="I966" s="797"/>
      <c r="J966" s="797"/>
      <c r="K966" s="797"/>
      <c r="L966" s="797"/>
      <c r="M966" s="797"/>
      <c r="N966" s="797"/>
      <c r="O966" s="797"/>
      <c r="P966" s="797"/>
      <c r="Q966" s="797"/>
      <c r="R966" s="661"/>
      <c r="S966" s="661"/>
      <c r="T966" s="661"/>
      <c r="U966" s="664"/>
      <c r="V966" s="665"/>
      <c r="W966" s="661"/>
      <c r="X966" s="661"/>
      <c r="Y966" s="661"/>
      <c r="Z966" s="661"/>
    </row>
    <row r="967">
      <c r="A967" s="661"/>
      <c r="B967" s="663"/>
      <c r="C967" s="795"/>
      <c r="D967" s="796"/>
      <c r="E967" s="680"/>
      <c r="F967" s="797"/>
      <c r="G967" s="797"/>
      <c r="H967" s="797"/>
      <c r="I967" s="797"/>
      <c r="J967" s="797"/>
      <c r="K967" s="797"/>
      <c r="L967" s="797"/>
      <c r="M967" s="797"/>
      <c r="N967" s="797"/>
      <c r="O967" s="797"/>
      <c r="P967" s="797"/>
      <c r="Q967" s="797"/>
      <c r="R967" s="661"/>
      <c r="S967" s="661"/>
      <c r="T967" s="661"/>
      <c r="U967" s="664"/>
      <c r="V967" s="665"/>
      <c r="W967" s="661"/>
      <c r="X967" s="661"/>
      <c r="Y967" s="661"/>
      <c r="Z967" s="661"/>
    </row>
    <row r="968">
      <c r="A968" s="661"/>
      <c r="B968" s="663"/>
      <c r="C968" s="795"/>
      <c r="D968" s="796"/>
      <c r="E968" s="680"/>
      <c r="F968" s="797"/>
      <c r="G968" s="797"/>
      <c r="H968" s="797"/>
      <c r="I968" s="797"/>
      <c r="J968" s="797"/>
      <c r="K968" s="797"/>
      <c r="L968" s="797"/>
      <c r="M968" s="797"/>
      <c r="N968" s="797"/>
      <c r="O968" s="797"/>
      <c r="P968" s="797"/>
      <c r="Q968" s="797"/>
      <c r="R968" s="661"/>
      <c r="S968" s="661"/>
      <c r="T968" s="661"/>
      <c r="U968" s="664"/>
      <c r="V968" s="665"/>
      <c r="W968" s="661"/>
      <c r="X968" s="661"/>
      <c r="Y968" s="661"/>
      <c r="Z968" s="661"/>
    </row>
    <row r="969">
      <c r="A969" s="661"/>
      <c r="B969" s="663"/>
      <c r="C969" s="795"/>
      <c r="D969" s="796"/>
      <c r="E969" s="680"/>
      <c r="F969" s="797"/>
      <c r="G969" s="797"/>
      <c r="H969" s="797"/>
      <c r="I969" s="797"/>
      <c r="J969" s="797"/>
      <c r="K969" s="797"/>
      <c r="L969" s="797"/>
      <c r="M969" s="797"/>
      <c r="N969" s="797"/>
      <c r="O969" s="797"/>
      <c r="P969" s="797"/>
      <c r="Q969" s="797"/>
      <c r="R969" s="661"/>
      <c r="S969" s="661"/>
      <c r="T969" s="661"/>
      <c r="U969" s="664"/>
      <c r="V969" s="665"/>
      <c r="W969" s="661"/>
      <c r="X969" s="661"/>
      <c r="Y969" s="661"/>
      <c r="Z969" s="661"/>
    </row>
    <row r="970">
      <c r="A970" s="661"/>
      <c r="B970" s="663"/>
      <c r="C970" s="795"/>
      <c r="D970" s="796"/>
      <c r="E970" s="680"/>
      <c r="F970" s="797"/>
      <c r="G970" s="797"/>
      <c r="H970" s="797"/>
      <c r="I970" s="797"/>
      <c r="J970" s="797"/>
      <c r="K970" s="797"/>
      <c r="L970" s="797"/>
      <c r="M970" s="797"/>
      <c r="N970" s="797"/>
      <c r="O970" s="797"/>
      <c r="P970" s="797"/>
      <c r="Q970" s="797"/>
      <c r="R970" s="661"/>
      <c r="S970" s="661"/>
      <c r="T970" s="661"/>
      <c r="U970" s="664"/>
      <c r="V970" s="665"/>
      <c r="W970" s="661"/>
      <c r="X970" s="661"/>
      <c r="Y970" s="661"/>
      <c r="Z970" s="661"/>
    </row>
    <row r="971">
      <c r="A971" s="661"/>
      <c r="B971" s="663"/>
      <c r="C971" s="795"/>
      <c r="D971" s="796"/>
      <c r="E971" s="680"/>
      <c r="F971" s="797"/>
      <c r="G971" s="797"/>
      <c r="H971" s="797"/>
      <c r="I971" s="797"/>
      <c r="J971" s="797"/>
      <c r="K971" s="797"/>
      <c r="L971" s="797"/>
      <c r="M971" s="797"/>
      <c r="N971" s="797"/>
      <c r="O971" s="797"/>
      <c r="P971" s="797"/>
      <c r="Q971" s="797"/>
      <c r="R971" s="661"/>
      <c r="S971" s="661"/>
      <c r="T971" s="661"/>
      <c r="U971" s="664"/>
      <c r="V971" s="665"/>
      <c r="W971" s="661"/>
      <c r="X971" s="661"/>
      <c r="Y971" s="661"/>
      <c r="Z971" s="661"/>
    </row>
    <row r="972">
      <c r="A972" s="661"/>
      <c r="B972" s="663"/>
      <c r="C972" s="795"/>
      <c r="D972" s="796"/>
      <c r="E972" s="680"/>
      <c r="F972" s="797"/>
      <c r="G972" s="797"/>
      <c r="H972" s="797"/>
      <c r="I972" s="797"/>
      <c r="J972" s="797"/>
      <c r="K972" s="797"/>
      <c r="L972" s="797"/>
      <c r="M972" s="797"/>
      <c r="N972" s="797"/>
      <c r="O972" s="797"/>
      <c r="P972" s="797"/>
      <c r="Q972" s="797"/>
      <c r="R972" s="661"/>
      <c r="S972" s="661"/>
      <c r="T972" s="661"/>
      <c r="U972" s="664"/>
      <c r="V972" s="665"/>
      <c r="W972" s="661"/>
      <c r="X972" s="661"/>
      <c r="Y972" s="661"/>
      <c r="Z972" s="661"/>
    </row>
    <row r="973">
      <c r="A973" s="661"/>
      <c r="B973" s="663"/>
      <c r="C973" s="795"/>
      <c r="D973" s="796"/>
      <c r="E973" s="680"/>
      <c r="F973" s="797"/>
      <c r="G973" s="797"/>
      <c r="H973" s="797"/>
      <c r="I973" s="797"/>
      <c r="J973" s="797"/>
      <c r="K973" s="797"/>
      <c r="L973" s="797"/>
      <c r="M973" s="797"/>
      <c r="N973" s="797"/>
      <c r="O973" s="797"/>
      <c r="P973" s="797"/>
      <c r="Q973" s="797"/>
      <c r="R973" s="661"/>
      <c r="S973" s="661"/>
      <c r="T973" s="661"/>
      <c r="U973" s="664"/>
      <c r="V973" s="665"/>
      <c r="W973" s="661"/>
      <c r="X973" s="661"/>
      <c r="Y973" s="661"/>
      <c r="Z973" s="661"/>
    </row>
    <row r="974">
      <c r="A974" s="661"/>
      <c r="B974" s="663"/>
      <c r="C974" s="795"/>
      <c r="D974" s="796"/>
      <c r="E974" s="680"/>
      <c r="F974" s="797"/>
      <c r="G974" s="797"/>
      <c r="H974" s="797"/>
      <c r="I974" s="797"/>
      <c r="J974" s="797"/>
      <c r="K974" s="797"/>
      <c r="L974" s="797"/>
      <c r="M974" s="797"/>
      <c r="N974" s="797"/>
      <c r="O974" s="797"/>
      <c r="P974" s="797"/>
      <c r="Q974" s="797"/>
      <c r="R974" s="661"/>
      <c r="S974" s="661"/>
      <c r="T974" s="661"/>
      <c r="U974" s="664"/>
      <c r="V974" s="665"/>
      <c r="W974" s="661"/>
      <c r="X974" s="661"/>
      <c r="Y974" s="661"/>
      <c r="Z974" s="661"/>
    </row>
    <row r="975">
      <c r="A975" s="661"/>
      <c r="B975" s="663"/>
      <c r="C975" s="795"/>
      <c r="D975" s="796"/>
      <c r="E975" s="680"/>
      <c r="F975" s="797"/>
      <c r="G975" s="797"/>
      <c r="H975" s="797"/>
      <c r="I975" s="797"/>
      <c r="J975" s="797"/>
      <c r="K975" s="797"/>
      <c r="L975" s="797"/>
      <c r="M975" s="797"/>
      <c r="N975" s="797"/>
      <c r="O975" s="797"/>
      <c r="P975" s="797"/>
      <c r="Q975" s="797"/>
      <c r="R975" s="661"/>
      <c r="S975" s="661"/>
      <c r="T975" s="661"/>
      <c r="U975" s="664"/>
      <c r="V975" s="665"/>
      <c r="W975" s="661"/>
      <c r="X975" s="661"/>
      <c r="Y975" s="661"/>
      <c r="Z975" s="661"/>
    </row>
    <row r="976">
      <c r="A976" s="661"/>
      <c r="B976" s="663"/>
      <c r="C976" s="795"/>
      <c r="D976" s="796"/>
      <c r="E976" s="680"/>
      <c r="F976" s="797"/>
      <c r="G976" s="797"/>
      <c r="H976" s="797"/>
      <c r="I976" s="797"/>
      <c r="J976" s="797"/>
      <c r="K976" s="797"/>
      <c r="L976" s="797"/>
      <c r="M976" s="797"/>
      <c r="N976" s="797"/>
      <c r="O976" s="797"/>
      <c r="P976" s="797"/>
      <c r="Q976" s="797"/>
      <c r="R976" s="661"/>
      <c r="S976" s="661"/>
      <c r="T976" s="661"/>
      <c r="U976" s="664"/>
      <c r="V976" s="665"/>
      <c r="W976" s="661"/>
      <c r="X976" s="661"/>
      <c r="Y976" s="661"/>
      <c r="Z976" s="661"/>
    </row>
    <row r="977">
      <c r="A977" s="661"/>
      <c r="B977" s="663"/>
      <c r="C977" s="795"/>
      <c r="D977" s="796"/>
      <c r="E977" s="680"/>
      <c r="F977" s="797"/>
      <c r="G977" s="797"/>
      <c r="H977" s="797"/>
      <c r="I977" s="797"/>
      <c r="J977" s="797"/>
      <c r="K977" s="797"/>
      <c r="L977" s="797"/>
      <c r="M977" s="797"/>
      <c r="N977" s="797"/>
      <c r="O977" s="797"/>
      <c r="P977" s="797"/>
      <c r="Q977" s="797"/>
      <c r="R977" s="661"/>
      <c r="S977" s="661"/>
      <c r="T977" s="661"/>
      <c r="U977" s="664"/>
      <c r="V977" s="665"/>
      <c r="W977" s="661"/>
      <c r="X977" s="661"/>
      <c r="Y977" s="661"/>
      <c r="Z977" s="661"/>
    </row>
    <row r="978">
      <c r="A978" s="661"/>
      <c r="B978" s="663"/>
      <c r="C978" s="795"/>
      <c r="D978" s="796"/>
      <c r="E978" s="680"/>
      <c r="F978" s="797"/>
      <c r="G978" s="797"/>
      <c r="H978" s="797"/>
      <c r="I978" s="797"/>
      <c r="J978" s="797"/>
      <c r="K978" s="797"/>
      <c r="L978" s="797"/>
      <c r="M978" s="797"/>
      <c r="N978" s="797"/>
      <c r="O978" s="797"/>
      <c r="P978" s="797"/>
      <c r="Q978" s="797"/>
      <c r="R978" s="661"/>
      <c r="S978" s="661"/>
      <c r="T978" s="661"/>
      <c r="U978" s="664"/>
      <c r="V978" s="665"/>
      <c r="W978" s="661"/>
      <c r="X978" s="661"/>
      <c r="Y978" s="661"/>
      <c r="Z978" s="661"/>
    </row>
    <row r="979">
      <c r="A979" s="661"/>
      <c r="B979" s="663"/>
      <c r="C979" s="795"/>
      <c r="D979" s="796"/>
      <c r="E979" s="680"/>
      <c r="F979" s="797"/>
      <c r="G979" s="797"/>
      <c r="H979" s="797"/>
      <c r="I979" s="797"/>
      <c r="J979" s="797"/>
      <c r="K979" s="797"/>
      <c r="L979" s="797"/>
      <c r="M979" s="797"/>
      <c r="N979" s="797"/>
      <c r="O979" s="797"/>
      <c r="P979" s="797"/>
      <c r="Q979" s="797"/>
      <c r="R979" s="661"/>
      <c r="S979" s="661"/>
      <c r="T979" s="661"/>
      <c r="U979" s="664"/>
      <c r="V979" s="665"/>
      <c r="W979" s="661"/>
      <c r="X979" s="661"/>
      <c r="Y979" s="661"/>
      <c r="Z979" s="661"/>
    </row>
    <row r="980">
      <c r="A980" s="661"/>
      <c r="B980" s="663"/>
      <c r="C980" s="795"/>
      <c r="D980" s="796"/>
      <c r="E980" s="680"/>
      <c r="F980" s="797"/>
      <c r="G980" s="797"/>
      <c r="H980" s="797"/>
      <c r="I980" s="797"/>
      <c r="J980" s="797"/>
      <c r="K980" s="797"/>
      <c r="L980" s="797"/>
      <c r="M980" s="797"/>
      <c r="N980" s="797"/>
      <c r="O980" s="797"/>
      <c r="P980" s="797"/>
      <c r="Q980" s="797"/>
      <c r="R980" s="661"/>
      <c r="S980" s="661"/>
      <c r="T980" s="661"/>
      <c r="U980" s="664"/>
      <c r="V980" s="665"/>
      <c r="W980" s="661"/>
      <c r="X980" s="661"/>
      <c r="Y980" s="661"/>
      <c r="Z980" s="661"/>
    </row>
    <row r="981">
      <c r="A981" s="661"/>
      <c r="B981" s="663"/>
      <c r="C981" s="795"/>
      <c r="D981" s="796"/>
      <c r="E981" s="680"/>
      <c r="F981" s="797"/>
      <c r="G981" s="797"/>
      <c r="H981" s="797"/>
      <c r="I981" s="797"/>
      <c r="J981" s="797"/>
      <c r="K981" s="797"/>
      <c r="L981" s="797"/>
      <c r="M981" s="797"/>
      <c r="N981" s="797"/>
      <c r="O981" s="797"/>
      <c r="P981" s="797"/>
      <c r="Q981" s="797"/>
      <c r="R981" s="661"/>
      <c r="S981" s="661"/>
      <c r="T981" s="661"/>
      <c r="U981" s="664"/>
      <c r="V981" s="665"/>
      <c r="W981" s="661"/>
      <c r="X981" s="661"/>
      <c r="Y981" s="661"/>
      <c r="Z981" s="661"/>
    </row>
    <row r="982">
      <c r="A982" s="661"/>
      <c r="B982" s="663"/>
      <c r="C982" s="795"/>
      <c r="D982" s="796"/>
      <c r="E982" s="680"/>
      <c r="F982" s="797"/>
      <c r="G982" s="797"/>
      <c r="H982" s="797"/>
      <c r="I982" s="797"/>
      <c r="J982" s="797"/>
      <c r="K982" s="797"/>
      <c r="L982" s="797"/>
      <c r="M982" s="797"/>
      <c r="N982" s="797"/>
      <c r="O982" s="797"/>
      <c r="P982" s="797"/>
      <c r="Q982" s="797"/>
      <c r="R982" s="661"/>
      <c r="S982" s="661"/>
      <c r="T982" s="661"/>
      <c r="U982" s="664"/>
      <c r="V982" s="665"/>
      <c r="W982" s="661"/>
      <c r="X982" s="661"/>
      <c r="Y982" s="661"/>
      <c r="Z982" s="661"/>
    </row>
    <row r="983">
      <c r="A983" s="661"/>
      <c r="B983" s="663"/>
      <c r="C983" s="795"/>
      <c r="D983" s="796"/>
      <c r="E983" s="680"/>
      <c r="F983" s="797"/>
      <c r="G983" s="797"/>
      <c r="H983" s="797"/>
      <c r="I983" s="797"/>
      <c r="J983" s="797"/>
      <c r="K983" s="797"/>
      <c r="L983" s="797"/>
      <c r="M983" s="797"/>
      <c r="N983" s="797"/>
      <c r="O983" s="797"/>
      <c r="P983" s="797"/>
      <c r="Q983" s="797"/>
      <c r="R983" s="661"/>
      <c r="S983" s="661"/>
      <c r="T983" s="661"/>
      <c r="U983" s="664"/>
      <c r="V983" s="665"/>
      <c r="W983" s="661"/>
      <c r="X983" s="661"/>
      <c r="Y983" s="661"/>
      <c r="Z983" s="661"/>
    </row>
    <row r="984">
      <c r="A984" s="661"/>
      <c r="B984" s="663"/>
      <c r="C984" s="795"/>
      <c r="D984" s="796"/>
      <c r="E984" s="680"/>
      <c r="F984" s="797"/>
      <c r="G984" s="797"/>
      <c r="H984" s="797"/>
      <c r="I984" s="797"/>
      <c r="J984" s="797"/>
      <c r="K984" s="797"/>
      <c r="L984" s="797"/>
      <c r="M984" s="797"/>
      <c r="N984" s="797"/>
      <c r="O984" s="797"/>
      <c r="P984" s="797"/>
      <c r="Q984" s="797"/>
      <c r="R984" s="661"/>
      <c r="S984" s="661"/>
      <c r="T984" s="661"/>
      <c r="U984" s="664"/>
      <c r="V984" s="665"/>
      <c r="W984" s="661"/>
      <c r="X984" s="661"/>
      <c r="Y984" s="661"/>
      <c r="Z984" s="661"/>
    </row>
    <row r="985">
      <c r="A985" s="661"/>
      <c r="B985" s="663"/>
      <c r="C985" s="795"/>
      <c r="D985" s="796"/>
      <c r="E985" s="680"/>
      <c r="F985" s="797"/>
      <c r="G985" s="797"/>
      <c r="H985" s="797"/>
      <c r="I985" s="797"/>
      <c r="J985" s="797"/>
      <c r="K985" s="797"/>
      <c r="L985" s="797"/>
      <c r="M985" s="797"/>
      <c r="N985" s="797"/>
      <c r="O985" s="797"/>
      <c r="P985" s="797"/>
      <c r="Q985" s="797"/>
      <c r="R985" s="661"/>
      <c r="S985" s="661"/>
      <c r="T985" s="661"/>
      <c r="U985" s="664"/>
      <c r="V985" s="665"/>
      <c r="W985" s="661"/>
      <c r="X985" s="661"/>
      <c r="Y985" s="661"/>
      <c r="Z985" s="661"/>
    </row>
    <row r="986">
      <c r="A986" s="661"/>
      <c r="B986" s="663"/>
      <c r="C986" s="795"/>
      <c r="D986" s="796"/>
      <c r="E986" s="680"/>
      <c r="F986" s="797"/>
      <c r="G986" s="797"/>
      <c r="H986" s="797"/>
      <c r="I986" s="797"/>
      <c r="J986" s="797"/>
      <c r="K986" s="797"/>
      <c r="L986" s="797"/>
      <c r="M986" s="797"/>
      <c r="N986" s="797"/>
      <c r="O986" s="797"/>
      <c r="P986" s="797"/>
      <c r="Q986" s="797"/>
      <c r="R986" s="661"/>
      <c r="S986" s="661"/>
      <c r="T986" s="661"/>
      <c r="U986" s="664"/>
      <c r="V986" s="665"/>
      <c r="W986" s="661"/>
      <c r="X986" s="661"/>
      <c r="Y986" s="661"/>
      <c r="Z986" s="661"/>
    </row>
    <row r="987">
      <c r="A987" s="661"/>
      <c r="B987" s="663"/>
      <c r="C987" s="795"/>
      <c r="D987" s="796"/>
      <c r="E987" s="680"/>
      <c r="F987" s="797"/>
      <c r="G987" s="797"/>
      <c r="H987" s="797"/>
      <c r="I987" s="797"/>
      <c r="J987" s="797"/>
      <c r="K987" s="797"/>
      <c r="L987" s="797"/>
      <c r="M987" s="797"/>
      <c r="N987" s="797"/>
      <c r="O987" s="797"/>
      <c r="P987" s="797"/>
      <c r="Q987" s="797"/>
      <c r="R987" s="661"/>
      <c r="S987" s="661"/>
      <c r="T987" s="661"/>
      <c r="U987" s="664"/>
      <c r="V987" s="665"/>
      <c r="W987" s="661"/>
      <c r="X987" s="661"/>
      <c r="Y987" s="661"/>
      <c r="Z987" s="661"/>
    </row>
    <row r="988">
      <c r="A988" s="661"/>
      <c r="B988" s="663"/>
      <c r="C988" s="795"/>
      <c r="D988" s="796"/>
      <c r="E988" s="680"/>
      <c r="F988" s="797"/>
      <c r="G988" s="797"/>
      <c r="H988" s="797"/>
      <c r="I988" s="797"/>
      <c r="J988" s="797"/>
      <c r="K988" s="797"/>
      <c r="L988" s="797"/>
      <c r="M988" s="797"/>
      <c r="N988" s="797"/>
      <c r="O988" s="797"/>
      <c r="P988" s="797"/>
      <c r="Q988" s="797"/>
      <c r="R988" s="661"/>
      <c r="S988" s="661"/>
      <c r="T988" s="661"/>
      <c r="U988" s="664"/>
      <c r="V988" s="665"/>
      <c r="W988" s="661"/>
      <c r="X988" s="661"/>
      <c r="Y988" s="661"/>
      <c r="Z988" s="661"/>
    </row>
    <row r="989">
      <c r="A989" s="661"/>
      <c r="B989" s="663"/>
      <c r="C989" s="795"/>
      <c r="D989" s="796"/>
      <c r="E989" s="680"/>
      <c r="F989" s="797"/>
      <c r="G989" s="797"/>
      <c r="H989" s="797"/>
      <c r="I989" s="797"/>
      <c r="J989" s="797"/>
      <c r="K989" s="797"/>
      <c r="L989" s="797"/>
      <c r="M989" s="797"/>
      <c r="N989" s="797"/>
      <c r="O989" s="797"/>
      <c r="P989" s="797"/>
      <c r="Q989" s="797"/>
      <c r="R989" s="661"/>
      <c r="S989" s="661"/>
      <c r="T989" s="661"/>
      <c r="U989" s="664"/>
      <c r="V989" s="665"/>
      <c r="W989" s="661"/>
      <c r="X989" s="661"/>
      <c r="Y989" s="661"/>
      <c r="Z989" s="661"/>
    </row>
    <row r="990">
      <c r="A990" s="661"/>
      <c r="B990" s="663"/>
      <c r="C990" s="795"/>
      <c r="D990" s="796"/>
      <c r="E990" s="680"/>
      <c r="F990" s="797"/>
      <c r="G990" s="797"/>
      <c r="H990" s="797"/>
      <c r="I990" s="797"/>
      <c r="J990" s="797"/>
      <c r="K990" s="797"/>
      <c r="L990" s="797"/>
      <c r="M990" s="797"/>
      <c r="N990" s="797"/>
      <c r="O990" s="797"/>
      <c r="P990" s="797"/>
      <c r="Q990" s="797"/>
      <c r="R990" s="661"/>
      <c r="S990" s="661"/>
      <c r="T990" s="661"/>
      <c r="U990" s="664"/>
      <c r="V990" s="665"/>
      <c r="W990" s="661"/>
      <c r="X990" s="661"/>
      <c r="Y990" s="661"/>
      <c r="Z990" s="661"/>
    </row>
    <row r="991">
      <c r="A991" s="661"/>
      <c r="B991" s="663"/>
      <c r="C991" s="795"/>
      <c r="D991" s="796"/>
      <c r="E991" s="680"/>
      <c r="F991" s="797"/>
      <c r="G991" s="797"/>
      <c r="H991" s="797"/>
      <c r="I991" s="797"/>
      <c r="J991" s="797"/>
      <c r="K991" s="797"/>
      <c r="L991" s="797"/>
      <c r="M991" s="797"/>
      <c r="N991" s="797"/>
      <c r="O991" s="797"/>
      <c r="P991" s="797"/>
      <c r="Q991" s="797"/>
      <c r="R991" s="661"/>
      <c r="S991" s="661"/>
      <c r="T991" s="661"/>
      <c r="U991" s="664"/>
      <c r="V991" s="665"/>
      <c r="W991" s="661"/>
      <c r="X991" s="661"/>
      <c r="Y991" s="661"/>
      <c r="Z991" s="661"/>
    </row>
    <row r="992">
      <c r="A992" s="661"/>
      <c r="B992" s="663"/>
      <c r="C992" s="795"/>
      <c r="D992" s="796"/>
      <c r="E992" s="680"/>
      <c r="F992" s="797"/>
      <c r="G992" s="797"/>
      <c r="H992" s="797"/>
      <c r="I992" s="797"/>
      <c r="J992" s="797"/>
      <c r="K992" s="797"/>
      <c r="L992" s="797"/>
      <c r="M992" s="797"/>
      <c r="N992" s="797"/>
      <c r="O992" s="797"/>
      <c r="P992" s="797"/>
      <c r="Q992" s="797"/>
      <c r="R992" s="661"/>
      <c r="S992" s="661"/>
      <c r="T992" s="661"/>
      <c r="U992" s="664"/>
      <c r="V992" s="665"/>
      <c r="W992" s="661"/>
      <c r="X992" s="661"/>
      <c r="Y992" s="661"/>
      <c r="Z992" s="661"/>
    </row>
    <row r="993">
      <c r="A993" s="661"/>
      <c r="B993" s="663"/>
      <c r="C993" s="795"/>
      <c r="D993" s="796"/>
      <c r="E993" s="680"/>
      <c r="F993" s="797"/>
      <c r="G993" s="797"/>
      <c r="H993" s="797"/>
      <c r="I993" s="797"/>
      <c r="J993" s="797"/>
      <c r="K993" s="797"/>
      <c r="L993" s="797"/>
      <c r="M993" s="797"/>
      <c r="N993" s="797"/>
      <c r="O993" s="797"/>
      <c r="P993" s="797"/>
      <c r="Q993" s="797"/>
      <c r="R993" s="661"/>
      <c r="S993" s="661"/>
      <c r="T993" s="661"/>
      <c r="U993" s="664"/>
      <c r="V993" s="665"/>
      <c r="W993" s="661"/>
      <c r="X993" s="661"/>
      <c r="Y993" s="661"/>
      <c r="Z993" s="661"/>
    </row>
    <row r="994">
      <c r="A994" s="661"/>
      <c r="B994" s="663"/>
      <c r="C994" s="795"/>
      <c r="D994" s="796"/>
      <c r="E994" s="680"/>
      <c r="F994" s="797"/>
      <c r="G994" s="797"/>
      <c r="H994" s="797"/>
      <c r="I994" s="797"/>
      <c r="J994" s="797"/>
      <c r="K994" s="797"/>
      <c r="L994" s="797"/>
      <c r="M994" s="797"/>
      <c r="N994" s="797"/>
      <c r="O994" s="797"/>
      <c r="P994" s="797"/>
      <c r="Q994" s="797"/>
      <c r="R994" s="661"/>
      <c r="S994" s="661"/>
      <c r="T994" s="661"/>
      <c r="U994" s="664"/>
      <c r="V994" s="665"/>
      <c r="W994" s="661"/>
      <c r="X994" s="661"/>
      <c r="Y994" s="661"/>
      <c r="Z994" s="661"/>
    </row>
    <row r="995">
      <c r="A995" s="661"/>
      <c r="B995" s="663"/>
      <c r="C995" s="795"/>
      <c r="D995" s="796"/>
      <c r="E995" s="680"/>
      <c r="F995" s="797"/>
      <c r="G995" s="797"/>
      <c r="H995" s="797"/>
      <c r="I995" s="797"/>
      <c r="J995" s="797"/>
      <c r="K995" s="797"/>
      <c r="L995" s="797"/>
      <c r="M995" s="797"/>
      <c r="N995" s="797"/>
      <c r="O995" s="797"/>
      <c r="P995" s="797"/>
      <c r="Q995" s="797"/>
      <c r="R995" s="661"/>
      <c r="S995" s="661"/>
      <c r="T995" s="661"/>
      <c r="U995" s="664"/>
      <c r="V995" s="665"/>
      <c r="W995" s="661"/>
      <c r="X995" s="661"/>
      <c r="Y995" s="661"/>
      <c r="Z995" s="661"/>
    </row>
    <row r="996">
      <c r="A996" s="661"/>
      <c r="B996" s="663"/>
      <c r="C996" s="795"/>
      <c r="D996" s="796"/>
      <c r="E996" s="680"/>
      <c r="F996" s="797"/>
      <c r="G996" s="797"/>
      <c r="H996" s="797"/>
      <c r="I996" s="797"/>
      <c r="J996" s="797"/>
      <c r="K996" s="797"/>
      <c r="L996" s="797"/>
      <c r="M996" s="797"/>
      <c r="N996" s="797"/>
      <c r="O996" s="797"/>
      <c r="P996" s="797"/>
      <c r="Q996" s="797"/>
      <c r="R996" s="661"/>
      <c r="S996" s="661"/>
      <c r="T996" s="661"/>
      <c r="U996" s="664"/>
      <c r="V996" s="665"/>
      <c r="W996" s="661"/>
      <c r="X996" s="661"/>
      <c r="Y996" s="661"/>
      <c r="Z996" s="661"/>
    </row>
    <row r="997">
      <c r="A997" s="661"/>
      <c r="B997" s="663"/>
      <c r="C997" s="795"/>
      <c r="D997" s="796"/>
      <c r="E997" s="680"/>
      <c r="F997" s="797"/>
      <c r="G997" s="797"/>
      <c r="H997" s="797"/>
      <c r="I997" s="797"/>
      <c r="J997" s="797"/>
      <c r="K997" s="797"/>
      <c r="L997" s="797"/>
      <c r="M997" s="797"/>
      <c r="N997" s="797"/>
      <c r="O997" s="797"/>
      <c r="P997" s="797"/>
      <c r="Q997" s="797"/>
      <c r="R997" s="661"/>
      <c r="S997" s="661"/>
      <c r="T997" s="661"/>
      <c r="U997" s="664"/>
      <c r="V997" s="665"/>
      <c r="W997" s="661"/>
      <c r="X997" s="661"/>
      <c r="Y997" s="661"/>
      <c r="Z997" s="661"/>
    </row>
    <row r="998">
      <c r="A998" s="661"/>
      <c r="B998" s="663"/>
      <c r="C998" s="795"/>
      <c r="D998" s="796"/>
      <c r="E998" s="680"/>
      <c r="F998" s="797"/>
      <c r="G998" s="797"/>
      <c r="H998" s="797"/>
      <c r="I998" s="797"/>
      <c r="J998" s="797"/>
      <c r="K998" s="797"/>
      <c r="L998" s="797"/>
      <c r="M998" s="797"/>
      <c r="N998" s="797"/>
      <c r="O998" s="797"/>
      <c r="P998" s="797"/>
      <c r="Q998" s="797"/>
      <c r="R998" s="661"/>
      <c r="S998" s="661"/>
      <c r="T998" s="661"/>
      <c r="U998" s="664"/>
      <c r="V998" s="665"/>
      <c r="W998" s="661"/>
      <c r="X998" s="661"/>
      <c r="Y998" s="661"/>
      <c r="Z998" s="661"/>
    </row>
    <row r="999">
      <c r="A999" s="661"/>
      <c r="B999" s="663"/>
      <c r="C999" s="795"/>
      <c r="D999" s="796"/>
      <c r="E999" s="680"/>
      <c r="F999" s="797"/>
      <c r="G999" s="797"/>
      <c r="H999" s="797"/>
      <c r="I999" s="797"/>
      <c r="J999" s="797"/>
      <c r="K999" s="797"/>
      <c r="L999" s="797"/>
      <c r="M999" s="797"/>
      <c r="N999" s="797"/>
      <c r="O999" s="797"/>
      <c r="P999" s="797"/>
      <c r="Q999" s="797"/>
      <c r="R999" s="661"/>
      <c r="S999" s="661"/>
      <c r="T999" s="661"/>
      <c r="U999" s="664"/>
      <c r="V999" s="665"/>
      <c r="W999" s="661"/>
      <c r="X999" s="661"/>
      <c r="Y999" s="661"/>
      <c r="Z999" s="661"/>
    </row>
    <row r="1000">
      <c r="A1000" s="661"/>
      <c r="B1000" s="663"/>
      <c r="C1000" s="795"/>
      <c r="D1000" s="796"/>
      <c r="E1000" s="680"/>
      <c r="F1000" s="797"/>
      <c r="G1000" s="797"/>
      <c r="H1000" s="797"/>
      <c r="I1000" s="797"/>
      <c r="J1000" s="797"/>
      <c r="K1000" s="797"/>
      <c r="L1000" s="797"/>
      <c r="M1000" s="797"/>
      <c r="N1000" s="797"/>
      <c r="O1000" s="797"/>
      <c r="P1000" s="797"/>
      <c r="Q1000" s="797"/>
      <c r="R1000" s="661"/>
      <c r="S1000" s="661"/>
      <c r="T1000" s="661"/>
      <c r="U1000" s="664"/>
      <c r="V1000" s="665"/>
      <c r="W1000" s="661"/>
      <c r="X1000" s="661"/>
      <c r="Y1000" s="661"/>
      <c r="Z1000" s="661"/>
    </row>
    <row r="1001">
      <c r="A1001" s="661"/>
      <c r="B1001" s="663"/>
      <c r="C1001" s="795"/>
      <c r="D1001" s="796"/>
      <c r="E1001" s="680"/>
      <c r="F1001" s="797"/>
      <c r="G1001" s="797"/>
      <c r="H1001" s="797"/>
      <c r="I1001" s="797"/>
      <c r="J1001" s="797"/>
      <c r="K1001" s="797"/>
      <c r="L1001" s="797"/>
      <c r="M1001" s="797"/>
      <c r="N1001" s="797"/>
      <c r="O1001" s="797"/>
      <c r="P1001" s="797"/>
      <c r="Q1001" s="797"/>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527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528</v>
      </c>
      <c r="C4" s="806"/>
      <c r="D4" s="807" t="s">
        <v>529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530</v>
      </c>
      <c r="G5" s="812"/>
      <c r="H5" s="813" t="b">
        <v>0</v>
      </c>
      <c r="J5" s="814"/>
      <c r="K5" s="798"/>
      <c r="L5" s="815" t="s">
        <v>531</v>
      </c>
      <c r="T5" s="814"/>
      <c r="U5" s="816" t="s">
        <v>532</v>
      </c>
      <c r="AC5" s="799"/>
      <c r="AD5" s="817" t="s">
        <v>96</v>
      </c>
      <c r="AE5" s="817" t="s">
        <v>533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534</v>
      </c>
      <c r="M7" s="236"/>
      <c r="N7" s="236"/>
      <c r="O7" s="236"/>
      <c r="P7" s="236"/>
      <c r="Q7" s="236"/>
      <c r="R7" s="236"/>
      <c r="S7" s="113"/>
      <c r="T7" s="821" t="s">
        <v>535</v>
      </c>
      <c r="U7" s="822" t="s">
        <v>536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537</v>
      </c>
      <c r="C8" s="824"/>
      <c r="D8" s="825" t="s">
        <v>51</v>
      </c>
      <c r="E8" s="826" t="str">
        <f>IFERROR(__xludf.DUMMYFUNCTION("IFERROR(INDEX(FILTER($AE$6:$AE$200, $AD$6:$AD$200=$B$5, REGEXMATCH($AE$6:$AE$200, ""集計"")), 1), """")
"),"①R8_2集計")</f>
        <v>①R8_2集計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538</v>
      </c>
      <c r="C13" s="844"/>
      <c r="D13" s="845" t="s">
        <v>51</v>
      </c>
      <c r="E13" s="846" t="s">
        <v>539</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540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541</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542</v>
      </c>
      <c r="C20" s="830" t="s">
        <v>543</v>
      </c>
      <c r="D20" s="830" t="s">
        <v>89</v>
      </c>
      <c r="E20" s="830" t="s">
        <v>90</v>
      </c>
      <c r="F20" s="830" t="s">
        <v>544</v>
      </c>
      <c r="G20" s="830" t="s">
        <v>135</v>
      </c>
      <c r="H20" s="830" t="s">
        <v>135</v>
      </c>
      <c r="I20" s="830" t="s">
        <v>545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546</v>
      </c>
      <c r="M21" s="232"/>
      <c r="N21" s="232"/>
      <c r="O21" s="232"/>
      <c r="P21" s="232"/>
      <c r="Q21" s="232"/>
      <c r="R21" s="232"/>
      <c r="S21" s="3"/>
      <c r="T21" s="821" t="s">
        <v>535</v>
      </c>
      <c r="U21" s="822" t="s">
        <v>547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548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549</v>
      </c>
      <c r="C25" s="870" t="s">
        <v>550</v>
      </c>
      <c r="D25" s="3"/>
      <c r="E25" s="870" t="s">
        <v>551</v>
      </c>
      <c r="F25" s="232"/>
      <c r="G25" s="232"/>
      <c r="H25" s="870" t="s">
        <v>552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553</v>
      </c>
      <c r="M35" s="232"/>
      <c r="N35" s="232"/>
      <c r="O35" s="232"/>
      <c r="P35" s="232"/>
      <c r="Q35" s="232"/>
      <c r="R35" s="232"/>
      <c r="S35" s="3"/>
      <c r="T35" s="821" t="s">
        <v>535</v>
      </c>
      <c r="U35" s="822" t="s">
        <v>553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554</v>
      </c>
      <c r="C37" s="877"/>
      <c r="D37" s="878">
        <f>counta(C39:D48)</f>
        <v>0</v>
      </c>
      <c r="E37" s="879" t="s">
        <v>555</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433</v>
      </c>
      <c r="D38" s="883"/>
      <c r="E38" s="882" t="s">
        <v>551</v>
      </c>
      <c r="F38" s="883"/>
      <c r="G38" s="882" t="s">
        <v>556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557</v>
      </c>
      <c r="M49" s="232"/>
      <c r="N49" s="232"/>
      <c r="O49" s="232"/>
      <c r="P49" s="232"/>
      <c r="Q49" s="232"/>
      <c r="R49" s="232"/>
      <c r="S49" s="3"/>
      <c r="T49" s="821" t="s">
        <v>535</v>
      </c>
      <c r="U49" s="822" t="s">
        <v>558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559</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560</v>
      </c>
      <c r="C51" s="882" t="s">
        <v>433</v>
      </c>
      <c r="D51" s="883"/>
      <c r="E51" s="881" t="s">
        <v>561</v>
      </c>
      <c r="F51" s="881" t="s">
        <v>562</v>
      </c>
      <c r="G51" s="881" t="s">
        <v>563</v>
      </c>
      <c r="H51" s="882" t="s">
        <v>564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565</v>
      </c>
      <c r="M63" s="232"/>
      <c r="N63" s="232"/>
      <c r="O63" s="232"/>
      <c r="P63" s="232"/>
      <c r="Q63" s="232"/>
      <c r="R63" s="232"/>
      <c r="S63" s="3"/>
      <c r="T63" s="821" t="s">
        <v>535</v>
      </c>
      <c r="U63" s="822" t="s">
        <v>566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567</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560</v>
      </c>
      <c r="C65" s="882" t="s">
        <v>433</v>
      </c>
      <c r="D65" s="883"/>
      <c r="E65" s="881" t="s">
        <v>568</v>
      </c>
      <c r="F65" s="882" t="s">
        <v>569</v>
      </c>
      <c r="G65" s="883"/>
      <c r="H65" s="882" t="s">
        <v>564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570</v>
      </c>
      <c r="M77" s="232"/>
      <c r="N77" s="232"/>
      <c r="O77" s="232"/>
      <c r="P77" s="232"/>
      <c r="Q77" s="232"/>
      <c r="R77" s="232"/>
      <c r="S77" s="3"/>
      <c r="T77" s="814"/>
      <c r="U77" s="906" t="s">
        <v>571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572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9"/>
      <c r="B1" s="1130"/>
      <c r="C1" s="1131"/>
      <c r="D1" s="1132"/>
      <c r="E1" s="1132"/>
      <c r="F1" s="1132"/>
      <c r="G1" s="1133"/>
      <c r="H1" s="1133"/>
      <c r="I1" s="1133"/>
      <c r="J1" s="1134"/>
      <c r="K1" s="1133"/>
      <c r="L1" s="1133"/>
      <c r="M1" s="1133"/>
      <c r="N1" s="1133"/>
      <c r="O1" s="1133"/>
      <c r="P1" s="1133"/>
      <c r="Q1" s="1133"/>
      <c r="R1" s="1133"/>
      <c r="S1" s="1133"/>
      <c r="T1" s="1133"/>
      <c r="U1" s="1133"/>
      <c r="V1" s="1135"/>
      <c r="W1" s="1135"/>
    </row>
    <row r="2">
      <c r="A2" s="1129"/>
      <c r="B2" s="1133"/>
      <c r="C2" s="1133"/>
      <c r="D2" s="1136"/>
      <c r="E2" s="1136"/>
      <c r="F2" s="1136"/>
      <c r="G2" s="1137"/>
      <c r="H2" s="1138"/>
      <c r="J2" s="1133"/>
      <c r="K2" s="1133"/>
      <c r="L2" s="1133"/>
      <c r="M2" s="1133"/>
      <c r="N2" s="1133"/>
      <c r="O2" s="1133"/>
      <c r="P2" s="1133"/>
      <c r="Q2" s="1133"/>
      <c r="R2" s="1133"/>
      <c r="S2" s="1133"/>
      <c r="T2" s="1133"/>
      <c r="U2" s="1133"/>
      <c r="V2" s="1135"/>
      <c r="W2" s="1135"/>
    </row>
    <row r="3">
      <c r="A3" s="1129"/>
      <c r="B3" s="1139"/>
      <c r="C3" s="1140" t="s">
        <v>53</v>
      </c>
      <c r="D3" s="1140" t="s">
        <v>54</v>
      </c>
      <c r="E3" s="1140" t="s">
        <v>56</v>
      </c>
      <c r="F3" s="1140" t="s">
        <v>58</v>
      </c>
      <c r="G3" s="1140" t="s">
        <v>60</v>
      </c>
      <c r="H3" s="1140" t="s">
        <v>62</v>
      </c>
      <c r="I3" s="1140" t="s">
        <v>64</v>
      </c>
      <c r="J3" s="1140" t="s">
        <v>66</v>
      </c>
      <c r="K3" s="1140" t="s">
        <v>68</v>
      </c>
      <c r="L3" s="1140" t="s">
        <v>70</v>
      </c>
      <c r="M3" s="1140" t="s">
        <v>72</v>
      </c>
      <c r="N3" s="1140" t="s">
        <v>74</v>
      </c>
      <c r="O3" s="1141" t="s">
        <v>344</v>
      </c>
      <c r="P3" s="1133"/>
      <c r="Q3" s="1133"/>
      <c r="R3" s="1133"/>
      <c r="S3" s="1133"/>
      <c r="T3" s="1133"/>
      <c r="U3" s="1133"/>
      <c r="V3" s="1142" t="s">
        <v>1011</v>
      </c>
      <c r="W3" s="1135"/>
    </row>
    <row r="4">
      <c r="A4" s="1143"/>
      <c r="B4" s="1144" t="s">
        <v>135</v>
      </c>
      <c r="C4" s="1145"/>
      <c r="D4" s="1145"/>
      <c r="E4" s="1145"/>
      <c r="F4" s="1145"/>
      <c r="G4" s="1145"/>
      <c r="H4" s="1145"/>
      <c r="I4" s="1145"/>
      <c r="J4" s="1145"/>
      <c r="K4" s="1145"/>
      <c r="L4" s="1145"/>
      <c r="M4" s="1145"/>
      <c r="N4" s="1145"/>
      <c r="O4" s="1146"/>
      <c r="P4" s="1133"/>
      <c r="Q4" s="1133"/>
      <c r="R4" s="1133"/>
      <c r="S4" s="1133"/>
      <c r="T4" s="1133"/>
      <c r="U4" s="1133"/>
      <c r="V4" s="1142"/>
      <c r="W4" s="1135"/>
    </row>
    <row r="5">
      <c r="A5" s="1143"/>
      <c r="B5" s="1147" t="s">
        <v>1012</v>
      </c>
      <c r="C5" s="1148">
        <v>0.8504</v>
      </c>
      <c r="D5" s="1148">
        <v>0.8518</v>
      </c>
      <c r="E5" s="1148">
        <v>0.8756</v>
      </c>
      <c r="F5" s="1148">
        <v>0.8448</v>
      </c>
      <c r="G5" s="1148">
        <v>0.8442</v>
      </c>
      <c r="H5" s="1148">
        <v>0.8413</v>
      </c>
      <c r="I5" s="1148">
        <v>0.8719</v>
      </c>
      <c r="J5" s="1148">
        <v>0.8766</v>
      </c>
      <c r="K5" s="1148">
        <v>0.8737</v>
      </c>
      <c r="L5" s="1148">
        <v>0.8779</v>
      </c>
      <c r="M5" s="1148">
        <v>0.863</v>
      </c>
      <c r="N5" s="1148">
        <v>0.7718</v>
      </c>
      <c r="O5" s="1148">
        <v>0.8536</v>
      </c>
      <c r="P5" s="1133"/>
      <c r="Q5" s="1133"/>
      <c r="R5" s="1133"/>
      <c r="S5" s="1133"/>
      <c r="T5" s="1133"/>
      <c r="U5" s="1133"/>
      <c r="V5" s="1142"/>
      <c r="W5" s="1135"/>
    </row>
    <row r="6">
      <c r="A6" s="1143"/>
      <c r="B6" s="1149" t="s">
        <v>277</v>
      </c>
      <c r="C6" s="1150">
        <f t="shared" ref="C6:N6" si="1">iferror(indirect(C3&amp;"!G8"),"")</f>
        <v>0.8718105736</v>
      </c>
      <c r="D6" s="1150">
        <f t="shared" si="1"/>
        <v>0.8882949309</v>
      </c>
      <c r="E6" s="1150">
        <f t="shared" si="1"/>
        <v>0.8685714286</v>
      </c>
      <c r="F6" s="1150" t="str">
        <f t="shared" si="1"/>
        <v/>
      </c>
      <c r="G6" s="1150" t="str">
        <f t="shared" si="1"/>
        <v/>
      </c>
      <c r="H6" s="1150" t="str">
        <f t="shared" si="1"/>
        <v/>
      </c>
      <c r="I6" s="1150" t="str">
        <f t="shared" si="1"/>
        <v/>
      </c>
      <c r="J6" s="1150" t="str">
        <f t="shared" si="1"/>
        <v/>
      </c>
      <c r="K6" s="1150" t="str">
        <f t="shared" si="1"/>
        <v/>
      </c>
      <c r="L6" s="1150" t="str">
        <f t="shared" si="1"/>
        <v/>
      </c>
      <c r="M6" s="1150" t="str">
        <f t="shared" si="1"/>
        <v/>
      </c>
      <c r="N6" s="1150" t="str">
        <f t="shared" si="1"/>
        <v/>
      </c>
      <c r="O6" s="1150">
        <f>AVERAGE(C6:N6)</f>
        <v>0.8762256443</v>
      </c>
      <c r="P6" s="1133"/>
      <c r="Q6" s="1133"/>
      <c r="R6" s="1133"/>
      <c r="S6" s="1133"/>
      <c r="T6" s="1133"/>
      <c r="U6" s="1133"/>
      <c r="V6" s="1142">
        <v>13.0</v>
      </c>
      <c r="W6" s="1135"/>
    </row>
    <row r="7">
      <c r="A7" s="1143"/>
      <c r="B7" s="1149" t="s">
        <v>278</v>
      </c>
      <c r="C7" s="1151">
        <f t="shared" ref="C7:N7" si="2">iferror(indirect(C3&amp;"!H8"),"")</f>
        <v>4791800</v>
      </c>
      <c r="D7" s="1151">
        <f t="shared" si="2"/>
        <v>5290320</v>
      </c>
      <c r="E7" s="1151">
        <f t="shared" si="2"/>
        <v>136905</v>
      </c>
      <c r="F7" s="1151" t="str">
        <f t="shared" si="2"/>
        <v/>
      </c>
      <c r="G7" s="1151" t="str">
        <f t="shared" si="2"/>
        <v/>
      </c>
      <c r="H7" s="1151" t="str">
        <f t="shared" si="2"/>
        <v/>
      </c>
      <c r="I7" s="1151" t="str">
        <f t="shared" si="2"/>
        <v/>
      </c>
      <c r="J7" s="1151" t="str">
        <f t="shared" si="2"/>
        <v/>
      </c>
      <c r="K7" s="1151" t="str">
        <f t="shared" si="2"/>
        <v/>
      </c>
      <c r="L7" s="1151" t="str">
        <f t="shared" si="2"/>
        <v/>
      </c>
      <c r="M7" s="1151" t="str">
        <f t="shared" si="2"/>
        <v/>
      </c>
      <c r="N7" s="1151" t="str">
        <f t="shared" si="2"/>
        <v/>
      </c>
      <c r="O7" s="1151">
        <f t="shared" ref="O7:O13" si="4">sum(C7:N7)</f>
        <v>10219025</v>
      </c>
      <c r="P7" s="1134"/>
      <c r="Q7" s="1133"/>
      <c r="R7" s="1133"/>
      <c r="S7" s="1133"/>
      <c r="T7" s="1133"/>
      <c r="U7" s="1133"/>
      <c r="V7" s="1142">
        <v>4.0</v>
      </c>
      <c r="W7" s="1135"/>
    </row>
    <row r="8">
      <c r="A8" s="1143"/>
      <c r="B8" s="1149" t="s">
        <v>1013</v>
      </c>
      <c r="C8" s="1152">
        <f t="shared" ref="C8:N8" si="3">iferror(indirect(C3&amp;"!AZ20"),"")</f>
        <v>853150</v>
      </c>
      <c r="D8" s="1152">
        <f t="shared" si="3"/>
        <v>700013.6364</v>
      </c>
      <c r="E8" s="1152">
        <f t="shared" si="3"/>
        <v>23128.78788</v>
      </c>
      <c r="F8" s="1152" t="str">
        <f t="shared" si="3"/>
        <v/>
      </c>
      <c r="G8" s="1152" t="str">
        <f t="shared" si="3"/>
        <v/>
      </c>
      <c r="H8" s="1152" t="str">
        <f t="shared" si="3"/>
        <v/>
      </c>
      <c r="I8" s="1152" t="str">
        <f t="shared" si="3"/>
        <v/>
      </c>
      <c r="J8" s="1152" t="str">
        <f t="shared" si="3"/>
        <v/>
      </c>
      <c r="K8" s="1152" t="str">
        <f t="shared" si="3"/>
        <v/>
      </c>
      <c r="L8" s="1152" t="str">
        <f t="shared" si="3"/>
        <v/>
      </c>
      <c r="M8" s="1152" t="str">
        <f t="shared" si="3"/>
        <v/>
      </c>
      <c r="N8" s="1152" t="str">
        <f t="shared" si="3"/>
        <v/>
      </c>
      <c r="O8" s="1151">
        <f t="shared" si="4"/>
        <v>1576292.424</v>
      </c>
      <c r="P8" s="1134"/>
      <c r="Q8" s="1133"/>
      <c r="R8" s="1133"/>
      <c r="S8" s="1133"/>
      <c r="T8" s="1133"/>
      <c r="U8" s="1133"/>
      <c r="V8" s="1142">
        <v>5.0</v>
      </c>
      <c r="W8" s="1135"/>
    </row>
    <row r="9">
      <c r="A9" s="1143"/>
      <c r="B9" s="1149" t="s">
        <v>926</v>
      </c>
      <c r="C9" s="1152">
        <f t="shared" ref="C9:N9" si="5">iferror(indirect(C3&amp;"!BG23")-indirect(C3&amp;"!BE24"),"")</f>
        <v>3065489.833</v>
      </c>
      <c r="D9" s="1152">
        <f t="shared" si="5"/>
        <v>3180993.667</v>
      </c>
      <c r="E9" s="1152">
        <f t="shared" si="5"/>
        <v>72804.66667</v>
      </c>
      <c r="F9" s="1152" t="str">
        <f t="shared" si="5"/>
        <v/>
      </c>
      <c r="G9" s="1152" t="str">
        <f t="shared" si="5"/>
        <v/>
      </c>
      <c r="H9" s="1152" t="str">
        <f t="shared" si="5"/>
        <v/>
      </c>
      <c r="I9" s="1152" t="str">
        <f t="shared" si="5"/>
        <v/>
      </c>
      <c r="J9" s="1152" t="str">
        <f t="shared" si="5"/>
        <v/>
      </c>
      <c r="K9" s="1152" t="str">
        <f t="shared" si="5"/>
        <v/>
      </c>
      <c r="L9" s="1152" t="str">
        <f t="shared" si="5"/>
        <v/>
      </c>
      <c r="M9" s="1152" t="str">
        <f t="shared" si="5"/>
        <v/>
      </c>
      <c r="N9" s="1152" t="str">
        <f t="shared" si="5"/>
        <v/>
      </c>
      <c r="O9" s="1151">
        <f t="shared" si="4"/>
        <v>6319288.167</v>
      </c>
      <c r="P9" s="1133"/>
      <c r="Q9" s="1134"/>
      <c r="R9" s="1133"/>
      <c r="S9" s="1133"/>
      <c r="T9" s="1133"/>
      <c r="U9" s="1133"/>
      <c r="V9" s="1142">
        <v>6.0</v>
      </c>
      <c r="W9" s="1135"/>
    </row>
    <row r="10">
      <c r="A10" s="1143"/>
      <c r="B10" s="1149" t="s">
        <v>1014</v>
      </c>
      <c r="C10" s="1151">
        <f t="shared" ref="C10:N10" si="6">iferror(indirect(C3&amp;"!BB23")+indirect(C3&amp;"!BG40"),"")</f>
        <v>60000</v>
      </c>
      <c r="D10" s="1151">
        <f t="shared" si="6"/>
        <v>60000</v>
      </c>
      <c r="E10" s="1151">
        <f t="shared" si="6"/>
        <v>60000</v>
      </c>
      <c r="F10" s="1151" t="str">
        <f t="shared" si="6"/>
        <v/>
      </c>
      <c r="G10" s="1151" t="str">
        <f t="shared" si="6"/>
        <v/>
      </c>
      <c r="H10" s="1151" t="str">
        <f t="shared" si="6"/>
        <v/>
      </c>
      <c r="I10" s="1151" t="str">
        <f t="shared" si="6"/>
        <v/>
      </c>
      <c r="J10" s="1151" t="str">
        <f t="shared" si="6"/>
        <v/>
      </c>
      <c r="K10" s="1151" t="str">
        <f t="shared" si="6"/>
        <v/>
      </c>
      <c r="L10" s="1151" t="str">
        <f t="shared" si="6"/>
        <v/>
      </c>
      <c r="M10" s="1151" t="str">
        <f t="shared" si="6"/>
        <v/>
      </c>
      <c r="N10" s="1151" t="str">
        <f t="shared" si="6"/>
        <v/>
      </c>
      <c r="O10" s="1151">
        <f t="shared" si="4"/>
        <v>180000</v>
      </c>
      <c r="P10" s="1133"/>
      <c r="Q10" s="1133"/>
      <c r="R10" s="1133"/>
      <c r="S10" s="1133"/>
      <c r="T10" s="1133"/>
      <c r="U10" s="1133"/>
      <c r="V10" s="1142">
        <v>7.0</v>
      </c>
      <c r="W10" s="1135"/>
    </row>
    <row r="11">
      <c r="A11" s="1143"/>
      <c r="B11" s="1149" t="s">
        <v>279</v>
      </c>
      <c r="C11" s="1151">
        <f t="shared" ref="C11:N11" si="7">iferror(indirect(C3&amp;"!I8"),"")</f>
        <v>127312.125</v>
      </c>
      <c r="D11" s="1151">
        <f t="shared" si="7"/>
        <v>104660.7955</v>
      </c>
      <c r="E11" s="1151">
        <f t="shared" si="7"/>
        <v>3488.693182</v>
      </c>
      <c r="F11" s="1151" t="str">
        <f t="shared" si="7"/>
        <v/>
      </c>
      <c r="G11" s="1151" t="str">
        <f t="shared" si="7"/>
        <v/>
      </c>
      <c r="H11" s="1151" t="str">
        <f t="shared" si="7"/>
        <v/>
      </c>
      <c r="I11" s="1151" t="str">
        <f t="shared" si="7"/>
        <v/>
      </c>
      <c r="J11" s="1151" t="str">
        <f t="shared" si="7"/>
        <v/>
      </c>
      <c r="K11" s="1151" t="str">
        <f t="shared" si="7"/>
        <v/>
      </c>
      <c r="L11" s="1151" t="str">
        <f t="shared" si="7"/>
        <v/>
      </c>
      <c r="M11" s="1151" t="str">
        <f t="shared" si="7"/>
        <v/>
      </c>
      <c r="N11" s="1151" t="str">
        <f t="shared" si="7"/>
        <v/>
      </c>
      <c r="O11" s="1151">
        <f t="shared" si="4"/>
        <v>235461.6136</v>
      </c>
      <c r="P11" s="1133"/>
      <c r="Q11" s="1133"/>
      <c r="R11" s="1133"/>
      <c r="S11" s="1133"/>
      <c r="T11" s="1133"/>
      <c r="U11" s="1133"/>
      <c r="V11" s="1142">
        <v>8.0</v>
      </c>
      <c r="W11" s="1135"/>
    </row>
    <row r="12">
      <c r="A12" s="1143"/>
      <c r="B12" s="1149" t="s">
        <v>280</v>
      </c>
      <c r="C12" s="1151">
        <f t="shared" ref="C12:N12" si="8">iferror(indirect(C3&amp;"!J8"),"")</f>
        <v>0</v>
      </c>
      <c r="D12" s="1151">
        <f t="shared" si="8"/>
        <v>30875</v>
      </c>
      <c r="E12" s="1151">
        <f t="shared" si="8"/>
        <v>30875</v>
      </c>
      <c r="F12" s="1151" t="str">
        <f t="shared" si="8"/>
        <v/>
      </c>
      <c r="G12" s="1151" t="str">
        <f t="shared" si="8"/>
        <v/>
      </c>
      <c r="H12" s="1151" t="str">
        <f t="shared" si="8"/>
        <v/>
      </c>
      <c r="I12" s="1151" t="str">
        <f t="shared" si="8"/>
        <v/>
      </c>
      <c r="J12" s="1151" t="str">
        <f t="shared" si="8"/>
        <v/>
      </c>
      <c r="K12" s="1151" t="str">
        <f t="shared" si="8"/>
        <v/>
      </c>
      <c r="L12" s="1151" t="str">
        <f t="shared" si="8"/>
        <v/>
      </c>
      <c r="M12" s="1151" t="str">
        <f t="shared" si="8"/>
        <v/>
      </c>
      <c r="N12" s="1151" t="str">
        <f t="shared" si="8"/>
        <v/>
      </c>
      <c r="O12" s="1151">
        <f t="shared" si="4"/>
        <v>61750</v>
      </c>
      <c r="P12" s="1133"/>
      <c r="Q12" s="1133"/>
      <c r="R12" s="1133"/>
      <c r="S12" s="1133"/>
      <c r="T12" s="1133"/>
      <c r="U12" s="1133"/>
      <c r="V12" s="1142">
        <v>9.0</v>
      </c>
      <c r="W12" s="1135"/>
    </row>
    <row r="13">
      <c r="A13" s="1143"/>
      <c r="B13" s="1149" t="s">
        <v>283</v>
      </c>
      <c r="C13" s="1151">
        <f t="shared" ref="C13:N13" si="9">iferror(indirect(C3&amp;"!M8"),"")</f>
        <v>745848.0417</v>
      </c>
      <c r="D13" s="1151">
        <f t="shared" si="9"/>
        <v>1304651.902</v>
      </c>
      <c r="E13" s="1151">
        <f t="shared" si="9"/>
        <v>37482.85227</v>
      </c>
      <c r="F13" s="1151" t="str">
        <f t="shared" si="9"/>
        <v/>
      </c>
      <c r="G13" s="1151" t="str">
        <f t="shared" si="9"/>
        <v/>
      </c>
      <c r="H13" s="1151" t="str">
        <f t="shared" si="9"/>
        <v/>
      </c>
      <c r="I13" s="1151" t="str">
        <f t="shared" si="9"/>
        <v/>
      </c>
      <c r="J13" s="1151" t="str">
        <f t="shared" si="9"/>
        <v/>
      </c>
      <c r="K13" s="1151" t="str">
        <f t="shared" si="9"/>
        <v/>
      </c>
      <c r="L13" s="1151" t="str">
        <f t="shared" si="9"/>
        <v/>
      </c>
      <c r="M13" s="1151" t="str">
        <f t="shared" si="9"/>
        <v/>
      </c>
      <c r="N13" s="1151" t="str">
        <f t="shared" si="9"/>
        <v/>
      </c>
      <c r="O13" s="1151">
        <f t="shared" si="4"/>
        <v>2087982.795</v>
      </c>
      <c r="P13" s="1133"/>
      <c r="Q13" s="1133"/>
      <c r="R13" s="1133"/>
      <c r="S13" s="1133"/>
      <c r="T13" s="1133"/>
      <c r="U13" s="1133"/>
      <c r="V13" s="1142">
        <v>10.0</v>
      </c>
      <c r="W13" s="1135"/>
    </row>
    <row r="14">
      <c r="A14" s="1143"/>
      <c r="B14" s="1149" t="s">
        <v>917</v>
      </c>
      <c r="C14" s="1150">
        <f t="shared" ref="C14:N14" si="10">iferror(indirect(C3&amp;"!E8"),"")</f>
        <v>0.6397365986</v>
      </c>
      <c r="D14" s="1150">
        <f t="shared" si="10"/>
        <v>0.6012856815</v>
      </c>
      <c r="E14" s="1150">
        <f t="shared" si="10"/>
        <v>0.5317896838</v>
      </c>
      <c r="F14" s="1150" t="str">
        <f t="shared" si="10"/>
        <v/>
      </c>
      <c r="G14" s="1150" t="str">
        <f t="shared" si="10"/>
        <v/>
      </c>
      <c r="H14" s="1150" t="str">
        <f t="shared" si="10"/>
        <v/>
      </c>
      <c r="I14" s="1150" t="str">
        <f t="shared" si="10"/>
        <v/>
      </c>
      <c r="J14" s="1150" t="str">
        <f t="shared" si="10"/>
        <v/>
      </c>
      <c r="K14" s="1150" t="str">
        <f t="shared" si="10"/>
        <v/>
      </c>
      <c r="L14" s="1150" t="str">
        <f t="shared" si="10"/>
        <v/>
      </c>
      <c r="M14" s="1150" t="str">
        <f t="shared" si="10"/>
        <v/>
      </c>
      <c r="N14" s="1150" t="str">
        <f t="shared" si="10"/>
        <v/>
      </c>
      <c r="O14" s="1150">
        <f>(O9+O10)/O7</f>
        <v>0.6359988518</v>
      </c>
      <c r="P14" s="1133"/>
      <c r="Q14" s="1133"/>
      <c r="R14" s="1133"/>
      <c r="S14" s="1133"/>
      <c r="T14" s="1133"/>
      <c r="U14" s="1133"/>
      <c r="V14" s="1142">
        <v>11.0</v>
      </c>
      <c r="W14" s="1135"/>
    </row>
    <row r="15">
      <c r="A15" s="1143"/>
      <c r="B15" s="1149" t="s">
        <v>275</v>
      </c>
      <c r="C15" s="1150">
        <f t="shared" ref="C15:N15" si="11">iferror(indirect(C3&amp;"!C8"),"")</f>
        <v>0.1556509123</v>
      </c>
      <c r="D15" s="1150">
        <f t="shared" si="11"/>
        <v>0.2466111505</v>
      </c>
      <c r="E15" s="1150">
        <f t="shared" si="11"/>
        <v>0.2737873144</v>
      </c>
      <c r="F15" s="1150" t="str">
        <f t="shared" si="11"/>
        <v/>
      </c>
      <c r="G15" s="1150" t="str">
        <f t="shared" si="11"/>
        <v/>
      </c>
      <c r="H15" s="1150" t="str">
        <f t="shared" si="11"/>
        <v/>
      </c>
      <c r="I15" s="1150" t="str">
        <f t="shared" si="11"/>
        <v/>
      </c>
      <c r="J15" s="1150" t="str">
        <f t="shared" si="11"/>
        <v/>
      </c>
      <c r="K15" s="1150" t="str">
        <f t="shared" si="11"/>
        <v/>
      </c>
      <c r="L15" s="1150" t="str">
        <f t="shared" si="11"/>
        <v/>
      </c>
      <c r="M15" s="1150" t="str">
        <f t="shared" si="11"/>
        <v/>
      </c>
      <c r="N15" s="1150" t="str">
        <f t="shared" si="11"/>
        <v/>
      </c>
      <c r="O15" s="1150">
        <f>O13/O7</f>
        <v>0.204323093</v>
      </c>
      <c r="P15" s="1133"/>
      <c r="Q15" s="1133"/>
      <c r="R15" s="1133"/>
      <c r="S15" s="1133"/>
      <c r="T15" s="1133"/>
      <c r="U15" s="1133"/>
      <c r="V15" s="1142">
        <v>12.0</v>
      </c>
      <c r="W15" s="1135"/>
    </row>
    <row r="16">
      <c r="A16" s="1129"/>
      <c r="B16" s="1133"/>
      <c r="C16" s="1133"/>
      <c r="D16" s="1133"/>
      <c r="E16" s="1133"/>
      <c r="F16" s="1133"/>
      <c r="G16" s="1133"/>
      <c r="H16" s="1133"/>
      <c r="I16" s="1133"/>
      <c r="J16" s="1133"/>
      <c r="K16" s="1133"/>
      <c r="L16" s="1133"/>
      <c r="M16" s="1133"/>
      <c r="N16" s="1133"/>
      <c r="O16" s="1133"/>
      <c r="P16" s="1133"/>
      <c r="Q16" s="1133"/>
      <c r="R16" s="1133"/>
      <c r="S16" s="1133"/>
      <c r="T16" s="1133"/>
      <c r="U16" s="1133"/>
      <c r="V16" s="1135"/>
      <c r="W16" s="1135"/>
    </row>
    <row r="17">
      <c r="A17" s="1153"/>
      <c r="B17" s="1136" t="s">
        <v>1015</v>
      </c>
      <c r="C17" s="1133"/>
      <c r="D17" s="1133"/>
      <c r="E17" s="1133"/>
      <c r="F17" s="1136"/>
      <c r="G17" s="1133"/>
      <c r="H17" s="1133"/>
      <c r="I17" s="1133"/>
      <c r="J17" s="1133"/>
      <c r="K17" s="1133"/>
      <c r="L17" s="1133"/>
      <c r="M17" s="1133"/>
      <c r="N17" s="1133"/>
      <c r="O17" s="1133"/>
      <c r="P17" s="1133"/>
      <c r="Q17" s="1133"/>
      <c r="R17" s="1133"/>
      <c r="S17" s="1133"/>
      <c r="T17" s="1133"/>
      <c r="U17" s="1133"/>
      <c r="V17" s="1135"/>
      <c r="W17" s="1135"/>
    </row>
    <row r="18">
      <c r="A18" s="1129"/>
      <c r="B18" s="1133"/>
      <c r="C18" s="1154" t="s">
        <v>53</v>
      </c>
      <c r="D18" s="1154" t="s">
        <v>53</v>
      </c>
      <c r="E18" s="1140" t="s">
        <v>1015</v>
      </c>
      <c r="F18" s="1134"/>
      <c r="G18" s="1133"/>
      <c r="H18" s="1133"/>
      <c r="I18" s="1133"/>
      <c r="J18" s="1133"/>
      <c r="K18" s="1133"/>
      <c r="L18" s="1133"/>
      <c r="M18" s="1133"/>
      <c r="N18" s="1133"/>
      <c r="O18" s="1133"/>
      <c r="P18" s="1133"/>
      <c r="Q18" s="1133"/>
      <c r="R18" s="1133"/>
      <c r="S18" s="1133"/>
      <c r="T18" s="1133"/>
      <c r="U18" s="1133"/>
      <c r="V18" s="1135"/>
      <c r="W18" s="1135"/>
    </row>
    <row r="19">
      <c r="A19" s="1143"/>
      <c r="B19" s="1149" t="s">
        <v>278</v>
      </c>
      <c r="C19" s="1152">
        <f t="shared" ref="C19:C27" si="12">sumif($3:$3,$18:$18,7:7)</f>
        <v>4791800</v>
      </c>
      <c r="D19" s="1152">
        <f>sumif(3:3,18:18,7:7)</f>
        <v>4791800</v>
      </c>
      <c r="E19" s="1155">
        <f t="shared" ref="E19:E27" si="13">D19-C19</f>
        <v>0</v>
      </c>
      <c r="F19" s="1134"/>
      <c r="G19" s="1133"/>
      <c r="H19" s="1133"/>
      <c r="I19" s="1133"/>
      <c r="J19" s="1133"/>
      <c r="K19" s="1133"/>
      <c r="L19" s="1133"/>
      <c r="M19" s="1133"/>
      <c r="N19" s="1133"/>
      <c r="O19" s="1133"/>
      <c r="P19" s="1133"/>
      <c r="Q19" s="1133"/>
      <c r="R19" s="1133"/>
      <c r="S19" s="1133"/>
      <c r="T19" s="1133"/>
      <c r="U19" s="1133"/>
      <c r="V19" s="1135"/>
      <c r="W19" s="1135"/>
    </row>
    <row r="20">
      <c r="A20" s="1143"/>
      <c r="B20" s="1149" t="s">
        <v>1013</v>
      </c>
      <c r="C20" s="1152">
        <f t="shared" si="12"/>
        <v>853150</v>
      </c>
      <c r="D20" s="1152">
        <f t="shared" ref="D20:D27" si="14">sumif($3:$3,$18:$18,8:8)</f>
        <v>853150</v>
      </c>
      <c r="E20" s="1155">
        <f t="shared" si="13"/>
        <v>0</v>
      </c>
      <c r="F20" s="1156"/>
      <c r="G20" s="1133"/>
      <c r="H20" s="1133"/>
      <c r="I20" s="1133"/>
      <c r="J20" s="1133"/>
      <c r="K20" s="1133"/>
      <c r="L20" s="1133"/>
      <c r="M20" s="1133"/>
      <c r="N20" s="1133"/>
      <c r="O20" s="1133"/>
      <c r="P20" s="1133"/>
      <c r="Q20" s="1133"/>
      <c r="R20" s="1133"/>
      <c r="S20" s="1133"/>
      <c r="T20" s="1133"/>
      <c r="U20" s="1133"/>
      <c r="V20" s="1135"/>
      <c r="W20" s="1135"/>
    </row>
    <row r="21">
      <c r="A21" s="1143"/>
      <c r="B21" s="1149" t="s">
        <v>926</v>
      </c>
      <c r="C21" s="1152">
        <f t="shared" si="12"/>
        <v>3065489.833</v>
      </c>
      <c r="D21" s="1152">
        <f t="shared" si="14"/>
        <v>3065489.833</v>
      </c>
      <c r="E21" s="1155">
        <f t="shared" si="13"/>
        <v>0</v>
      </c>
      <c r="F21" s="1134"/>
      <c r="G21" s="1133"/>
      <c r="H21" s="1133"/>
      <c r="I21" s="1133"/>
      <c r="J21" s="1133"/>
      <c r="K21" s="1133"/>
      <c r="L21" s="1133"/>
      <c r="M21" s="1133"/>
      <c r="N21" s="1133"/>
      <c r="O21" s="1133"/>
      <c r="P21" s="1133"/>
      <c r="Q21" s="1133"/>
      <c r="R21" s="1133"/>
      <c r="S21" s="1133"/>
      <c r="T21" s="1133"/>
      <c r="U21" s="1133"/>
      <c r="V21" s="1135"/>
      <c r="W21" s="1135"/>
    </row>
    <row r="22">
      <c r="A22" s="1143"/>
      <c r="B22" s="1149" t="s">
        <v>1014</v>
      </c>
      <c r="C22" s="1152">
        <f t="shared" si="12"/>
        <v>60000</v>
      </c>
      <c r="D22" s="1152">
        <f t="shared" si="14"/>
        <v>60000</v>
      </c>
      <c r="E22" s="1155">
        <f t="shared" si="13"/>
        <v>0</v>
      </c>
      <c r="F22" s="1134"/>
      <c r="G22" s="1133"/>
      <c r="H22" s="1133"/>
      <c r="I22" s="1133"/>
      <c r="J22" s="1133"/>
      <c r="K22" s="1133"/>
      <c r="L22" s="1133"/>
      <c r="M22" s="1133"/>
      <c r="N22" s="1133"/>
      <c r="O22" s="1133"/>
      <c r="P22" s="1133"/>
      <c r="Q22" s="1133"/>
      <c r="R22" s="1133"/>
      <c r="S22" s="1133"/>
      <c r="T22" s="1133"/>
      <c r="U22" s="1133"/>
      <c r="V22" s="1135"/>
      <c r="W22" s="1135"/>
    </row>
    <row r="23">
      <c r="A23" s="1143"/>
      <c r="B23" s="1149" t="s">
        <v>1016</v>
      </c>
      <c r="C23" s="1152">
        <f t="shared" si="12"/>
        <v>127312.125</v>
      </c>
      <c r="D23" s="1152">
        <f t="shared" si="14"/>
        <v>127312.125</v>
      </c>
      <c r="E23" s="1155">
        <f t="shared" si="13"/>
        <v>0</v>
      </c>
      <c r="F23" s="1156"/>
      <c r="G23" s="1133"/>
      <c r="H23" s="1133"/>
      <c r="I23" s="1133"/>
      <c r="J23" s="1133"/>
      <c r="K23" s="1133"/>
      <c r="L23" s="1133"/>
      <c r="M23" s="1133"/>
      <c r="N23" s="1133"/>
      <c r="O23" s="1133"/>
      <c r="P23" s="1133"/>
      <c r="Q23" s="1133"/>
      <c r="R23" s="1133"/>
      <c r="S23" s="1133"/>
      <c r="T23" s="1133"/>
      <c r="U23" s="1133"/>
      <c r="V23" s="1135"/>
      <c r="W23" s="1135"/>
    </row>
    <row r="24">
      <c r="A24" s="1143"/>
      <c r="B24" s="1149" t="s">
        <v>280</v>
      </c>
      <c r="C24" s="1152">
        <f t="shared" si="12"/>
        <v>0</v>
      </c>
      <c r="D24" s="1152">
        <f t="shared" si="14"/>
        <v>0</v>
      </c>
      <c r="E24" s="1155">
        <f t="shared" si="13"/>
        <v>0</v>
      </c>
      <c r="F24" s="1134"/>
      <c r="G24" s="1133"/>
      <c r="H24" s="1133"/>
      <c r="I24" s="1133"/>
      <c r="J24" s="1133"/>
      <c r="K24" s="1133"/>
      <c r="L24" s="1133"/>
      <c r="M24" s="1133"/>
      <c r="N24" s="1133"/>
      <c r="O24" s="1133"/>
      <c r="P24" s="1133"/>
      <c r="Q24" s="1133"/>
      <c r="R24" s="1133"/>
      <c r="S24" s="1133"/>
      <c r="T24" s="1133"/>
      <c r="U24" s="1133"/>
      <c r="V24" s="1135"/>
      <c r="W24" s="1135"/>
    </row>
    <row r="25">
      <c r="A25" s="1143"/>
      <c r="B25" s="1149" t="s">
        <v>283</v>
      </c>
      <c r="C25" s="1152">
        <f t="shared" si="12"/>
        <v>745848.0417</v>
      </c>
      <c r="D25" s="1152">
        <f t="shared" si="14"/>
        <v>745848.0417</v>
      </c>
      <c r="E25" s="1155">
        <f t="shared" si="13"/>
        <v>0</v>
      </c>
      <c r="F25" s="1134"/>
      <c r="G25" s="1133"/>
      <c r="H25" s="1133"/>
      <c r="I25" s="1133"/>
      <c r="J25" s="1133"/>
      <c r="K25" s="1133"/>
      <c r="L25" s="1133"/>
      <c r="M25" s="1133"/>
      <c r="N25" s="1133"/>
      <c r="O25" s="1133"/>
      <c r="P25" s="1133"/>
      <c r="Q25" s="1133"/>
      <c r="R25" s="1133"/>
      <c r="S25" s="1133"/>
      <c r="T25" s="1133"/>
      <c r="U25" s="1133"/>
      <c r="V25" s="1135"/>
      <c r="W25" s="1135"/>
    </row>
    <row r="26">
      <c r="A26" s="1143"/>
      <c r="B26" s="1149" t="s">
        <v>917</v>
      </c>
      <c r="C26" s="1157">
        <f t="shared" si="12"/>
        <v>0.6397365986</v>
      </c>
      <c r="D26" s="1157">
        <f t="shared" si="14"/>
        <v>0.6397365986</v>
      </c>
      <c r="E26" s="1158">
        <f t="shared" si="13"/>
        <v>0</v>
      </c>
      <c r="F26" s="1159"/>
      <c r="G26" s="1133"/>
      <c r="H26" s="1133"/>
      <c r="I26" s="1133"/>
      <c r="J26" s="1133"/>
      <c r="K26" s="1133"/>
      <c r="L26" s="1133"/>
      <c r="M26" s="1133"/>
      <c r="N26" s="1133"/>
      <c r="O26" s="1133"/>
      <c r="P26" s="1133"/>
      <c r="Q26" s="1133"/>
      <c r="R26" s="1133"/>
      <c r="S26" s="1133"/>
      <c r="T26" s="1133"/>
      <c r="U26" s="1133"/>
      <c r="V26" s="1135"/>
      <c r="W26" s="1135"/>
    </row>
    <row r="27">
      <c r="A27" s="1143"/>
      <c r="B27" s="1149" t="s">
        <v>275</v>
      </c>
      <c r="C27" s="1157">
        <f t="shared" si="12"/>
        <v>0.1556509123</v>
      </c>
      <c r="D27" s="1157">
        <f t="shared" si="14"/>
        <v>0.1556509123</v>
      </c>
      <c r="E27" s="1158">
        <f t="shared" si="13"/>
        <v>0</v>
      </c>
      <c r="F27" s="1159"/>
      <c r="G27" s="1133"/>
      <c r="H27" s="1133"/>
      <c r="I27" s="1133"/>
      <c r="J27" s="1133"/>
      <c r="K27" s="1133"/>
      <c r="L27" s="1133"/>
      <c r="M27" s="1133"/>
      <c r="N27" s="1133"/>
      <c r="O27" s="1133"/>
      <c r="P27" s="1133"/>
      <c r="Q27" s="1133"/>
      <c r="R27" s="1133"/>
      <c r="S27" s="1133"/>
      <c r="T27" s="1133"/>
      <c r="U27" s="1133"/>
      <c r="V27" s="1135"/>
      <c r="W27" s="1135"/>
    </row>
    <row r="28">
      <c r="A28" s="1133"/>
      <c r="B28" s="1133"/>
      <c r="C28" s="1133"/>
      <c r="D28" s="1133"/>
      <c r="E28" s="1133"/>
      <c r="F28" s="1133"/>
      <c r="G28" s="1133"/>
      <c r="H28" s="1133"/>
      <c r="I28" s="1133"/>
      <c r="J28" s="1133"/>
      <c r="K28" s="1133"/>
      <c r="L28" s="1133"/>
      <c r="M28" s="1133"/>
      <c r="N28" s="1133"/>
      <c r="O28" s="1133"/>
      <c r="P28" s="1133"/>
      <c r="Q28" s="1133"/>
      <c r="R28" s="1133"/>
      <c r="S28" s="1133"/>
      <c r="T28" s="1133"/>
      <c r="U28" s="1133"/>
      <c r="V28" s="1135"/>
      <c r="W28" s="1135"/>
    </row>
    <row r="29">
      <c r="A29" s="1133"/>
      <c r="B29" s="1133"/>
      <c r="C29" s="1133"/>
      <c r="D29" s="1133"/>
      <c r="E29" s="1133"/>
      <c r="F29" s="1133"/>
      <c r="G29" s="1133"/>
      <c r="H29" s="1133"/>
      <c r="I29" s="1133"/>
      <c r="J29" s="1133"/>
      <c r="K29" s="1133"/>
      <c r="L29" s="1133"/>
      <c r="M29" s="1133"/>
      <c r="N29" s="1133"/>
      <c r="O29" s="1133"/>
      <c r="P29" s="1133"/>
      <c r="Q29" s="1133"/>
      <c r="R29" s="1133"/>
      <c r="S29" s="1133"/>
      <c r="T29" s="1133"/>
      <c r="U29" s="1133"/>
      <c r="V29" s="1135"/>
      <c r="W29" s="1135"/>
    </row>
    <row r="30">
      <c r="A30" s="1133"/>
      <c r="B30" s="1133"/>
      <c r="C30" s="1133"/>
      <c r="D30" s="1133"/>
      <c r="E30" s="1133"/>
      <c r="F30" s="1133"/>
      <c r="G30" s="1133"/>
      <c r="H30" s="1133"/>
      <c r="I30" s="1133"/>
      <c r="J30" s="1133"/>
      <c r="K30" s="1133"/>
      <c r="L30" s="1133"/>
      <c r="M30" s="1133"/>
      <c r="N30" s="1133"/>
      <c r="O30" s="1133"/>
      <c r="P30" s="1133"/>
      <c r="Q30" s="1133"/>
      <c r="R30" s="1133"/>
      <c r="S30" s="1133"/>
      <c r="T30" s="1133"/>
      <c r="U30" s="1133"/>
      <c r="V30" s="1135"/>
      <c r="W30" s="1135"/>
    </row>
    <row r="31">
      <c r="A31" s="1133"/>
      <c r="B31" s="1133"/>
      <c r="C31" s="1133"/>
      <c r="D31" s="1133"/>
      <c r="E31" s="1133"/>
      <c r="F31" s="1133"/>
      <c r="G31" s="1133"/>
      <c r="H31" s="1133"/>
      <c r="I31" s="1133"/>
      <c r="J31" s="1133"/>
      <c r="K31" s="1133"/>
      <c r="L31" s="1133"/>
      <c r="M31" s="1133"/>
      <c r="N31" s="1133"/>
      <c r="O31" s="1133"/>
      <c r="P31" s="1133"/>
      <c r="Q31" s="1133"/>
      <c r="R31" s="1133"/>
      <c r="S31" s="1133"/>
      <c r="T31" s="1133"/>
      <c r="U31" s="1133"/>
      <c r="V31" s="1135"/>
      <c r="W31" s="1135"/>
    </row>
    <row r="32">
      <c r="A32" s="1133"/>
      <c r="B32" s="1133"/>
      <c r="C32" s="1133"/>
      <c r="D32" s="1133"/>
      <c r="E32" s="1133"/>
      <c r="F32" s="1133"/>
      <c r="G32" s="1133"/>
      <c r="H32" s="1133"/>
      <c r="I32" s="1133"/>
      <c r="J32" s="1133"/>
      <c r="K32" s="1133"/>
      <c r="L32" s="1133"/>
      <c r="M32" s="1133"/>
      <c r="N32" s="1133"/>
      <c r="O32" s="1133"/>
      <c r="P32" s="1133"/>
      <c r="Q32" s="1133"/>
      <c r="R32" s="1133"/>
      <c r="S32" s="1133"/>
      <c r="T32" s="1133"/>
      <c r="U32" s="1133"/>
      <c r="V32" s="1135"/>
      <c r="W32" s="1135"/>
    </row>
    <row r="33">
      <c r="A33" s="1133"/>
      <c r="B33" s="1133"/>
      <c r="C33" s="1133"/>
      <c r="D33" s="1133"/>
      <c r="E33" s="1133"/>
      <c r="F33" s="1133"/>
      <c r="G33" s="1133"/>
      <c r="H33" s="1133"/>
      <c r="I33" s="1133"/>
      <c r="J33" s="1133"/>
      <c r="K33" s="1133"/>
      <c r="L33" s="1133"/>
      <c r="M33" s="1133"/>
      <c r="N33" s="1133"/>
      <c r="O33" s="1133"/>
      <c r="P33" s="1133"/>
      <c r="Q33" s="1133"/>
      <c r="R33" s="1133"/>
      <c r="S33" s="1133"/>
      <c r="T33" s="1133"/>
      <c r="U33" s="1133"/>
      <c r="V33" s="1135"/>
      <c r="W33" s="1135"/>
    </row>
    <row r="34">
      <c r="A34" s="1133"/>
      <c r="B34" s="1133"/>
      <c r="C34" s="1133"/>
      <c r="D34" s="1133"/>
      <c r="E34" s="1133"/>
      <c r="F34" s="1133"/>
      <c r="G34" s="1133"/>
      <c r="H34" s="1133"/>
      <c r="I34" s="1133"/>
      <c r="J34" s="1133"/>
      <c r="K34" s="1133"/>
      <c r="L34" s="1133"/>
      <c r="M34" s="1133"/>
      <c r="N34" s="1133"/>
      <c r="O34" s="1133"/>
      <c r="P34" s="1133"/>
      <c r="Q34" s="1133"/>
      <c r="R34" s="1133"/>
      <c r="S34" s="1133"/>
      <c r="T34" s="1133"/>
      <c r="U34" s="1133"/>
      <c r="V34" s="1135"/>
      <c r="W34" s="1135"/>
    </row>
    <row r="35">
      <c r="A35" s="1133"/>
      <c r="B35" s="1133"/>
      <c r="C35" s="1133"/>
      <c r="D35" s="1133"/>
      <c r="E35" s="1133"/>
      <c r="F35" s="1133"/>
      <c r="G35" s="1133"/>
      <c r="H35" s="1133"/>
      <c r="I35" s="1133"/>
      <c r="J35" s="1133"/>
      <c r="K35" s="1133"/>
      <c r="L35" s="1133"/>
      <c r="M35" s="1133"/>
      <c r="N35" s="1133"/>
      <c r="O35" s="1133"/>
      <c r="P35" s="1133"/>
      <c r="Q35" s="1133"/>
      <c r="R35" s="1133"/>
      <c r="S35" s="1133"/>
      <c r="T35" s="1133"/>
      <c r="U35" s="1133"/>
      <c r="V35" s="1135"/>
      <c r="W35" s="1135"/>
    </row>
    <row r="36">
      <c r="A36" s="1133"/>
      <c r="B36" s="1133"/>
      <c r="C36" s="1133"/>
      <c r="D36" s="1133"/>
      <c r="E36" s="1133"/>
      <c r="F36" s="1133"/>
      <c r="G36" s="1133"/>
      <c r="H36" s="1133"/>
      <c r="I36" s="1133"/>
      <c r="J36" s="1133"/>
      <c r="K36" s="1133"/>
      <c r="L36" s="1133"/>
      <c r="M36" s="1133"/>
      <c r="N36" s="1133"/>
      <c r="O36" s="1133"/>
      <c r="P36" s="1133"/>
      <c r="Q36" s="1133"/>
      <c r="R36" s="1133"/>
      <c r="S36" s="1133"/>
      <c r="T36" s="1133"/>
      <c r="U36" s="1133"/>
      <c r="V36" s="1135"/>
      <c r="W36" s="1135"/>
    </row>
    <row r="37">
      <c r="A37" s="1133"/>
      <c r="B37" s="1133"/>
      <c r="C37" s="1133"/>
      <c r="D37" s="1133"/>
      <c r="E37" s="1133"/>
      <c r="F37" s="1133"/>
      <c r="G37" s="1133"/>
      <c r="H37" s="1133"/>
      <c r="I37" s="1133"/>
      <c r="J37" s="1133"/>
      <c r="K37" s="1133"/>
      <c r="L37" s="1133"/>
      <c r="M37" s="1133"/>
      <c r="N37" s="1133"/>
      <c r="O37" s="1133"/>
      <c r="P37" s="1133"/>
      <c r="Q37" s="1133"/>
      <c r="R37" s="1133"/>
      <c r="S37" s="1133"/>
      <c r="T37" s="1133"/>
      <c r="U37" s="1133"/>
      <c r="V37" s="1135"/>
      <c r="W37" s="1135"/>
    </row>
    <row r="38">
      <c r="A38" s="1133"/>
      <c r="B38" s="1133"/>
      <c r="C38" s="1133"/>
      <c r="D38" s="1133"/>
      <c r="E38" s="1133"/>
      <c r="F38" s="1133"/>
      <c r="G38" s="1133"/>
      <c r="H38" s="1133"/>
      <c r="I38" s="1133"/>
      <c r="J38" s="1133"/>
      <c r="K38" s="1133"/>
      <c r="L38" s="1133"/>
      <c r="M38" s="1133"/>
      <c r="N38" s="1133"/>
      <c r="O38" s="1133"/>
      <c r="P38" s="1133"/>
      <c r="Q38" s="1133"/>
      <c r="R38" s="1133"/>
      <c r="S38" s="1133"/>
      <c r="T38" s="1133"/>
      <c r="U38" s="1133"/>
      <c r="V38" s="1135"/>
      <c r="W38" s="1135"/>
    </row>
    <row r="39">
      <c r="A39" s="1133"/>
      <c r="B39" s="1133"/>
      <c r="C39" s="1133"/>
      <c r="D39" s="1133"/>
      <c r="E39" s="1133"/>
      <c r="F39" s="1133"/>
      <c r="G39" s="1133"/>
      <c r="H39" s="1133"/>
      <c r="I39" s="1133"/>
      <c r="J39" s="1133"/>
      <c r="K39" s="1133"/>
      <c r="L39" s="1133"/>
      <c r="M39" s="1133"/>
      <c r="N39" s="1133"/>
      <c r="O39" s="1133"/>
      <c r="P39" s="1133"/>
      <c r="Q39" s="1133"/>
      <c r="R39" s="1133"/>
      <c r="S39" s="1133"/>
      <c r="T39" s="1133"/>
      <c r="U39" s="1133"/>
      <c r="V39" s="1135"/>
      <c r="W39" s="1135"/>
    </row>
    <row r="40">
      <c r="A40" s="1133"/>
      <c r="B40" s="1133"/>
      <c r="C40" s="1133"/>
      <c r="D40" s="1133"/>
      <c r="E40" s="1133"/>
      <c r="F40" s="1133"/>
      <c r="G40" s="1133"/>
      <c r="H40" s="1133"/>
      <c r="I40" s="1133"/>
      <c r="J40" s="1133"/>
      <c r="K40" s="1133"/>
      <c r="L40" s="1133"/>
      <c r="M40" s="1133"/>
      <c r="N40" s="1133"/>
      <c r="O40" s="1133"/>
      <c r="P40" s="1133"/>
      <c r="Q40" s="1133"/>
      <c r="R40" s="1133"/>
      <c r="S40" s="1133"/>
      <c r="T40" s="1133"/>
      <c r="U40" s="1133"/>
      <c r="V40" s="1135"/>
      <c r="W40" s="1135"/>
    </row>
    <row r="41">
      <c r="A41" s="1133"/>
      <c r="B41" s="1133"/>
      <c r="C41" s="1133"/>
      <c r="D41" s="1133"/>
      <c r="E41" s="1133"/>
      <c r="F41" s="1133"/>
      <c r="G41" s="1133"/>
      <c r="H41" s="1133"/>
      <c r="I41" s="1133"/>
      <c r="J41" s="1133"/>
      <c r="K41" s="1133"/>
      <c r="L41" s="1133"/>
      <c r="M41" s="1133"/>
      <c r="N41" s="1133"/>
      <c r="O41" s="1133"/>
      <c r="P41" s="1133"/>
      <c r="Q41" s="1133"/>
      <c r="R41" s="1133"/>
      <c r="S41" s="1133"/>
      <c r="T41" s="1133"/>
      <c r="U41" s="1133"/>
      <c r="V41" s="1135"/>
      <c r="W41" s="1135"/>
    </row>
    <row r="42">
      <c r="A42" s="1133"/>
      <c r="B42" s="1133"/>
      <c r="C42" s="1133"/>
      <c r="D42" s="1133"/>
      <c r="E42" s="1133"/>
      <c r="F42" s="1133"/>
      <c r="G42" s="1133"/>
      <c r="H42" s="1133"/>
      <c r="I42" s="1133"/>
      <c r="J42" s="1133"/>
      <c r="K42" s="1133"/>
      <c r="L42" s="1133"/>
      <c r="M42" s="1133"/>
      <c r="N42" s="1133"/>
      <c r="O42" s="1133"/>
      <c r="P42" s="1133"/>
      <c r="Q42" s="1133"/>
      <c r="R42" s="1133"/>
      <c r="S42" s="1133"/>
      <c r="T42" s="1133"/>
      <c r="U42" s="1133"/>
      <c r="V42" s="1135"/>
      <c r="W42" s="1135"/>
    </row>
    <row r="43">
      <c r="A43" s="1133"/>
      <c r="B43" s="1133"/>
      <c r="C43" s="1133"/>
      <c r="D43" s="1133"/>
      <c r="E43" s="1133"/>
      <c r="F43" s="1133"/>
      <c r="G43" s="1133"/>
      <c r="H43" s="1133"/>
      <c r="I43" s="1133"/>
      <c r="J43" s="1133"/>
      <c r="K43" s="1133"/>
      <c r="L43" s="1133"/>
      <c r="M43" s="1133"/>
      <c r="N43" s="1133"/>
      <c r="O43" s="1133"/>
      <c r="P43" s="1133"/>
      <c r="Q43" s="1133"/>
      <c r="R43" s="1133"/>
      <c r="S43" s="1133"/>
      <c r="T43" s="1133"/>
      <c r="U43" s="1133"/>
      <c r="V43" s="1135"/>
      <c r="W43" s="1135"/>
    </row>
    <row r="44">
      <c r="A44" s="1133"/>
      <c r="B44" s="1133"/>
      <c r="C44" s="1133"/>
      <c r="D44" s="1133"/>
      <c r="E44" s="1133"/>
      <c r="F44" s="1133"/>
      <c r="G44" s="1133"/>
      <c r="H44" s="1133"/>
      <c r="I44" s="1133"/>
      <c r="J44" s="1133"/>
      <c r="K44" s="1133"/>
      <c r="L44" s="1133"/>
      <c r="M44" s="1133"/>
      <c r="N44" s="1133"/>
      <c r="O44" s="1133"/>
      <c r="P44" s="1133"/>
      <c r="Q44" s="1133"/>
      <c r="R44" s="1133"/>
      <c r="S44" s="1133"/>
      <c r="T44" s="1133"/>
      <c r="U44" s="1133"/>
      <c r="V44" s="1135"/>
      <c r="W44" s="1135"/>
    </row>
    <row r="45">
      <c r="A45" s="1133"/>
      <c r="B45" s="1133"/>
      <c r="C45" s="1133"/>
      <c r="D45" s="1133"/>
      <c r="E45" s="1133"/>
      <c r="F45" s="1133"/>
      <c r="G45" s="1133"/>
      <c r="H45" s="1133"/>
      <c r="I45" s="1133"/>
      <c r="J45" s="1133"/>
      <c r="K45" s="1133"/>
      <c r="L45" s="1133"/>
      <c r="M45" s="1133"/>
      <c r="N45" s="1133"/>
      <c r="O45" s="1133"/>
      <c r="P45" s="1133"/>
      <c r="Q45" s="1133"/>
      <c r="R45" s="1133"/>
      <c r="S45" s="1133"/>
      <c r="T45" s="1133"/>
      <c r="U45" s="1133"/>
      <c r="V45" s="1135"/>
      <c r="W45" s="1135"/>
    </row>
    <row r="46">
      <c r="A46" s="1133"/>
      <c r="B46" s="1133"/>
      <c r="C46" s="1133"/>
      <c r="D46" s="1133"/>
      <c r="E46" s="1133"/>
      <c r="F46" s="1133"/>
      <c r="G46" s="1133"/>
      <c r="H46" s="1133"/>
      <c r="I46" s="1133"/>
      <c r="J46" s="1133"/>
      <c r="K46" s="1133"/>
      <c r="L46" s="1133"/>
      <c r="M46" s="1133"/>
      <c r="N46" s="1133"/>
      <c r="O46" s="1133"/>
      <c r="P46" s="1133"/>
      <c r="Q46" s="1133"/>
      <c r="R46" s="1133"/>
      <c r="S46" s="1133"/>
      <c r="T46" s="1133"/>
      <c r="U46" s="1133"/>
      <c r="V46" s="1135"/>
      <c r="W46" s="1135"/>
    </row>
    <row r="47">
      <c r="A47" s="1133"/>
      <c r="B47" s="1133"/>
      <c r="C47" s="1133"/>
      <c r="D47" s="1133"/>
      <c r="E47" s="1133"/>
      <c r="F47" s="1133"/>
      <c r="G47" s="1133"/>
      <c r="H47" s="1133"/>
      <c r="I47" s="1133"/>
      <c r="J47" s="1133"/>
      <c r="K47" s="1133"/>
      <c r="L47" s="1133"/>
      <c r="M47" s="1133"/>
      <c r="N47" s="1133"/>
      <c r="O47" s="1133"/>
      <c r="P47" s="1133"/>
      <c r="Q47" s="1133"/>
      <c r="R47" s="1133"/>
      <c r="S47" s="1133"/>
      <c r="T47" s="1133"/>
      <c r="U47" s="1133"/>
      <c r="V47" s="1135"/>
      <c r="W47" s="1135"/>
    </row>
    <row r="48">
      <c r="A48" s="1133"/>
      <c r="B48" s="1133"/>
      <c r="C48" s="1133"/>
      <c r="D48" s="1133"/>
      <c r="E48" s="1133"/>
      <c r="F48" s="1133"/>
      <c r="G48" s="1133"/>
      <c r="H48" s="1133"/>
      <c r="I48" s="1133"/>
      <c r="J48" s="1133"/>
      <c r="K48" s="1133"/>
      <c r="L48" s="1133"/>
      <c r="M48" s="1133"/>
      <c r="N48" s="1133"/>
      <c r="O48" s="1133"/>
      <c r="P48" s="1133"/>
      <c r="Q48" s="1133"/>
      <c r="R48" s="1133"/>
      <c r="S48" s="1133"/>
      <c r="T48" s="1133"/>
      <c r="U48" s="1133"/>
      <c r="V48" s="1135"/>
      <c r="W48" s="1135"/>
    </row>
    <row r="49">
      <c r="A49" s="1133"/>
      <c r="B49" s="1133"/>
      <c r="C49" s="1133"/>
      <c r="D49" s="1133"/>
      <c r="E49" s="1133"/>
      <c r="F49" s="1133"/>
      <c r="G49" s="1133"/>
      <c r="H49" s="1133"/>
      <c r="I49" s="1133"/>
      <c r="J49" s="1133"/>
      <c r="K49" s="1133"/>
      <c r="L49" s="1133"/>
      <c r="M49" s="1133"/>
      <c r="N49" s="1133"/>
      <c r="O49" s="1133"/>
      <c r="P49" s="1133"/>
      <c r="Q49" s="1133"/>
      <c r="R49" s="1133"/>
      <c r="S49" s="1133"/>
      <c r="T49" s="1133"/>
      <c r="U49" s="1133"/>
      <c r="V49" s="1135"/>
      <c r="W49" s="1135"/>
    </row>
    <row r="50">
      <c r="A50" s="1133"/>
      <c r="B50" s="1133"/>
      <c r="C50" s="1133"/>
      <c r="D50" s="1133"/>
      <c r="E50" s="1133"/>
      <c r="F50" s="1133"/>
      <c r="G50" s="1133"/>
      <c r="H50" s="1133"/>
      <c r="I50" s="1133"/>
      <c r="J50" s="1133"/>
      <c r="K50" s="1133"/>
      <c r="L50" s="1133"/>
      <c r="M50" s="1133"/>
      <c r="N50" s="1133"/>
      <c r="O50" s="1133"/>
      <c r="P50" s="1133"/>
      <c r="Q50" s="1133"/>
      <c r="R50" s="1133"/>
      <c r="S50" s="1133"/>
      <c r="T50" s="1133"/>
      <c r="U50" s="1133"/>
      <c r="V50" s="1135"/>
      <c r="W50" s="1135"/>
    </row>
    <row r="51">
      <c r="A51" s="1133"/>
      <c r="B51" s="1133"/>
      <c r="C51" s="1133"/>
      <c r="D51" s="1133"/>
      <c r="E51" s="1133"/>
      <c r="F51" s="1133"/>
      <c r="G51" s="1133"/>
      <c r="H51" s="1133"/>
      <c r="I51" s="1133"/>
      <c r="J51" s="1133"/>
      <c r="K51" s="1133"/>
      <c r="L51" s="1133"/>
      <c r="M51" s="1133"/>
      <c r="N51" s="1133"/>
      <c r="O51" s="1133"/>
      <c r="P51" s="1133"/>
      <c r="Q51" s="1133"/>
      <c r="R51" s="1133"/>
      <c r="S51" s="1133"/>
      <c r="T51" s="1133"/>
      <c r="U51" s="1133"/>
      <c r="V51" s="1135"/>
      <c r="W51" s="1135"/>
    </row>
    <row r="52">
      <c r="A52" s="1133"/>
      <c r="B52" s="1133"/>
      <c r="C52" s="1133"/>
      <c r="D52" s="1133"/>
      <c r="E52" s="1133"/>
      <c r="F52" s="1133"/>
      <c r="G52" s="1133"/>
      <c r="H52" s="1133"/>
      <c r="I52" s="1133"/>
      <c r="J52" s="1133"/>
      <c r="K52" s="1133"/>
      <c r="L52" s="1133"/>
      <c r="M52" s="1133"/>
      <c r="N52" s="1133"/>
      <c r="O52" s="1133"/>
      <c r="P52" s="1133"/>
      <c r="Q52" s="1133"/>
      <c r="R52" s="1133"/>
      <c r="S52" s="1133"/>
      <c r="T52" s="1133"/>
      <c r="U52" s="1133"/>
      <c r="V52" s="1135"/>
      <c r="W52" s="1135"/>
    </row>
    <row r="53">
      <c r="A53" s="1133"/>
      <c r="B53" s="1133"/>
      <c r="C53" s="1133"/>
      <c r="D53" s="1133"/>
      <c r="E53" s="1133"/>
      <c r="F53" s="1133"/>
      <c r="G53" s="1133"/>
      <c r="H53" s="1133"/>
      <c r="I53" s="1133"/>
      <c r="J53" s="1133"/>
      <c r="K53" s="1133"/>
      <c r="L53" s="1133"/>
      <c r="M53" s="1133"/>
      <c r="N53" s="1133"/>
      <c r="O53" s="1133"/>
      <c r="P53" s="1133"/>
      <c r="Q53" s="1133"/>
      <c r="R53" s="1133"/>
      <c r="S53" s="1133"/>
      <c r="T53" s="1133"/>
      <c r="U53" s="1133"/>
      <c r="V53" s="1135"/>
      <c r="W53" s="1135"/>
    </row>
    <row r="54">
      <c r="A54" s="1133"/>
      <c r="B54" s="1133"/>
      <c r="C54" s="1133"/>
      <c r="D54" s="1133"/>
      <c r="E54" s="1133"/>
      <c r="F54" s="1133"/>
      <c r="G54" s="1133"/>
      <c r="H54" s="1133"/>
      <c r="I54" s="1133"/>
      <c r="J54" s="1133"/>
      <c r="K54" s="1133"/>
      <c r="L54" s="1133"/>
      <c r="M54" s="1133"/>
      <c r="N54" s="1133"/>
      <c r="O54" s="1133"/>
      <c r="P54" s="1133"/>
      <c r="Q54" s="1133"/>
      <c r="R54" s="1133"/>
      <c r="S54" s="1133"/>
      <c r="T54" s="1133"/>
      <c r="U54" s="1133"/>
      <c r="V54" s="1135"/>
      <c r="W54" s="1135"/>
    </row>
    <row r="55">
      <c r="A55" s="1133"/>
      <c r="B55" s="1133"/>
      <c r="C55" s="1133"/>
      <c r="D55" s="1133"/>
      <c r="E55" s="1133"/>
      <c r="F55" s="1133"/>
      <c r="G55" s="1133"/>
      <c r="H55" s="1133"/>
      <c r="I55" s="1133"/>
      <c r="J55" s="1133"/>
      <c r="K55" s="1133"/>
      <c r="L55" s="1133"/>
      <c r="M55" s="1133"/>
      <c r="N55" s="1133"/>
      <c r="O55" s="1133"/>
      <c r="P55" s="1133"/>
      <c r="Q55" s="1133"/>
      <c r="R55" s="1133"/>
      <c r="S55" s="1133"/>
      <c r="T55" s="1133"/>
      <c r="U55" s="1133"/>
      <c r="V55" s="1135"/>
      <c r="W55" s="1135"/>
    </row>
    <row r="56">
      <c r="A56" s="1133"/>
      <c r="B56" s="1133"/>
      <c r="C56" s="1133"/>
      <c r="D56" s="1133"/>
      <c r="E56" s="1133"/>
      <c r="F56" s="1133"/>
      <c r="G56" s="1133"/>
      <c r="H56" s="1133"/>
      <c r="I56" s="1133"/>
      <c r="J56" s="1133"/>
      <c r="K56" s="1133"/>
      <c r="L56" s="1133"/>
      <c r="M56" s="1133"/>
      <c r="N56" s="1133"/>
      <c r="O56" s="1133"/>
      <c r="P56" s="1133"/>
      <c r="Q56" s="1133"/>
      <c r="R56" s="1133"/>
      <c r="S56" s="1133"/>
      <c r="T56" s="1133"/>
      <c r="U56" s="1133"/>
      <c r="V56" s="1135"/>
      <c r="W56" s="1135"/>
    </row>
    <row r="57">
      <c r="A57" s="1133"/>
      <c r="B57" s="1133"/>
      <c r="C57" s="1133"/>
      <c r="D57" s="1133"/>
      <c r="E57" s="1133"/>
      <c r="F57" s="1133"/>
      <c r="G57" s="1133"/>
      <c r="H57" s="1133"/>
      <c r="I57" s="1133"/>
      <c r="J57" s="1133"/>
      <c r="K57" s="1133"/>
      <c r="L57" s="1133"/>
      <c r="M57" s="1133"/>
      <c r="N57" s="1133"/>
      <c r="O57" s="1133"/>
      <c r="P57" s="1133"/>
      <c r="Q57" s="1133"/>
      <c r="R57" s="1133"/>
      <c r="S57" s="1133"/>
      <c r="T57" s="1133"/>
      <c r="U57" s="1133"/>
      <c r="V57" s="1135"/>
      <c r="W57" s="1135"/>
    </row>
    <row r="58">
      <c r="A58" s="1133"/>
      <c r="B58" s="1133"/>
      <c r="C58" s="1133"/>
      <c r="D58" s="1133"/>
      <c r="E58" s="1133"/>
      <c r="F58" s="1133"/>
      <c r="G58" s="1133"/>
      <c r="H58" s="1133"/>
      <c r="I58" s="1133"/>
      <c r="J58" s="1133"/>
      <c r="K58" s="1133"/>
      <c r="L58" s="1133"/>
      <c r="M58" s="1133"/>
      <c r="N58" s="1133"/>
      <c r="O58" s="1133"/>
      <c r="P58" s="1133"/>
      <c r="Q58" s="1133"/>
      <c r="R58" s="1133"/>
      <c r="S58" s="1133"/>
      <c r="T58" s="1133"/>
      <c r="U58" s="1133"/>
      <c r="V58" s="1135"/>
      <c r="W58" s="1135"/>
    </row>
    <row r="59">
      <c r="A59" s="1133"/>
      <c r="B59" s="1133"/>
      <c r="C59" s="1133"/>
      <c r="D59" s="1133"/>
      <c r="E59" s="1133"/>
      <c r="F59" s="1133"/>
      <c r="G59" s="1133"/>
      <c r="H59" s="1133"/>
      <c r="I59" s="1133"/>
      <c r="J59" s="1133"/>
      <c r="K59" s="1133"/>
      <c r="L59" s="1133"/>
      <c r="M59" s="1133"/>
      <c r="N59" s="1133"/>
      <c r="O59" s="1133"/>
      <c r="P59" s="1133"/>
      <c r="Q59" s="1133"/>
      <c r="R59" s="1133"/>
      <c r="S59" s="1133"/>
      <c r="T59" s="1133"/>
      <c r="U59" s="1133"/>
      <c r="V59" s="1135"/>
      <c r="W59" s="1135"/>
    </row>
    <row r="60">
      <c r="A60" s="1133"/>
      <c r="B60" s="1133"/>
      <c r="C60" s="1133"/>
      <c r="D60" s="1133"/>
      <c r="E60" s="1133"/>
      <c r="F60" s="1133"/>
      <c r="G60" s="1133"/>
      <c r="H60" s="1133"/>
      <c r="I60" s="1133"/>
      <c r="J60" s="1133"/>
      <c r="K60" s="1133"/>
      <c r="L60" s="1133"/>
      <c r="M60" s="1133"/>
      <c r="N60" s="1133"/>
      <c r="O60" s="1133"/>
      <c r="P60" s="1133"/>
      <c r="Q60" s="1133"/>
      <c r="R60" s="1133"/>
      <c r="S60" s="1133"/>
      <c r="T60" s="1133"/>
      <c r="U60" s="1133"/>
      <c r="V60" s="1135"/>
      <c r="W60" s="1135"/>
    </row>
    <row r="61">
      <c r="A61" s="1133"/>
      <c r="B61" s="1133"/>
      <c r="C61" s="1133"/>
      <c r="D61" s="1133"/>
      <c r="E61" s="1133"/>
      <c r="F61" s="1133"/>
      <c r="G61" s="1133"/>
      <c r="H61" s="1133"/>
      <c r="I61" s="1133"/>
      <c r="J61" s="1133"/>
      <c r="K61" s="1133"/>
      <c r="L61" s="1133"/>
      <c r="M61" s="1133"/>
      <c r="N61" s="1133"/>
      <c r="O61" s="1133"/>
      <c r="P61" s="1133"/>
      <c r="Q61" s="1133"/>
      <c r="R61" s="1133"/>
      <c r="S61" s="1133"/>
      <c r="T61" s="1133"/>
      <c r="U61" s="1133"/>
      <c r="V61" s="1135"/>
      <c r="W61" s="1135"/>
    </row>
    <row r="62">
      <c r="A62" s="1133"/>
      <c r="B62" s="1133"/>
      <c r="C62" s="1133"/>
      <c r="D62" s="1133"/>
      <c r="E62" s="1133"/>
      <c r="F62" s="1133"/>
      <c r="G62" s="1133"/>
      <c r="H62" s="1133"/>
      <c r="I62" s="1133"/>
      <c r="J62" s="1133"/>
      <c r="K62" s="1133"/>
      <c r="L62" s="1133"/>
      <c r="M62" s="1133"/>
      <c r="N62" s="1133"/>
      <c r="O62" s="1133"/>
      <c r="P62" s="1133"/>
      <c r="Q62" s="1133"/>
      <c r="R62" s="1133"/>
      <c r="S62" s="1133"/>
      <c r="T62" s="1133"/>
      <c r="U62" s="1133"/>
      <c r="V62" s="1135"/>
      <c r="W62" s="1135"/>
    </row>
    <row r="63">
      <c r="A63" s="1133"/>
      <c r="B63" s="1133"/>
      <c r="C63" s="1133"/>
      <c r="D63" s="1133"/>
      <c r="E63" s="1133"/>
      <c r="F63" s="1133"/>
      <c r="G63" s="1133"/>
      <c r="H63" s="1133"/>
      <c r="I63" s="1133"/>
      <c r="J63" s="1133"/>
      <c r="K63" s="1133"/>
      <c r="L63" s="1133"/>
      <c r="M63" s="1133"/>
      <c r="N63" s="1133"/>
      <c r="O63" s="1133"/>
      <c r="P63" s="1133"/>
      <c r="Q63" s="1133"/>
      <c r="R63" s="1133"/>
      <c r="S63" s="1133"/>
      <c r="T63" s="1133"/>
      <c r="U63" s="1133"/>
      <c r="V63" s="1135"/>
      <c r="W63" s="1135"/>
    </row>
    <row r="64">
      <c r="A64" s="1133"/>
      <c r="B64" s="1133"/>
      <c r="C64" s="1133"/>
      <c r="D64" s="1133"/>
      <c r="E64" s="1133"/>
      <c r="F64" s="1133"/>
      <c r="G64" s="1133"/>
      <c r="H64" s="1133"/>
      <c r="I64" s="1133"/>
      <c r="J64" s="1133"/>
      <c r="K64" s="1133"/>
      <c r="L64" s="1133"/>
      <c r="M64" s="1133"/>
      <c r="N64" s="1133"/>
      <c r="O64" s="1133"/>
      <c r="P64" s="1133"/>
      <c r="Q64" s="1133"/>
      <c r="R64" s="1133"/>
      <c r="S64" s="1133"/>
      <c r="T64" s="1133"/>
      <c r="U64" s="1133"/>
      <c r="V64" s="1135"/>
      <c r="W64" s="1135"/>
    </row>
    <row r="65">
      <c r="A65" s="1133"/>
      <c r="B65" s="1133"/>
      <c r="C65" s="1133"/>
      <c r="D65" s="1133"/>
      <c r="E65" s="1133"/>
      <c r="F65" s="1133"/>
      <c r="G65" s="1133"/>
      <c r="H65" s="1133"/>
      <c r="I65" s="1133"/>
      <c r="J65" s="1133"/>
      <c r="K65" s="1133"/>
      <c r="L65" s="1133"/>
      <c r="M65" s="1133"/>
      <c r="N65" s="1133"/>
      <c r="O65" s="1133"/>
      <c r="P65" s="1133"/>
      <c r="Q65" s="1133"/>
      <c r="R65" s="1133"/>
      <c r="S65" s="1133"/>
      <c r="T65" s="1133"/>
      <c r="U65" s="1133"/>
      <c r="V65" s="1135"/>
      <c r="W65" s="1135"/>
    </row>
    <row r="66">
      <c r="A66" s="1133"/>
      <c r="B66" s="1133"/>
      <c r="C66" s="1133"/>
      <c r="D66" s="1133"/>
      <c r="E66" s="1133"/>
      <c r="F66" s="1133"/>
      <c r="G66" s="1133"/>
      <c r="H66" s="1133"/>
      <c r="I66" s="1133"/>
      <c r="J66" s="1133"/>
      <c r="K66" s="1133"/>
      <c r="L66" s="1133"/>
      <c r="M66" s="1133"/>
      <c r="N66" s="1133"/>
      <c r="O66" s="1133"/>
      <c r="P66" s="1133"/>
      <c r="Q66" s="1133"/>
      <c r="R66" s="1133"/>
      <c r="S66" s="1133"/>
      <c r="T66" s="1133"/>
      <c r="U66" s="1133"/>
      <c r="V66" s="1135"/>
      <c r="W66" s="1135"/>
    </row>
    <row r="67">
      <c r="A67" s="1133"/>
      <c r="B67" s="1133"/>
      <c r="C67" s="1133"/>
      <c r="D67" s="1133"/>
      <c r="E67" s="1133"/>
      <c r="F67" s="1133"/>
      <c r="G67" s="1133"/>
      <c r="H67" s="1133"/>
      <c r="I67" s="1133"/>
      <c r="J67" s="1133"/>
      <c r="K67" s="1133"/>
      <c r="L67" s="1133"/>
      <c r="M67" s="1133"/>
      <c r="N67" s="1133"/>
      <c r="O67" s="1133"/>
      <c r="P67" s="1133"/>
      <c r="Q67" s="1133"/>
      <c r="R67" s="1133"/>
      <c r="S67" s="1133"/>
      <c r="T67" s="1133"/>
      <c r="U67" s="1133"/>
      <c r="V67" s="1135"/>
      <c r="W67" s="1135"/>
    </row>
    <row r="68">
      <c r="A68" s="1133"/>
      <c r="B68" s="1133"/>
      <c r="C68" s="1133"/>
      <c r="D68" s="1133"/>
      <c r="E68" s="1133"/>
      <c r="F68" s="1133"/>
      <c r="G68" s="1133"/>
      <c r="H68" s="1133"/>
      <c r="I68" s="1133"/>
      <c r="J68" s="1133"/>
      <c r="K68" s="1133"/>
      <c r="L68" s="1133"/>
      <c r="M68" s="1133"/>
      <c r="N68" s="1133"/>
      <c r="O68" s="1133"/>
      <c r="P68" s="1133"/>
      <c r="Q68" s="1133"/>
      <c r="R68" s="1133"/>
      <c r="S68" s="1133"/>
      <c r="T68" s="1133"/>
      <c r="U68" s="1133"/>
      <c r="V68" s="1135"/>
      <c r="W68" s="1135"/>
    </row>
    <row r="69">
      <c r="A69" s="1133"/>
      <c r="B69" s="1133"/>
      <c r="C69" s="1133"/>
      <c r="D69" s="1133"/>
      <c r="E69" s="1133"/>
      <c r="F69" s="1133"/>
      <c r="G69" s="1133"/>
      <c r="H69" s="1133"/>
      <c r="I69" s="1133"/>
      <c r="J69" s="1133"/>
      <c r="K69" s="1133"/>
      <c r="L69" s="1133"/>
      <c r="M69" s="1133"/>
      <c r="N69" s="1133"/>
      <c r="O69" s="1133"/>
      <c r="P69" s="1133"/>
      <c r="Q69" s="1133"/>
      <c r="R69" s="1133"/>
      <c r="S69" s="1133"/>
      <c r="T69" s="1133"/>
      <c r="U69" s="1133"/>
      <c r="V69" s="1135"/>
      <c r="W69" s="1135"/>
    </row>
    <row r="70">
      <c r="A70" s="1133"/>
      <c r="B70" s="1133"/>
      <c r="C70" s="1133"/>
      <c r="D70" s="1133"/>
      <c r="E70" s="1133"/>
      <c r="F70" s="1133"/>
      <c r="G70" s="1133"/>
      <c r="H70" s="1133"/>
      <c r="I70" s="1133"/>
      <c r="J70" s="1133"/>
      <c r="K70" s="1133"/>
      <c r="L70" s="1133"/>
      <c r="M70" s="1133"/>
      <c r="N70" s="1133"/>
      <c r="O70" s="1133"/>
      <c r="P70" s="1133"/>
      <c r="Q70" s="1133"/>
      <c r="R70" s="1133"/>
      <c r="S70" s="1133"/>
      <c r="T70" s="1133"/>
      <c r="U70" s="1133"/>
      <c r="V70" s="1135"/>
      <c r="W70" s="1135"/>
    </row>
    <row r="71">
      <c r="A71" s="1133"/>
      <c r="B71" s="1133"/>
      <c r="C71" s="1133"/>
      <c r="D71" s="1133"/>
      <c r="E71" s="1133"/>
      <c r="F71" s="1133"/>
      <c r="G71" s="1133"/>
      <c r="H71" s="1133"/>
      <c r="I71" s="1133"/>
      <c r="J71" s="1133"/>
      <c r="K71" s="1133"/>
      <c r="L71" s="1133"/>
      <c r="M71" s="1133"/>
      <c r="N71" s="1133"/>
      <c r="O71" s="1133"/>
      <c r="P71" s="1133"/>
      <c r="Q71" s="1133"/>
      <c r="R71" s="1133"/>
      <c r="S71" s="1133"/>
      <c r="T71" s="1133"/>
      <c r="U71" s="1133"/>
      <c r="V71" s="1135"/>
      <c r="W71" s="1135"/>
    </row>
    <row r="72">
      <c r="A72" s="1133"/>
      <c r="B72" s="1133"/>
      <c r="C72" s="1133"/>
      <c r="D72" s="1133"/>
      <c r="E72" s="1133"/>
      <c r="F72" s="1133"/>
      <c r="G72" s="1133"/>
      <c r="H72" s="1133"/>
      <c r="I72" s="1133"/>
      <c r="J72" s="1133"/>
      <c r="K72" s="1133"/>
      <c r="L72" s="1133"/>
      <c r="M72" s="1133"/>
      <c r="N72" s="1133"/>
      <c r="O72" s="1133"/>
      <c r="P72" s="1133"/>
      <c r="Q72" s="1133"/>
      <c r="R72" s="1133"/>
      <c r="S72" s="1133"/>
      <c r="T72" s="1133"/>
      <c r="U72" s="1133"/>
      <c r="V72" s="1135"/>
      <c r="W72" s="1135"/>
    </row>
    <row r="73">
      <c r="A73" s="1133"/>
      <c r="B73" s="1133"/>
      <c r="C73" s="1133"/>
      <c r="D73" s="1133"/>
      <c r="E73" s="1133"/>
      <c r="F73" s="1133"/>
      <c r="G73" s="1133"/>
      <c r="H73" s="1133"/>
      <c r="I73" s="1133"/>
      <c r="J73" s="1133"/>
      <c r="K73" s="1133"/>
      <c r="L73" s="1133"/>
      <c r="M73" s="1133"/>
      <c r="N73" s="1133"/>
      <c r="O73" s="1133"/>
      <c r="P73" s="1133"/>
      <c r="Q73" s="1133"/>
      <c r="R73" s="1133"/>
      <c r="S73" s="1133"/>
      <c r="T73" s="1133"/>
      <c r="U73" s="1133"/>
      <c r="V73" s="1135"/>
      <c r="W73" s="1135"/>
    </row>
    <row r="74">
      <c r="A74" s="1133"/>
      <c r="B74" s="1133"/>
      <c r="C74" s="1133"/>
      <c r="D74" s="1133"/>
      <c r="E74" s="1133"/>
      <c r="F74" s="1133"/>
      <c r="G74" s="1133"/>
      <c r="H74" s="1133"/>
      <c r="I74" s="1133"/>
      <c r="J74" s="1133"/>
      <c r="K74" s="1133"/>
      <c r="L74" s="1133"/>
      <c r="M74" s="1133"/>
      <c r="N74" s="1133"/>
      <c r="O74" s="1133"/>
      <c r="P74" s="1133"/>
      <c r="Q74" s="1133"/>
      <c r="R74" s="1133"/>
      <c r="S74" s="1133"/>
      <c r="T74" s="1133"/>
      <c r="U74" s="1133"/>
      <c r="V74" s="1135"/>
      <c r="W74" s="1135"/>
    </row>
    <row r="75">
      <c r="A75" s="1133"/>
      <c r="B75" s="1133"/>
      <c r="C75" s="1133"/>
      <c r="D75" s="1133"/>
      <c r="E75" s="1133"/>
      <c r="F75" s="1133"/>
      <c r="G75" s="1133"/>
      <c r="H75" s="1133"/>
      <c r="I75" s="1133"/>
      <c r="J75" s="1133"/>
      <c r="K75" s="1133"/>
      <c r="L75" s="1133"/>
      <c r="M75" s="1133"/>
      <c r="N75" s="1133"/>
      <c r="O75" s="1133"/>
      <c r="P75" s="1133"/>
      <c r="Q75" s="1133"/>
      <c r="R75" s="1133"/>
      <c r="S75" s="1133"/>
      <c r="T75" s="1133"/>
      <c r="U75" s="1133"/>
      <c r="V75" s="1135"/>
      <c r="W75" s="1135"/>
    </row>
    <row r="76">
      <c r="A76" s="1133"/>
      <c r="B76" s="1133"/>
      <c r="C76" s="1133"/>
      <c r="D76" s="1133"/>
      <c r="E76" s="1133"/>
      <c r="F76" s="1133"/>
      <c r="G76" s="1133"/>
      <c r="H76" s="1133"/>
      <c r="I76" s="1133"/>
      <c r="J76" s="1133"/>
      <c r="K76" s="1133"/>
      <c r="L76" s="1133"/>
      <c r="M76" s="1133"/>
      <c r="N76" s="1133"/>
      <c r="O76" s="1133"/>
      <c r="P76" s="1133"/>
      <c r="Q76" s="1133"/>
      <c r="R76" s="1133"/>
      <c r="S76" s="1133"/>
      <c r="T76" s="1133"/>
      <c r="U76" s="1133"/>
      <c r="V76" s="1135"/>
      <c r="W76" s="1135"/>
    </row>
    <row r="77">
      <c r="A77" s="1133"/>
      <c r="B77" s="1133"/>
      <c r="C77" s="1133"/>
      <c r="D77" s="1133"/>
      <c r="E77" s="1133"/>
      <c r="F77" s="1133"/>
      <c r="G77" s="1133"/>
      <c r="H77" s="1133"/>
      <c r="I77" s="1133"/>
      <c r="J77" s="1133"/>
      <c r="K77" s="1133"/>
      <c r="L77" s="1133"/>
      <c r="M77" s="1133"/>
      <c r="N77" s="1133"/>
      <c r="O77" s="1133"/>
      <c r="P77" s="1133"/>
      <c r="Q77" s="1133"/>
      <c r="R77" s="1133"/>
      <c r="S77" s="1133"/>
      <c r="T77" s="1133"/>
      <c r="U77" s="1133"/>
      <c r="V77" s="1135"/>
      <c r="W77" s="1135"/>
    </row>
    <row r="78">
      <c r="A78" s="1133"/>
      <c r="B78" s="1133"/>
      <c r="C78" s="1133"/>
      <c r="D78" s="1133"/>
      <c r="E78" s="1133"/>
      <c r="F78" s="1133"/>
      <c r="G78" s="1133"/>
      <c r="H78" s="1133"/>
      <c r="I78" s="1133"/>
      <c r="J78" s="1133"/>
      <c r="K78" s="1133"/>
      <c r="L78" s="1133"/>
      <c r="M78" s="1133"/>
      <c r="N78" s="1133"/>
      <c r="O78" s="1133"/>
      <c r="P78" s="1133"/>
      <c r="Q78" s="1133"/>
      <c r="R78" s="1133"/>
      <c r="S78" s="1133"/>
      <c r="T78" s="1133"/>
      <c r="U78" s="1133"/>
      <c r="V78" s="1135"/>
      <c r="W78" s="1135"/>
    </row>
    <row r="79">
      <c r="A79" s="1133"/>
      <c r="B79" s="1133"/>
      <c r="C79" s="1133"/>
      <c r="D79" s="1133"/>
      <c r="E79" s="1133"/>
      <c r="F79" s="1133"/>
      <c r="G79" s="1133"/>
      <c r="H79" s="1133"/>
      <c r="I79" s="1133"/>
      <c r="J79" s="1133"/>
      <c r="K79" s="1133"/>
      <c r="L79" s="1133"/>
      <c r="M79" s="1133"/>
      <c r="N79" s="1133"/>
      <c r="O79" s="1133"/>
      <c r="P79" s="1133"/>
      <c r="Q79" s="1133"/>
      <c r="R79" s="1133"/>
      <c r="S79" s="1133"/>
      <c r="T79" s="1133"/>
      <c r="U79" s="1133"/>
      <c r="V79" s="1135"/>
      <c r="W79" s="1135"/>
    </row>
    <row r="80">
      <c r="A80" s="1133"/>
      <c r="B80" s="1133"/>
      <c r="C80" s="1133"/>
      <c r="D80" s="1133"/>
      <c r="E80" s="1133"/>
      <c r="F80" s="1133"/>
      <c r="G80" s="1133"/>
      <c r="H80" s="1133"/>
      <c r="I80" s="1133"/>
      <c r="J80" s="1133"/>
      <c r="K80" s="1133"/>
      <c r="L80" s="1133"/>
      <c r="M80" s="1133"/>
      <c r="N80" s="1133"/>
      <c r="O80" s="1133"/>
      <c r="P80" s="1133"/>
      <c r="Q80" s="1133"/>
      <c r="R80" s="1133"/>
      <c r="S80" s="1133"/>
      <c r="T80" s="1133"/>
      <c r="U80" s="1133"/>
      <c r="V80" s="1135"/>
      <c r="W80" s="1135"/>
    </row>
    <row r="81">
      <c r="A81" s="1133"/>
      <c r="B81" s="1133"/>
      <c r="C81" s="1133"/>
      <c r="D81" s="1133"/>
      <c r="E81" s="1133"/>
      <c r="F81" s="1133"/>
      <c r="G81" s="1133"/>
      <c r="H81" s="1133"/>
      <c r="I81" s="1133"/>
      <c r="J81" s="1133"/>
      <c r="K81" s="1133"/>
      <c r="L81" s="1133"/>
      <c r="M81" s="1133"/>
      <c r="N81" s="1133"/>
      <c r="O81" s="1133"/>
      <c r="P81" s="1133"/>
      <c r="Q81" s="1133"/>
      <c r="R81" s="1133"/>
      <c r="S81" s="1133"/>
      <c r="T81" s="1133"/>
      <c r="U81" s="1133"/>
      <c r="V81" s="1135"/>
      <c r="W81" s="1135"/>
    </row>
    <row r="82">
      <c r="A82" s="1133"/>
      <c r="B82" s="1133"/>
      <c r="C82" s="1133"/>
      <c r="D82" s="1133"/>
      <c r="E82" s="1133"/>
      <c r="F82" s="1133"/>
      <c r="G82" s="1133"/>
      <c r="H82" s="1133"/>
      <c r="I82" s="1133"/>
      <c r="J82" s="1133"/>
      <c r="K82" s="1133"/>
      <c r="L82" s="1133"/>
      <c r="M82" s="1133"/>
      <c r="N82" s="1133"/>
      <c r="O82" s="1133"/>
      <c r="P82" s="1133"/>
      <c r="Q82" s="1133"/>
      <c r="R82" s="1133"/>
      <c r="S82" s="1133"/>
      <c r="T82" s="1133"/>
      <c r="U82" s="1133"/>
      <c r="V82" s="1135"/>
      <c r="W82" s="1135"/>
    </row>
    <row r="83">
      <c r="A83" s="1133"/>
      <c r="B83" s="1133"/>
      <c r="C83" s="1133"/>
      <c r="D83" s="1133"/>
      <c r="E83" s="1133"/>
      <c r="F83" s="1133"/>
      <c r="G83" s="1133"/>
      <c r="H83" s="1133"/>
      <c r="I83" s="1133"/>
      <c r="J83" s="1133"/>
      <c r="K83" s="1133"/>
      <c r="L83" s="1133"/>
      <c r="M83" s="1133"/>
      <c r="N83" s="1133"/>
      <c r="O83" s="1133"/>
      <c r="P83" s="1133"/>
      <c r="Q83" s="1133"/>
      <c r="R83" s="1133"/>
      <c r="S83" s="1133"/>
      <c r="T83" s="1133"/>
      <c r="U83" s="1133"/>
      <c r="V83" s="1135"/>
      <c r="W83" s="1135"/>
    </row>
    <row r="84">
      <c r="A84" s="1133"/>
      <c r="B84" s="1133"/>
      <c r="C84" s="1133"/>
      <c r="D84" s="1133"/>
      <c r="E84" s="1133"/>
      <c r="F84" s="1133"/>
      <c r="G84" s="1133"/>
      <c r="H84" s="1133"/>
      <c r="I84" s="1133"/>
      <c r="J84" s="1133"/>
      <c r="K84" s="1133"/>
      <c r="L84" s="1133"/>
      <c r="M84" s="1133"/>
      <c r="N84" s="1133"/>
      <c r="O84" s="1133"/>
      <c r="P84" s="1133"/>
      <c r="Q84" s="1133"/>
      <c r="R84" s="1133"/>
      <c r="S84" s="1133"/>
      <c r="T84" s="1133"/>
      <c r="U84" s="1133"/>
      <c r="V84" s="1135"/>
      <c r="W84" s="1135"/>
    </row>
    <row r="85">
      <c r="A85" s="1133"/>
      <c r="B85" s="1133"/>
      <c r="C85" s="1133"/>
      <c r="D85" s="1133"/>
      <c r="E85" s="1133"/>
      <c r="F85" s="1133"/>
      <c r="G85" s="1133"/>
      <c r="H85" s="1133"/>
      <c r="I85" s="1133"/>
      <c r="J85" s="1133"/>
      <c r="K85" s="1133"/>
      <c r="L85" s="1133"/>
      <c r="M85" s="1133"/>
      <c r="N85" s="1133"/>
      <c r="O85" s="1133"/>
      <c r="P85" s="1133"/>
      <c r="Q85" s="1133"/>
      <c r="R85" s="1133"/>
      <c r="S85" s="1133"/>
      <c r="T85" s="1133"/>
      <c r="U85" s="1133"/>
      <c r="V85" s="1135"/>
      <c r="W85" s="1135"/>
    </row>
    <row r="86">
      <c r="A86" s="1133"/>
      <c r="B86" s="1133"/>
      <c r="C86" s="1133"/>
      <c r="D86" s="1133"/>
      <c r="E86" s="1133"/>
      <c r="F86" s="1133"/>
      <c r="G86" s="1133"/>
      <c r="H86" s="1133"/>
      <c r="I86" s="1133"/>
      <c r="J86" s="1133"/>
      <c r="K86" s="1133"/>
      <c r="L86" s="1133"/>
      <c r="M86" s="1133"/>
      <c r="N86" s="1133"/>
      <c r="O86" s="1133"/>
      <c r="P86" s="1133"/>
      <c r="Q86" s="1133"/>
      <c r="R86" s="1133"/>
      <c r="S86" s="1133"/>
      <c r="T86" s="1133"/>
      <c r="U86" s="1133"/>
      <c r="V86" s="1135"/>
      <c r="W86" s="1135"/>
    </row>
    <row r="87">
      <c r="A87" s="1133"/>
      <c r="B87" s="1133"/>
      <c r="C87" s="1133"/>
      <c r="D87" s="1133"/>
      <c r="E87" s="1133"/>
      <c r="F87" s="1133"/>
      <c r="G87" s="1133"/>
      <c r="H87" s="1133"/>
      <c r="I87" s="1133"/>
      <c r="J87" s="1133"/>
      <c r="K87" s="1133"/>
      <c r="L87" s="1133"/>
      <c r="M87" s="1133"/>
      <c r="N87" s="1133"/>
      <c r="O87" s="1133"/>
      <c r="P87" s="1133"/>
      <c r="Q87" s="1133"/>
      <c r="R87" s="1133"/>
      <c r="S87" s="1133"/>
      <c r="T87" s="1133"/>
      <c r="U87" s="1133"/>
      <c r="V87" s="1135"/>
      <c r="W87" s="1135"/>
    </row>
    <row r="88">
      <c r="A88" s="1133"/>
      <c r="B88" s="1133"/>
      <c r="C88" s="1133"/>
      <c r="D88" s="1133"/>
      <c r="E88" s="1133"/>
      <c r="F88" s="1133"/>
      <c r="G88" s="1133"/>
      <c r="H88" s="1133"/>
      <c r="I88" s="1133"/>
      <c r="J88" s="1133"/>
      <c r="K88" s="1133"/>
      <c r="L88" s="1133"/>
      <c r="M88" s="1133"/>
      <c r="N88" s="1133"/>
      <c r="O88" s="1133"/>
      <c r="P88" s="1133"/>
      <c r="Q88" s="1133"/>
      <c r="R88" s="1133"/>
      <c r="S88" s="1133"/>
      <c r="T88" s="1133"/>
      <c r="U88" s="1133"/>
      <c r="V88" s="1135"/>
      <c r="W88" s="1135"/>
    </row>
    <row r="89">
      <c r="A89" s="1133"/>
      <c r="B89" s="1133"/>
      <c r="C89" s="1133"/>
      <c r="D89" s="1133"/>
      <c r="E89" s="1133"/>
      <c r="F89" s="1133"/>
      <c r="G89" s="1133"/>
      <c r="H89" s="1133"/>
      <c r="I89" s="1133"/>
      <c r="J89" s="1133"/>
      <c r="K89" s="1133"/>
      <c r="L89" s="1133"/>
      <c r="M89" s="1133"/>
      <c r="N89" s="1133"/>
      <c r="O89" s="1133"/>
      <c r="P89" s="1133"/>
      <c r="Q89" s="1133"/>
      <c r="R89" s="1133"/>
      <c r="S89" s="1133"/>
      <c r="T89" s="1133"/>
      <c r="U89" s="1133"/>
      <c r="V89" s="1135"/>
      <c r="W89" s="1135"/>
    </row>
    <row r="90">
      <c r="A90" s="1133"/>
      <c r="B90" s="1133"/>
      <c r="C90" s="1133"/>
      <c r="D90" s="1133"/>
      <c r="E90" s="1133"/>
      <c r="F90" s="1133"/>
      <c r="G90" s="1133"/>
      <c r="H90" s="1133"/>
      <c r="I90" s="1133"/>
      <c r="J90" s="1133"/>
      <c r="K90" s="1133"/>
      <c r="L90" s="1133"/>
      <c r="M90" s="1133"/>
      <c r="N90" s="1133"/>
      <c r="O90" s="1133"/>
      <c r="P90" s="1133"/>
      <c r="Q90" s="1133"/>
      <c r="R90" s="1133"/>
      <c r="S90" s="1133"/>
      <c r="T90" s="1133"/>
      <c r="U90" s="1133"/>
      <c r="V90" s="1135"/>
      <c r="W90" s="1135"/>
    </row>
    <row r="91">
      <c r="A91" s="1133"/>
      <c r="B91" s="1133"/>
      <c r="C91" s="1133"/>
      <c r="D91" s="1133"/>
      <c r="E91" s="1133"/>
      <c r="F91" s="1133"/>
      <c r="G91" s="1133"/>
      <c r="H91" s="1133"/>
      <c r="I91" s="1133"/>
      <c r="J91" s="1133"/>
      <c r="K91" s="1133"/>
      <c r="L91" s="1133"/>
      <c r="M91" s="1133"/>
      <c r="N91" s="1133"/>
      <c r="O91" s="1133"/>
      <c r="P91" s="1133"/>
      <c r="Q91" s="1133"/>
      <c r="R91" s="1133"/>
      <c r="S91" s="1133"/>
      <c r="T91" s="1133"/>
      <c r="U91" s="1133"/>
      <c r="V91" s="1135"/>
      <c r="W91" s="1135"/>
    </row>
    <row r="92">
      <c r="A92" s="1133"/>
      <c r="B92" s="1133"/>
      <c r="C92" s="1133"/>
      <c r="D92" s="1133"/>
      <c r="E92" s="1133"/>
      <c r="F92" s="1133"/>
      <c r="G92" s="1133"/>
      <c r="H92" s="1133"/>
      <c r="I92" s="1133"/>
      <c r="J92" s="1133"/>
      <c r="K92" s="1133"/>
      <c r="L92" s="1133"/>
      <c r="M92" s="1133"/>
      <c r="N92" s="1133"/>
      <c r="O92" s="1133"/>
      <c r="P92" s="1133"/>
      <c r="Q92" s="1133"/>
      <c r="R92" s="1133"/>
      <c r="S92" s="1133"/>
      <c r="T92" s="1133"/>
      <c r="U92" s="1133"/>
      <c r="V92" s="1135"/>
      <c r="W92" s="1135"/>
    </row>
    <row r="93">
      <c r="A93" s="1133"/>
      <c r="B93" s="1133"/>
      <c r="C93" s="1133"/>
      <c r="D93" s="1133"/>
      <c r="E93" s="1133"/>
      <c r="F93" s="1133"/>
      <c r="G93" s="1133"/>
      <c r="H93" s="1133"/>
      <c r="I93" s="1133"/>
      <c r="J93" s="1133"/>
      <c r="K93" s="1133"/>
      <c r="L93" s="1133"/>
      <c r="M93" s="1133"/>
      <c r="N93" s="1133"/>
      <c r="O93" s="1133"/>
      <c r="P93" s="1133"/>
      <c r="Q93" s="1133"/>
      <c r="R93" s="1133"/>
      <c r="S93" s="1133"/>
      <c r="T93" s="1133"/>
      <c r="U93" s="1133"/>
      <c r="V93" s="1135"/>
      <c r="W93" s="1135"/>
    </row>
    <row r="94">
      <c r="A94" s="1133"/>
      <c r="B94" s="1133"/>
      <c r="C94" s="1133"/>
      <c r="D94" s="1133"/>
      <c r="E94" s="1133"/>
      <c r="F94" s="1133"/>
      <c r="G94" s="1133"/>
      <c r="H94" s="1133"/>
      <c r="I94" s="1133"/>
      <c r="J94" s="1133"/>
      <c r="K94" s="1133"/>
      <c r="L94" s="1133"/>
      <c r="M94" s="1133"/>
      <c r="N94" s="1133"/>
      <c r="O94" s="1133"/>
      <c r="P94" s="1133"/>
      <c r="Q94" s="1133"/>
      <c r="R94" s="1133"/>
      <c r="S94" s="1133"/>
      <c r="T94" s="1133"/>
      <c r="U94" s="1133"/>
      <c r="V94" s="1135"/>
      <c r="W94" s="1135"/>
    </row>
    <row r="95">
      <c r="A95" s="1133"/>
      <c r="B95" s="1133"/>
      <c r="C95" s="1133"/>
      <c r="D95" s="1133"/>
      <c r="E95" s="1133"/>
      <c r="F95" s="1133"/>
      <c r="G95" s="1133"/>
      <c r="H95" s="1133"/>
      <c r="I95" s="1133"/>
      <c r="J95" s="1133"/>
      <c r="K95" s="1133"/>
      <c r="L95" s="1133"/>
      <c r="M95" s="1133"/>
      <c r="N95" s="1133"/>
      <c r="O95" s="1133"/>
      <c r="P95" s="1133"/>
      <c r="Q95" s="1133"/>
      <c r="R95" s="1133"/>
      <c r="S95" s="1133"/>
      <c r="T95" s="1133"/>
      <c r="U95" s="1133"/>
      <c r="V95" s="1135"/>
      <c r="W95" s="1135"/>
    </row>
    <row r="96">
      <c r="A96" s="1133"/>
      <c r="B96" s="1133"/>
      <c r="C96" s="1133"/>
      <c r="D96" s="1133"/>
      <c r="E96" s="1133"/>
      <c r="F96" s="1133"/>
      <c r="G96" s="1133"/>
      <c r="H96" s="1133"/>
      <c r="I96" s="1133"/>
      <c r="J96" s="1133"/>
      <c r="K96" s="1133"/>
      <c r="L96" s="1133"/>
      <c r="M96" s="1133"/>
      <c r="N96" s="1133"/>
      <c r="O96" s="1133"/>
      <c r="P96" s="1133"/>
      <c r="Q96" s="1133"/>
      <c r="R96" s="1133"/>
      <c r="S96" s="1133"/>
      <c r="T96" s="1133"/>
      <c r="U96" s="1133"/>
      <c r="V96" s="1135"/>
      <c r="W96" s="1135"/>
    </row>
    <row r="97">
      <c r="A97" s="1133"/>
      <c r="B97" s="1133"/>
      <c r="C97" s="1133"/>
      <c r="D97" s="1133"/>
      <c r="E97" s="1133"/>
      <c r="F97" s="1133"/>
      <c r="G97" s="1133"/>
      <c r="H97" s="1133"/>
      <c r="I97" s="1133"/>
      <c r="J97" s="1133"/>
      <c r="K97" s="1133"/>
      <c r="L97" s="1133"/>
      <c r="M97" s="1133"/>
      <c r="N97" s="1133"/>
      <c r="O97" s="1133"/>
      <c r="P97" s="1133"/>
      <c r="Q97" s="1133"/>
      <c r="R97" s="1133"/>
      <c r="S97" s="1133"/>
      <c r="T97" s="1133"/>
      <c r="U97" s="1133"/>
      <c r="V97" s="1135"/>
      <c r="W97" s="1135"/>
    </row>
    <row r="98">
      <c r="A98" s="1133"/>
      <c r="B98" s="1133"/>
      <c r="C98" s="1133"/>
      <c r="D98" s="1133"/>
      <c r="E98" s="1133"/>
      <c r="F98" s="1133"/>
      <c r="G98" s="1133"/>
      <c r="H98" s="1133"/>
      <c r="I98" s="1133"/>
      <c r="J98" s="1133"/>
      <c r="K98" s="1133"/>
      <c r="L98" s="1133"/>
      <c r="M98" s="1133"/>
      <c r="N98" s="1133"/>
      <c r="O98" s="1133"/>
      <c r="P98" s="1133"/>
      <c r="Q98" s="1133"/>
      <c r="R98" s="1133"/>
      <c r="S98" s="1133"/>
      <c r="T98" s="1133"/>
      <c r="U98" s="1133"/>
      <c r="V98" s="1135"/>
      <c r="W98" s="1135"/>
    </row>
    <row r="99">
      <c r="A99" s="1133"/>
      <c r="B99" s="1133"/>
      <c r="C99" s="1133"/>
      <c r="D99" s="1133"/>
      <c r="E99" s="1133"/>
      <c r="F99" s="1133"/>
      <c r="G99" s="1133"/>
      <c r="H99" s="1133"/>
      <c r="I99" s="1133"/>
      <c r="J99" s="1133"/>
      <c r="K99" s="1133"/>
      <c r="L99" s="1133"/>
      <c r="M99" s="1133"/>
      <c r="N99" s="1133"/>
      <c r="O99" s="1133"/>
      <c r="P99" s="1133"/>
      <c r="Q99" s="1133"/>
      <c r="R99" s="1133"/>
      <c r="S99" s="1133"/>
      <c r="T99" s="1133"/>
      <c r="U99" s="1133"/>
      <c r="V99" s="1135"/>
      <c r="W99" s="1135"/>
    </row>
    <row r="100">
      <c r="A100" s="1133"/>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5"/>
      <c r="W100" s="1135"/>
    </row>
    <row r="101">
      <c r="A101" s="1133"/>
      <c r="B101" s="1133"/>
      <c r="C101" s="1133"/>
      <c r="D101" s="1133"/>
      <c r="E101" s="1133"/>
      <c r="F101" s="1133"/>
      <c r="G101" s="1133"/>
      <c r="H101" s="1133"/>
      <c r="I101" s="1133"/>
      <c r="J101" s="1133"/>
      <c r="K101" s="1133"/>
      <c r="L101" s="1133"/>
      <c r="M101" s="1133"/>
      <c r="N101" s="1133"/>
      <c r="O101" s="1133"/>
      <c r="P101" s="1133"/>
      <c r="Q101" s="1133"/>
      <c r="R101" s="1133"/>
      <c r="S101" s="1133"/>
      <c r="T101" s="1133"/>
      <c r="U101" s="1133"/>
      <c r="V101" s="1135"/>
      <c r="W101" s="1135"/>
    </row>
    <row r="102">
      <c r="A102" s="1133"/>
      <c r="B102" s="1133"/>
      <c r="C102" s="1133"/>
      <c r="D102" s="1133"/>
      <c r="E102" s="1133"/>
      <c r="F102" s="1133"/>
      <c r="G102" s="1133"/>
      <c r="H102" s="1133"/>
      <c r="I102" s="1133"/>
      <c r="J102" s="1133"/>
      <c r="K102" s="1133"/>
      <c r="L102" s="1133"/>
      <c r="M102" s="1133"/>
      <c r="N102" s="1133"/>
      <c r="O102" s="1133"/>
      <c r="P102" s="1133"/>
      <c r="Q102" s="1133"/>
      <c r="R102" s="1133"/>
      <c r="S102" s="1133"/>
      <c r="T102" s="1133"/>
      <c r="U102" s="1133"/>
      <c r="V102" s="1135"/>
      <c r="W102" s="1135"/>
    </row>
    <row r="103">
      <c r="A103" s="1133"/>
      <c r="B103" s="1133"/>
      <c r="C103" s="1133"/>
      <c r="D103" s="1133"/>
      <c r="E103" s="1133"/>
      <c r="F103" s="1133"/>
      <c r="G103" s="1133"/>
      <c r="H103" s="1133"/>
      <c r="I103" s="1133"/>
      <c r="J103" s="1133"/>
      <c r="K103" s="1133"/>
      <c r="L103" s="1133"/>
      <c r="M103" s="1133"/>
      <c r="N103" s="1133"/>
      <c r="O103" s="1133"/>
      <c r="P103" s="1133"/>
      <c r="Q103" s="1133"/>
      <c r="R103" s="1133"/>
      <c r="S103" s="1133"/>
      <c r="T103" s="1133"/>
      <c r="U103" s="1133"/>
      <c r="V103" s="1135"/>
      <c r="W103" s="1135"/>
    </row>
    <row r="104">
      <c r="A104" s="1133"/>
      <c r="B104" s="1133"/>
      <c r="C104" s="1133"/>
      <c r="D104" s="1133"/>
      <c r="E104" s="1133"/>
      <c r="F104" s="1133"/>
      <c r="G104" s="1133"/>
      <c r="H104" s="1133"/>
      <c r="I104" s="1133"/>
      <c r="J104" s="1133"/>
      <c r="K104" s="1133"/>
      <c r="L104" s="1133"/>
      <c r="M104" s="1133"/>
      <c r="N104" s="1133"/>
      <c r="O104" s="1133"/>
      <c r="P104" s="1133"/>
      <c r="Q104" s="1133"/>
      <c r="R104" s="1133"/>
      <c r="S104" s="1133"/>
      <c r="T104" s="1133"/>
      <c r="U104" s="1133"/>
      <c r="V104" s="1135"/>
      <c r="W104" s="1135"/>
    </row>
    <row r="105">
      <c r="A105" s="1133"/>
      <c r="B105" s="1133"/>
      <c r="C105" s="1133"/>
      <c r="D105" s="1133"/>
      <c r="E105" s="1133"/>
      <c r="F105" s="1133"/>
      <c r="G105" s="1133"/>
      <c r="H105" s="1133"/>
      <c r="I105" s="1133"/>
      <c r="J105" s="1133"/>
      <c r="K105" s="1133"/>
      <c r="L105" s="1133"/>
      <c r="M105" s="1133"/>
      <c r="N105" s="1133"/>
      <c r="O105" s="1133"/>
      <c r="P105" s="1133"/>
      <c r="Q105" s="1133"/>
      <c r="R105" s="1133"/>
      <c r="S105" s="1133"/>
      <c r="T105" s="1133"/>
      <c r="U105" s="1133"/>
      <c r="V105" s="1135"/>
      <c r="W105" s="1135"/>
    </row>
    <row r="106">
      <c r="A106" s="1133"/>
      <c r="B106" s="1133"/>
      <c r="C106" s="1133"/>
      <c r="D106" s="1133"/>
      <c r="E106" s="1133"/>
      <c r="F106" s="1133"/>
      <c r="G106" s="1133"/>
      <c r="H106" s="1133"/>
      <c r="I106" s="1133"/>
      <c r="J106" s="1133"/>
      <c r="K106" s="1133"/>
      <c r="L106" s="1133"/>
      <c r="M106" s="1133"/>
      <c r="N106" s="1133"/>
      <c r="O106" s="1133"/>
      <c r="P106" s="1133"/>
      <c r="Q106" s="1133"/>
      <c r="R106" s="1133"/>
      <c r="S106" s="1133"/>
      <c r="T106" s="1133"/>
      <c r="U106" s="1133"/>
      <c r="V106" s="1135"/>
      <c r="W106" s="1135"/>
    </row>
    <row r="107">
      <c r="A107" s="1133"/>
      <c r="B107" s="1133"/>
      <c r="C107" s="1133"/>
      <c r="D107" s="1133"/>
      <c r="E107" s="1133"/>
      <c r="F107" s="1133"/>
      <c r="G107" s="1133"/>
      <c r="H107" s="1133"/>
      <c r="I107" s="1133"/>
      <c r="J107" s="1133"/>
      <c r="K107" s="1133"/>
      <c r="L107" s="1133"/>
      <c r="M107" s="1133"/>
      <c r="N107" s="1133"/>
      <c r="O107" s="1133"/>
      <c r="P107" s="1133"/>
      <c r="Q107" s="1133"/>
      <c r="R107" s="1133"/>
      <c r="S107" s="1133"/>
      <c r="T107" s="1133"/>
      <c r="U107" s="1133"/>
      <c r="V107" s="1135"/>
      <c r="W107" s="1135"/>
    </row>
    <row r="108">
      <c r="A108" s="1133"/>
      <c r="B108" s="1133"/>
      <c r="C108" s="1133"/>
      <c r="D108" s="1133"/>
      <c r="E108" s="1133"/>
      <c r="F108" s="1133"/>
      <c r="G108" s="1133"/>
      <c r="H108" s="1133"/>
      <c r="I108" s="1133"/>
      <c r="J108" s="1133"/>
      <c r="K108" s="1133"/>
      <c r="L108" s="1133"/>
      <c r="M108" s="1133"/>
      <c r="N108" s="1133"/>
      <c r="O108" s="1133"/>
      <c r="P108" s="1133"/>
      <c r="Q108" s="1133"/>
      <c r="R108" s="1133"/>
      <c r="S108" s="1133"/>
      <c r="T108" s="1133"/>
      <c r="U108" s="1133"/>
      <c r="V108" s="1135"/>
      <c r="W108" s="1135"/>
    </row>
    <row r="109">
      <c r="A109" s="1133"/>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5"/>
      <c r="W109" s="1135"/>
    </row>
    <row r="110">
      <c r="A110" s="1133"/>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5"/>
      <c r="W110" s="1135"/>
    </row>
    <row r="111">
      <c r="A111" s="1133"/>
      <c r="B111" s="1133"/>
      <c r="C111" s="1133"/>
      <c r="D111" s="1133"/>
      <c r="E111" s="1133"/>
      <c r="F111" s="1133"/>
      <c r="G111" s="1133"/>
      <c r="H111" s="1133"/>
      <c r="I111" s="1133"/>
      <c r="J111" s="1133"/>
      <c r="K111" s="1133"/>
      <c r="L111" s="1133"/>
      <c r="M111" s="1133"/>
      <c r="N111" s="1133"/>
      <c r="O111" s="1133"/>
      <c r="P111" s="1133"/>
      <c r="Q111" s="1133"/>
      <c r="R111" s="1133"/>
      <c r="S111" s="1133"/>
      <c r="T111" s="1133"/>
      <c r="U111" s="1133"/>
      <c r="V111" s="1135"/>
      <c r="W111" s="1135"/>
    </row>
    <row r="112">
      <c r="A112" s="1133"/>
      <c r="B112" s="1133"/>
      <c r="C112" s="1133"/>
      <c r="D112" s="1133"/>
      <c r="E112" s="1133"/>
      <c r="F112" s="1133"/>
      <c r="G112" s="1133"/>
      <c r="H112" s="1133"/>
      <c r="I112" s="1133"/>
      <c r="J112" s="1133"/>
      <c r="K112" s="1133"/>
      <c r="L112" s="1133"/>
      <c r="M112" s="1133"/>
      <c r="N112" s="1133"/>
      <c r="O112" s="1133"/>
      <c r="P112" s="1133"/>
      <c r="Q112" s="1133"/>
      <c r="R112" s="1133"/>
      <c r="S112" s="1133"/>
      <c r="T112" s="1133"/>
      <c r="U112" s="1133"/>
      <c r="V112" s="1135"/>
      <c r="W112" s="1135"/>
    </row>
    <row r="113">
      <c r="A113" s="1133"/>
      <c r="B113" s="1133"/>
      <c r="C113" s="1133"/>
      <c r="D113" s="1133"/>
      <c r="E113" s="1133"/>
      <c r="F113" s="1133"/>
      <c r="G113" s="1133"/>
      <c r="H113" s="1133"/>
      <c r="I113" s="1133"/>
      <c r="J113" s="1133"/>
      <c r="K113" s="1133"/>
      <c r="L113" s="1133"/>
      <c r="M113" s="1133"/>
      <c r="N113" s="1133"/>
      <c r="O113" s="1133"/>
      <c r="P113" s="1133"/>
      <c r="Q113" s="1133"/>
      <c r="R113" s="1133"/>
      <c r="S113" s="1133"/>
      <c r="T113" s="1133"/>
      <c r="U113" s="1133"/>
      <c r="V113" s="1135"/>
      <c r="W113" s="1135"/>
    </row>
    <row r="114">
      <c r="A114" s="1133"/>
      <c r="B114" s="1133"/>
      <c r="C114" s="1133"/>
      <c r="D114" s="1133"/>
      <c r="E114" s="1133"/>
      <c r="F114" s="1133"/>
      <c r="G114" s="1133"/>
      <c r="H114" s="1133"/>
      <c r="I114" s="1133"/>
      <c r="J114" s="1133"/>
      <c r="K114" s="1133"/>
      <c r="L114" s="1133"/>
      <c r="M114" s="1133"/>
      <c r="N114" s="1133"/>
      <c r="O114" s="1133"/>
      <c r="P114" s="1133"/>
      <c r="Q114" s="1133"/>
      <c r="R114" s="1133"/>
      <c r="S114" s="1133"/>
      <c r="T114" s="1133"/>
      <c r="U114" s="1133"/>
      <c r="V114" s="1135"/>
      <c r="W114" s="1135"/>
    </row>
    <row r="115">
      <c r="A115" s="1133"/>
      <c r="B115" s="1133"/>
      <c r="C115" s="1133"/>
      <c r="D115" s="1133"/>
      <c r="E115" s="1133"/>
      <c r="F115" s="1133"/>
      <c r="G115" s="1133"/>
      <c r="H115" s="1133"/>
      <c r="I115" s="1133"/>
      <c r="J115" s="1133"/>
      <c r="K115" s="1133"/>
      <c r="L115" s="1133"/>
      <c r="M115" s="1133"/>
      <c r="N115" s="1133"/>
      <c r="O115" s="1133"/>
      <c r="P115" s="1133"/>
      <c r="Q115" s="1133"/>
      <c r="R115" s="1133"/>
      <c r="S115" s="1133"/>
      <c r="T115" s="1133"/>
      <c r="U115" s="1133"/>
      <c r="V115" s="1135"/>
      <c r="W115" s="1135"/>
    </row>
    <row r="116">
      <c r="A116" s="1133"/>
      <c r="B116" s="1133"/>
      <c r="C116" s="1133"/>
      <c r="D116" s="1133"/>
      <c r="E116" s="1133"/>
      <c r="F116" s="1133"/>
      <c r="G116" s="1133"/>
      <c r="H116" s="1133"/>
      <c r="I116" s="1133"/>
      <c r="J116" s="1133"/>
      <c r="K116" s="1133"/>
      <c r="L116" s="1133"/>
      <c r="M116" s="1133"/>
      <c r="N116" s="1133"/>
      <c r="O116" s="1133"/>
      <c r="P116" s="1133"/>
      <c r="Q116" s="1133"/>
      <c r="R116" s="1133"/>
      <c r="S116" s="1133"/>
      <c r="T116" s="1133"/>
      <c r="U116" s="1133"/>
      <c r="V116" s="1135"/>
      <c r="W116" s="1135"/>
    </row>
    <row r="117">
      <c r="A117" s="1133"/>
      <c r="B117" s="1133"/>
      <c r="C117" s="1133"/>
      <c r="D117" s="1133"/>
      <c r="E117" s="1133"/>
      <c r="F117" s="1133"/>
      <c r="G117" s="1133"/>
      <c r="H117" s="1133"/>
      <c r="I117" s="1133"/>
      <c r="J117" s="1133"/>
      <c r="K117" s="1133"/>
      <c r="L117" s="1133"/>
      <c r="M117" s="1133"/>
      <c r="N117" s="1133"/>
      <c r="O117" s="1133"/>
      <c r="P117" s="1133"/>
      <c r="Q117" s="1133"/>
      <c r="R117" s="1133"/>
      <c r="S117" s="1133"/>
      <c r="T117" s="1133"/>
      <c r="U117" s="1133"/>
      <c r="V117" s="1135"/>
      <c r="W117" s="1135"/>
    </row>
    <row r="118">
      <c r="A118" s="1133"/>
      <c r="B118" s="1133"/>
      <c r="C118" s="1133"/>
      <c r="D118" s="1133"/>
      <c r="E118" s="1133"/>
      <c r="F118" s="1133"/>
      <c r="G118" s="1133"/>
      <c r="H118" s="1133"/>
      <c r="I118" s="1133"/>
      <c r="J118" s="1133"/>
      <c r="K118" s="1133"/>
      <c r="L118" s="1133"/>
      <c r="M118" s="1133"/>
      <c r="N118" s="1133"/>
      <c r="O118" s="1133"/>
      <c r="P118" s="1133"/>
      <c r="Q118" s="1133"/>
      <c r="R118" s="1133"/>
      <c r="S118" s="1133"/>
      <c r="T118" s="1133"/>
      <c r="U118" s="1133"/>
      <c r="V118" s="1135"/>
      <c r="W118" s="1135"/>
    </row>
    <row r="119">
      <c r="A119" s="1133"/>
      <c r="B119" s="1133"/>
      <c r="C119" s="1133"/>
      <c r="D119" s="1133"/>
      <c r="E119" s="1133"/>
      <c r="F119" s="1133"/>
      <c r="G119" s="1133"/>
      <c r="H119" s="1133"/>
      <c r="I119" s="1133"/>
      <c r="J119" s="1133"/>
      <c r="K119" s="1133"/>
      <c r="L119" s="1133"/>
      <c r="M119" s="1133"/>
      <c r="N119" s="1133"/>
      <c r="O119" s="1133"/>
      <c r="P119" s="1133"/>
      <c r="Q119" s="1133"/>
      <c r="R119" s="1133"/>
      <c r="S119" s="1133"/>
      <c r="T119" s="1133"/>
      <c r="U119" s="1133"/>
      <c r="V119" s="1135"/>
      <c r="W119" s="1135"/>
    </row>
    <row r="120">
      <c r="A120" s="1133"/>
      <c r="B120" s="1133"/>
      <c r="C120" s="1133"/>
      <c r="D120" s="1133"/>
      <c r="E120" s="1133"/>
      <c r="F120" s="1133"/>
      <c r="G120" s="1133"/>
      <c r="H120" s="1133"/>
      <c r="I120" s="1133"/>
      <c r="J120" s="1133"/>
      <c r="K120" s="1133"/>
      <c r="L120" s="1133"/>
      <c r="M120" s="1133"/>
      <c r="N120" s="1133"/>
      <c r="O120" s="1133"/>
      <c r="P120" s="1133"/>
      <c r="Q120" s="1133"/>
      <c r="R120" s="1133"/>
      <c r="S120" s="1133"/>
      <c r="T120" s="1133"/>
      <c r="U120" s="1133"/>
      <c r="V120" s="1135"/>
      <c r="W120" s="1135"/>
    </row>
    <row r="121">
      <c r="A121" s="1133"/>
      <c r="B121" s="1133"/>
      <c r="C121" s="1133"/>
      <c r="D121" s="1133"/>
      <c r="E121" s="1133"/>
      <c r="F121" s="1133"/>
      <c r="G121" s="1133"/>
      <c r="H121" s="1133"/>
      <c r="I121" s="1133"/>
      <c r="J121" s="1133"/>
      <c r="K121" s="1133"/>
      <c r="L121" s="1133"/>
      <c r="M121" s="1133"/>
      <c r="N121" s="1133"/>
      <c r="O121" s="1133"/>
      <c r="P121" s="1133"/>
      <c r="Q121" s="1133"/>
      <c r="R121" s="1133"/>
      <c r="S121" s="1133"/>
      <c r="T121" s="1133"/>
      <c r="U121" s="1133"/>
      <c r="V121" s="1135"/>
      <c r="W121" s="1135"/>
    </row>
    <row r="122">
      <c r="A122" s="1133"/>
      <c r="B122" s="1133"/>
      <c r="C122" s="1133"/>
      <c r="D122" s="1133"/>
      <c r="E122" s="1133"/>
      <c r="F122" s="1133"/>
      <c r="G122" s="1133"/>
      <c r="H122" s="1133"/>
      <c r="I122" s="1133"/>
      <c r="J122" s="1133"/>
      <c r="K122" s="1133"/>
      <c r="L122" s="1133"/>
      <c r="M122" s="1133"/>
      <c r="N122" s="1133"/>
      <c r="O122" s="1133"/>
      <c r="P122" s="1133"/>
      <c r="Q122" s="1133"/>
      <c r="R122" s="1133"/>
      <c r="S122" s="1133"/>
      <c r="T122" s="1133"/>
      <c r="U122" s="1133"/>
      <c r="V122" s="1135"/>
      <c r="W122" s="1135"/>
    </row>
    <row r="123">
      <c r="A123" s="1133"/>
      <c r="B123" s="1133"/>
      <c r="C123" s="1133"/>
      <c r="D123" s="1133"/>
      <c r="E123" s="1133"/>
      <c r="F123" s="1133"/>
      <c r="G123" s="1133"/>
      <c r="H123" s="1133"/>
      <c r="I123" s="1133"/>
      <c r="J123" s="1133"/>
      <c r="K123" s="1133"/>
      <c r="L123" s="1133"/>
      <c r="M123" s="1133"/>
      <c r="N123" s="1133"/>
      <c r="O123" s="1133"/>
      <c r="P123" s="1133"/>
      <c r="Q123" s="1133"/>
      <c r="R123" s="1133"/>
      <c r="S123" s="1133"/>
      <c r="T123" s="1133"/>
      <c r="U123" s="1133"/>
      <c r="V123" s="1135"/>
      <c r="W123" s="1135"/>
    </row>
    <row r="124">
      <c r="A124" s="1133"/>
      <c r="B124" s="1133"/>
      <c r="C124" s="1133"/>
      <c r="D124" s="1133"/>
      <c r="E124" s="1133"/>
      <c r="F124" s="1133"/>
      <c r="G124" s="1133"/>
      <c r="H124" s="1133"/>
      <c r="I124" s="1133"/>
      <c r="J124" s="1133"/>
      <c r="K124" s="1133"/>
      <c r="L124" s="1133"/>
      <c r="M124" s="1133"/>
      <c r="N124" s="1133"/>
      <c r="O124" s="1133"/>
      <c r="P124" s="1133"/>
      <c r="Q124" s="1133"/>
      <c r="R124" s="1133"/>
      <c r="S124" s="1133"/>
      <c r="T124" s="1133"/>
      <c r="U124" s="1133"/>
      <c r="V124" s="1135"/>
      <c r="W124" s="1135"/>
    </row>
    <row r="125">
      <c r="A125" s="1133"/>
      <c r="B125" s="1133"/>
      <c r="C125" s="1133"/>
      <c r="D125" s="1133"/>
      <c r="E125" s="1133"/>
      <c r="F125" s="1133"/>
      <c r="G125" s="1133"/>
      <c r="H125" s="1133"/>
      <c r="I125" s="1133"/>
      <c r="J125" s="1133"/>
      <c r="K125" s="1133"/>
      <c r="L125" s="1133"/>
      <c r="M125" s="1133"/>
      <c r="N125" s="1133"/>
      <c r="O125" s="1133"/>
      <c r="P125" s="1133"/>
      <c r="Q125" s="1133"/>
      <c r="R125" s="1133"/>
      <c r="S125" s="1133"/>
      <c r="T125" s="1133"/>
      <c r="U125" s="1133"/>
      <c r="V125" s="1135"/>
      <c r="W125" s="1135"/>
    </row>
    <row r="126">
      <c r="A126" s="1133"/>
      <c r="B126" s="1133"/>
      <c r="C126" s="1133"/>
      <c r="D126" s="1133"/>
      <c r="E126" s="1133"/>
      <c r="F126" s="1133"/>
      <c r="G126" s="1133"/>
      <c r="H126" s="1133"/>
      <c r="I126" s="1133"/>
      <c r="J126" s="1133"/>
      <c r="K126" s="1133"/>
      <c r="L126" s="1133"/>
      <c r="M126" s="1133"/>
      <c r="N126" s="1133"/>
      <c r="O126" s="1133"/>
      <c r="P126" s="1133"/>
      <c r="Q126" s="1133"/>
      <c r="R126" s="1133"/>
      <c r="S126" s="1133"/>
      <c r="T126" s="1133"/>
      <c r="U126" s="1133"/>
      <c r="V126" s="1135"/>
      <c r="W126" s="1135"/>
    </row>
    <row r="127">
      <c r="A127" s="1133"/>
      <c r="B127" s="1133"/>
      <c r="C127" s="1133"/>
      <c r="D127" s="1133"/>
      <c r="E127" s="1133"/>
      <c r="F127" s="1133"/>
      <c r="G127" s="1133"/>
      <c r="H127" s="1133"/>
      <c r="I127" s="1133"/>
      <c r="J127" s="1133"/>
      <c r="K127" s="1133"/>
      <c r="L127" s="1133"/>
      <c r="M127" s="1133"/>
      <c r="N127" s="1133"/>
      <c r="O127" s="1133"/>
      <c r="P127" s="1133"/>
      <c r="Q127" s="1133"/>
      <c r="R127" s="1133"/>
      <c r="S127" s="1133"/>
      <c r="T127" s="1133"/>
      <c r="U127" s="1133"/>
      <c r="V127" s="1135"/>
      <c r="W127" s="1135"/>
    </row>
    <row r="128">
      <c r="A128" s="1133"/>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5"/>
      <c r="W128" s="1135"/>
    </row>
    <row r="129">
      <c r="A129" s="1133"/>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5"/>
      <c r="W129" s="1135"/>
    </row>
    <row r="130">
      <c r="A130" s="1133"/>
      <c r="B130" s="1133"/>
      <c r="C130" s="1133"/>
      <c r="D130" s="1133"/>
      <c r="E130" s="1133"/>
      <c r="F130" s="1133"/>
      <c r="G130" s="1133"/>
      <c r="H130" s="1133"/>
      <c r="I130" s="1133"/>
      <c r="J130" s="1133"/>
      <c r="K130" s="1133"/>
      <c r="L130" s="1133"/>
      <c r="M130" s="1133"/>
      <c r="N130" s="1133"/>
      <c r="O130" s="1133"/>
      <c r="P130" s="1133"/>
      <c r="Q130" s="1133"/>
      <c r="R130" s="1133"/>
      <c r="S130" s="1133"/>
      <c r="T130" s="1133"/>
      <c r="U130" s="1133"/>
      <c r="V130" s="1135"/>
      <c r="W130" s="1135"/>
    </row>
    <row r="131">
      <c r="A131" s="1133"/>
      <c r="B131" s="1133"/>
      <c r="C131" s="1133"/>
      <c r="D131" s="1133"/>
      <c r="E131" s="1133"/>
      <c r="F131" s="1133"/>
      <c r="G131" s="1133"/>
      <c r="H131" s="1133"/>
      <c r="I131" s="1133"/>
      <c r="J131" s="1133"/>
      <c r="K131" s="1133"/>
      <c r="L131" s="1133"/>
      <c r="M131" s="1133"/>
      <c r="N131" s="1133"/>
      <c r="O131" s="1133"/>
      <c r="P131" s="1133"/>
      <c r="Q131" s="1133"/>
      <c r="R131" s="1133"/>
      <c r="S131" s="1133"/>
      <c r="T131" s="1133"/>
      <c r="U131" s="1133"/>
      <c r="V131" s="1135"/>
      <c r="W131" s="1135"/>
    </row>
    <row r="132">
      <c r="A132" s="1133"/>
      <c r="B132" s="1133"/>
      <c r="C132" s="1133"/>
      <c r="D132" s="1133"/>
      <c r="E132" s="1133"/>
      <c r="F132" s="1133"/>
      <c r="G132" s="1133"/>
      <c r="H132" s="1133"/>
      <c r="I132" s="1133"/>
      <c r="J132" s="1133"/>
      <c r="K132" s="1133"/>
      <c r="L132" s="1133"/>
      <c r="M132" s="1133"/>
      <c r="N132" s="1133"/>
      <c r="O132" s="1133"/>
      <c r="P132" s="1133"/>
      <c r="Q132" s="1133"/>
      <c r="R132" s="1133"/>
      <c r="S132" s="1133"/>
      <c r="T132" s="1133"/>
      <c r="U132" s="1133"/>
      <c r="V132" s="1135"/>
      <c r="W132" s="1135"/>
    </row>
    <row r="133">
      <c r="A133" s="1133"/>
      <c r="B133" s="1133"/>
      <c r="C133" s="1133"/>
      <c r="D133" s="1133"/>
      <c r="E133" s="1133"/>
      <c r="F133" s="1133"/>
      <c r="G133" s="1133"/>
      <c r="H133" s="1133"/>
      <c r="I133" s="1133"/>
      <c r="J133" s="1133"/>
      <c r="K133" s="1133"/>
      <c r="L133" s="1133"/>
      <c r="M133" s="1133"/>
      <c r="N133" s="1133"/>
      <c r="O133" s="1133"/>
      <c r="P133" s="1133"/>
      <c r="Q133" s="1133"/>
      <c r="R133" s="1133"/>
      <c r="S133" s="1133"/>
      <c r="T133" s="1133"/>
      <c r="U133" s="1133"/>
      <c r="V133" s="1135"/>
      <c r="W133" s="1135"/>
    </row>
    <row r="134">
      <c r="A134" s="1133"/>
      <c r="B134" s="1133"/>
      <c r="C134" s="1133"/>
      <c r="D134" s="1133"/>
      <c r="E134" s="1133"/>
      <c r="F134" s="1133"/>
      <c r="G134" s="1133"/>
      <c r="H134" s="1133"/>
      <c r="I134" s="1133"/>
      <c r="J134" s="1133"/>
      <c r="K134" s="1133"/>
      <c r="L134" s="1133"/>
      <c r="M134" s="1133"/>
      <c r="N134" s="1133"/>
      <c r="O134" s="1133"/>
      <c r="P134" s="1133"/>
      <c r="Q134" s="1133"/>
      <c r="R134" s="1133"/>
      <c r="S134" s="1133"/>
      <c r="T134" s="1133"/>
      <c r="U134" s="1133"/>
      <c r="V134" s="1135"/>
      <c r="W134" s="1135"/>
    </row>
    <row r="135">
      <c r="A135" s="1133"/>
      <c r="B135" s="1133"/>
      <c r="C135" s="1133"/>
      <c r="D135" s="1133"/>
      <c r="E135" s="1133"/>
      <c r="F135" s="1133"/>
      <c r="G135" s="1133"/>
      <c r="H135" s="1133"/>
      <c r="I135" s="1133"/>
      <c r="J135" s="1133"/>
      <c r="K135" s="1133"/>
      <c r="L135" s="1133"/>
      <c r="M135" s="1133"/>
      <c r="N135" s="1133"/>
      <c r="O135" s="1133"/>
      <c r="P135" s="1133"/>
      <c r="Q135" s="1133"/>
      <c r="R135" s="1133"/>
      <c r="S135" s="1133"/>
      <c r="T135" s="1133"/>
      <c r="U135" s="1133"/>
      <c r="V135" s="1135"/>
      <c r="W135" s="1135"/>
    </row>
    <row r="136">
      <c r="A136" s="1133"/>
      <c r="B136" s="1133"/>
      <c r="C136" s="1133"/>
      <c r="D136" s="1133"/>
      <c r="E136" s="1133"/>
      <c r="F136" s="1133"/>
      <c r="G136" s="1133"/>
      <c r="H136" s="1133"/>
      <c r="I136" s="1133"/>
      <c r="J136" s="1133"/>
      <c r="K136" s="1133"/>
      <c r="L136" s="1133"/>
      <c r="M136" s="1133"/>
      <c r="N136" s="1133"/>
      <c r="O136" s="1133"/>
      <c r="P136" s="1133"/>
      <c r="Q136" s="1133"/>
      <c r="R136" s="1133"/>
      <c r="S136" s="1133"/>
      <c r="T136" s="1133"/>
      <c r="U136" s="1133"/>
      <c r="V136" s="1135"/>
      <c r="W136" s="1135"/>
    </row>
    <row r="137">
      <c r="A137" s="1133"/>
      <c r="B137" s="1133"/>
      <c r="C137" s="1133"/>
      <c r="D137" s="1133"/>
      <c r="E137" s="1133"/>
      <c r="F137" s="1133"/>
      <c r="G137" s="1133"/>
      <c r="H137" s="1133"/>
      <c r="I137" s="1133"/>
      <c r="J137" s="1133"/>
      <c r="K137" s="1133"/>
      <c r="L137" s="1133"/>
      <c r="M137" s="1133"/>
      <c r="N137" s="1133"/>
      <c r="O137" s="1133"/>
      <c r="P137" s="1133"/>
      <c r="Q137" s="1133"/>
      <c r="R137" s="1133"/>
      <c r="S137" s="1133"/>
      <c r="T137" s="1133"/>
      <c r="U137" s="1133"/>
      <c r="V137" s="1135"/>
      <c r="W137" s="1135"/>
    </row>
    <row r="138">
      <c r="A138" s="1133"/>
      <c r="B138" s="1133"/>
      <c r="C138" s="1133"/>
      <c r="D138" s="1133"/>
      <c r="E138" s="1133"/>
      <c r="F138" s="1133"/>
      <c r="G138" s="1133"/>
      <c r="H138" s="1133"/>
      <c r="I138" s="1133"/>
      <c r="J138" s="1133"/>
      <c r="K138" s="1133"/>
      <c r="L138" s="1133"/>
      <c r="M138" s="1133"/>
      <c r="N138" s="1133"/>
      <c r="O138" s="1133"/>
      <c r="P138" s="1133"/>
      <c r="Q138" s="1133"/>
      <c r="R138" s="1133"/>
      <c r="S138" s="1133"/>
      <c r="T138" s="1133"/>
      <c r="U138" s="1133"/>
      <c r="V138" s="1135"/>
      <c r="W138" s="1135"/>
    </row>
    <row r="139">
      <c r="A139" s="1133"/>
      <c r="B139" s="1133"/>
      <c r="C139" s="1133"/>
      <c r="D139" s="1133"/>
      <c r="E139" s="1133"/>
      <c r="F139" s="1133"/>
      <c r="G139" s="1133"/>
      <c r="H139" s="1133"/>
      <c r="I139" s="1133"/>
      <c r="J139" s="1133"/>
      <c r="K139" s="1133"/>
      <c r="L139" s="1133"/>
      <c r="M139" s="1133"/>
      <c r="N139" s="1133"/>
      <c r="O139" s="1133"/>
      <c r="P139" s="1133"/>
      <c r="Q139" s="1133"/>
      <c r="R139" s="1133"/>
      <c r="S139" s="1133"/>
      <c r="T139" s="1133"/>
      <c r="U139" s="1133"/>
      <c r="V139" s="1135"/>
      <c r="W139" s="1135"/>
    </row>
    <row r="140">
      <c r="A140" s="1133"/>
      <c r="B140" s="1133"/>
      <c r="C140" s="1133"/>
      <c r="D140" s="1133"/>
      <c r="E140" s="1133"/>
      <c r="F140" s="1133"/>
      <c r="G140" s="1133"/>
      <c r="H140" s="1133"/>
      <c r="I140" s="1133"/>
      <c r="J140" s="1133"/>
      <c r="K140" s="1133"/>
      <c r="L140" s="1133"/>
      <c r="M140" s="1133"/>
      <c r="N140" s="1133"/>
      <c r="O140" s="1133"/>
      <c r="P140" s="1133"/>
      <c r="Q140" s="1133"/>
      <c r="R140" s="1133"/>
      <c r="S140" s="1133"/>
      <c r="T140" s="1133"/>
      <c r="U140" s="1133"/>
      <c r="V140" s="1135"/>
      <c r="W140" s="1135"/>
    </row>
    <row r="141">
      <c r="A141" s="1133"/>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5"/>
      <c r="W141" s="1135"/>
    </row>
    <row r="142">
      <c r="A142" s="1133"/>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5"/>
      <c r="W142" s="1135"/>
    </row>
    <row r="143">
      <c r="A143" s="1133"/>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5"/>
      <c r="W143" s="1135"/>
    </row>
    <row r="144">
      <c r="A144" s="1133"/>
      <c r="B144" s="1133"/>
      <c r="C144" s="1133"/>
      <c r="D144" s="1133"/>
      <c r="E144" s="1133"/>
      <c r="F144" s="1133"/>
      <c r="G144" s="1133"/>
      <c r="H144" s="1133"/>
      <c r="I144" s="1133"/>
      <c r="J144" s="1133"/>
      <c r="K144" s="1133"/>
      <c r="L144" s="1133"/>
      <c r="M144" s="1133"/>
      <c r="N144" s="1133"/>
      <c r="O144" s="1133"/>
      <c r="P144" s="1133"/>
      <c r="Q144" s="1133"/>
      <c r="R144" s="1133"/>
      <c r="S144" s="1133"/>
      <c r="T144" s="1133"/>
      <c r="U144" s="1133"/>
      <c r="V144" s="1135"/>
      <c r="W144" s="1135"/>
    </row>
    <row r="145">
      <c r="A145" s="1133"/>
      <c r="B145" s="1133"/>
      <c r="C145" s="1133"/>
      <c r="D145" s="1133"/>
      <c r="E145" s="1133"/>
      <c r="F145" s="1133"/>
      <c r="G145" s="1133"/>
      <c r="H145" s="1133"/>
      <c r="I145" s="1133"/>
      <c r="J145" s="1133"/>
      <c r="K145" s="1133"/>
      <c r="L145" s="1133"/>
      <c r="M145" s="1133"/>
      <c r="N145" s="1133"/>
      <c r="O145" s="1133"/>
      <c r="P145" s="1133"/>
      <c r="Q145" s="1133"/>
      <c r="R145" s="1133"/>
      <c r="S145" s="1133"/>
      <c r="T145" s="1133"/>
      <c r="U145" s="1133"/>
      <c r="V145" s="1135"/>
      <c r="W145" s="1135"/>
    </row>
    <row r="146">
      <c r="A146" s="1133"/>
      <c r="B146" s="1133"/>
      <c r="C146" s="1133"/>
      <c r="D146" s="1133"/>
      <c r="E146" s="1133"/>
      <c r="F146" s="1133"/>
      <c r="G146" s="1133"/>
      <c r="H146" s="1133"/>
      <c r="I146" s="1133"/>
      <c r="J146" s="1133"/>
      <c r="K146" s="1133"/>
      <c r="L146" s="1133"/>
      <c r="M146" s="1133"/>
      <c r="N146" s="1133"/>
      <c r="O146" s="1133"/>
      <c r="P146" s="1133"/>
      <c r="Q146" s="1133"/>
      <c r="R146" s="1133"/>
      <c r="S146" s="1133"/>
      <c r="T146" s="1133"/>
      <c r="U146" s="1133"/>
      <c r="V146" s="1135"/>
      <c r="W146" s="1135"/>
    </row>
    <row r="147">
      <c r="A147" s="1133"/>
      <c r="B147" s="1133"/>
      <c r="C147" s="1133"/>
      <c r="D147" s="1133"/>
      <c r="E147" s="1133"/>
      <c r="F147" s="1133"/>
      <c r="G147" s="1133"/>
      <c r="H147" s="1133"/>
      <c r="I147" s="1133"/>
      <c r="J147" s="1133"/>
      <c r="K147" s="1133"/>
      <c r="L147" s="1133"/>
      <c r="M147" s="1133"/>
      <c r="N147" s="1133"/>
      <c r="O147" s="1133"/>
      <c r="P147" s="1133"/>
      <c r="Q147" s="1133"/>
      <c r="R147" s="1133"/>
      <c r="S147" s="1133"/>
      <c r="T147" s="1133"/>
      <c r="U147" s="1133"/>
      <c r="V147" s="1135"/>
      <c r="W147" s="1135"/>
    </row>
    <row r="148">
      <c r="A148" s="1133"/>
      <c r="B148" s="1133"/>
      <c r="C148" s="1133"/>
      <c r="D148" s="1133"/>
      <c r="E148" s="1133"/>
      <c r="F148" s="1133"/>
      <c r="G148" s="1133"/>
      <c r="H148" s="1133"/>
      <c r="I148" s="1133"/>
      <c r="J148" s="1133"/>
      <c r="K148" s="1133"/>
      <c r="L148" s="1133"/>
      <c r="M148" s="1133"/>
      <c r="N148" s="1133"/>
      <c r="O148" s="1133"/>
      <c r="P148" s="1133"/>
      <c r="Q148" s="1133"/>
      <c r="R148" s="1133"/>
      <c r="S148" s="1133"/>
      <c r="T148" s="1133"/>
      <c r="U148" s="1133"/>
      <c r="V148" s="1135"/>
      <c r="W148" s="1135"/>
    </row>
    <row r="149">
      <c r="A149" s="1133"/>
      <c r="B149" s="1133"/>
      <c r="C149" s="1133"/>
      <c r="D149" s="1133"/>
      <c r="E149" s="1133"/>
      <c r="F149" s="1133"/>
      <c r="G149" s="1133"/>
      <c r="H149" s="1133"/>
      <c r="I149" s="1133"/>
      <c r="J149" s="1133"/>
      <c r="K149" s="1133"/>
      <c r="L149" s="1133"/>
      <c r="M149" s="1133"/>
      <c r="N149" s="1133"/>
      <c r="O149" s="1133"/>
      <c r="P149" s="1133"/>
      <c r="Q149" s="1133"/>
      <c r="R149" s="1133"/>
      <c r="S149" s="1133"/>
      <c r="T149" s="1133"/>
      <c r="U149" s="1133"/>
      <c r="V149" s="1135"/>
      <c r="W149" s="1135"/>
    </row>
    <row r="150">
      <c r="A150" s="1133"/>
      <c r="B150" s="1133"/>
      <c r="C150" s="1133"/>
      <c r="D150" s="1133"/>
      <c r="E150" s="1133"/>
      <c r="F150" s="1133"/>
      <c r="G150" s="1133"/>
      <c r="H150" s="1133"/>
      <c r="I150" s="1133"/>
      <c r="J150" s="1133"/>
      <c r="K150" s="1133"/>
      <c r="L150" s="1133"/>
      <c r="M150" s="1133"/>
      <c r="N150" s="1133"/>
      <c r="O150" s="1133"/>
      <c r="P150" s="1133"/>
      <c r="Q150" s="1133"/>
      <c r="R150" s="1133"/>
      <c r="S150" s="1133"/>
      <c r="T150" s="1133"/>
      <c r="U150" s="1133"/>
      <c r="V150" s="1135"/>
      <c r="W150" s="1135"/>
    </row>
    <row r="151">
      <c r="A151" s="1133"/>
      <c r="B151" s="1133"/>
      <c r="C151" s="1133"/>
      <c r="D151" s="1133"/>
      <c r="E151" s="1133"/>
      <c r="F151" s="1133"/>
      <c r="G151" s="1133"/>
      <c r="H151" s="1133"/>
      <c r="I151" s="1133"/>
      <c r="J151" s="1133"/>
      <c r="K151" s="1133"/>
      <c r="L151" s="1133"/>
      <c r="M151" s="1133"/>
      <c r="N151" s="1133"/>
      <c r="O151" s="1133"/>
      <c r="P151" s="1133"/>
      <c r="Q151" s="1133"/>
      <c r="R151" s="1133"/>
      <c r="S151" s="1133"/>
      <c r="T151" s="1133"/>
      <c r="U151" s="1133"/>
      <c r="V151" s="1135"/>
      <c r="W151" s="1135"/>
    </row>
    <row r="152">
      <c r="A152" s="1133"/>
      <c r="B152" s="1133"/>
      <c r="C152" s="1133"/>
      <c r="D152" s="1133"/>
      <c r="E152" s="1133"/>
      <c r="F152" s="1133"/>
      <c r="G152" s="1133"/>
      <c r="H152" s="1133"/>
      <c r="I152" s="1133"/>
      <c r="J152" s="1133"/>
      <c r="K152" s="1133"/>
      <c r="L152" s="1133"/>
      <c r="M152" s="1133"/>
      <c r="N152" s="1133"/>
      <c r="O152" s="1133"/>
      <c r="P152" s="1133"/>
      <c r="Q152" s="1133"/>
      <c r="R152" s="1133"/>
      <c r="S152" s="1133"/>
      <c r="T152" s="1133"/>
      <c r="U152" s="1133"/>
      <c r="V152" s="1135"/>
      <c r="W152" s="1135"/>
    </row>
    <row r="153">
      <c r="A153" s="1133"/>
      <c r="B153" s="1133"/>
      <c r="C153" s="1133"/>
      <c r="D153" s="1133"/>
      <c r="E153" s="1133"/>
      <c r="F153" s="1133"/>
      <c r="G153" s="1133"/>
      <c r="H153" s="1133"/>
      <c r="I153" s="1133"/>
      <c r="J153" s="1133"/>
      <c r="K153" s="1133"/>
      <c r="L153" s="1133"/>
      <c r="M153" s="1133"/>
      <c r="N153" s="1133"/>
      <c r="O153" s="1133"/>
      <c r="P153" s="1133"/>
      <c r="Q153" s="1133"/>
      <c r="R153" s="1133"/>
      <c r="S153" s="1133"/>
      <c r="T153" s="1133"/>
      <c r="U153" s="1133"/>
      <c r="V153" s="1135"/>
      <c r="W153" s="1135"/>
    </row>
    <row r="154">
      <c r="A154" s="1133"/>
      <c r="B154" s="1133"/>
      <c r="C154" s="1133"/>
      <c r="D154" s="1133"/>
      <c r="E154" s="1133"/>
      <c r="F154" s="1133"/>
      <c r="G154" s="1133"/>
      <c r="H154" s="1133"/>
      <c r="I154" s="1133"/>
      <c r="J154" s="1133"/>
      <c r="K154" s="1133"/>
      <c r="L154" s="1133"/>
      <c r="M154" s="1133"/>
      <c r="N154" s="1133"/>
      <c r="O154" s="1133"/>
      <c r="P154" s="1133"/>
      <c r="Q154" s="1133"/>
      <c r="R154" s="1133"/>
      <c r="S154" s="1133"/>
      <c r="T154" s="1133"/>
      <c r="U154" s="1133"/>
      <c r="V154" s="1135"/>
      <c r="W154" s="1135"/>
    </row>
    <row r="155">
      <c r="A155" s="1133"/>
      <c r="B155" s="1133"/>
      <c r="C155" s="1133"/>
      <c r="D155" s="1133"/>
      <c r="E155" s="1133"/>
      <c r="F155" s="1133"/>
      <c r="G155" s="1133"/>
      <c r="H155" s="1133"/>
      <c r="I155" s="1133"/>
      <c r="J155" s="1133"/>
      <c r="K155" s="1133"/>
      <c r="L155" s="1133"/>
      <c r="M155" s="1133"/>
      <c r="N155" s="1133"/>
      <c r="O155" s="1133"/>
      <c r="P155" s="1133"/>
      <c r="Q155" s="1133"/>
      <c r="R155" s="1133"/>
      <c r="S155" s="1133"/>
      <c r="T155" s="1133"/>
      <c r="U155" s="1133"/>
      <c r="V155" s="1135"/>
      <c r="W155" s="1135"/>
    </row>
    <row r="156">
      <c r="A156" s="1133"/>
      <c r="B156" s="1133"/>
      <c r="C156" s="1133"/>
      <c r="D156" s="1133"/>
      <c r="E156" s="1133"/>
      <c r="F156" s="1133"/>
      <c r="G156" s="1133"/>
      <c r="H156" s="1133"/>
      <c r="I156" s="1133"/>
      <c r="J156" s="1133"/>
      <c r="K156" s="1133"/>
      <c r="L156" s="1133"/>
      <c r="M156" s="1133"/>
      <c r="N156" s="1133"/>
      <c r="O156" s="1133"/>
      <c r="P156" s="1133"/>
      <c r="Q156" s="1133"/>
      <c r="R156" s="1133"/>
      <c r="S156" s="1133"/>
      <c r="T156" s="1133"/>
      <c r="U156" s="1133"/>
      <c r="V156" s="1135"/>
      <c r="W156" s="1135"/>
    </row>
    <row r="157">
      <c r="A157" s="1133"/>
      <c r="B157" s="1133"/>
      <c r="C157" s="1133"/>
      <c r="D157" s="1133"/>
      <c r="E157" s="1133"/>
      <c r="F157" s="1133"/>
      <c r="G157" s="1133"/>
      <c r="H157" s="1133"/>
      <c r="I157" s="1133"/>
      <c r="J157" s="1133"/>
      <c r="K157" s="1133"/>
      <c r="L157" s="1133"/>
      <c r="M157" s="1133"/>
      <c r="N157" s="1133"/>
      <c r="O157" s="1133"/>
      <c r="P157" s="1133"/>
      <c r="Q157" s="1133"/>
      <c r="R157" s="1133"/>
      <c r="S157" s="1133"/>
      <c r="T157" s="1133"/>
      <c r="U157" s="1133"/>
      <c r="V157" s="1135"/>
      <c r="W157" s="1135"/>
    </row>
    <row r="158">
      <c r="A158" s="1133"/>
      <c r="B158" s="1133"/>
      <c r="C158" s="1133"/>
      <c r="D158" s="1133"/>
      <c r="E158" s="1133"/>
      <c r="F158" s="1133"/>
      <c r="G158" s="1133"/>
      <c r="H158" s="1133"/>
      <c r="I158" s="1133"/>
      <c r="J158" s="1133"/>
      <c r="K158" s="1133"/>
      <c r="L158" s="1133"/>
      <c r="M158" s="1133"/>
      <c r="N158" s="1133"/>
      <c r="O158" s="1133"/>
      <c r="P158" s="1133"/>
      <c r="Q158" s="1133"/>
      <c r="R158" s="1133"/>
      <c r="S158" s="1133"/>
      <c r="T158" s="1133"/>
      <c r="U158" s="1133"/>
      <c r="V158" s="1135"/>
      <c r="W158" s="1135"/>
    </row>
    <row r="159">
      <c r="A159" s="1133"/>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5"/>
      <c r="W159" s="1135"/>
    </row>
    <row r="160">
      <c r="A160" s="1133"/>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5"/>
      <c r="W160" s="1135"/>
    </row>
    <row r="161">
      <c r="A161" s="1133"/>
      <c r="B161" s="1133"/>
      <c r="C161" s="1133"/>
      <c r="D161" s="1133"/>
      <c r="E161" s="1133"/>
      <c r="F161" s="1133"/>
      <c r="G161" s="1133"/>
      <c r="H161" s="1133"/>
      <c r="I161" s="1133"/>
      <c r="J161" s="1133"/>
      <c r="K161" s="1133"/>
      <c r="L161" s="1133"/>
      <c r="M161" s="1133"/>
      <c r="N161" s="1133"/>
      <c r="O161" s="1133"/>
      <c r="P161" s="1133"/>
      <c r="Q161" s="1133"/>
      <c r="R161" s="1133"/>
      <c r="S161" s="1133"/>
      <c r="T161" s="1133"/>
      <c r="U161" s="1133"/>
      <c r="V161" s="1135"/>
      <c r="W161" s="1135"/>
    </row>
    <row r="162">
      <c r="A162" s="1133"/>
      <c r="B162" s="1133"/>
      <c r="C162" s="1133"/>
      <c r="D162" s="1133"/>
      <c r="E162" s="1133"/>
      <c r="F162" s="1133"/>
      <c r="G162" s="1133"/>
      <c r="H162" s="1133"/>
      <c r="I162" s="1133"/>
      <c r="J162" s="1133"/>
      <c r="K162" s="1133"/>
      <c r="L162" s="1133"/>
      <c r="M162" s="1133"/>
      <c r="N162" s="1133"/>
      <c r="O162" s="1133"/>
      <c r="P162" s="1133"/>
      <c r="Q162" s="1133"/>
      <c r="R162" s="1133"/>
      <c r="S162" s="1133"/>
      <c r="T162" s="1133"/>
      <c r="U162" s="1133"/>
      <c r="V162" s="1135"/>
      <c r="W162" s="1135"/>
    </row>
    <row r="163">
      <c r="A163" s="1133"/>
      <c r="B163" s="1133"/>
      <c r="C163" s="1133"/>
      <c r="D163" s="1133"/>
      <c r="E163" s="1133"/>
      <c r="F163" s="1133"/>
      <c r="G163" s="1133"/>
      <c r="H163" s="1133"/>
      <c r="I163" s="1133"/>
      <c r="J163" s="1133"/>
      <c r="K163" s="1133"/>
      <c r="L163" s="1133"/>
      <c r="M163" s="1133"/>
      <c r="N163" s="1133"/>
      <c r="O163" s="1133"/>
      <c r="P163" s="1133"/>
      <c r="Q163" s="1133"/>
      <c r="R163" s="1133"/>
      <c r="S163" s="1133"/>
      <c r="T163" s="1133"/>
      <c r="U163" s="1133"/>
      <c r="V163" s="1135"/>
      <c r="W163" s="1135"/>
    </row>
    <row r="164">
      <c r="A164" s="1133"/>
      <c r="B164" s="1133"/>
      <c r="C164" s="1133"/>
      <c r="D164" s="1133"/>
      <c r="E164" s="1133"/>
      <c r="F164" s="1133"/>
      <c r="G164" s="1133"/>
      <c r="H164" s="1133"/>
      <c r="I164" s="1133"/>
      <c r="J164" s="1133"/>
      <c r="K164" s="1133"/>
      <c r="L164" s="1133"/>
      <c r="M164" s="1133"/>
      <c r="N164" s="1133"/>
      <c r="O164" s="1133"/>
      <c r="P164" s="1133"/>
      <c r="Q164" s="1133"/>
      <c r="R164" s="1133"/>
      <c r="S164" s="1133"/>
      <c r="T164" s="1133"/>
      <c r="U164" s="1133"/>
      <c r="V164" s="1135"/>
      <c r="W164" s="1135"/>
    </row>
    <row r="165">
      <c r="A165" s="1133"/>
      <c r="B165" s="1133"/>
      <c r="C165" s="1133"/>
      <c r="D165" s="1133"/>
      <c r="E165" s="1133"/>
      <c r="F165" s="1133"/>
      <c r="G165" s="1133"/>
      <c r="H165" s="1133"/>
      <c r="I165" s="1133"/>
      <c r="J165" s="1133"/>
      <c r="K165" s="1133"/>
      <c r="L165" s="1133"/>
      <c r="M165" s="1133"/>
      <c r="N165" s="1133"/>
      <c r="O165" s="1133"/>
      <c r="P165" s="1133"/>
      <c r="Q165" s="1133"/>
      <c r="R165" s="1133"/>
      <c r="S165" s="1133"/>
      <c r="T165" s="1133"/>
      <c r="U165" s="1133"/>
      <c r="V165" s="1135"/>
      <c r="W165" s="1135"/>
    </row>
    <row r="166">
      <c r="A166" s="1133"/>
      <c r="B166" s="1133"/>
      <c r="C166" s="1133"/>
      <c r="D166" s="1133"/>
      <c r="E166" s="1133"/>
      <c r="F166" s="1133"/>
      <c r="G166" s="1133"/>
      <c r="H166" s="1133"/>
      <c r="I166" s="1133"/>
      <c r="J166" s="1133"/>
      <c r="K166" s="1133"/>
      <c r="L166" s="1133"/>
      <c r="M166" s="1133"/>
      <c r="N166" s="1133"/>
      <c r="O166" s="1133"/>
      <c r="P166" s="1133"/>
      <c r="Q166" s="1133"/>
      <c r="R166" s="1133"/>
      <c r="S166" s="1133"/>
      <c r="T166" s="1133"/>
      <c r="U166" s="1133"/>
      <c r="V166" s="1135"/>
      <c r="W166" s="1135"/>
    </row>
    <row r="167">
      <c r="A167" s="1133"/>
      <c r="B167" s="1133"/>
      <c r="C167" s="1133"/>
      <c r="D167" s="1133"/>
      <c r="E167" s="1133"/>
      <c r="F167" s="1133"/>
      <c r="G167" s="1133"/>
      <c r="H167" s="1133"/>
      <c r="I167" s="1133"/>
      <c r="J167" s="1133"/>
      <c r="K167" s="1133"/>
      <c r="L167" s="1133"/>
      <c r="M167" s="1133"/>
      <c r="N167" s="1133"/>
      <c r="O167" s="1133"/>
      <c r="P167" s="1133"/>
      <c r="Q167" s="1133"/>
      <c r="R167" s="1133"/>
      <c r="S167" s="1133"/>
      <c r="T167" s="1133"/>
      <c r="U167" s="1133"/>
      <c r="V167" s="1135"/>
      <c r="W167" s="1135"/>
    </row>
    <row r="168">
      <c r="A168" s="1133"/>
      <c r="B168" s="1133"/>
      <c r="C168" s="1133"/>
      <c r="D168" s="1133"/>
      <c r="E168" s="1133"/>
      <c r="F168" s="1133"/>
      <c r="G168" s="1133"/>
      <c r="H168" s="1133"/>
      <c r="I168" s="1133"/>
      <c r="J168" s="1133"/>
      <c r="K168" s="1133"/>
      <c r="L168" s="1133"/>
      <c r="M168" s="1133"/>
      <c r="N168" s="1133"/>
      <c r="O168" s="1133"/>
      <c r="P168" s="1133"/>
      <c r="Q168" s="1133"/>
      <c r="R168" s="1133"/>
      <c r="S168" s="1133"/>
      <c r="T168" s="1133"/>
      <c r="U168" s="1133"/>
      <c r="V168" s="1135"/>
      <c r="W168" s="1135"/>
    </row>
    <row r="169">
      <c r="A169" s="1133"/>
      <c r="B169" s="1133"/>
      <c r="C169" s="1133"/>
      <c r="D169" s="1133"/>
      <c r="E169" s="1133"/>
      <c r="F169" s="1133"/>
      <c r="G169" s="1133"/>
      <c r="H169" s="1133"/>
      <c r="I169" s="1133"/>
      <c r="J169" s="1133"/>
      <c r="K169" s="1133"/>
      <c r="L169" s="1133"/>
      <c r="M169" s="1133"/>
      <c r="N169" s="1133"/>
      <c r="O169" s="1133"/>
      <c r="P169" s="1133"/>
      <c r="Q169" s="1133"/>
      <c r="R169" s="1133"/>
      <c r="S169" s="1133"/>
      <c r="T169" s="1133"/>
      <c r="U169" s="1133"/>
      <c r="V169" s="1135"/>
      <c r="W169" s="1135"/>
    </row>
    <row r="170">
      <c r="A170" s="1133"/>
      <c r="B170" s="1133"/>
      <c r="C170" s="1133"/>
      <c r="D170" s="1133"/>
      <c r="E170" s="1133"/>
      <c r="F170" s="1133"/>
      <c r="G170" s="1133"/>
      <c r="H170" s="1133"/>
      <c r="I170" s="1133"/>
      <c r="J170" s="1133"/>
      <c r="K170" s="1133"/>
      <c r="L170" s="1133"/>
      <c r="M170" s="1133"/>
      <c r="N170" s="1133"/>
      <c r="O170" s="1133"/>
      <c r="P170" s="1133"/>
      <c r="Q170" s="1133"/>
      <c r="R170" s="1133"/>
      <c r="S170" s="1133"/>
      <c r="T170" s="1133"/>
      <c r="U170" s="1133"/>
      <c r="V170" s="1135"/>
      <c r="W170" s="1135"/>
    </row>
    <row r="171">
      <c r="A171" s="1133"/>
      <c r="B171" s="1133"/>
      <c r="C171" s="1133"/>
      <c r="D171" s="1133"/>
      <c r="E171" s="1133"/>
      <c r="F171" s="1133"/>
      <c r="G171" s="1133"/>
      <c r="H171" s="1133"/>
      <c r="I171" s="1133"/>
      <c r="J171" s="1133"/>
      <c r="K171" s="1133"/>
      <c r="L171" s="1133"/>
      <c r="M171" s="1133"/>
      <c r="N171" s="1133"/>
      <c r="O171" s="1133"/>
      <c r="P171" s="1133"/>
      <c r="Q171" s="1133"/>
      <c r="R171" s="1133"/>
      <c r="S171" s="1133"/>
      <c r="T171" s="1133"/>
      <c r="U171" s="1133"/>
      <c r="V171" s="1135"/>
      <c r="W171" s="1135"/>
    </row>
    <row r="172">
      <c r="A172" s="1133"/>
      <c r="B172" s="1133"/>
      <c r="C172" s="1133"/>
      <c r="D172" s="1133"/>
      <c r="E172" s="1133"/>
      <c r="F172" s="1133"/>
      <c r="G172" s="1133"/>
      <c r="H172" s="1133"/>
      <c r="I172" s="1133"/>
      <c r="J172" s="1133"/>
      <c r="K172" s="1133"/>
      <c r="L172" s="1133"/>
      <c r="M172" s="1133"/>
      <c r="N172" s="1133"/>
      <c r="O172" s="1133"/>
      <c r="P172" s="1133"/>
      <c r="Q172" s="1133"/>
      <c r="R172" s="1133"/>
      <c r="S172" s="1133"/>
      <c r="T172" s="1133"/>
      <c r="U172" s="1133"/>
      <c r="V172" s="1135"/>
      <c r="W172" s="1135"/>
    </row>
    <row r="173">
      <c r="A173" s="1133"/>
      <c r="B173" s="1133"/>
      <c r="C173" s="1133"/>
      <c r="D173" s="1133"/>
      <c r="E173" s="1133"/>
      <c r="F173" s="1133"/>
      <c r="G173" s="1133"/>
      <c r="H173" s="1133"/>
      <c r="I173" s="1133"/>
      <c r="J173" s="1133"/>
      <c r="K173" s="1133"/>
      <c r="L173" s="1133"/>
      <c r="M173" s="1133"/>
      <c r="N173" s="1133"/>
      <c r="O173" s="1133"/>
      <c r="P173" s="1133"/>
      <c r="Q173" s="1133"/>
      <c r="R173" s="1133"/>
      <c r="S173" s="1133"/>
      <c r="T173" s="1133"/>
      <c r="U173" s="1133"/>
      <c r="V173" s="1135"/>
      <c r="W173" s="1135"/>
    </row>
    <row r="174">
      <c r="A174" s="1133"/>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5"/>
      <c r="W174" s="1135"/>
    </row>
    <row r="175">
      <c r="A175" s="1133"/>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5"/>
      <c r="W175" s="1135"/>
    </row>
    <row r="176">
      <c r="A176" s="1133"/>
      <c r="B176" s="1133"/>
      <c r="C176" s="1133"/>
      <c r="D176" s="1133"/>
      <c r="E176" s="1133"/>
      <c r="F176" s="1133"/>
      <c r="G176" s="1133"/>
      <c r="H176" s="1133"/>
      <c r="I176" s="1133"/>
      <c r="J176" s="1133"/>
      <c r="K176" s="1133"/>
      <c r="L176" s="1133"/>
      <c r="M176" s="1133"/>
      <c r="N176" s="1133"/>
      <c r="O176" s="1133"/>
      <c r="P176" s="1133"/>
      <c r="Q176" s="1133"/>
      <c r="R176" s="1133"/>
      <c r="S176" s="1133"/>
      <c r="T176" s="1133"/>
      <c r="U176" s="1133"/>
      <c r="V176" s="1135"/>
      <c r="W176" s="1135"/>
    </row>
    <row r="177">
      <c r="A177" s="1133"/>
      <c r="B177" s="1133"/>
      <c r="C177" s="1133"/>
      <c r="D177" s="1133"/>
      <c r="E177" s="1133"/>
      <c r="F177" s="1133"/>
      <c r="G177" s="1133"/>
      <c r="H177" s="1133"/>
      <c r="I177" s="1133"/>
      <c r="J177" s="1133"/>
      <c r="K177" s="1133"/>
      <c r="L177" s="1133"/>
      <c r="M177" s="1133"/>
      <c r="N177" s="1133"/>
      <c r="O177" s="1133"/>
      <c r="P177" s="1133"/>
      <c r="Q177" s="1133"/>
      <c r="R177" s="1133"/>
      <c r="S177" s="1133"/>
      <c r="T177" s="1133"/>
      <c r="U177" s="1133"/>
      <c r="V177" s="1135"/>
      <c r="W177" s="1135"/>
    </row>
    <row r="178">
      <c r="A178" s="1133"/>
      <c r="B178" s="1133"/>
      <c r="C178" s="1133"/>
      <c r="D178" s="1133"/>
      <c r="E178" s="1133"/>
      <c r="F178" s="1133"/>
      <c r="G178" s="1133"/>
      <c r="H178" s="1133"/>
      <c r="I178" s="1133"/>
      <c r="J178" s="1133"/>
      <c r="K178" s="1133"/>
      <c r="L178" s="1133"/>
      <c r="M178" s="1133"/>
      <c r="N178" s="1133"/>
      <c r="O178" s="1133"/>
      <c r="P178" s="1133"/>
      <c r="Q178" s="1133"/>
      <c r="R178" s="1133"/>
      <c r="S178" s="1133"/>
      <c r="T178" s="1133"/>
      <c r="U178" s="1133"/>
      <c r="V178" s="1135"/>
      <c r="W178" s="1135"/>
    </row>
    <row r="179">
      <c r="A179" s="1133"/>
      <c r="B179" s="1133"/>
      <c r="C179" s="1133"/>
      <c r="D179" s="1133"/>
      <c r="E179" s="1133"/>
      <c r="F179" s="1133"/>
      <c r="G179" s="1133"/>
      <c r="H179" s="1133"/>
      <c r="I179" s="1133"/>
      <c r="J179" s="1133"/>
      <c r="K179" s="1133"/>
      <c r="L179" s="1133"/>
      <c r="M179" s="1133"/>
      <c r="N179" s="1133"/>
      <c r="O179" s="1133"/>
      <c r="P179" s="1133"/>
      <c r="Q179" s="1133"/>
      <c r="R179" s="1133"/>
      <c r="S179" s="1133"/>
      <c r="T179" s="1133"/>
      <c r="U179" s="1133"/>
      <c r="V179" s="1135"/>
      <c r="W179" s="1135"/>
    </row>
    <row r="180">
      <c r="A180" s="1133"/>
      <c r="B180" s="1133"/>
      <c r="C180" s="1133"/>
      <c r="D180" s="1133"/>
      <c r="E180" s="1133"/>
      <c r="F180" s="1133"/>
      <c r="G180" s="1133"/>
      <c r="H180" s="1133"/>
      <c r="I180" s="1133"/>
      <c r="J180" s="1133"/>
      <c r="K180" s="1133"/>
      <c r="L180" s="1133"/>
      <c r="M180" s="1133"/>
      <c r="N180" s="1133"/>
      <c r="O180" s="1133"/>
      <c r="P180" s="1133"/>
      <c r="Q180" s="1133"/>
      <c r="R180" s="1133"/>
      <c r="S180" s="1133"/>
      <c r="T180" s="1133"/>
      <c r="U180" s="1133"/>
      <c r="V180" s="1135"/>
      <c r="W180" s="1135"/>
    </row>
    <row r="181">
      <c r="A181" s="1133"/>
      <c r="B181" s="1133"/>
      <c r="C181" s="1133"/>
      <c r="D181" s="1133"/>
      <c r="E181" s="1133"/>
      <c r="F181" s="1133"/>
      <c r="G181" s="1133"/>
      <c r="H181" s="1133"/>
      <c r="I181" s="1133"/>
      <c r="J181" s="1133"/>
      <c r="K181" s="1133"/>
      <c r="L181" s="1133"/>
      <c r="M181" s="1133"/>
      <c r="N181" s="1133"/>
      <c r="O181" s="1133"/>
      <c r="P181" s="1133"/>
      <c r="Q181" s="1133"/>
      <c r="R181" s="1133"/>
      <c r="S181" s="1133"/>
      <c r="T181" s="1133"/>
      <c r="U181" s="1133"/>
      <c r="V181" s="1135"/>
      <c r="W181" s="1135"/>
    </row>
    <row r="182">
      <c r="A182" s="1133"/>
      <c r="B182" s="1133"/>
      <c r="C182" s="1133"/>
      <c r="D182" s="1133"/>
      <c r="E182" s="1133"/>
      <c r="F182" s="1133"/>
      <c r="G182" s="1133"/>
      <c r="H182" s="1133"/>
      <c r="I182" s="1133"/>
      <c r="J182" s="1133"/>
      <c r="K182" s="1133"/>
      <c r="L182" s="1133"/>
      <c r="M182" s="1133"/>
      <c r="N182" s="1133"/>
      <c r="O182" s="1133"/>
      <c r="P182" s="1133"/>
      <c r="Q182" s="1133"/>
      <c r="R182" s="1133"/>
      <c r="S182" s="1133"/>
      <c r="T182" s="1133"/>
      <c r="U182" s="1133"/>
      <c r="V182" s="1135"/>
      <c r="W182" s="1135"/>
    </row>
    <row r="183">
      <c r="A183" s="1133"/>
      <c r="B183" s="1133"/>
      <c r="C183" s="1133"/>
      <c r="D183" s="1133"/>
      <c r="E183" s="1133"/>
      <c r="F183" s="1133"/>
      <c r="G183" s="1133"/>
      <c r="H183" s="1133"/>
      <c r="I183" s="1133"/>
      <c r="J183" s="1133"/>
      <c r="K183" s="1133"/>
      <c r="L183" s="1133"/>
      <c r="M183" s="1133"/>
      <c r="N183" s="1133"/>
      <c r="O183" s="1133"/>
      <c r="P183" s="1133"/>
      <c r="Q183" s="1133"/>
      <c r="R183" s="1133"/>
      <c r="S183" s="1133"/>
      <c r="T183" s="1133"/>
      <c r="U183" s="1133"/>
      <c r="V183" s="1135"/>
      <c r="W183" s="1135"/>
    </row>
    <row r="184">
      <c r="A184" s="1133"/>
      <c r="B184" s="1133"/>
      <c r="C184" s="1133"/>
      <c r="D184" s="1133"/>
      <c r="E184" s="1133"/>
      <c r="F184" s="1133"/>
      <c r="G184" s="1133"/>
      <c r="H184" s="1133"/>
      <c r="I184" s="1133"/>
      <c r="J184" s="1133"/>
      <c r="K184" s="1133"/>
      <c r="L184" s="1133"/>
      <c r="M184" s="1133"/>
      <c r="N184" s="1133"/>
      <c r="O184" s="1133"/>
      <c r="P184" s="1133"/>
      <c r="Q184" s="1133"/>
      <c r="R184" s="1133"/>
      <c r="S184" s="1133"/>
      <c r="T184" s="1133"/>
      <c r="U184" s="1133"/>
      <c r="V184" s="1135"/>
      <c r="W184" s="1135"/>
    </row>
    <row r="185">
      <c r="A185" s="1133"/>
      <c r="B185" s="1133"/>
      <c r="C185" s="1133"/>
      <c r="D185" s="1133"/>
      <c r="E185" s="1133"/>
      <c r="F185" s="1133"/>
      <c r="G185" s="1133"/>
      <c r="H185" s="1133"/>
      <c r="I185" s="1133"/>
      <c r="J185" s="1133"/>
      <c r="K185" s="1133"/>
      <c r="L185" s="1133"/>
      <c r="M185" s="1133"/>
      <c r="N185" s="1133"/>
      <c r="O185" s="1133"/>
      <c r="P185" s="1133"/>
      <c r="Q185" s="1133"/>
      <c r="R185" s="1133"/>
      <c r="S185" s="1133"/>
      <c r="T185" s="1133"/>
      <c r="U185" s="1133"/>
      <c r="V185" s="1135"/>
      <c r="W185" s="1135"/>
    </row>
    <row r="186">
      <c r="A186" s="1133"/>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5"/>
      <c r="W186" s="1135"/>
    </row>
    <row r="187">
      <c r="A187" s="1133"/>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5"/>
      <c r="W187" s="1135"/>
    </row>
    <row r="188">
      <c r="A188" s="1133"/>
      <c r="B188" s="1133"/>
      <c r="C188" s="1133"/>
      <c r="D188" s="1133"/>
      <c r="E188" s="1133"/>
      <c r="F188" s="1133"/>
      <c r="G188" s="1133"/>
      <c r="H188" s="1133"/>
      <c r="I188" s="1133"/>
      <c r="J188" s="1133"/>
      <c r="K188" s="1133"/>
      <c r="L188" s="1133"/>
      <c r="M188" s="1133"/>
      <c r="N188" s="1133"/>
      <c r="O188" s="1133"/>
      <c r="P188" s="1133"/>
      <c r="Q188" s="1133"/>
      <c r="R188" s="1133"/>
      <c r="S188" s="1133"/>
      <c r="T188" s="1133"/>
      <c r="U188" s="1133"/>
      <c r="V188" s="1135"/>
      <c r="W188" s="1135"/>
    </row>
    <row r="189">
      <c r="A189" s="1133"/>
      <c r="B189" s="1133"/>
      <c r="C189" s="1133"/>
      <c r="D189" s="1133"/>
      <c r="E189" s="1133"/>
      <c r="F189" s="1133"/>
      <c r="G189" s="1133"/>
      <c r="H189" s="1133"/>
      <c r="I189" s="1133"/>
      <c r="J189" s="1133"/>
      <c r="K189" s="1133"/>
      <c r="L189" s="1133"/>
      <c r="M189" s="1133"/>
      <c r="N189" s="1133"/>
      <c r="O189" s="1133"/>
      <c r="P189" s="1133"/>
      <c r="Q189" s="1133"/>
      <c r="R189" s="1133"/>
      <c r="S189" s="1133"/>
      <c r="T189" s="1133"/>
      <c r="U189" s="1133"/>
      <c r="V189" s="1135"/>
      <c r="W189" s="1135"/>
    </row>
    <row r="190">
      <c r="A190" s="1133"/>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5"/>
      <c r="W190" s="1135"/>
    </row>
    <row r="191">
      <c r="A191" s="1133"/>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5"/>
      <c r="W191" s="1135"/>
    </row>
    <row r="192">
      <c r="A192" s="1133"/>
      <c r="B192" s="1133"/>
      <c r="C192" s="1133"/>
      <c r="D192" s="1133"/>
      <c r="E192" s="1133"/>
      <c r="F192" s="1133"/>
      <c r="G192" s="1133"/>
      <c r="H192" s="1133"/>
      <c r="I192" s="1133"/>
      <c r="J192" s="1133"/>
      <c r="K192" s="1133"/>
      <c r="L192" s="1133"/>
      <c r="M192" s="1133"/>
      <c r="N192" s="1133"/>
      <c r="O192" s="1133"/>
      <c r="P192" s="1133"/>
      <c r="Q192" s="1133"/>
      <c r="R192" s="1133"/>
      <c r="S192" s="1133"/>
      <c r="T192" s="1133"/>
      <c r="U192" s="1133"/>
      <c r="V192" s="1135"/>
      <c r="W192" s="1135"/>
    </row>
    <row r="193">
      <c r="A193" s="1133"/>
      <c r="B193" s="1133"/>
      <c r="C193" s="1133"/>
      <c r="D193" s="1133"/>
      <c r="E193" s="1133"/>
      <c r="F193" s="1133"/>
      <c r="G193" s="1133"/>
      <c r="H193" s="1133"/>
      <c r="I193" s="1133"/>
      <c r="J193" s="1133"/>
      <c r="K193" s="1133"/>
      <c r="L193" s="1133"/>
      <c r="M193" s="1133"/>
      <c r="N193" s="1133"/>
      <c r="O193" s="1133"/>
      <c r="P193" s="1133"/>
      <c r="Q193" s="1133"/>
      <c r="R193" s="1133"/>
      <c r="S193" s="1133"/>
      <c r="T193" s="1133"/>
      <c r="U193" s="1133"/>
      <c r="V193" s="1135"/>
      <c r="W193" s="1135"/>
    </row>
    <row r="194">
      <c r="A194" s="1133"/>
      <c r="B194" s="1133"/>
      <c r="C194" s="1133"/>
      <c r="D194" s="1133"/>
      <c r="E194" s="1133"/>
      <c r="F194" s="1133"/>
      <c r="G194" s="1133"/>
      <c r="H194" s="1133"/>
      <c r="I194" s="1133"/>
      <c r="J194" s="1133"/>
      <c r="K194" s="1133"/>
      <c r="L194" s="1133"/>
      <c r="M194" s="1133"/>
      <c r="N194" s="1133"/>
      <c r="O194" s="1133"/>
      <c r="P194" s="1133"/>
      <c r="Q194" s="1133"/>
      <c r="R194" s="1133"/>
      <c r="S194" s="1133"/>
      <c r="T194" s="1133"/>
      <c r="U194" s="1133"/>
      <c r="V194" s="1135"/>
      <c r="W194" s="1135"/>
    </row>
    <row r="195">
      <c r="A195" s="1133"/>
      <c r="B195" s="1133"/>
      <c r="C195" s="1133"/>
      <c r="D195" s="1133"/>
      <c r="E195" s="1133"/>
      <c r="F195" s="1133"/>
      <c r="G195" s="1133"/>
      <c r="H195" s="1133"/>
      <c r="I195" s="1133"/>
      <c r="J195" s="1133"/>
      <c r="K195" s="1133"/>
      <c r="L195" s="1133"/>
      <c r="M195" s="1133"/>
      <c r="N195" s="1133"/>
      <c r="O195" s="1133"/>
      <c r="P195" s="1133"/>
      <c r="Q195" s="1133"/>
      <c r="R195" s="1133"/>
      <c r="S195" s="1133"/>
      <c r="T195" s="1133"/>
      <c r="U195" s="1133"/>
      <c r="V195" s="1135"/>
      <c r="W195" s="1135"/>
    </row>
    <row r="196">
      <c r="A196" s="1133"/>
      <c r="B196" s="1133"/>
      <c r="C196" s="1133"/>
      <c r="D196" s="1133"/>
      <c r="E196" s="1133"/>
      <c r="F196" s="1133"/>
      <c r="G196" s="1133"/>
      <c r="H196" s="1133"/>
      <c r="I196" s="1133"/>
      <c r="J196" s="1133"/>
      <c r="K196" s="1133"/>
      <c r="L196" s="1133"/>
      <c r="M196" s="1133"/>
      <c r="N196" s="1133"/>
      <c r="O196" s="1133"/>
      <c r="P196" s="1133"/>
      <c r="Q196" s="1133"/>
      <c r="R196" s="1133"/>
      <c r="S196" s="1133"/>
      <c r="T196" s="1133"/>
      <c r="U196" s="1133"/>
      <c r="V196" s="1135"/>
      <c r="W196" s="1135"/>
    </row>
    <row r="197">
      <c r="A197" s="1133"/>
      <c r="B197" s="1133"/>
      <c r="C197" s="1133"/>
      <c r="D197" s="1133"/>
      <c r="E197" s="1133"/>
      <c r="F197" s="1133"/>
      <c r="G197" s="1133"/>
      <c r="H197" s="1133"/>
      <c r="I197" s="1133"/>
      <c r="J197" s="1133"/>
      <c r="K197" s="1133"/>
      <c r="L197" s="1133"/>
      <c r="M197" s="1133"/>
      <c r="N197" s="1133"/>
      <c r="O197" s="1133"/>
      <c r="P197" s="1133"/>
      <c r="Q197" s="1133"/>
      <c r="R197" s="1133"/>
      <c r="S197" s="1133"/>
      <c r="T197" s="1133"/>
      <c r="U197" s="1133"/>
      <c r="V197" s="1135"/>
      <c r="W197" s="1135"/>
    </row>
    <row r="198">
      <c r="A198" s="1133"/>
      <c r="B198" s="1133"/>
      <c r="C198" s="1133"/>
      <c r="D198" s="1133"/>
      <c r="E198" s="1133"/>
      <c r="F198" s="1133"/>
      <c r="G198" s="1133"/>
      <c r="H198" s="1133"/>
      <c r="I198" s="1133"/>
      <c r="J198" s="1133"/>
      <c r="K198" s="1133"/>
      <c r="L198" s="1133"/>
      <c r="M198" s="1133"/>
      <c r="N198" s="1133"/>
      <c r="O198" s="1133"/>
      <c r="P198" s="1133"/>
      <c r="Q198" s="1133"/>
      <c r="R198" s="1133"/>
      <c r="S198" s="1133"/>
      <c r="T198" s="1133"/>
      <c r="U198" s="1133"/>
      <c r="V198" s="1135"/>
      <c r="W198" s="1135"/>
    </row>
    <row r="199">
      <c r="A199" s="1133"/>
      <c r="B199" s="1133"/>
      <c r="C199" s="1133"/>
      <c r="D199" s="1133"/>
      <c r="E199" s="1133"/>
      <c r="F199" s="1133"/>
      <c r="G199" s="1133"/>
      <c r="H199" s="1133"/>
      <c r="I199" s="1133"/>
      <c r="J199" s="1133"/>
      <c r="K199" s="1133"/>
      <c r="L199" s="1133"/>
      <c r="M199" s="1133"/>
      <c r="N199" s="1133"/>
      <c r="O199" s="1133"/>
      <c r="P199" s="1133"/>
      <c r="Q199" s="1133"/>
      <c r="R199" s="1133"/>
      <c r="S199" s="1133"/>
      <c r="T199" s="1133"/>
      <c r="U199" s="1133"/>
      <c r="V199" s="1135"/>
      <c r="W199" s="1135"/>
    </row>
    <row r="200">
      <c r="A200" s="1133"/>
      <c r="B200" s="1133"/>
      <c r="C200" s="1133"/>
      <c r="D200" s="1133"/>
      <c r="E200" s="1133"/>
      <c r="F200" s="1133"/>
      <c r="G200" s="1133"/>
      <c r="H200" s="1133"/>
      <c r="I200" s="1133"/>
      <c r="J200" s="1133"/>
      <c r="K200" s="1133"/>
      <c r="L200" s="1133"/>
      <c r="M200" s="1133"/>
      <c r="N200" s="1133"/>
      <c r="O200" s="1133"/>
      <c r="P200" s="1133"/>
      <c r="Q200" s="1133"/>
      <c r="R200" s="1133"/>
      <c r="S200" s="1133"/>
      <c r="T200" s="1133"/>
      <c r="U200" s="1133"/>
      <c r="V200" s="1135"/>
      <c r="W200" s="1135"/>
    </row>
    <row r="201">
      <c r="A201" s="1133"/>
      <c r="B201" s="1133"/>
      <c r="C201" s="1133"/>
      <c r="D201" s="1133"/>
      <c r="E201" s="1133"/>
      <c r="F201" s="1133"/>
      <c r="G201" s="1133"/>
      <c r="H201" s="1133"/>
      <c r="I201" s="1133"/>
      <c r="J201" s="1133"/>
      <c r="K201" s="1133"/>
      <c r="L201" s="1133"/>
      <c r="M201" s="1133"/>
      <c r="N201" s="1133"/>
      <c r="O201" s="1133"/>
      <c r="P201" s="1133"/>
      <c r="Q201" s="1133"/>
      <c r="R201" s="1133"/>
      <c r="S201" s="1133"/>
      <c r="T201" s="1133"/>
      <c r="U201" s="1133"/>
      <c r="V201" s="1135"/>
      <c r="W201" s="1135"/>
    </row>
    <row r="202">
      <c r="A202" s="1133"/>
      <c r="B202" s="1133"/>
      <c r="C202" s="1133"/>
      <c r="D202" s="1133"/>
      <c r="E202" s="1133"/>
      <c r="F202" s="1133"/>
      <c r="G202" s="1133"/>
      <c r="H202" s="1133"/>
      <c r="I202" s="1133"/>
      <c r="J202" s="1133"/>
      <c r="K202" s="1133"/>
      <c r="L202" s="1133"/>
      <c r="M202" s="1133"/>
      <c r="N202" s="1133"/>
      <c r="O202" s="1133"/>
      <c r="P202" s="1133"/>
      <c r="Q202" s="1133"/>
      <c r="R202" s="1133"/>
      <c r="S202" s="1133"/>
      <c r="T202" s="1133"/>
      <c r="U202" s="1133"/>
      <c r="V202" s="1135"/>
      <c r="W202" s="1135"/>
    </row>
    <row r="203">
      <c r="A203" s="1133"/>
      <c r="B203" s="1133"/>
      <c r="C203" s="1133"/>
      <c r="D203" s="1133"/>
      <c r="E203" s="1133"/>
      <c r="F203" s="1133"/>
      <c r="G203" s="1133"/>
      <c r="H203" s="1133"/>
      <c r="I203" s="1133"/>
      <c r="J203" s="1133"/>
      <c r="K203" s="1133"/>
      <c r="L203" s="1133"/>
      <c r="M203" s="1133"/>
      <c r="N203" s="1133"/>
      <c r="O203" s="1133"/>
      <c r="P203" s="1133"/>
      <c r="Q203" s="1133"/>
      <c r="R203" s="1133"/>
      <c r="S203" s="1133"/>
      <c r="T203" s="1133"/>
      <c r="U203" s="1133"/>
      <c r="V203" s="1135"/>
      <c r="W203" s="1135"/>
    </row>
    <row r="204">
      <c r="A204" s="1133"/>
      <c r="B204" s="1133"/>
      <c r="C204" s="1133"/>
      <c r="D204" s="1133"/>
      <c r="E204" s="1133"/>
      <c r="F204" s="1133"/>
      <c r="G204" s="1133"/>
      <c r="H204" s="1133"/>
      <c r="I204" s="1133"/>
      <c r="J204" s="1133"/>
      <c r="K204" s="1133"/>
      <c r="L204" s="1133"/>
      <c r="M204" s="1133"/>
      <c r="N204" s="1133"/>
      <c r="O204" s="1133"/>
      <c r="P204" s="1133"/>
      <c r="Q204" s="1133"/>
      <c r="R204" s="1133"/>
      <c r="S204" s="1133"/>
      <c r="T204" s="1133"/>
      <c r="U204" s="1133"/>
      <c r="V204" s="1135"/>
      <c r="W204" s="1135"/>
    </row>
    <row r="205">
      <c r="A205" s="1133"/>
      <c r="B205" s="1133"/>
      <c r="C205" s="1133"/>
      <c r="D205" s="1133"/>
      <c r="E205" s="1133"/>
      <c r="F205" s="1133"/>
      <c r="G205" s="1133"/>
      <c r="H205" s="1133"/>
      <c r="I205" s="1133"/>
      <c r="J205" s="1133"/>
      <c r="K205" s="1133"/>
      <c r="L205" s="1133"/>
      <c r="M205" s="1133"/>
      <c r="N205" s="1133"/>
      <c r="O205" s="1133"/>
      <c r="P205" s="1133"/>
      <c r="Q205" s="1133"/>
      <c r="R205" s="1133"/>
      <c r="S205" s="1133"/>
      <c r="T205" s="1133"/>
      <c r="U205" s="1133"/>
      <c r="V205" s="1135"/>
      <c r="W205" s="1135"/>
    </row>
    <row r="206">
      <c r="A206" s="1133"/>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5"/>
      <c r="W206" s="1135"/>
    </row>
    <row r="207">
      <c r="A207" s="1133"/>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5"/>
      <c r="W207" s="1135"/>
    </row>
    <row r="208">
      <c r="A208" s="1133"/>
      <c r="B208" s="1133"/>
      <c r="C208" s="1133"/>
      <c r="D208" s="1133"/>
      <c r="E208" s="1133"/>
      <c r="F208" s="1133"/>
      <c r="G208" s="1133"/>
      <c r="H208" s="1133"/>
      <c r="I208" s="1133"/>
      <c r="J208" s="1133"/>
      <c r="K208" s="1133"/>
      <c r="L208" s="1133"/>
      <c r="M208" s="1133"/>
      <c r="N208" s="1133"/>
      <c r="O208" s="1133"/>
      <c r="P208" s="1133"/>
      <c r="Q208" s="1133"/>
      <c r="R208" s="1133"/>
      <c r="S208" s="1133"/>
      <c r="T208" s="1133"/>
      <c r="U208" s="1133"/>
      <c r="V208" s="1135"/>
      <c r="W208" s="1135"/>
    </row>
    <row r="209">
      <c r="A209" s="1133"/>
      <c r="B209" s="1133"/>
      <c r="C209" s="1133"/>
      <c r="D209" s="1133"/>
      <c r="E209" s="1133"/>
      <c r="F209" s="1133"/>
      <c r="G209" s="1133"/>
      <c r="H209" s="1133"/>
      <c r="I209" s="1133"/>
      <c r="J209" s="1133"/>
      <c r="K209" s="1133"/>
      <c r="L209" s="1133"/>
      <c r="M209" s="1133"/>
      <c r="N209" s="1133"/>
      <c r="O209" s="1133"/>
      <c r="P209" s="1133"/>
      <c r="Q209" s="1133"/>
      <c r="R209" s="1133"/>
      <c r="S209" s="1133"/>
      <c r="T209" s="1133"/>
      <c r="U209" s="1133"/>
      <c r="V209" s="1135"/>
      <c r="W209" s="1135"/>
    </row>
    <row r="210">
      <c r="A210" s="1133"/>
      <c r="B210" s="1133"/>
      <c r="C210" s="1133"/>
      <c r="D210" s="1133"/>
      <c r="E210" s="1133"/>
      <c r="F210" s="1133"/>
      <c r="G210" s="1133"/>
      <c r="H210" s="1133"/>
      <c r="I210" s="1133"/>
      <c r="J210" s="1133"/>
      <c r="K210" s="1133"/>
      <c r="L210" s="1133"/>
      <c r="M210" s="1133"/>
      <c r="N210" s="1133"/>
      <c r="O210" s="1133"/>
      <c r="P210" s="1133"/>
      <c r="Q210" s="1133"/>
      <c r="R210" s="1133"/>
      <c r="S210" s="1133"/>
      <c r="T210" s="1133"/>
      <c r="U210" s="1133"/>
      <c r="V210" s="1135"/>
      <c r="W210" s="1135"/>
    </row>
    <row r="211">
      <c r="A211" s="1133"/>
      <c r="B211" s="1133"/>
      <c r="C211" s="1133"/>
      <c r="D211" s="1133"/>
      <c r="E211" s="1133"/>
      <c r="F211" s="1133"/>
      <c r="G211" s="1133"/>
      <c r="H211" s="1133"/>
      <c r="I211" s="1133"/>
      <c r="J211" s="1133"/>
      <c r="K211" s="1133"/>
      <c r="L211" s="1133"/>
      <c r="M211" s="1133"/>
      <c r="N211" s="1133"/>
      <c r="O211" s="1133"/>
      <c r="P211" s="1133"/>
      <c r="Q211" s="1133"/>
      <c r="R211" s="1133"/>
      <c r="S211" s="1133"/>
      <c r="T211" s="1133"/>
      <c r="U211" s="1133"/>
      <c r="V211" s="1135"/>
      <c r="W211" s="1135"/>
    </row>
    <row r="212">
      <c r="A212" s="1133"/>
      <c r="B212" s="1133"/>
      <c r="C212" s="1133"/>
      <c r="D212" s="1133"/>
      <c r="E212" s="1133"/>
      <c r="F212" s="1133"/>
      <c r="G212" s="1133"/>
      <c r="H212" s="1133"/>
      <c r="I212" s="1133"/>
      <c r="J212" s="1133"/>
      <c r="K212" s="1133"/>
      <c r="L212" s="1133"/>
      <c r="M212" s="1133"/>
      <c r="N212" s="1133"/>
      <c r="O212" s="1133"/>
      <c r="P212" s="1133"/>
      <c r="Q212" s="1133"/>
      <c r="R212" s="1133"/>
      <c r="S212" s="1133"/>
      <c r="T212" s="1133"/>
      <c r="U212" s="1133"/>
      <c r="V212" s="1135"/>
      <c r="W212" s="1135"/>
    </row>
    <row r="213">
      <c r="A213" s="1133"/>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5"/>
      <c r="W213" s="1135"/>
    </row>
    <row r="214">
      <c r="A214" s="1133"/>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5"/>
      <c r="W214" s="1135"/>
    </row>
    <row r="215">
      <c r="A215" s="1133"/>
      <c r="B215" s="1133"/>
      <c r="C215" s="1133"/>
      <c r="D215" s="1133"/>
      <c r="E215" s="1133"/>
      <c r="F215" s="1133"/>
      <c r="G215" s="1133"/>
      <c r="H215" s="1133"/>
      <c r="I215" s="1133"/>
      <c r="J215" s="1133"/>
      <c r="K215" s="1133"/>
      <c r="L215" s="1133"/>
      <c r="M215" s="1133"/>
      <c r="N215" s="1133"/>
      <c r="O215" s="1133"/>
      <c r="P215" s="1133"/>
      <c r="Q215" s="1133"/>
      <c r="R215" s="1133"/>
      <c r="S215" s="1133"/>
      <c r="T215" s="1133"/>
      <c r="U215" s="1133"/>
      <c r="V215" s="1135"/>
      <c r="W215" s="1135"/>
    </row>
    <row r="216">
      <c r="A216" s="1133"/>
      <c r="B216" s="1133"/>
      <c r="C216" s="1133"/>
      <c r="D216" s="1133"/>
      <c r="E216" s="1133"/>
      <c r="F216" s="1133"/>
      <c r="G216" s="1133"/>
      <c r="H216" s="1133"/>
      <c r="I216" s="1133"/>
      <c r="J216" s="1133"/>
      <c r="K216" s="1133"/>
      <c r="L216" s="1133"/>
      <c r="M216" s="1133"/>
      <c r="N216" s="1133"/>
      <c r="O216" s="1133"/>
      <c r="P216" s="1133"/>
      <c r="Q216" s="1133"/>
      <c r="R216" s="1133"/>
      <c r="S216" s="1133"/>
      <c r="T216" s="1133"/>
      <c r="U216" s="1133"/>
      <c r="V216" s="1135"/>
      <c r="W216" s="1135"/>
    </row>
    <row r="217">
      <c r="A217" s="1133"/>
      <c r="B217" s="1133"/>
      <c r="C217" s="1133"/>
      <c r="D217" s="1133"/>
      <c r="E217" s="1133"/>
      <c r="F217" s="1133"/>
      <c r="G217" s="1133"/>
      <c r="H217" s="1133"/>
      <c r="I217" s="1133"/>
      <c r="J217" s="1133"/>
      <c r="K217" s="1133"/>
      <c r="L217" s="1133"/>
      <c r="M217" s="1133"/>
      <c r="N217" s="1133"/>
      <c r="O217" s="1133"/>
      <c r="P217" s="1133"/>
      <c r="Q217" s="1133"/>
      <c r="R217" s="1133"/>
      <c r="S217" s="1133"/>
      <c r="T217" s="1133"/>
      <c r="U217" s="1133"/>
      <c r="V217" s="1135"/>
      <c r="W217" s="1135"/>
    </row>
    <row r="218">
      <c r="A218" s="1133"/>
      <c r="B218" s="1133"/>
      <c r="C218" s="1133"/>
      <c r="D218" s="1133"/>
      <c r="E218" s="1133"/>
      <c r="F218" s="1133"/>
      <c r="G218" s="1133"/>
      <c r="H218" s="1133"/>
      <c r="I218" s="1133"/>
      <c r="J218" s="1133"/>
      <c r="K218" s="1133"/>
      <c r="L218" s="1133"/>
      <c r="M218" s="1133"/>
      <c r="N218" s="1133"/>
      <c r="O218" s="1133"/>
      <c r="P218" s="1133"/>
      <c r="Q218" s="1133"/>
      <c r="R218" s="1133"/>
      <c r="S218" s="1133"/>
      <c r="T218" s="1133"/>
      <c r="U218" s="1133"/>
      <c r="V218" s="1135"/>
      <c r="W218" s="1135"/>
    </row>
    <row r="219">
      <c r="A219" s="1133"/>
      <c r="B219" s="1133"/>
      <c r="C219" s="1133"/>
      <c r="D219" s="1133"/>
      <c r="E219" s="1133"/>
      <c r="F219" s="1133"/>
      <c r="G219" s="1133"/>
      <c r="H219" s="1133"/>
      <c r="I219" s="1133"/>
      <c r="J219" s="1133"/>
      <c r="K219" s="1133"/>
      <c r="L219" s="1133"/>
      <c r="M219" s="1133"/>
      <c r="N219" s="1133"/>
      <c r="O219" s="1133"/>
      <c r="P219" s="1133"/>
      <c r="Q219" s="1133"/>
      <c r="R219" s="1133"/>
      <c r="S219" s="1133"/>
      <c r="T219" s="1133"/>
      <c r="U219" s="1133"/>
      <c r="V219" s="1135"/>
      <c r="W219" s="1135"/>
    </row>
    <row r="220">
      <c r="A220" s="1133"/>
      <c r="B220" s="1133"/>
      <c r="C220" s="1133"/>
      <c r="D220" s="1133"/>
      <c r="E220" s="1133"/>
      <c r="F220" s="1133"/>
      <c r="G220" s="1133"/>
      <c r="H220" s="1133"/>
      <c r="I220" s="1133"/>
      <c r="J220" s="1133"/>
      <c r="K220" s="1133"/>
      <c r="L220" s="1133"/>
      <c r="M220" s="1133"/>
      <c r="N220" s="1133"/>
      <c r="O220" s="1133"/>
      <c r="P220" s="1133"/>
      <c r="Q220" s="1133"/>
      <c r="R220" s="1133"/>
      <c r="S220" s="1133"/>
      <c r="T220" s="1133"/>
      <c r="U220" s="1133"/>
      <c r="V220" s="1135"/>
      <c r="W220" s="1135"/>
    </row>
    <row r="221">
      <c r="A221" s="1133"/>
      <c r="B221" s="1133"/>
      <c r="C221" s="1133"/>
      <c r="D221" s="1133"/>
      <c r="E221" s="1133"/>
      <c r="F221" s="1133"/>
      <c r="G221" s="1133"/>
      <c r="H221" s="1133"/>
      <c r="I221" s="1133"/>
      <c r="J221" s="1133"/>
      <c r="K221" s="1133"/>
      <c r="L221" s="1133"/>
      <c r="M221" s="1133"/>
      <c r="N221" s="1133"/>
      <c r="O221" s="1133"/>
      <c r="P221" s="1133"/>
      <c r="Q221" s="1133"/>
      <c r="R221" s="1133"/>
      <c r="S221" s="1133"/>
      <c r="T221" s="1133"/>
      <c r="U221" s="1133"/>
      <c r="V221" s="1135"/>
      <c r="W221" s="1135"/>
    </row>
    <row r="222">
      <c r="A222" s="1133"/>
      <c r="B222" s="1133"/>
      <c r="C222" s="1133"/>
      <c r="D222" s="1133"/>
      <c r="E222" s="1133"/>
      <c r="F222" s="1133"/>
      <c r="G222" s="1133"/>
      <c r="H222" s="1133"/>
      <c r="I222" s="1133"/>
      <c r="J222" s="1133"/>
      <c r="K222" s="1133"/>
      <c r="L222" s="1133"/>
      <c r="M222" s="1133"/>
      <c r="N222" s="1133"/>
      <c r="O222" s="1133"/>
      <c r="P222" s="1133"/>
      <c r="Q222" s="1133"/>
      <c r="R222" s="1133"/>
      <c r="S222" s="1133"/>
      <c r="T222" s="1133"/>
      <c r="U222" s="1133"/>
      <c r="V222" s="1135"/>
      <c r="W222" s="1135"/>
    </row>
    <row r="223">
      <c r="A223" s="1133"/>
      <c r="B223" s="1133"/>
      <c r="C223" s="1133"/>
      <c r="D223" s="1133"/>
      <c r="E223" s="1133"/>
      <c r="F223" s="1133"/>
      <c r="G223" s="1133"/>
      <c r="H223" s="1133"/>
      <c r="I223" s="1133"/>
      <c r="J223" s="1133"/>
      <c r="K223" s="1133"/>
      <c r="L223" s="1133"/>
      <c r="M223" s="1133"/>
      <c r="N223" s="1133"/>
      <c r="O223" s="1133"/>
      <c r="P223" s="1133"/>
      <c r="Q223" s="1133"/>
      <c r="R223" s="1133"/>
      <c r="S223" s="1133"/>
      <c r="T223" s="1133"/>
      <c r="U223" s="1133"/>
      <c r="V223" s="1135"/>
      <c r="W223" s="1135"/>
    </row>
    <row r="224">
      <c r="A224" s="1133"/>
      <c r="B224" s="1133"/>
      <c r="C224" s="1133"/>
      <c r="D224" s="1133"/>
      <c r="E224" s="1133"/>
      <c r="F224" s="1133"/>
      <c r="G224" s="1133"/>
      <c r="H224" s="1133"/>
      <c r="I224" s="1133"/>
      <c r="J224" s="1133"/>
      <c r="K224" s="1133"/>
      <c r="L224" s="1133"/>
      <c r="M224" s="1133"/>
      <c r="N224" s="1133"/>
      <c r="O224" s="1133"/>
      <c r="P224" s="1133"/>
      <c r="Q224" s="1133"/>
      <c r="R224" s="1133"/>
      <c r="S224" s="1133"/>
      <c r="T224" s="1133"/>
      <c r="U224" s="1133"/>
      <c r="V224" s="1135"/>
      <c r="W224" s="1135"/>
    </row>
    <row r="225">
      <c r="A225" s="1133"/>
      <c r="B225" s="1133"/>
      <c r="C225" s="1133"/>
      <c r="D225" s="1133"/>
      <c r="E225" s="1133"/>
      <c r="F225" s="1133"/>
      <c r="G225" s="1133"/>
      <c r="H225" s="1133"/>
      <c r="I225" s="1133"/>
      <c r="J225" s="1133"/>
      <c r="K225" s="1133"/>
      <c r="L225" s="1133"/>
      <c r="M225" s="1133"/>
      <c r="N225" s="1133"/>
      <c r="O225" s="1133"/>
      <c r="P225" s="1133"/>
      <c r="Q225" s="1133"/>
      <c r="R225" s="1133"/>
      <c r="S225" s="1133"/>
      <c r="T225" s="1133"/>
      <c r="U225" s="1133"/>
      <c r="V225" s="1135"/>
      <c r="W225" s="1135"/>
    </row>
    <row r="226">
      <c r="A226" s="1133"/>
      <c r="B226" s="1133"/>
      <c r="C226" s="1133"/>
      <c r="D226" s="1133"/>
      <c r="E226" s="1133"/>
      <c r="F226" s="1133"/>
      <c r="G226" s="1133"/>
      <c r="H226" s="1133"/>
      <c r="I226" s="1133"/>
      <c r="J226" s="1133"/>
      <c r="K226" s="1133"/>
      <c r="L226" s="1133"/>
      <c r="M226" s="1133"/>
      <c r="N226" s="1133"/>
      <c r="O226" s="1133"/>
      <c r="P226" s="1133"/>
      <c r="Q226" s="1133"/>
      <c r="R226" s="1133"/>
      <c r="S226" s="1133"/>
      <c r="T226" s="1133"/>
      <c r="U226" s="1133"/>
      <c r="V226" s="1135"/>
      <c r="W226" s="1135"/>
    </row>
    <row r="227">
      <c r="A227" s="1133"/>
      <c r="B227" s="1133"/>
      <c r="C227" s="1133"/>
      <c r="D227" s="1133"/>
      <c r="E227" s="1133"/>
      <c r="F227" s="1133"/>
      <c r="G227" s="1133"/>
      <c r="H227" s="1133"/>
      <c r="I227" s="1133"/>
      <c r="J227" s="1133"/>
      <c r="K227" s="1133"/>
      <c r="L227" s="1133"/>
      <c r="M227" s="1133"/>
      <c r="N227" s="1133"/>
      <c r="O227" s="1133"/>
      <c r="P227" s="1133"/>
      <c r="Q227" s="1133"/>
      <c r="R227" s="1133"/>
      <c r="S227" s="1133"/>
      <c r="T227" s="1133"/>
      <c r="U227" s="1133"/>
      <c r="V227" s="1135"/>
      <c r="W227" s="1135"/>
    </row>
    <row r="228">
      <c r="A228" s="1133"/>
      <c r="B228" s="1133"/>
      <c r="C228" s="1133"/>
      <c r="D228" s="1133"/>
      <c r="E228" s="1133"/>
      <c r="F228" s="1133"/>
      <c r="G228" s="1133"/>
      <c r="H228" s="1133"/>
      <c r="I228" s="1133"/>
      <c r="J228" s="1133"/>
      <c r="K228" s="1133"/>
      <c r="L228" s="1133"/>
      <c r="M228" s="1133"/>
      <c r="N228" s="1133"/>
      <c r="O228" s="1133"/>
      <c r="P228" s="1133"/>
      <c r="Q228" s="1133"/>
      <c r="R228" s="1133"/>
      <c r="S228" s="1133"/>
      <c r="T228" s="1133"/>
      <c r="U228" s="1133"/>
      <c r="V228" s="1135"/>
      <c r="W228" s="1135"/>
    </row>
    <row r="229">
      <c r="A229" s="1133"/>
      <c r="B229" s="1133"/>
      <c r="C229" s="1133"/>
      <c r="D229" s="1133"/>
      <c r="E229" s="1133"/>
      <c r="F229" s="1133"/>
      <c r="G229" s="1133"/>
      <c r="H229" s="1133"/>
      <c r="I229" s="1133"/>
      <c r="J229" s="1133"/>
      <c r="K229" s="1133"/>
      <c r="L229" s="1133"/>
      <c r="M229" s="1133"/>
      <c r="N229" s="1133"/>
      <c r="O229" s="1133"/>
      <c r="P229" s="1133"/>
      <c r="Q229" s="1133"/>
      <c r="R229" s="1133"/>
      <c r="S229" s="1133"/>
      <c r="T229" s="1133"/>
      <c r="U229" s="1133"/>
      <c r="V229" s="1135"/>
      <c r="W229" s="1135"/>
    </row>
    <row r="230">
      <c r="A230" s="1133"/>
      <c r="B230" s="1133"/>
      <c r="C230" s="1133"/>
      <c r="D230" s="1133"/>
      <c r="E230" s="1133"/>
      <c r="F230" s="1133"/>
      <c r="G230" s="1133"/>
      <c r="H230" s="1133"/>
      <c r="I230" s="1133"/>
      <c r="J230" s="1133"/>
      <c r="K230" s="1133"/>
      <c r="L230" s="1133"/>
      <c r="M230" s="1133"/>
      <c r="N230" s="1133"/>
      <c r="O230" s="1133"/>
      <c r="P230" s="1133"/>
      <c r="Q230" s="1133"/>
      <c r="R230" s="1133"/>
      <c r="S230" s="1133"/>
      <c r="T230" s="1133"/>
      <c r="U230" s="1133"/>
      <c r="V230" s="1135"/>
      <c r="W230" s="1135"/>
    </row>
    <row r="231">
      <c r="A231" s="1133"/>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5"/>
      <c r="W231" s="1135"/>
    </row>
    <row r="232">
      <c r="A232" s="1133"/>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5"/>
      <c r="W232" s="1135"/>
    </row>
    <row r="233">
      <c r="A233" s="1133"/>
      <c r="B233" s="1133"/>
      <c r="C233" s="1133"/>
      <c r="D233" s="1133"/>
      <c r="E233" s="1133"/>
      <c r="F233" s="1133"/>
      <c r="G233" s="1133"/>
      <c r="H233" s="1133"/>
      <c r="I233" s="1133"/>
      <c r="J233" s="1133"/>
      <c r="K233" s="1133"/>
      <c r="L233" s="1133"/>
      <c r="M233" s="1133"/>
      <c r="N233" s="1133"/>
      <c r="O233" s="1133"/>
      <c r="P233" s="1133"/>
      <c r="Q233" s="1133"/>
      <c r="R233" s="1133"/>
      <c r="S233" s="1133"/>
      <c r="T233" s="1133"/>
      <c r="U233" s="1133"/>
      <c r="V233" s="1135"/>
      <c r="W233" s="1135"/>
    </row>
    <row r="234">
      <c r="A234" s="1133"/>
      <c r="B234" s="1133"/>
      <c r="C234" s="1133"/>
      <c r="D234" s="1133"/>
      <c r="E234" s="1133"/>
      <c r="F234" s="1133"/>
      <c r="G234" s="1133"/>
      <c r="H234" s="1133"/>
      <c r="I234" s="1133"/>
      <c r="J234" s="1133"/>
      <c r="K234" s="1133"/>
      <c r="L234" s="1133"/>
      <c r="M234" s="1133"/>
      <c r="N234" s="1133"/>
      <c r="O234" s="1133"/>
      <c r="P234" s="1133"/>
      <c r="Q234" s="1133"/>
      <c r="R234" s="1133"/>
      <c r="S234" s="1133"/>
      <c r="T234" s="1133"/>
      <c r="U234" s="1133"/>
      <c r="V234" s="1135"/>
      <c r="W234" s="1135"/>
    </row>
    <row r="235">
      <c r="A235" s="1133"/>
      <c r="B235" s="1133"/>
      <c r="C235" s="1133"/>
      <c r="D235" s="1133"/>
      <c r="E235" s="1133"/>
      <c r="F235" s="1133"/>
      <c r="G235" s="1133"/>
      <c r="H235" s="1133"/>
      <c r="I235" s="1133"/>
      <c r="J235" s="1133"/>
      <c r="K235" s="1133"/>
      <c r="L235" s="1133"/>
      <c r="M235" s="1133"/>
      <c r="N235" s="1133"/>
      <c r="O235" s="1133"/>
      <c r="P235" s="1133"/>
      <c r="Q235" s="1133"/>
      <c r="R235" s="1133"/>
      <c r="S235" s="1133"/>
      <c r="T235" s="1133"/>
      <c r="U235" s="1133"/>
      <c r="V235" s="1135"/>
      <c r="W235" s="1135"/>
    </row>
    <row r="236">
      <c r="A236" s="1133"/>
      <c r="B236" s="1133"/>
      <c r="C236" s="1133"/>
      <c r="D236" s="1133"/>
      <c r="E236" s="1133"/>
      <c r="F236" s="1133"/>
      <c r="G236" s="1133"/>
      <c r="H236" s="1133"/>
      <c r="I236" s="1133"/>
      <c r="J236" s="1133"/>
      <c r="K236" s="1133"/>
      <c r="L236" s="1133"/>
      <c r="M236" s="1133"/>
      <c r="N236" s="1133"/>
      <c r="O236" s="1133"/>
      <c r="P236" s="1133"/>
      <c r="Q236" s="1133"/>
      <c r="R236" s="1133"/>
      <c r="S236" s="1133"/>
      <c r="T236" s="1133"/>
      <c r="U236" s="1133"/>
      <c r="V236" s="1135"/>
      <c r="W236" s="1135"/>
    </row>
    <row r="237">
      <c r="A237" s="1133"/>
      <c r="B237" s="1133"/>
      <c r="C237" s="1133"/>
      <c r="D237" s="1133"/>
      <c r="E237" s="1133"/>
      <c r="F237" s="1133"/>
      <c r="G237" s="1133"/>
      <c r="H237" s="1133"/>
      <c r="I237" s="1133"/>
      <c r="J237" s="1133"/>
      <c r="K237" s="1133"/>
      <c r="L237" s="1133"/>
      <c r="M237" s="1133"/>
      <c r="N237" s="1133"/>
      <c r="O237" s="1133"/>
      <c r="P237" s="1133"/>
      <c r="Q237" s="1133"/>
      <c r="R237" s="1133"/>
      <c r="S237" s="1133"/>
      <c r="T237" s="1133"/>
      <c r="U237" s="1133"/>
      <c r="V237" s="1135"/>
      <c r="W237" s="1135"/>
    </row>
    <row r="238">
      <c r="A238" s="1133"/>
      <c r="B238" s="1133"/>
      <c r="C238" s="1133"/>
      <c r="D238" s="1133"/>
      <c r="E238" s="1133"/>
      <c r="F238" s="1133"/>
      <c r="G238" s="1133"/>
      <c r="H238" s="1133"/>
      <c r="I238" s="1133"/>
      <c r="J238" s="1133"/>
      <c r="K238" s="1133"/>
      <c r="L238" s="1133"/>
      <c r="M238" s="1133"/>
      <c r="N238" s="1133"/>
      <c r="O238" s="1133"/>
      <c r="P238" s="1133"/>
      <c r="Q238" s="1133"/>
      <c r="R238" s="1133"/>
      <c r="S238" s="1133"/>
      <c r="T238" s="1133"/>
      <c r="U238" s="1133"/>
      <c r="V238" s="1135"/>
      <c r="W238" s="1135"/>
    </row>
    <row r="239">
      <c r="A239" s="1133"/>
      <c r="B239" s="1133"/>
      <c r="C239" s="1133"/>
      <c r="D239" s="1133"/>
      <c r="E239" s="1133"/>
      <c r="F239" s="1133"/>
      <c r="G239" s="1133"/>
      <c r="H239" s="1133"/>
      <c r="I239" s="1133"/>
      <c r="J239" s="1133"/>
      <c r="K239" s="1133"/>
      <c r="L239" s="1133"/>
      <c r="M239" s="1133"/>
      <c r="N239" s="1133"/>
      <c r="O239" s="1133"/>
      <c r="P239" s="1133"/>
      <c r="Q239" s="1133"/>
      <c r="R239" s="1133"/>
      <c r="S239" s="1133"/>
      <c r="T239" s="1133"/>
      <c r="U239" s="1133"/>
      <c r="V239" s="1135"/>
      <c r="W239" s="1135"/>
    </row>
    <row r="240">
      <c r="A240" s="1133"/>
      <c r="B240" s="1133"/>
      <c r="C240" s="1133"/>
      <c r="D240" s="1133"/>
      <c r="E240" s="1133"/>
      <c r="F240" s="1133"/>
      <c r="G240" s="1133"/>
      <c r="H240" s="1133"/>
      <c r="I240" s="1133"/>
      <c r="J240" s="1133"/>
      <c r="K240" s="1133"/>
      <c r="L240" s="1133"/>
      <c r="M240" s="1133"/>
      <c r="N240" s="1133"/>
      <c r="O240" s="1133"/>
      <c r="P240" s="1133"/>
      <c r="Q240" s="1133"/>
      <c r="R240" s="1133"/>
      <c r="S240" s="1133"/>
      <c r="T240" s="1133"/>
      <c r="U240" s="1133"/>
      <c r="V240" s="1135"/>
      <c r="W240" s="1135"/>
    </row>
    <row r="241">
      <c r="A241" s="1133"/>
      <c r="B241" s="1133"/>
      <c r="C241" s="1133"/>
      <c r="D241" s="1133"/>
      <c r="E241" s="1133"/>
      <c r="F241" s="1133"/>
      <c r="G241" s="1133"/>
      <c r="H241" s="1133"/>
      <c r="I241" s="1133"/>
      <c r="J241" s="1133"/>
      <c r="K241" s="1133"/>
      <c r="L241" s="1133"/>
      <c r="M241" s="1133"/>
      <c r="N241" s="1133"/>
      <c r="O241" s="1133"/>
      <c r="P241" s="1133"/>
      <c r="Q241" s="1133"/>
      <c r="R241" s="1133"/>
      <c r="S241" s="1133"/>
      <c r="T241" s="1133"/>
      <c r="U241" s="1133"/>
      <c r="V241" s="1135"/>
      <c r="W241" s="1135"/>
    </row>
    <row r="242">
      <c r="A242" s="1133"/>
      <c r="B242" s="1133"/>
      <c r="C242" s="1133"/>
      <c r="D242" s="1133"/>
      <c r="E242" s="1133"/>
      <c r="F242" s="1133"/>
      <c r="G242" s="1133"/>
      <c r="H242" s="1133"/>
      <c r="I242" s="1133"/>
      <c r="J242" s="1133"/>
      <c r="K242" s="1133"/>
      <c r="L242" s="1133"/>
      <c r="M242" s="1133"/>
      <c r="N242" s="1133"/>
      <c r="O242" s="1133"/>
      <c r="P242" s="1133"/>
      <c r="Q242" s="1133"/>
      <c r="R242" s="1133"/>
      <c r="S242" s="1133"/>
      <c r="T242" s="1133"/>
      <c r="U242" s="1133"/>
      <c r="V242" s="1135"/>
      <c r="W242" s="1135"/>
    </row>
    <row r="243">
      <c r="A243" s="1133"/>
      <c r="B243" s="1133"/>
      <c r="C243" s="1133"/>
      <c r="D243" s="1133"/>
      <c r="E243" s="1133"/>
      <c r="F243" s="1133"/>
      <c r="G243" s="1133"/>
      <c r="H243" s="1133"/>
      <c r="I243" s="1133"/>
      <c r="J243" s="1133"/>
      <c r="K243" s="1133"/>
      <c r="L243" s="1133"/>
      <c r="M243" s="1133"/>
      <c r="N243" s="1133"/>
      <c r="O243" s="1133"/>
      <c r="P243" s="1133"/>
      <c r="Q243" s="1133"/>
      <c r="R243" s="1133"/>
      <c r="S243" s="1133"/>
      <c r="T243" s="1133"/>
      <c r="U243" s="1133"/>
      <c r="V243" s="1135"/>
      <c r="W243" s="1135"/>
    </row>
    <row r="244">
      <c r="A244" s="1133"/>
      <c r="B244" s="1133"/>
      <c r="C244" s="1133"/>
      <c r="D244" s="1133"/>
      <c r="E244" s="1133"/>
      <c r="F244" s="1133"/>
      <c r="G244" s="1133"/>
      <c r="H244" s="1133"/>
      <c r="I244" s="1133"/>
      <c r="J244" s="1133"/>
      <c r="K244" s="1133"/>
      <c r="L244" s="1133"/>
      <c r="M244" s="1133"/>
      <c r="N244" s="1133"/>
      <c r="O244" s="1133"/>
      <c r="P244" s="1133"/>
      <c r="Q244" s="1133"/>
      <c r="R244" s="1133"/>
      <c r="S244" s="1133"/>
      <c r="T244" s="1133"/>
      <c r="U244" s="1133"/>
      <c r="V244" s="1135"/>
      <c r="W244" s="1135"/>
    </row>
    <row r="245">
      <c r="A245" s="1133"/>
      <c r="B245" s="1133"/>
      <c r="C245" s="1133"/>
      <c r="D245" s="1133"/>
      <c r="E245" s="1133"/>
      <c r="F245" s="1133"/>
      <c r="G245" s="1133"/>
      <c r="H245" s="1133"/>
      <c r="I245" s="1133"/>
      <c r="J245" s="1133"/>
      <c r="K245" s="1133"/>
      <c r="L245" s="1133"/>
      <c r="M245" s="1133"/>
      <c r="N245" s="1133"/>
      <c r="O245" s="1133"/>
      <c r="P245" s="1133"/>
      <c r="Q245" s="1133"/>
      <c r="R245" s="1133"/>
      <c r="S245" s="1133"/>
      <c r="T245" s="1133"/>
      <c r="U245" s="1133"/>
      <c r="V245" s="1135"/>
      <c r="W245" s="1135"/>
    </row>
    <row r="246">
      <c r="A246" s="1133"/>
      <c r="B246" s="1133"/>
      <c r="C246" s="1133"/>
      <c r="D246" s="1133"/>
      <c r="E246" s="1133"/>
      <c r="F246" s="1133"/>
      <c r="G246" s="1133"/>
      <c r="H246" s="1133"/>
      <c r="I246" s="1133"/>
      <c r="J246" s="1133"/>
      <c r="K246" s="1133"/>
      <c r="L246" s="1133"/>
      <c r="M246" s="1133"/>
      <c r="N246" s="1133"/>
      <c r="O246" s="1133"/>
      <c r="P246" s="1133"/>
      <c r="Q246" s="1133"/>
      <c r="R246" s="1133"/>
      <c r="S246" s="1133"/>
      <c r="T246" s="1133"/>
      <c r="U246" s="1133"/>
      <c r="V246" s="1135"/>
      <c r="W246" s="1135"/>
    </row>
    <row r="247">
      <c r="A247" s="1133"/>
      <c r="B247" s="1133"/>
      <c r="C247" s="1133"/>
      <c r="D247" s="1133"/>
      <c r="E247" s="1133"/>
      <c r="F247" s="1133"/>
      <c r="G247" s="1133"/>
      <c r="H247" s="1133"/>
      <c r="I247" s="1133"/>
      <c r="J247" s="1133"/>
      <c r="K247" s="1133"/>
      <c r="L247" s="1133"/>
      <c r="M247" s="1133"/>
      <c r="N247" s="1133"/>
      <c r="O247" s="1133"/>
      <c r="P247" s="1133"/>
      <c r="Q247" s="1133"/>
      <c r="R247" s="1133"/>
      <c r="S247" s="1133"/>
      <c r="T247" s="1133"/>
      <c r="U247" s="1133"/>
      <c r="V247" s="1135"/>
      <c r="W247" s="1135"/>
    </row>
    <row r="248">
      <c r="A248" s="1133"/>
      <c r="B248" s="1133"/>
      <c r="C248" s="1133"/>
      <c r="D248" s="1133"/>
      <c r="E248" s="1133"/>
      <c r="F248" s="1133"/>
      <c r="G248" s="1133"/>
      <c r="H248" s="1133"/>
      <c r="I248" s="1133"/>
      <c r="J248" s="1133"/>
      <c r="K248" s="1133"/>
      <c r="L248" s="1133"/>
      <c r="M248" s="1133"/>
      <c r="N248" s="1133"/>
      <c r="O248" s="1133"/>
      <c r="P248" s="1133"/>
      <c r="Q248" s="1133"/>
      <c r="R248" s="1133"/>
      <c r="S248" s="1133"/>
      <c r="T248" s="1133"/>
      <c r="U248" s="1133"/>
      <c r="V248" s="1135"/>
      <c r="W248" s="1135"/>
    </row>
    <row r="249">
      <c r="A249" s="1133"/>
      <c r="B249" s="1133"/>
      <c r="C249" s="1133"/>
      <c r="D249" s="1133"/>
      <c r="E249" s="1133"/>
      <c r="F249" s="1133"/>
      <c r="G249" s="1133"/>
      <c r="H249" s="1133"/>
      <c r="I249" s="1133"/>
      <c r="J249" s="1133"/>
      <c r="K249" s="1133"/>
      <c r="L249" s="1133"/>
      <c r="M249" s="1133"/>
      <c r="N249" s="1133"/>
      <c r="O249" s="1133"/>
      <c r="P249" s="1133"/>
      <c r="Q249" s="1133"/>
      <c r="R249" s="1133"/>
      <c r="S249" s="1133"/>
      <c r="T249" s="1133"/>
      <c r="U249" s="1133"/>
      <c r="V249" s="1135"/>
      <c r="W249" s="1135"/>
    </row>
    <row r="250">
      <c r="A250" s="1133"/>
      <c r="B250" s="1133"/>
      <c r="C250" s="1133"/>
      <c r="D250" s="1133"/>
      <c r="E250" s="1133"/>
      <c r="F250" s="1133"/>
      <c r="G250" s="1133"/>
      <c r="H250" s="1133"/>
      <c r="I250" s="1133"/>
      <c r="J250" s="1133"/>
      <c r="K250" s="1133"/>
      <c r="L250" s="1133"/>
      <c r="M250" s="1133"/>
      <c r="N250" s="1133"/>
      <c r="O250" s="1133"/>
      <c r="P250" s="1133"/>
      <c r="Q250" s="1133"/>
      <c r="R250" s="1133"/>
      <c r="S250" s="1133"/>
      <c r="T250" s="1133"/>
      <c r="U250" s="1133"/>
      <c r="V250" s="1135"/>
      <c r="W250" s="1135"/>
    </row>
    <row r="251">
      <c r="A251" s="1133"/>
      <c r="B251" s="1133"/>
      <c r="C251" s="1133"/>
      <c r="D251" s="1133"/>
      <c r="E251" s="1133"/>
      <c r="F251" s="1133"/>
      <c r="G251" s="1133"/>
      <c r="H251" s="1133"/>
      <c r="I251" s="1133"/>
      <c r="J251" s="1133"/>
      <c r="K251" s="1133"/>
      <c r="L251" s="1133"/>
      <c r="M251" s="1133"/>
      <c r="N251" s="1133"/>
      <c r="O251" s="1133"/>
      <c r="P251" s="1133"/>
      <c r="Q251" s="1133"/>
      <c r="R251" s="1133"/>
      <c r="S251" s="1133"/>
      <c r="T251" s="1133"/>
      <c r="U251" s="1133"/>
      <c r="V251" s="1135"/>
      <c r="W251" s="1135"/>
    </row>
    <row r="252">
      <c r="A252" s="1133"/>
      <c r="B252" s="1133"/>
      <c r="C252" s="1133"/>
      <c r="D252" s="1133"/>
      <c r="E252" s="1133"/>
      <c r="F252" s="1133"/>
      <c r="G252" s="1133"/>
      <c r="H252" s="1133"/>
      <c r="I252" s="1133"/>
      <c r="J252" s="1133"/>
      <c r="K252" s="1133"/>
      <c r="L252" s="1133"/>
      <c r="M252" s="1133"/>
      <c r="N252" s="1133"/>
      <c r="O252" s="1133"/>
      <c r="P252" s="1133"/>
      <c r="Q252" s="1133"/>
      <c r="R252" s="1133"/>
      <c r="S252" s="1133"/>
      <c r="T252" s="1133"/>
      <c r="U252" s="1133"/>
      <c r="V252" s="1135"/>
      <c r="W252" s="1135"/>
    </row>
    <row r="253">
      <c r="A253" s="1133"/>
      <c r="B253" s="1133"/>
      <c r="C253" s="1133"/>
      <c r="D253" s="1133"/>
      <c r="E253" s="1133"/>
      <c r="F253" s="1133"/>
      <c r="G253" s="1133"/>
      <c r="H253" s="1133"/>
      <c r="I253" s="1133"/>
      <c r="J253" s="1133"/>
      <c r="K253" s="1133"/>
      <c r="L253" s="1133"/>
      <c r="M253" s="1133"/>
      <c r="N253" s="1133"/>
      <c r="O253" s="1133"/>
      <c r="P253" s="1133"/>
      <c r="Q253" s="1133"/>
      <c r="R253" s="1133"/>
      <c r="S253" s="1133"/>
      <c r="T253" s="1133"/>
      <c r="U253" s="1133"/>
      <c r="V253" s="1135"/>
      <c r="W253" s="1135"/>
    </row>
    <row r="254">
      <c r="A254" s="1133"/>
      <c r="B254" s="1133"/>
      <c r="C254" s="1133"/>
      <c r="D254" s="1133"/>
      <c r="E254" s="1133"/>
      <c r="F254" s="1133"/>
      <c r="G254" s="1133"/>
      <c r="H254" s="1133"/>
      <c r="I254" s="1133"/>
      <c r="J254" s="1133"/>
      <c r="K254" s="1133"/>
      <c r="L254" s="1133"/>
      <c r="M254" s="1133"/>
      <c r="N254" s="1133"/>
      <c r="O254" s="1133"/>
      <c r="P254" s="1133"/>
      <c r="Q254" s="1133"/>
      <c r="R254" s="1133"/>
      <c r="S254" s="1133"/>
      <c r="T254" s="1133"/>
      <c r="U254" s="1133"/>
      <c r="V254" s="1135"/>
      <c r="W254" s="1135"/>
    </row>
    <row r="255">
      <c r="A255" s="1133"/>
      <c r="B255" s="1133"/>
      <c r="C255" s="1133"/>
      <c r="D255" s="1133"/>
      <c r="E255" s="1133"/>
      <c r="F255" s="1133"/>
      <c r="G255" s="1133"/>
      <c r="H255" s="1133"/>
      <c r="I255" s="1133"/>
      <c r="J255" s="1133"/>
      <c r="K255" s="1133"/>
      <c r="L255" s="1133"/>
      <c r="M255" s="1133"/>
      <c r="N255" s="1133"/>
      <c r="O255" s="1133"/>
      <c r="P255" s="1133"/>
      <c r="Q255" s="1133"/>
      <c r="R255" s="1133"/>
      <c r="S255" s="1133"/>
      <c r="T255" s="1133"/>
      <c r="U255" s="1133"/>
      <c r="V255" s="1135"/>
      <c r="W255" s="1135"/>
    </row>
    <row r="256">
      <c r="A256" s="1133"/>
      <c r="B256" s="1133"/>
      <c r="C256" s="1133"/>
      <c r="D256" s="1133"/>
      <c r="E256" s="1133"/>
      <c r="F256" s="1133"/>
      <c r="G256" s="1133"/>
      <c r="H256" s="1133"/>
      <c r="I256" s="1133"/>
      <c r="J256" s="1133"/>
      <c r="K256" s="1133"/>
      <c r="L256" s="1133"/>
      <c r="M256" s="1133"/>
      <c r="N256" s="1133"/>
      <c r="O256" s="1133"/>
      <c r="P256" s="1133"/>
      <c r="Q256" s="1133"/>
      <c r="R256" s="1133"/>
      <c r="S256" s="1133"/>
      <c r="T256" s="1133"/>
      <c r="U256" s="1133"/>
      <c r="V256" s="1135"/>
      <c r="W256" s="1135"/>
    </row>
    <row r="257">
      <c r="A257" s="1133"/>
      <c r="B257" s="1133"/>
      <c r="C257" s="1133"/>
      <c r="D257" s="1133"/>
      <c r="E257" s="1133"/>
      <c r="F257" s="1133"/>
      <c r="G257" s="1133"/>
      <c r="H257" s="1133"/>
      <c r="I257" s="1133"/>
      <c r="J257" s="1133"/>
      <c r="K257" s="1133"/>
      <c r="L257" s="1133"/>
      <c r="M257" s="1133"/>
      <c r="N257" s="1133"/>
      <c r="O257" s="1133"/>
      <c r="P257" s="1133"/>
      <c r="Q257" s="1133"/>
      <c r="R257" s="1133"/>
      <c r="S257" s="1133"/>
      <c r="T257" s="1133"/>
      <c r="U257" s="1133"/>
      <c r="V257" s="1135"/>
      <c r="W257" s="1135"/>
    </row>
    <row r="258">
      <c r="A258" s="1133"/>
      <c r="B258" s="1133"/>
      <c r="C258" s="1133"/>
      <c r="D258" s="1133"/>
      <c r="E258" s="1133"/>
      <c r="F258" s="1133"/>
      <c r="G258" s="1133"/>
      <c r="H258" s="1133"/>
      <c r="I258" s="1133"/>
      <c r="J258" s="1133"/>
      <c r="K258" s="1133"/>
      <c r="L258" s="1133"/>
      <c r="M258" s="1133"/>
      <c r="N258" s="1133"/>
      <c r="O258" s="1133"/>
      <c r="P258" s="1133"/>
      <c r="Q258" s="1133"/>
      <c r="R258" s="1133"/>
      <c r="S258" s="1133"/>
      <c r="T258" s="1133"/>
      <c r="U258" s="1133"/>
      <c r="V258" s="1135"/>
      <c r="W258" s="1135"/>
    </row>
    <row r="259">
      <c r="A259" s="1133"/>
      <c r="B259" s="1133"/>
      <c r="C259" s="1133"/>
      <c r="D259" s="1133"/>
      <c r="E259" s="1133"/>
      <c r="F259" s="1133"/>
      <c r="G259" s="1133"/>
      <c r="H259" s="1133"/>
      <c r="I259" s="1133"/>
      <c r="J259" s="1133"/>
      <c r="K259" s="1133"/>
      <c r="L259" s="1133"/>
      <c r="M259" s="1133"/>
      <c r="N259" s="1133"/>
      <c r="O259" s="1133"/>
      <c r="P259" s="1133"/>
      <c r="Q259" s="1133"/>
      <c r="R259" s="1133"/>
      <c r="S259" s="1133"/>
      <c r="T259" s="1133"/>
      <c r="U259" s="1133"/>
      <c r="V259" s="1135"/>
      <c r="W259" s="1135"/>
    </row>
    <row r="260">
      <c r="A260" s="1133"/>
      <c r="B260" s="1133"/>
      <c r="C260" s="1133"/>
      <c r="D260" s="1133"/>
      <c r="E260" s="1133"/>
      <c r="F260" s="1133"/>
      <c r="G260" s="1133"/>
      <c r="H260" s="1133"/>
      <c r="I260" s="1133"/>
      <c r="J260" s="1133"/>
      <c r="K260" s="1133"/>
      <c r="L260" s="1133"/>
      <c r="M260" s="1133"/>
      <c r="N260" s="1133"/>
      <c r="O260" s="1133"/>
      <c r="P260" s="1133"/>
      <c r="Q260" s="1133"/>
      <c r="R260" s="1133"/>
      <c r="S260" s="1133"/>
      <c r="T260" s="1133"/>
      <c r="U260" s="1133"/>
      <c r="V260" s="1135"/>
      <c r="W260" s="1135"/>
    </row>
    <row r="261">
      <c r="A261" s="1133"/>
      <c r="B261" s="1133"/>
      <c r="C261" s="1133"/>
      <c r="D261" s="1133"/>
      <c r="E261" s="1133"/>
      <c r="F261" s="1133"/>
      <c r="G261" s="1133"/>
      <c r="H261" s="1133"/>
      <c r="I261" s="1133"/>
      <c r="J261" s="1133"/>
      <c r="K261" s="1133"/>
      <c r="L261" s="1133"/>
      <c r="M261" s="1133"/>
      <c r="N261" s="1133"/>
      <c r="O261" s="1133"/>
      <c r="P261" s="1133"/>
      <c r="Q261" s="1133"/>
      <c r="R261" s="1133"/>
      <c r="S261" s="1133"/>
      <c r="T261" s="1133"/>
      <c r="U261" s="1133"/>
      <c r="V261" s="1135"/>
      <c r="W261" s="1135"/>
    </row>
    <row r="262">
      <c r="A262" s="1133"/>
      <c r="B262" s="1133"/>
      <c r="C262" s="1133"/>
      <c r="D262" s="1133"/>
      <c r="E262" s="1133"/>
      <c r="F262" s="1133"/>
      <c r="G262" s="1133"/>
      <c r="H262" s="1133"/>
      <c r="I262" s="1133"/>
      <c r="J262" s="1133"/>
      <c r="K262" s="1133"/>
      <c r="L262" s="1133"/>
      <c r="M262" s="1133"/>
      <c r="N262" s="1133"/>
      <c r="O262" s="1133"/>
      <c r="P262" s="1133"/>
      <c r="Q262" s="1133"/>
      <c r="R262" s="1133"/>
      <c r="S262" s="1133"/>
      <c r="T262" s="1133"/>
      <c r="U262" s="1133"/>
      <c r="V262" s="1135"/>
      <c r="W262" s="1135"/>
    </row>
    <row r="263">
      <c r="A263" s="1133"/>
      <c r="B263" s="1133"/>
      <c r="C263" s="1133"/>
      <c r="D263" s="1133"/>
      <c r="E263" s="1133"/>
      <c r="F263" s="1133"/>
      <c r="G263" s="1133"/>
      <c r="H263" s="1133"/>
      <c r="I263" s="1133"/>
      <c r="J263" s="1133"/>
      <c r="K263" s="1133"/>
      <c r="L263" s="1133"/>
      <c r="M263" s="1133"/>
      <c r="N263" s="1133"/>
      <c r="O263" s="1133"/>
      <c r="P263" s="1133"/>
      <c r="Q263" s="1133"/>
      <c r="R263" s="1133"/>
      <c r="S263" s="1133"/>
      <c r="T263" s="1133"/>
      <c r="U263" s="1133"/>
      <c r="V263" s="1135"/>
      <c r="W263" s="1135"/>
    </row>
    <row r="264">
      <c r="A264" s="1133"/>
      <c r="B264" s="1133"/>
      <c r="C264" s="1133"/>
      <c r="D264" s="1133"/>
      <c r="E264" s="1133"/>
      <c r="F264" s="1133"/>
      <c r="G264" s="1133"/>
      <c r="H264" s="1133"/>
      <c r="I264" s="1133"/>
      <c r="J264" s="1133"/>
      <c r="K264" s="1133"/>
      <c r="L264" s="1133"/>
      <c r="M264" s="1133"/>
      <c r="N264" s="1133"/>
      <c r="O264" s="1133"/>
      <c r="P264" s="1133"/>
      <c r="Q264" s="1133"/>
      <c r="R264" s="1133"/>
      <c r="S264" s="1133"/>
      <c r="T264" s="1133"/>
      <c r="U264" s="1133"/>
      <c r="V264" s="1135"/>
      <c r="W264" s="1135"/>
    </row>
    <row r="265">
      <c r="A265" s="1133"/>
      <c r="B265" s="1133"/>
      <c r="C265" s="1133"/>
      <c r="D265" s="1133"/>
      <c r="E265" s="1133"/>
      <c r="F265" s="1133"/>
      <c r="G265" s="1133"/>
      <c r="H265" s="1133"/>
      <c r="I265" s="1133"/>
      <c r="J265" s="1133"/>
      <c r="K265" s="1133"/>
      <c r="L265" s="1133"/>
      <c r="M265" s="1133"/>
      <c r="N265" s="1133"/>
      <c r="O265" s="1133"/>
      <c r="P265" s="1133"/>
      <c r="Q265" s="1133"/>
      <c r="R265" s="1133"/>
      <c r="S265" s="1133"/>
      <c r="T265" s="1133"/>
      <c r="U265" s="1133"/>
      <c r="V265" s="1135"/>
      <c r="W265" s="1135"/>
    </row>
    <row r="266">
      <c r="A266" s="1133"/>
      <c r="B266" s="1133"/>
      <c r="C266" s="1133"/>
      <c r="D266" s="1133"/>
      <c r="E266" s="1133"/>
      <c r="F266" s="1133"/>
      <c r="G266" s="1133"/>
      <c r="H266" s="1133"/>
      <c r="I266" s="1133"/>
      <c r="J266" s="1133"/>
      <c r="K266" s="1133"/>
      <c r="L266" s="1133"/>
      <c r="M266" s="1133"/>
      <c r="N266" s="1133"/>
      <c r="O266" s="1133"/>
      <c r="P266" s="1133"/>
      <c r="Q266" s="1133"/>
      <c r="R266" s="1133"/>
      <c r="S266" s="1133"/>
      <c r="T266" s="1133"/>
      <c r="U266" s="1133"/>
      <c r="V266" s="1135"/>
      <c r="W266" s="1135"/>
    </row>
    <row r="267">
      <c r="A267" s="1133"/>
      <c r="B267" s="1133"/>
      <c r="C267" s="1133"/>
      <c r="D267" s="1133"/>
      <c r="E267" s="1133"/>
      <c r="F267" s="1133"/>
      <c r="G267" s="1133"/>
      <c r="H267" s="1133"/>
      <c r="I267" s="1133"/>
      <c r="J267" s="1133"/>
      <c r="K267" s="1133"/>
      <c r="L267" s="1133"/>
      <c r="M267" s="1133"/>
      <c r="N267" s="1133"/>
      <c r="O267" s="1133"/>
      <c r="P267" s="1133"/>
      <c r="Q267" s="1133"/>
      <c r="R267" s="1133"/>
      <c r="S267" s="1133"/>
      <c r="T267" s="1133"/>
      <c r="U267" s="1133"/>
      <c r="V267" s="1135"/>
      <c r="W267" s="1135"/>
    </row>
    <row r="268">
      <c r="A268" s="1133"/>
      <c r="B268" s="1133"/>
      <c r="C268" s="1133"/>
      <c r="D268" s="1133"/>
      <c r="E268" s="1133"/>
      <c r="F268" s="1133"/>
      <c r="G268" s="1133"/>
      <c r="H268" s="1133"/>
      <c r="I268" s="1133"/>
      <c r="J268" s="1133"/>
      <c r="K268" s="1133"/>
      <c r="L268" s="1133"/>
      <c r="M268" s="1133"/>
      <c r="N268" s="1133"/>
      <c r="O268" s="1133"/>
      <c r="P268" s="1133"/>
      <c r="Q268" s="1133"/>
      <c r="R268" s="1133"/>
      <c r="S268" s="1133"/>
      <c r="T268" s="1133"/>
      <c r="U268" s="1133"/>
      <c r="V268" s="1135"/>
      <c r="W268" s="1135"/>
    </row>
    <row r="269">
      <c r="A269" s="1133"/>
      <c r="B269" s="1133"/>
      <c r="C269" s="1133"/>
      <c r="D269" s="1133"/>
      <c r="E269" s="1133"/>
      <c r="F269" s="1133"/>
      <c r="G269" s="1133"/>
      <c r="H269" s="1133"/>
      <c r="I269" s="1133"/>
      <c r="J269" s="1133"/>
      <c r="K269" s="1133"/>
      <c r="L269" s="1133"/>
      <c r="M269" s="1133"/>
      <c r="N269" s="1133"/>
      <c r="O269" s="1133"/>
      <c r="P269" s="1133"/>
      <c r="Q269" s="1133"/>
      <c r="R269" s="1133"/>
      <c r="S269" s="1133"/>
      <c r="T269" s="1133"/>
      <c r="U269" s="1133"/>
      <c r="V269" s="1135"/>
      <c r="W269" s="1135"/>
    </row>
    <row r="270">
      <c r="A270" s="1133"/>
      <c r="B270" s="1133"/>
      <c r="C270" s="1133"/>
      <c r="D270" s="1133"/>
      <c r="E270" s="1133"/>
      <c r="F270" s="1133"/>
      <c r="G270" s="1133"/>
      <c r="H270" s="1133"/>
      <c r="I270" s="1133"/>
      <c r="J270" s="1133"/>
      <c r="K270" s="1133"/>
      <c r="L270" s="1133"/>
      <c r="M270" s="1133"/>
      <c r="N270" s="1133"/>
      <c r="O270" s="1133"/>
      <c r="P270" s="1133"/>
      <c r="Q270" s="1133"/>
      <c r="R270" s="1133"/>
      <c r="S270" s="1133"/>
      <c r="T270" s="1133"/>
      <c r="U270" s="1133"/>
      <c r="V270" s="1135"/>
      <c r="W270" s="1135"/>
    </row>
    <row r="271">
      <c r="A271" s="1133"/>
      <c r="B271" s="1133"/>
      <c r="C271" s="1133"/>
      <c r="D271" s="1133"/>
      <c r="E271" s="1133"/>
      <c r="F271" s="1133"/>
      <c r="G271" s="1133"/>
      <c r="H271" s="1133"/>
      <c r="I271" s="1133"/>
      <c r="J271" s="1133"/>
      <c r="K271" s="1133"/>
      <c r="L271" s="1133"/>
      <c r="M271" s="1133"/>
      <c r="N271" s="1133"/>
      <c r="O271" s="1133"/>
      <c r="P271" s="1133"/>
      <c r="Q271" s="1133"/>
      <c r="R271" s="1133"/>
      <c r="S271" s="1133"/>
      <c r="T271" s="1133"/>
      <c r="U271" s="1133"/>
      <c r="V271" s="1135"/>
      <c r="W271" s="1135"/>
    </row>
    <row r="272">
      <c r="A272" s="1133"/>
      <c r="B272" s="1133"/>
      <c r="C272" s="1133"/>
      <c r="D272" s="1133"/>
      <c r="E272" s="1133"/>
      <c r="F272" s="1133"/>
      <c r="G272" s="1133"/>
      <c r="H272" s="1133"/>
      <c r="I272" s="1133"/>
      <c r="J272" s="1133"/>
      <c r="K272" s="1133"/>
      <c r="L272" s="1133"/>
      <c r="M272" s="1133"/>
      <c r="N272" s="1133"/>
      <c r="O272" s="1133"/>
      <c r="P272" s="1133"/>
      <c r="Q272" s="1133"/>
      <c r="R272" s="1133"/>
      <c r="S272" s="1133"/>
      <c r="T272" s="1133"/>
      <c r="U272" s="1133"/>
      <c r="V272" s="1135"/>
      <c r="W272" s="1135"/>
    </row>
    <row r="273">
      <c r="A273" s="1133"/>
      <c r="B273" s="1133"/>
      <c r="C273" s="1133"/>
      <c r="D273" s="1133"/>
      <c r="E273" s="1133"/>
      <c r="F273" s="1133"/>
      <c r="G273" s="1133"/>
      <c r="H273" s="1133"/>
      <c r="I273" s="1133"/>
      <c r="J273" s="1133"/>
      <c r="K273" s="1133"/>
      <c r="L273" s="1133"/>
      <c r="M273" s="1133"/>
      <c r="N273" s="1133"/>
      <c r="O273" s="1133"/>
      <c r="P273" s="1133"/>
      <c r="Q273" s="1133"/>
      <c r="R273" s="1133"/>
      <c r="S273" s="1133"/>
      <c r="T273" s="1133"/>
      <c r="U273" s="1133"/>
      <c r="V273" s="1135"/>
      <c r="W273" s="1135"/>
    </row>
    <row r="274">
      <c r="A274" s="1133"/>
      <c r="B274" s="1133"/>
      <c r="C274" s="1133"/>
      <c r="D274" s="1133"/>
      <c r="E274" s="1133"/>
      <c r="F274" s="1133"/>
      <c r="G274" s="1133"/>
      <c r="H274" s="1133"/>
      <c r="I274" s="1133"/>
      <c r="J274" s="1133"/>
      <c r="K274" s="1133"/>
      <c r="L274" s="1133"/>
      <c r="M274" s="1133"/>
      <c r="N274" s="1133"/>
      <c r="O274" s="1133"/>
      <c r="P274" s="1133"/>
      <c r="Q274" s="1133"/>
      <c r="R274" s="1133"/>
      <c r="S274" s="1133"/>
      <c r="T274" s="1133"/>
      <c r="U274" s="1133"/>
      <c r="V274" s="1135"/>
      <c r="W274" s="1135"/>
    </row>
    <row r="275">
      <c r="A275" s="1133"/>
      <c r="B275" s="1133"/>
      <c r="C275" s="1133"/>
      <c r="D275" s="1133"/>
      <c r="E275" s="1133"/>
      <c r="F275" s="1133"/>
      <c r="G275" s="1133"/>
      <c r="H275" s="1133"/>
      <c r="I275" s="1133"/>
      <c r="J275" s="1133"/>
      <c r="K275" s="1133"/>
      <c r="L275" s="1133"/>
      <c r="M275" s="1133"/>
      <c r="N275" s="1133"/>
      <c r="O275" s="1133"/>
      <c r="P275" s="1133"/>
      <c r="Q275" s="1133"/>
      <c r="R275" s="1133"/>
      <c r="S275" s="1133"/>
      <c r="T275" s="1133"/>
      <c r="U275" s="1133"/>
      <c r="V275" s="1135"/>
      <c r="W275" s="1135"/>
    </row>
    <row r="276">
      <c r="A276" s="1133"/>
      <c r="B276" s="1133"/>
      <c r="C276" s="1133"/>
      <c r="D276" s="1133"/>
      <c r="E276" s="1133"/>
      <c r="F276" s="1133"/>
      <c r="G276" s="1133"/>
      <c r="H276" s="1133"/>
      <c r="I276" s="1133"/>
      <c r="J276" s="1133"/>
      <c r="K276" s="1133"/>
      <c r="L276" s="1133"/>
      <c r="M276" s="1133"/>
      <c r="N276" s="1133"/>
      <c r="O276" s="1133"/>
      <c r="P276" s="1133"/>
      <c r="Q276" s="1133"/>
      <c r="R276" s="1133"/>
      <c r="S276" s="1133"/>
      <c r="T276" s="1133"/>
      <c r="U276" s="1133"/>
      <c r="V276" s="1135"/>
      <c r="W276" s="1135"/>
    </row>
    <row r="277">
      <c r="A277" s="1133"/>
      <c r="B277" s="1133"/>
      <c r="C277" s="1133"/>
      <c r="D277" s="1133"/>
      <c r="E277" s="1133"/>
      <c r="F277" s="1133"/>
      <c r="G277" s="1133"/>
      <c r="H277" s="1133"/>
      <c r="I277" s="1133"/>
      <c r="J277" s="1133"/>
      <c r="K277" s="1133"/>
      <c r="L277" s="1133"/>
      <c r="M277" s="1133"/>
      <c r="N277" s="1133"/>
      <c r="O277" s="1133"/>
      <c r="P277" s="1133"/>
      <c r="Q277" s="1133"/>
      <c r="R277" s="1133"/>
      <c r="S277" s="1133"/>
      <c r="T277" s="1133"/>
      <c r="U277" s="1133"/>
      <c r="V277" s="1135"/>
      <c r="W277" s="1135"/>
    </row>
    <row r="278">
      <c r="A278" s="1133"/>
      <c r="B278" s="1133"/>
      <c r="C278" s="1133"/>
      <c r="D278" s="1133"/>
      <c r="E278" s="1133"/>
      <c r="F278" s="1133"/>
      <c r="G278" s="1133"/>
      <c r="H278" s="1133"/>
      <c r="I278" s="1133"/>
      <c r="J278" s="1133"/>
      <c r="K278" s="1133"/>
      <c r="L278" s="1133"/>
      <c r="M278" s="1133"/>
      <c r="N278" s="1133"/>
      <c r="O278" s="1133"/>
      <c r="P278" s="1133"/>
      <c r="Q278" s="1133"/>
      <c r="R278" s="1133"/>
      <c r="S278" s="1133"/>
      <c r="T278" s="1133"/>
      <c r="U278" s="1133"/>
      <c r="V278" s="1135"/>
      <c r="W278" s="1135"/>
    </row>
    <row r="279">
      <c r="A279" s="1133"/>
      <c r="B279" s="1133"/>
      <c r="C279" s="1133"/>
      <c r="D279" s="1133"/>
      <c r="E279" s="1133"/>
      <c r="F279" s="1133"/>
      <c r="G279" s="1133"/>
      <c r="H279" s="1133"/>
      <c r="I279" s="1133"/>
      <c r="J279" s="1133"/>
      <c r="K279" s="1133"/>
      <c r="L279" s="1133"/>
      <c r="M279" s="1133"/>
      <c r="N279" s="1133"/>
      <c r="O279" s="1133"/>
      <c r="P279" s="1133"/>
      <c r="Q279" s="1133"/>
      <c r="R279" s="1133"/>
      <c r="S279" s="1133"/>
      <c r="T279" s="1133"/>
      <c r="U279" s="1133"/>
      <c r="V279" s="1135"/>
      <c r="W279" s="1135"/>
    </row>
    <row r="280">
      <c r="A280" s="1133"/>
      <c r="B280" s="1133"/>
      <c r="C280" s="1133"/>
      <c r="D280" s="1133"/>
      <c r="E280" s="1133"/>
      <c r="F280" s="1133"/>
      <c r="G280" s="1133"/>
      <c r="H280" s="1133"/>
      <c r="I280" s="1133"/>
      <c r="J280" s="1133"/>
      <c r="K280" s="1133"/>
      <c r="L280" s="1133"/>
      <c r="M280" s="1133"/>
      <c r="N280" s="1133"/>
      <c r="O280" s="1133"/>
      <c r="P280" s="1133"/>
      <c r="Q280" s="1133"/>
      <c r="R280" s="1133"/>
      <c r="S280" s="1133"/>
      <c r="T280" s="1133"/>
      <c r="U280" s="1133"/>
      <c r="V280" s="1135"/>
      <c r="W280" s="1135"/>
    </row>
    <row r="281">
      <c r="A281" s="1133"/>
      <c r="B281" s="1133"/>
      <c r="C281" s="1133"/>
      <c r="D281" s="1133"/>
      <c r="E281" s="1133"/>
      <c r="F281" s="1133"/>
      <c r="G281" s="1133"/>
      <c r="H281" s="1133"/>
      <c r="I281" s="1133"/>
      <c r="J281" s="1133"/>
      <c r="K281" s="1133"/>
      <c r="L281" s="1133"/>
      <c r="M281" s="1133"/>
      <c r="N281" s="1133"/>
      <c r="O281" s="1133"/>
      <c r="P281" s="1133"/>
      <c r="Q281" s="1133"/>
      <c r="R281" s="1133"/>
      <c r="S281" s="1133"/>
      <c r="T281" s="1133"/>
      <c r="U281" s="1133"/>
      <c r="V281" s="1135"/>
      <c r="W281" s="1135"/>
    </row>
    <row r="282">
      <c r="A282" s="1133"/>
      <c r="B282" s="1133"/>
      <c r="C282" s="1133"/>
      <c r="D282" s="1133"/>
      <c r="E282" s="1133"/>
      <c r="F282" s="1133"/>
      <c r="G282" s="1133"/>
      <c r="H282" s="1133"/>
      <c r="I282" s="1133"/>
      <c r="J282" s="1133"/>
      <c r="K282" s="1133"/>
      <c r="L282" s="1133"/>
      <c r="M282" s="1133"/>
      <c r="N282" s="1133"/>
      <c r="O282" s="1133"/>
      <c r="P282" s="1133"/>
      <c r="Q282" s="1133"/>
      <c r="R282" s="1133"/>
      <c r="S282" s="1133"/>
      <c r="T282" s="1133"/>
      <c r="U282" s="1133"/>
      <c r="V282" s="1135"/>
      <c r="W282" s="1135"/>
    </row>
    <row r="283">
      <c r="A283" s="1133"/>
      <c r="B283" s="1133"/>
      <c r="C283" s="1133"/>
      <c r="D283" s="1133"/>
      <c r="E283" s="1133"/>
      <c r="F283" s="1133"/>
      <c r="G283" s="1133"/>
      <c r="H283" s="1133"/>
      <c r="I283" s="1133"/>
      <c r="J283" s="1133"/>
      <c r="K283" s="1133"/>
      <c r="L283" s="1133"/>
      <c r="M283" s="1133"/>
      <c r="N283" s="1133"/>
      <c r="O283" s="1133"/>
      <c r="P283" s="1133"/>
      <c r="Q283" s="1133"/>
      <c r="R283" s="1133"/>
      <c r="S283" s="1133"/>
      <c r="T283" s="1133"/>
      <c r="U283" s="1133"/>
      <c r="V283" s="1135"/>
      <c r="W283" s="1135"/>
    </row>
    <row r="284">
      <c r="A284" s="1133"/>
      <c r="B284" s="1133"/>
      <c r="C284" s="1133"/>
      <c r="D284" s="1133"/>
      <c r="E284" s="1133"/>
      <c r="F284" s="1133"/>
      <c r="G284" s="1133"/>
      <c r="H284" s="1133"/>
      <c r="I284" s="1133"/>
      <c r="J284" s="1133"/>
      <c r="K284" s="1133"/>
      <c r="L284" s="1133"/>
      <c r="M284" s="1133"/>
      <c r="N284" s="1133"/>
      <c r="O284" s="1133"/>
      <c r="P284" s="1133"/>
      <c r="Q284" s="1133"/>
      <c r="R284" s="1133"/>
      <c r="S284" s="1133"/>
      <c r="T284" s="1133"/>
      <c r="U284" s="1133"/>
      <c r="V284" s="1135"/>
      <c r="W284" s="1135"/>
    </row>
    <row r="285">
      <c r="A285" s="1133"/>
      <c r="B285" s="1133"/>
      <c r="C285" s="1133"/>
      <c r="D285" s="1133"/>
      <c r="E285" s="1133"/>
      <c r="F285" s="1133"/>
      <c r="G285" s="1133"/>
      <c r="H285" s="1133"/>
      <c r="I285" s="1133"/>
      <c r="J285" s="1133"/>
      <c r="K285" s="1133"/>
      <c r="L285" s="1133"/>
      <c r="M285" s="1133"/>
      <c r="N285" s="1133"/>
      <c r="O285" s="1133"/>
      <c r="P285" s="1133"/>
      <c r="Q285" s="1133"/>
      <c r="R285" s="1133"/>
      <c r="S285" s="1133"/>
      <c r="T285" s="1133"/>
      <c r="U285" s="1133"/>
      <c r="V285" s="1135"/>
      <c r="W285" s="1135"/>
    </row>
    <row r="286">
      <c r="A286" s="1133"/>
      <c r="B286" s="1133"/>
      <c r="C286" s="1133"/>
      <c r="D286" s="1133"/>
      <c r="E286" s="1133"/>
      <c r="F286" s="1133"/>
      <c r="G286" s="1133"/>
      <c r="H286" s="1133"/>
      <c r="I286" s="1133"/>
      <c r="J286" s="1133"/>
      <c r="K286" s="1133"/>
      <c r="L286" s="1133"/>
      <c r="M286" s="1133"/>
      <c r="N286" s="1133"/>
      <c r="O286" s="1133"/>
      <c r="P286" s="1133"/>
      <c r="Q286" s="1133"/>
      <c r="R286" s="1133"/>
      <c r="S286" s="1133"/>
      <c r="T286" s="1133"/>
      <c r="U286" s="1133"/>
      <c r="V286" s="1135"/>
      <c r="W286" s="1135"/>
    </row>
    <row r="287">
      <c r="A287" s="1133"/>
      <c r="B287" s="1133"/>
      <c r="C287" s="1133"/>
      <c r="D287" s="1133"/>
      <c r="E287" s="1133"/>
      <c r="F287" s="1133"/>
      <c r="G287" s="1133"/>
      <c r="H287" s="1133"/>
      <c r="I287" s="1133"/>
      <c r="J287" s="1133"/>
      <c r="K287" s="1133"/>
      <c r="L287" s="1133"/>
      <c r="M287" s="1133"/>
      <c r="N287" s="1133"/>
      <c r="O287" s="1133"/>
      <c r="P287" s="1133"/>
      <c r="Q287" s="1133"/>
      <c r="R287" s="1133"/>
      <c r="S287" s="1133"/>
      <c r="T287" s="1133"/>
      <c r="U287" s="1133"/>
      <c r="V287" s="1135"/>
      <c r="W287" s="1135"/>
    </row>
    <row r="288">
      <c r="A288" s="1133"/>
      <c r="B288" s="1133"/>
      <c r="C288" s="1133"/>
      <c r="D288" s="1133"/>
      <c r="E288" s="1133"/>
      <c r="F288" s="1133"/>
      <c r="G288" s="1133"/>
      <c r="H288" s="1133"/>
      <c r="I288" s="1133"/>
      <c r="J288" s="1133"/>
      <c r="K288" s="1133"/>
      <c r="L288" s="1133"/>
      <c r="M288" s="1133"/>
      <c r="N288" s="1133"/>
      <c r="O288" s="1133"/>
      <c r="P288" s="1133"/>
      <c r="Q288" s="1133"/>
      <c r="R288" s="1133"/>
      <c r="S288" s="1133"/>
      <c r="T288" s="1133"/>
      <c r="U288" s="1133"/>
      <c r="V288" s="1135"/>
      <c r="W288" s="1135"/>
    </row>
    <row r="289">
      <c r="A289" s="1133"/>
      <c r="B289" s="1133"/>
      <c r="C289" s="1133"/>
      <c r="D289" s="1133"/>
      <c r="E289" s="1133"/>
      <c r="F289" s="1133"/>
      <c r="G289" s="1133"/>
      <c r="H289" s="1133"/>
      <c r="I289" s="1133"/>
      <c r="J289" s="1133"/>
      <c r="K289" s="1133"/>
      <c r="L289" s="1133"/>
      <c r="M289" s="1133"/>
      <c r="N289" s="1133"/>
      <c r="O289" s="1133"/>
      <c r="P289" s="1133"/>
      <c r="Q289" s="1133"/>
      <c r="R289" s="1133"/>
      <c r="S289" s="1133"/>
      <c r="T289" s="1133"/>
      <c r="U289" s="1133"/>
      <c r="V289" s="1135"/>
      <c r="W289" s="1135"/>
    </row>
    <row r="290">
      <c r="A290" s="1133"/>
      <c r="B290" s="1133"/>
      <c r="C290" s="1133"/>
      <c r="D290" s="1133"/>
      <c r="E290" s="1133"/>
      <c r="F290" s="1133"/>
      <c r="G290" s="1133"/>
      <c r="H290" s="1133"/>
      <c r="I290" s="1133"/>
      <c r="J290" s="1133"/>
      <c r="K290" s="1133"/>
      <c r="L290" s="1133"/>
      <c r="M290" s="1133"/>
      <c r="N290" s="1133"/>
      <c r="O290" s="1133"/>
      <c r="P290" s="1133"/>
      <c r="Q290" s="1133"/>
      <c r="R290" s="1133"/>
      <c r="S290" s="1133"/>
      <c r="T290" s="1133"/>
      <c r="U290" s="1133"/>
      <c r="V290" s="1135"/>
      <c r="W290" s="1135"/>
    </row>
    <row r="291">
      <c r="A291" s="1133"/>
      <c r="B291" s="1133"/>
      <c r="C291" s="1133"/>
      <c r="D291" s="1133"/>
      <c r="E291" s="1133"/>
      <c r="F291" s="1133"/>
      <c r="G291" s="1133"/>
      <c r="H291" s="1133"/>
      <c r="I291" s="1133"/>
      <c r="J291" s="1133"/>
      <c r="K291" s="1133"/>
      <c r="L291" s="1133"/>
      <c r="M291" s="1133"/>
      <c r="N291" s="1133"/>
      <c r="O291" s="1133"/>
      <c r="P291" s="1133"/>
      <c r="Q291" s="1133"/>
      <c r="R291" s="1133"/>
      <c r="S291" s="1133"/>
      <c r="T291" s="1133"/>
      <c r="U291" s="1133"/>
      <c r="V291" s="1135"/>
      <c r="W291" s="1135"/>
    </row>
    <row r="292">
      <c r="A292" s="1133"/>
      <c r="B292" s="1133"/>
      <c r="C292" s="1133"/>
      <c r="D292" s="1133"/>
      <c r="E292" s="1133"/>
      <c r="F292" s="1133"/>
      <c r="G292" s="1133"/>
      <c r="H292" s="1133"/>
      <c r="I292" s="1133"/>
      <c r="J292" s="1133"/>
      <c r="K292" s="1133"/>
      <c r="L292" s="1133"/>
      <c r="M292" s="1133"/>
      <c r="N292" s="1133"/>
      <c r="O292" s="1133"/>
      <c r="P292" s="1133"/>
      <c r="Q292" s="1133"/>
      <c r="R292" s="1133"/>
      <c r="S292" s="1133"/>
      <c r="T292" s="1133"/>
      <c r="U292" s="1133"/>
      <c r="V292" s="1135"/>
      <c r="W292" s="1135"/>
    </row>
    <row r="293">
      <c r="A293" s="1133"/>
      <c r="B293" s="1133"/>
      <c r="C293" s="1133"/>
      <c r="D293" s="1133"/>
      <c r="E293" s="1133"/>
      <c r="F293" s="1133"/>
      <c r="G293" s="1133"/>
      <c r="H293" s="1133"/>
      <c r="I293" s="1133"/>
      <c r="J293" s="1133"/>
      <c r="K293" s="1133"/>
      <c r="L293" s="1133"/>
      <c r="M293" s="1133"/>
      <c r="N293" s="1133"/>
      <c r="O293" s="1133"/>
      <c r="P293" s="1133"/>
      <c r="Q293" s="1133"/>
      <c r="R293" s="1133"/>
      <c r="S293" s="1133"/>
      <c r="T293" s="1133"/>
      <c r="U293" s="1133"/>
      <c r="V293" s="1135"/>
      <c r="W293" s="1135"/>
    </row>
    <row r="294">
      <c r="A294" s="1133"/>
      <c r="B294" s="1133"/>
      <c r="C294" s="1133"/>
      <c r="D294" s="1133"/>
      <c r="E294" s="1133"/>
      <c r="F294" s="1133"/>
      <c r="G294" s="1133"/>
      <c r="H294" s="1133"/>
      <c r="I294" s="1133"/>
      <c r="J294" s="1133"/>
      <c r="K294" s="1133"/>
      <c r="L294" s="1133"/>
      <c r="M294" s="1133"/>
      <c r="N294" s="1133"/>
      <c r="O294" s="1133"/>
      <c r="P294" s="1133"/>
      <c r="Q294" s="1133"/>
      <c r="R294" s="1133"/>
      <c r="S294" s="1133"/>
      <c r="T294" s="1133"/>
      <c r="U294" s="1133"/>
      <c r="V294" s="1135"/>
      <c r="W294" s="1135"/>
    </row>
    <row r="295">
      <c r="A295" s="1133"/>
      <c r="B295" s="1133"/>
      <c r="C295" s="1133"/>
      <c r="D295" s="1133"/>
      <c r="E295" s="1133"/>
      <c r="F295" s="1133"/>
      <c r="G295" s="1133"/>
      <c r="H295" s="1133"/>
      <c r="I295" s="1133"/>
      <c r="J295" s="1133"/>
      <c r="K295" s="1133"/>
      <c r="L295" s="1133"/>
      <c r="M295" s="1133"/>
      <c r="N295" s="1133"/>
      <c r="O295" s="1133"/>
      <c r="P295" s="1133"/>
      <c r="Q295" s="1133"/>
      <c r="R295" s="1133"/>
      <c r="S295" s="1133"/>
      <c r="T295" s="1133"/>
      <c r="U295" s="1133"/>
      <c r="V295" s="1135"/>
      <c r="W295" s="1135"/>
    </row>
    <row r="296">
      <c r="A296" s="1133"/>
      <c r="B296" s="1133"/>
      <c r="C296" s="1133"/>
      <c r="D296" s="1133"/>
      <c r="E296" s="1133"/>
      <c r="F296" s="1133"/>
      <c r="G296" s="1133"/>
      <c r="H296" s="1133"/>
      <c r="I296" s="1133"/>
      <c r="J296" s="1133"/>
      <c r="K296" s="1133"/>
      <c r="L296" s="1133"/>
      <c r="M296" s="1133"/>
      <c r="N296" s="1133"/>
      <c r="O296" s="1133"/>
      <c r="P296" s="1133"/>
      <c r="Q296" s="1133"/>
      <c r="R296" s="1133"/>
      <c r="S296" s="1133"/>
      <c r="T296" s="1133"/>
      <c r="U296" s="1133"/>
      <c r="V296" s="1135"/>
      <c r="W296" s="1135"/>
    </row>
    <row r="297">
      <c r="A297" s="1133"/>
      <c r="B297" s="1133"/>
      <c r="C297" s="1133"/>
      <c r="D297" s="1133"/>
      <c r="E297" s="1133"/>
      <c r="F297" s="1133"/>
      <c r="G297" s="1133"/>
      <c r="H297" s="1133"/>
      <c r="I297" s="1133"/>
      <c r="J297" s="1133"/>
      <c r="K297" s="1133"/>
      <c r="L297" s="1133"/>
      <c r="M297" s="1133"/>
      <c r="N297" s="1133"/>
      <c r="O297" s="1133"/>
      <c r="P297" s="1133"/>
      <c r="Q297" s="1133"/>
      <c r="R297" s="1133"/>
      <c r="S297" s="1133"/>
      <c r="T297" s="1133"/>
      <c r="U297" s="1133"/>
      <c r="V297" s="1135"/>
      <c r="W297" s="1135"/>
    </row>
    <row r="298">
      <c r="A298" s="1133"/>
      <c r="B298" s="1133"/>
      <c r="C298" s="1133"/>
      <c r="D298" s="1133"/>
      <c r="E298" s="1133"/>
      <c r="F298" s="1133"/>
      <c r="G298" s="1133"/>
      <c r="H298" s="1133"/>
      <c r="I298" s="1133"/>
      <c r="J298" s="1133"/>
      <c r="K298" s="1133"/>
      <c r="L298" s="1133"/>
      <c r="M298" s="1133"/>
      <c r="N298" s="1133"/>
      <c r="O298" s="1133"/>
      <c r="P298" s="1133"/>
      <c r="Q298" s="1133"/>
      <c r="R298" s="1133"/>
      <c r="S298" s="1133"/>
      <c r="T298" s="1133"/>
      <c r="U298" s="1133"/>
      <c r="V298" s="1135"/>
      <c r="W298" s="1135"/>
    </row>
    <row r="299">
      <c r="A299" s="1133"/>
      <c r="B299" s="1133"/>
      <c r="C299" s="1133"/>
      <c r="D299" s="1133"/>
      <c r="E299" s="1133"/>
      <c r="F299" s="1133"/>
      <c r="G299" s="1133"/>
      <c r="H299" s="1133"/>
      <c r="I299" s="1133"/>
      <c r="J299" s="1133"/>
      <c r="K299" s="1133"/>
      <c r="L299" s="1133"/>
      <c r="M299" s="1133"/>
      <c r="N299" s="1133"/>
      <c r="O299" s="1133"/>
      <c r="P299" s="1133"/>
      <c r="Q299" s="1133"/>
      <c r="R299" s="1133"/>
      <c r="S299" s="1133"/>
      <c r="T299" s="1133"/>
      <c r="U299" s="1133"/>
      <c r="V299" s="1135"/>
      <c r="W299" s="1135"/>
    </row>
    <row r="300">
      <c r="A300" s="1133"/>
      <c r="B300" s="1133"/>
      <c r="C300" s="1133"/>
      <c r="D300" s="1133"/>
      <c r="E300" s="1133"/>
      <c r="F300" s="1133"/>
      <c r="G300" s="1133"/>
      <c r="H300" s="1133"/>
      <c r="I300" s="1133"/>
      <c r="J300" s="1133"/>
      <c r="K300" s="1133"/>
      <c r="L300" s="1133"/>
      <c r="M300" s="1133"/>
      <c r="N300" s="1133"/>
      <c r="O300" s="1133"/>
      <c r="P300" s="1133"/>
      <c r="Q300" s="1133"/>
      <c r="R300" s="1133"/>
      <c r="S300" s="1133"/>
      <c r="T300" s="1133"/>
      <c r="U300" s="1133"/>
      <c r="V300" s="1135"/>
      <c r="W300" s="1135"/>
    </row>
    <row r="301">
      <c r="A301" s="1133"/>
      <c r="B301" s="1133"/>
      <c r="C301" s="1133"/>
      <c r="D301" s="1133"/>
      <c r="E301" s="1133"/>
      <c r="F301" s="1133"/>
      <c r="G301" s="1133"/>
      <c r="H301" s="1133"/>
      <c r="I301" s="1133"/>
      <c r="J301" s="1133"/>
      <c r="K301" s="1133"/>
      <c r="L301" s="1133"/>
      <c r="M301" s="1133"/>
      <c r="N301" s="1133"/>
      <c r="O301" s="1133"/>
      <c r="P301" s="1133"/>
      <c r="Q301" s="1133"/>
      <c r="R301" s="1133"/>
      <c r="S301" s="1133"/>
      <c r="T301" s="1133"/>
      <c r="U301" s="1133"/>
      <c r="V301" s="1135"/>
      <c r="W301" s="1135"/>
    </row>
    <row r="302">
      <c r="A302" s="1133"/>
      <c r="B302" s="1133"/>
      <c r="C302" s="1133"/>
      <c r="D302" s="1133"/>
      <c r="E302" s="1133"/>
      <c r="F302" s="1133"/>
      <c r="G302" s="1133"/>
      <c r="H302" s="1133"/>
      <c r="I302" s="1133"/>
      <c r="J302" s="1133"/>
      <c r="K302" s="1133"/>
      <c r="L302" s="1133"/>
      <c r="M302" s="1133"/>
      <c r="N302" s="1133"/>
      <c r="O302" s="1133"/>
      <c r="P302" s="1133"/>
      <c r="Q302" s="1133"/>
      <c r="R302" s="1133"/>
      <c r="S302" s="1133"/>
      <c r="T302" s="1133"/>
      <c r="U302" s="1133"/>
      <c r="V302" s="1135"/>
      <c r="W302" s="1135"/>
    </row>
    <row r="303">
      <c r="A303" s="1133"/>
      <c r="B303" s="1133"/>
      <c r="C303" s="1133"/>
      <c r="D303" s="1133"/>
      <c r="E303" s="1133"/>
      <c r="F303" s="1133"/>
      <c r="G303" s="1133"/>
      <c r="H303" s="1133"/>
      <c r="I303" s="1133"/>
      <c r="J303" s="1133"/>
      <c r="K303" s="1133"/>
      <c r="L303" s="1133"/>
      <c r="M303" s="1133"/>
      <c r="N303" s="1133"/>
      <c r="O303" s="1133"/>
      <c r="P303" s="1133"/>
      <c r="Q303" s="1133"/>
      <c r="R303" s="1133"/>
      <c r="S303" s="1133"/>
      <c r="T303" s="1133"/>
      <c r="U303" s="1133"/>
      <c r="V303" s="1135"/>
      <c r="W303" s="1135"/>
    </row>
    <row r="304">
      <c r="A304" s="1133"/>
      <c r="B304" s="1133"/>
      <c r="C304" s="1133"/>
      <c r="D304" s="1133"/>
      <c r="E304" s="1133"/>
      <c r="F304" s="1133"/>
      <c r="G304" s="1133"/>
      <c r="H304" s="1133"/>
      <c r="I304" s="1133"/>
      <c r="J304" s="1133"/>
      <c r="K304" s="1133"/>
      <c r="L304" s="1133"/>
      <c r="M304" s="1133"/>
      <c r="N304" s="1133"/>
      <c r="O304" s="1133"/>
      <c r="P304" s="1133"/>
      <c r="Q304" s="1133"/>
      <c r="R304" s="1133"/>
      <c r="S304" s="1133"/>
      <c r="T304" s="1133"/>
      <c r="U304" s="1133"/>
      <c r="V304" s="1135"/>
      <c r="W304" s="1135"/>
    </row>
    <row r="305">
      <c r="A305" s="1133"/>
      <c r="B305" s="1133"/>
      <c r="C305" s="1133"/>
      <c r="D305" s="1133"/>
      <c r="E305" s="1133"/>
      <c r="F305" s="1133"/>
      <c r="G305" s="1133"/>
      <c r="H305" s="1133"/>
      <c r="I305" s="1133"/>
      <c r="J305" s="1133"/>
      <c r="K305" s="1133"/>
      <c r="L305" s="1133"/>
      <c r="M305" s="1133"/>
      <c r="N305" s="1133"/>
      <c r="O305" s="1133"/>
      <c r="P305" s="1133"/>
      <c r="Q305" s="1133"/>
      <c r="R305" s="1133"/>
      <c r="S305" s="1133"/>
      <c r="T305" s="1133"/>
      <c r="U305" s="1133"/>
      <c r="V305" s="1135"/>
      <c r="W305" s="1135"/>
    </row>
    <row r="306">
      <c r="A306" s="1133"/>
      <c r="B306" s="1133"/>
      <c r="C306" s="1133"/>
      <c r="D306" s="1133"/>
      <c r="E306" s="1133"/>
      <c r="F306" s="1133"/>
      <c r="G306" s="1133"/>
      <c r="H306" s="1133"/>
      <c r="I306" s="1133"/>
      <c r="J306" s="1133"/>
      <c r="K306" s="1133"/>
      <c r="L306" s="1133"/>
      <c r="M306" s="1133"/>
      <c r="N306" s="1133"/>
      <c r="O306" s="1133"/>
      <c r="P306" s="1133"/>
      <c r="Q306" s="1133"/>
      <c r="R306" s="1133"/>
      <c r="S306" s="1133"/>
      <c r="T306" s="1133"/>
      <c r="U306" s="1133"/>
      <c r="V306" s="1135"/>
      <c r="W306" s="1135"/>
    </row>
    <row r="307">
      <c r="A307" s="1133"/>
      <c r="B307" s="1133"/>
      <c r="C307" s="1133"/>
      <c r="D307" s="1133"/>
      <c r="E307" s="1133"/>
      <c r="F307" s="1133"/>
      <c r="G307" s="1133"/>
      <c r="H307" s="1133"/>
      <c r="I307" s="1133"/>
      <c r="J307" s="1133"/>
      <c r="K307" s="1133"/>
      <c r="L307" s="1133"/>
      <c r="M307" s="1133"/>
      <c r="N307" s="1133"/>
      <c r="O307" s="1133"/>
      <c r="P307" s="1133"/>
      <c r="Q307" s="1133"/>
      <c r="R307" s="1133"/>
      <c r="S307" s="1133"/>
      <c r="T307" s="1133"/>
      <c r="U307" s="1133"/>
      <c r="V307" s="1135"/>
      <c r="W307" s="1135"/>
    </row>
    <row r="308">
      <c r="A308" s="1133"/>
      <c r="B308" s="1133"/>
      <c r="C308" s="1133"/>
      <c r="D308" s="1133"/>
      <c r="E308" s="1133"/>
      <c r="F308" s="1133"/>
      <c r="G308" s="1133"/>
      <c r="H308" s="1133"/>
      <c r="I308" s="1133"/>
      <c r="J308" s="1133"/>
      <c r="K308" s="1133"/>
      <c r="L308" s="1133"/>
      <c r="M308" s="1133"/>
      <c r="N308" s="1133"/>
      <c r="O308" s="1133"/>
      <c r="P308" s="1133"/>
      <c r="Q308" s="1133"/>
      <c r="R308" s="1133"/>
      <c r="S308" s="1133"/>
      <c r="T308" s="1133"/>
      <c r="U308" s="1133"/>
      <c r="V308" s="1135"/>
      <c r="W308" s="1135"/>
    </row>
    <row r="309">
      <c r="A309" s="1133"/>
      <c r="B309" s="1133"/>
      <c r="C309" s="1133"/>
      <c r="D309" s="1133"/>
      <c r="E309" s="1133"/>
      <c r="F309" s="1133"/>
      <c r="G309" s="1133"/>
      <c r="H309" s="1133"/>
      <c r="I309" s="1133"/>
      <c r="J309" s="1133"/>
      <c r="K309" s="1133"/>
      <c r="L309" s="1133"/>
      <c r="M309" s="1133"/>
      <c r="N309" s="1133"/>
      <c r="O309" s="1133"/>
      <c r="P309" s="1133"/>
      <c r="Q309" s="1133"/>
      <c r="R309" s="1133"/>
      <c r="S309" s="1133"/>
      <c r="T309" s="1133"/>
      <c r="U309" s="1133"/>
      <c r="V309" s="1135"/>
      <c r="W309" s="1135"/>
    </row>
    <row r="310">
      <c r="A310" s="1133"/>
      <c r="B310" s="1133"/>
      <c r="C310" s="1133"/>
      <c r="D310" s="1133"/>
      <c r="E310" s="1133"/>
      <c r="F310" s="1133"/>
      <c r="G310" s="1133"/>
      <c r="H310" s="1133"/>
      <c r="I310" s="1133"/>
      <c r="J310" s="1133"/>
      <c r="K310" s="1133"/>
      <c r="L310" s="1133"/>
      <c r="M310" s="1133"/>
      <c r="N310" s="1133"/>
      <c r="O310" s="1133"/>
      <c r="P310" s="1133"/>
      <c r="Q310" s="1133"/>
      <c r="R310" s="1133"/>
      <c r="S310" s="1133"/>
      <c r="T310" s="1133"/>
      <c r="U310" s="1133"/>
      <c r="V310" s="1135"/>
      <c r="W310" s="1135"/>
    </row>
    <row r="311">
      <c r="A311" s="1133"/>
      <c r="B311" s="1133"/>
      <c r="C311" s="1133"/>
      <c r="D311" s="1133"/>
      <c r="E311" s="1133"/>
      <c r="F311" s="1133"/>
      <c r="G311" s="1133"/>
      <c r="H311" s="1133"/>
      <c r="I311" s="1133"/>
      <c r="J311" s="1133"/>
      <c r="K311" s="1133"/>
      <c r="L311" s="1133"/>
      <c r="M311" s="1133"/>
      <c r="N311" s="1133"/>
      <c r="O311" s="1133"/>
      <c r="P311" s="1133"/>
      <c r="Q311" s="1133"/>
      <c r="R311" s="1133"/>
      <c r="S311" s="1133"/>
      <c r="T311" s="1133"/>
      <c r="U311" s="1133"/>
      <c r="V311" s="1135"/>
      <c r="W311" s="1135"/>
    </row>
    <row r="312">
      <c r="A312" s="1133"/>
      <c r="B312" s="1133"/>
      <c r="C312" s="1133"/>
      <c r="D312" s="1133"/>
      <c r="E312" s="1133"/>
      <c r="F312" s="1133"/>
      <c r="G312" s="1133"/>
      <c r="H312" s="1133"/>
      <c r="I312" s="1133"/>
      <c r="J312" s="1133"/>
      <c r="K312" s="1133"/>
      <c r="L312" s="1133"/>
      <c r="M312" s="1133"/>
      <c r="N312" s="1133"/>
      <c r="O312" s="1133"/>
      <c r="P312" s="1133"/>
      <c r="Q312" s="1133"/>
      <c r="R312" s="1133"/>
      <c r="S312" s="1133"/>
      <c r="T312" s="1133"/>
      <c r="U312" s="1133"/>
      <c r="V312" s="1135"/>
      <c r="W312" s="1135"/>
    </row>
    <row r="313">
      <c r="A313" s="1133"/>
      <c r="B313" s="1133"/>
      <c r="C313" s="1133"/>
      <c r="D313" s="1133"/>
      <c r="E313" s="1133"/>
      <c r="F313" s="1133"/>
      <c r="G313" s="1133"/>
      <c r="H313" s="1133"/>
      <c r="I313" s="1133"/>
      <c r="J313" s="1133"/>
      <c r="K313" s="1133"/>
      <c r="L313" s="1133"/>
      <c r="M313" s="1133"/>
      <c r="N313" s="1133"/>
      <c r="O313" s="1133"/>
      <c r="P313" s="1133"/>
      <c r="Q313" s="1133"/>
      <c r="R313" s="1133"/>
      <c r="S313" s="1133"/>
      <c r="T313" s="1133"/>
      <c r="U313" s="1133"/>
      <c r="V313" s="1135"/>
      <c r="W313" s="1135"/>
    </row>
    <row r="314">
      <c r="A314" s="1133"/>
      <c r="B314" s="1133"/>
      <c r="C314" s="1133"/>
      <c r="D314" s="1133"/>
      <c r="E314" s="1133"/>
      <c r="F314" s="1133"/>
      <c r="G314" s="1133"/>
      <c r="H314" s="1133"/>
      <c r="I314" s="1133"/>
      <c r="J314" s="1133"/>
      <c r="K314" s="1133"/>
      <c r="L314" s="1133"/>
      <c r="M314" s="1133"/>
      <c r="N314" s="1133"/>
      <c r="O314" s="1133"/>
      <c r="P314" s="1133"/>
      <c r="Q314" s="1133"/>
      <c r="R314" s="1133"/>
      <c r="S314" s="1133"/>
      <c r="T314" s="1133"/>
      <c r="U314" s="1133"/>
      <c r="V314" s="1135"/>
      <c r="W314" s="1135"/>
    </row>
    <row r="315">
      <c r="A315" s="1133"/>
      <c r="B315" s="1133"/>
      <c r="C315" s="1133"/>
      <c r="D315" s="1133"/>
      <c r="E315" s="1133"/>
      <c r="F315" s="1133"/>
      <c r="G315" s="1133"/>
      <c r="H315" s="1133"/>
      <c r="I315" s="1133"/>
      <c r="J315" s="1133"/>
      <c r="K315" s="1133"/>
      <c r="L315" s="1133"/>
      <c r="M315" s="1133"/>
      <c r="N315" s="1133"/>
      <c r="O315" s="1133"/>
      <c r="P315" s="1133"/>
      <c r="Q315" s="1133"/>
      <c r="R315" s="1133"/>
      <c r="S315" s="1133"/>
      <c r="T315" s="1133"/>
      <c r="U315" s="1133"/>
      <c r="V315" s="1135"/>
      <c r="W315" s="1135"/>
    </row>
    <row r="316">
      <c r="A316" s="1133"/>
      <c r="B316" s="1133"/>
      <c r="C316" s="1133"/>
      <c r="D316" s="1133"/>
      <c r="E316" s="1133"/>
      <c r="F316" s="1133"/>
      <c r="G316" s="1133"/>
      <c r="H316" s="1133"/>
      <c r="I316" s="1133"/>
      <c r="J316" s="1133"/>
      <c r="K316" s="1133"/>
      <c r="L316" s="1133"/>
      <c r="M316" s="1133"/>
      <c r="N316" s="1133"/>
      <c r="O316" s="1133"/>
      <c r="P316" s="1133"/>
      <c r="Q316" s="1133"/>
      <c r="R316" s="1133"/>
      <c r="S316" s="1133"/>
      <c r="T316" s="1133"/>
      <c r="U316" s="1133"/>
      <c r="V316" s="1135"/>
      <c r="W316" s="1135"/>
    </row>
    <row r="317">
      <c r="A317" s="1133"/>
      <c r="B317" s="1133"/>
      <c r="C317" s="1133"/>
      <c r="D317" s="1133"/>
      <c r="E317" s="1133"/>
      <c r="F317" s="1133"/>
      <c r="G317" s="1133"/>
      <c r="H317" s="1133"/>
      <c r="I317" s="1133"/>
      <c r="J317" s="1133"/>
      <c r="K317" s="1133"/>
      <c r="L317" s="1133"/>
      <c r="M317" s="1133"/>
      <c r="N317" s="1133"/>
      <c r="O317" s="1133"/>
      <c r="P317" s="1133"/>
      <c r="Q317" s="1133"/>
      <c r="R317" s="1133"/>
      <c r="S317" s="1133"/>
      <c r="T317" s="1133"/>
      <c r="U317" s="1133"/>
      <c r="V317" s="1135"/>
      <c r="W317" s="1135"/>
    </row>
    <row r="318">
      <c r="A318" s="1133"/>
      <c r="B318" s="1133"/>
      <c r="C318" s="1133"/>
      <c r="D318" s="1133"/>
      <c r="E318" s="1133"/>
      <c r="F318" s="1133"/>
      <c r="G318" s="1133"/>
      <c r="H318" s="1133"/>
      <c r="I318" s="1133"/>
      <c r="J318" s="1133"/>
      <c r="K318" s="1133"/>
      <c r="L318" s="1133"/>
      <c r="M318" s="1133"/>
      <c r="N318" s="1133"/>
      <c r="O318" s="1133"/>
      <c r="P318" s="1133"/>
      <c r="Q318" s="1133"/>
      <c r="R318" s="1133"/>
      <c r="S318" s="1133"/>
      <c r="T318" s="1133"/>
      <c r="U318" s="1133"/>
      <c r="V318" s="1135"/>
      <c r="W318" s="1135"/>
    </row>
    <row r="319">
      <c r="A319" s="1133"/>
      <c r="B319" s="1133"/>
      <c r="C319" s="1133"/>
      <c r="D319" s="1133"/>
      <c r="E319" s="1133"/>
      <c r="F319" s="1133"/>
      <c r="G319" s="1133"/>
      <c r="H319" s="1133"/>
      <c r="I319" s="1133"/>
      <c r="J319" s="1133"/>
      <c r="K319" s="1133"/>
      <c r="L319" s="1133"/>
      <c r="M319" s="1133"/>
      <c r="N319" s="1133"/>
      <c r="O319" s="1133"/>
      <c r="P319" s="1133"/>
      <c r="Q319" s="1133"/>
      <c r="R319" s="1133"/>
      <c r="S319" s="1133"/>
      <c r="T319" s="1133"/>
      <c r="U319" s="1133"/>
      <c r="V319" s="1135"/>
      <c r="W319" s="1135"/>
    </row>
    <row r="320">
      <c r="A320" s="1133"/>
      <c r="B320" s="1133"/>
      <c r="C320" s="1133"/>
      <c r="D320" s="1133"/>
      <c r="E320" s="1133"/>
      <c r="F320" s="1133"/>
      <c r="G320" s="1133"/>
      <c r="H320" s="1133"/>
      <c r="I320" s="1133"/>
      <c r="J320" s="1133"/>
      <c r="K320" s="1133"/>
      <c r="L320" s="1133"/>
      <c r="M320" s="1133"/>
      <c r="N320" s="1133"/>
      <c r="O320" s="1133"/>
      <c r="P320" s="1133"/>
      <c r="Q320" s="1133"/>
      <c r="R320" s="1133"/>
      <c r="S320" s="1133"/>
      <c r="T320" s="1133"/>
      <c r="U320" s="1133"/>
      <c r="V320" s="1135"/>
      <c r="W320" s="1135"/>
    </row>
    <row r="321">
      <c r="A321" s="1133"/>
      <c r="B321" s="1133"/>
      <c r="C321" s="1133"/>
      <c r="D321" s="1133"/>
      <c r="E321" s="1133"/>
      <c r="F321" s="1133"/>
      <c r="G321" s="1133"/>
      <c r="H321" s="1133"/>
      <c r="I321" s="1133"/>
      <c r="J321" s="1133"/>
      <c r="K321" s="1133"/>
      <c r="L321" s="1133"/>
      <c r="M321" s="1133"/>
      <c r="N321" s="1133"/>
      <c r="O321" s="1133"/>
      <c r="P321" s="1133"/>
      <c r="Q321" s="1133"/>
      <c r="R321" s="1133"/>
      <c r="S321" s="1133"/>
      <c r="T321" s="1133"/>
      <c r="U321" s="1133"/>
      <c r="V321" s="1135"/>
      <c r="W321" s="1135"/>
    </row>
    <row r="322">
      <c r="A322" s="1133"/>
      <c r="B322" s="1133"/>
      <c r="C322" s="1133"/>
      <c r="D322" s="1133"/>
      <c r="E322" s="1133"/>
      <c r="F322" s="1133"/>
      <c r="G322" s="1133"/>
      <c r="H322" s="1133"/>
      <c r="I322" s="1133"/>
      <c r="J322" s="1133"/>
      <c r="K322" s="1133"/>
      <c r="L322" s="1133"/>
      <c r="M322" s="1133"/>
      <c r="N322" s="1133"/>
      <c r="O322" s="1133"/>
      <c r="P322" s="1133"/>
      <c r="Q322" s="1133"/>
      <c r="R322" s="1133"/>
      <c r="S322" s="1133"/>
      <c r="T322" s="1133"/>
      <c r="U322" s="1133"/>
      <c r="V322" s="1135"/>
      <c r="W322" s="1135"/>
    </row>
    <row r="323">
      <c r="A323" s="1133"/>
      <c r="B323" s="1133"/>
      <c r="C323" s="1133"/>
      <c r="D323" s="1133"/>
      <c r="E323" s="1133"/>
      <c r="F323" s="1133"/>
      <c r="G323" s="1133"/>
      <c r="H323" s="1133"/>
      <c r="I323" s="1133"/>
      <c r="J323" s="1133"/>
      <c r="K323" s="1133"/>
      <c r="L323" s="1133"/>
      <c r="M323" s="1133"/>
      <c r="N323" s="1133"/>
      <c r="O323" s="1133"/>
      <c r="P323" s="1133"/>
      <c r="Q323" s="1133"/>
      <c r="R323" s="1133"/>
      <c r="S323" s="1133"/>
      <c r="T323" s="1133"/>
      <c r="U323" s="1133"/>
      <c r="V323" s="1135"/>
      <c r="W323" s="1135"/>
    </row>
    <row r="324">
      <c r="A324" s="1133"/>
      <c r="B324" s="1133"/>
      <c r="C324" s="1133"/>
      <c r="D324" s="1133"/>
      <c r="E324" s="1133"/>
      <c r="F324" s="1133"/>
      <c r="G324" s="1133"/>
      <c r="H324" s="1133"/>
      <c r="I324" s="1133"/>
      <c r="J324" s="1133"/>
      <c r="K324" s="1133"/>
      <c r="L324" s="1133"/>
      <c r="M324" s="1133"/>
      <c r="N324" s="1133"/>
      <c r="O324" s="1133"/>
      <c r="P324" s="1133"/>
      <c r="Q324" s="1133"/>
      <c r="R324" s="1133"/>
      <c r="S324" s="1133"/>
      <c r="T324" s="1133"/>
      <c r="U324" s="1133"/>
      <c r="V324" s="1135"/>
      <c r="W324" s="1135"/>
    </row>
    <row r="325">
      <c r="A325" s="1133"/>
      <c r="B325" s="1133"/>
      <c r="C325" s="1133"/>
      <c r="D325" s="1133"/>
      <c r="E325" s="1133"/>
      <c r="F325" s="1133"/>
      <c r="G325" s="1133"/>
      <c r="H325" s="1133"/>
      <c r="I325" s="1133"/>
      <c r="J325" s="1133"/>
      <c r="K325" s="1133"/>
      <c r="L325" s="1133"/>
      <c r="M325" s="1133"/>
      <c r="N325" s="1133"/>
      <c r="O325" s="1133"/>
      <c r="P325" s="1133"/>
      <c r="Q325" s="1133"/>
      <c r="R325" s="1133"/>
      <c r="S325" s="1133"/>
      <c r="T325" s="1133"/>
      <c r="U325" s="1133"/>
      <c r="V325" s="1135"/>
      <c r="W325" s="1135"/>
    </row>
    <row r="326">
      <c r="A326" s="1133"/>
      <c r="B326" s="1133"/>
      <c r="C326" s="1133"/>
      <c r="D326" s="1133"/>
      <c r="E326" s="1133"/>
      <c r="F326" s="1133"/>
      <c r="G326" s="1133"/>
      <c r="H326" s="1133"/>
      <c r="I326" s="1133"/>
      <c r="J326" s="1133"/>
      <c r="K326" s="1133"/>
      <c r="L326" s="1133"/>
      <c r="M326" s="1133"/>
      <c r="N326" s="1133"/>
      <c r="O326" s="1133"/>
      <c r="P326" s="1133"/>
      <c r="Q326" s="1133"/>
      <c r="R326" s="1133"/>
      <c r="S326" s="1133"/>
      <c r="T326" s="1133"/>
      <c r="U326" s="1133"/>
      <c r="V326" s="1135"/>
      <c r="W326" s="1135"/>
    </row>
    <row r="327">
      <c r="A327" s="1133"/>
      <c r="B327" s="1133"/>
      <c r="C327" s="1133"/>
      <c r="D327" s="1133"/>
      <c r="E327" s="1133"/>
      <c r="F327" s="1133"/>
      <c r="G327" s="1133"/>
      <c r="H327" s="1133"/>
      <c r="I327" s="1133"/>
      <c r="J327" s="1133"/>
      <c r="K327" s="1133"/>
      <c r="L327" s="1133"/>
      <c r="M327" s="1133"/>
      <c r="N327" s="1133"/>
      <c r="O327" s="1133"/>
      <c r="P327" s="1133"/>
      <c r="Q327" s="1133"/>
      <c r="R327" s="1133"/>
      <c r="S327" s="1133"/>
      <c r="T327" s="1133"/>
      <c r="U327" s="1133"/>
      <c r="V327" s="1135"/>
      <c r="W327" s="1135"/>
    </row>
    <row r="328">
      <c r="A328" s="1133"/>
      <c r="B328" s="1133"/>
      <c r="C328" s="1133"/>
      <c r="D328" s="1133"/>
      <c r="E328" s="1133"/>
      <c r="F328" s="1133"/>
      <c r="G328" s="1133"/>
      <c r="H328" s="1133"/>
      <c r="I328" s="1133"/>
      <c r="J328" s="1133"/>
      <c r="K328" s="1133"/>
      <c r="L328" s="1133"/>
      <c r="M328" s="1133"/>
      <c r="N328" s="1133"/>
      <c r="O328" s="1133"/>
      <c r="P328" s="1133"/>
      <c r="Q328" s="1133"/>
      <c r="R328" s="1133"/>
      <c r="S328" s="1133"/>
      <c r="T328" s="1133"/>
      <c r="U328" s="1133"/>
      <c r="V328" s="1135"/>
      <c r="W328" s="1135"/>
    </row>
    <row r="329">
      <c r="A329" s="1133"/>
      <c r="B329" s="1133"/>
      <c r="C329" s="1133"/>
      <c r="D329" s="1133"/>
      <c r="E329" s="1133"/>
      <c r="F329" s="1133"/>
      <c r="G329" s="1133"/>
      <c r="H329" s="1133"/>
      <c r="I329" s="1133"/>
      <c r="J329" s="1133"/>
      <c r="K329" s="1133"/>
      <c r="L329" s="1133"/>
      <c r="M329" s="1133"/>
      <c r="N329" s="1133"/>
      <c r="O329" s="1133"/>
      <c r="P329" s="1133"/>
      <c r="Q329" s="1133"/>
      <c r="R329" s="1133"/>
      <c r="S329" s="1133"/>
      <c r="T329" s="1133"/>
      <c r="U329" s="1133"/>
      <c r="V329" s="1135"/>
      <c r="W329" s="1135"/>
    </row>
    <row r="330">
      <c r="A330" s="1133"/>
      <c r="B330" s="1133"/>
      <c r="C330" s="1133"/>
      <c r="D330" s="1133"/>
      <c r="E330" s="1133"/>
      <c r="F330" s="1133"/>
      <c r="G330" s="1133"/>
      <c r="H330" s="1133"/>
      <c r="I330" s="1133"/>
      <c r="J330" s="1133"/>
      <c r="K330" s="1133"/>
      <c r="L330" s="1133"/>
      <c r="M330" s="1133"/>
      <c r="N330" s="1133"/>
      <c r="O330" s="1133"/>
      <c r="P330" s="1133"/>
      <c r="Q330" s="1133"/>
      <c r="R330" s="1133"/>
      <c r="S330" s="1133"/>
      <c r="T330" s="1133"/>
      <c r="U330" s="1133"/>
      <c r="V330" s="1135"/>
      <c r="W330" s="1135"/>
    </row>
    <row r="331">
      <c r="A331" s="1133"/>
      <c r="B331" s="1133"/>
      <c r="C331" s="1133"/>
      <c r="D331" s="1133"/>
      <c r="E331" s="1133"/>
      <c r="F331" s="1133"/>
      <c r="G331" s="1133"/>
      <c r="H331" s="1133"/>
      <c r="I331" s="1133"/>
      <c r="J331" s="1133"/>
      <c r="K331" s="1133"/>
      <c r="L331" s="1133"/>
      <c r="M331" s="1133"/>
      <c r="N331" s="1133"/>
      <c r="O331" s="1133"/>
      <c r="P331" s="1133"/>
      <c r="Q331" s="1133"/>
      <c r="R331" s="1133"/>
      <c r="S331" s="1133"/>
      <c r="T331" s="1133"/>
      <c r="U331" s="1133"/>
      <c r="V331" s="1135"/>
      <c r="W331" s="1135"/>
    </row>
    <row r="332">
      <c r="A332" s="1133"/>
      <c r="B332" s="1133"/>
      <c r="C332" s="1133"/>
      <c r="D332" s="1133"/>
      <c r="E332" s="1133"/>
      <c r="F332" s="1133"/>
      <c r="G332" s="1133"/>
      <c r="H332" s="1133"/>
      <c r="I332" s="1133"/>
      <c r="J332" s="1133"/>
      <c r="K332" s="1133"/>
      <c r="L332" s="1133"/>
      <c r="M332" s="1133"/>
      <c r="N332" s="1133"/>
      <c r="O332" s="1133"/>
      <c r="P332" s="1133"/>
      <c r="Q332" s="1133"/>
      <c r="R332" s="1133"/>
      <c r="S332" s="1133"/>
      <c r="T332" s="1133"/>
      <c r="U332" s="1133"/>
      <c r="V332" s="1135"/>
      <c r="W332" s="1135"/>
    </row>
    <row r="333">
      <c r="A333" s="1133"/>
      <c r="B333" s="1133"/>
      <c r="C333" s="1133"/>
      <c r="D333" s="1133"/>
      <c r="E333" s="1133"/>
      <c r="F333" s="1133"/>
      <c r="G333" s="1133"/>
      <c r="H333" s="1133"/>
      <c r="I333" s="1133"/>
      <c r="J333" s="1133"/>
      <c r="K333" s="1133"/>
      <c r="L333" s="1133"/>
      <c r="M333" s="1133"/>
      <c r="N333" s="1133"/>
      <c r="O333" s="1133"/>
      <c r="P333" s="1133"/>
      <c r="Q333" s="1133"/>
      <c r="R333" s="1133"/>
      <c r="S333" s="1133"/>
      <c r="T333" s="1133"/>
      <c r="U333" s="1133"/>
      <c r="V333" s="1135"/>
      <c r="W333" s="1135"/>
    </row>
    <row r="334">
      <c r="A334" s="1133"/>
      <c r="B334" s="1133"/>
      <c r="C334" s="1133"/>
      <c r="D334" s="1133"/>
      <c r="E334" s="1133"/>
      <c r="F334" s="1133"/>
      <c r="G334" s="1133"/>
      <c r="H334" s="1133"/>
      <c r="I334" s="1133"/>
      <c r="J334" s="1133"/>
      <c r="K334" s="1133"/>
      <c r="L334" s="1133"/>
      <c r="M334" s="1133"/>
      <c r="N334" s="1133"/>
      <c r="O334" s="1133"/>
      <c r="P334" s="1133"/>
      <c r="Q334" s="1133"/>
      <c r="R334" s="1133"/>
      <c r="S334" s="1133"/>
      <c r="T334" s="1133"/>
      <c r="U334" s="1133"/>
      <c r="V334" s="1135"/>
      <c r="W334" s="1135"/>
    </row>
    <row r="335">
      <c r="A335" s="1133"/>
      <c r="B335" s="1133"/>
      <c r="C335" s="1133"/>
      <c r="D335" s="1133"/>
      <c r="E335" s="1133"/>
      <c r="F335" s="1133"/>
      <c r="G335" s="1133"/>
      <c r="H335" s="1133"/>
      <c r="I335" s="1133"/>
      <c r="J335" s="1133"/>
      <c r="K335" s="1133"/>
      <c r="L335" s="1133"/>
      <c r="M335" s="1133"/>
      <c r="N335" s="1133"/>
      <c r="O335" s="1133"/>
      <c r="P335" s="1133"/>
      <c r="Q335" s="1133"/>
      <c r="R335" s="1133"/>
      <c r="S335" s="1133"/>
      <c r="T335" s="1133"/>
      <c r="U335" s="1133"/>
      <c r="V335" s="1135"/>
      <c r="W335" s="1135"/>
    </row>
    <row r="336">
      <c r="A336" s="1133"/>
      <c r="B336" s="1133"/>
      <c r="C336" s="1133"/>
      <c r="D336" s="1133"/>
      <c r="E336" s="1133"/>
      <c r="F336" s="1133"/>
      <c r="G336" s="1133"/>
      <c r="H336" s="1133"/>
      <c r="I336" s="1133"/>
      <c r="J336" s="1133"/>
      <c r="K336" s="1133"/>
      <c r="L336" s="1133"/>
      <c r="M336" s="1133"/>
      <c r="N336" s="1133"/>
      <c r="O336" s="1133"/>
      <c r="P336" s="1133"/>
      <c r="Q336" s="1133"/>
      <c r="R336" s="1133"/>
      <c r="S336" s="1133"/>
      <c r="T336" s="1133"/>
      <c r="U336" s="1133"/>
      <c r="V336" s="1135"/>
      <c r="W336" s="1135"/>
    </row>
    <row r="337">
      <c r="A337" s="1133"/>
      <c r="B337" s="1133"/>
      <c r="C337" s="1133"/>
      <c r="D337" s="1133"/>
      <c r="E337" s="1133"/>
      <c r="F337" s="1133"/>
      <c r="G337" s="1133"/>
      <c r="H337" s="1133"/>
      <c r="I337" s="1133"/>
      <c r="J337" s="1133"/>
      <c r="K337" s="1133"/>
      <c r="L337" s="1133"/>
      <c r="M337" s="1133"/>
      <c r="N337" s="1133"/>
      <c r="O337" s="1133"/>
      <c r="P337" s="1133"/>
      <c r="Q337" s="1133"/>
      <c r="R337" s="1133"/>
      <c r="S337" s="1133"/>
      <c r="T337" s="1133"/>
      <c r="U337" s="1133"/>
      <c r="V337" s="1135"/>
      <c r="W337" s="1135"/>
    </row>
    <row r="338">
      <c r="A338" s="1133"/>
      <c r="B338" s="1133"/>
      <c r="C338" s="1133"/>
      <c r="D338" s="1133"/>
      <c r="E338" s="1133"/>
      <c r="F338" s="1133"/>
      <c r="G338" s="1133"/>
      <c r="H338" s="1133"/>
      <c r="I338" s="1133"/>
      <c r="J338" s="1133"/>
      <c r="K338" s="1133"/>
      <c r="L338" s="1133"/>
      <c r="M338" s="1133"/>
      <c r="N338" s="1133"/>
      <c r="O338" s="1133"/>
      <c r="P338" s="1133"/>
      <c r="Q338" s="1133"/>
      <c r="R338" s="1133"/>
      <c r="S338" s="1133"/>
      <c r="T338" s="1133"/>
      <c r="U338" s="1133"/>
      <c r="V338" s="1135"/>
      <c r="W338" s="1135"/>
    </row>
    <row r="339">
      <c r="A339" s="1133"/>
      <c r="B339" s="1133"/>
      <c r="C339" s="1133"/>
      <c r="D339" s="1133"/>
      <c r="E339" s="1133"/>
      <c r="F339" s="1133"/>
      <c r="G339" s="1133"/>
      <c r="H339" s="1133"/>
      <c r="I339" s="1133"/>
      <c r="J339" s="1133"/>
      <c r="K339" s="1133"/>
      <c r="L339" s="1133"/>
      <c r="M339" s="1133"/>
      <c r="N339" s="1133"/>
      <c r="O339" s="1133"/>
      <c r="P339" s="1133"/>
      <c r="Q339" s="1133"/>
      <c r="R339" s="1133"/>
      <c r="S339" s="1133"/>
      <c r="T339" s="1133"/>
      <c r="U339" s="1133"/>
      <c r="V339" s="1135"/>
      <c r="W339" s="1135"/>
    </row>
    <row r="340">
      <c r="A340" s="1133"/>
      <c r="B340" s="1133"/>
      <c r="C340" s="1133"/>
      <c r="D340" s="1133"/>
      <c r="E340" s="1133"/>
      <c r="F340" s="1133"/>
      <c r="G340" s="1133"/>
      <c r="H340" s="1133"/>
      <c r="I340" s="1133"/>
      <c r="J340" s="1133"/>
      <c r="K340" s="1133"/>
      <c r="L340" s="1133"/>
      <c r="M340" s="1133"/>
      <c r="N340" s="1133"/>
      <c r="O340" s="1133"/>
      <c r="P340" s="1133"/>
      <c r="Q340" s="1133"/>
      <c r="R340" s="1133"/>
      <c r="S340" s="1133"/>
      <c r="T340" s="1133"/>
      <c r="U340" s="1133"/>
      <c r="V340" s="1135"/>
      <c r="W340" s="1135"/>
    </row>
    <row r="341">
      <c r="A341" s="1133"/>
      <c r="B341" s="1133"/>
      <c r="C341" s="1133"/>
      <c r="D341" s="1133"/>
      <c r="E341" s="1133"/>
      <c r="F341" s="1133"/>
      <c r="G341" s="1133"/>
      <c r="H341" s="1133"/>
      <c r="I341" s="1133"/>
      <c r="J341" s="1133"/>
      <c r="K341" s="1133"/>
      <c r="L341" s="1133"/>
      <c r="M341" s="1133"/>
      <c r="N341" s="1133"/>
      <c r="O341" s="1133"/>
      <c r="P341" s="1133"/>
      <c r="Q341" s="1133"/>
      <c r="R341" s="1133"/>
      <c r="S341" s="1133"/>
      <c r="T341" s="1133"/>
      <c r="U341" s="1133"/>
      <c r="V341" s="1135"/>
      <c r="W341" s="1135"/>
    </row>
    <row r="342">
      <c r="A342" s="1133"/>
      <c r="B342" s="1133"/>
      <c r="C342" s="1133"/>
      <c r="D342" s="1133"/>
      <c r="E342" s="1133"/>
      <c r="F342" s="1133"/>
      <c r="G342" s="1133"/>
      <c r="H342" s="1133"/>
      <c r="I342" s="1133"/>
      <c r="J342" s="1133"/>
      <c r="K342" s="1133"/>
      <c r="L342" s="1133"/>
      <c r="M342" s="1133"/>
      <c r="N342" s="1133"/>
      <c r="O342" s="1133"/>
      <c r="P342" s="1133"/>
      <c r="Q342" s="1133"/>
      <c r="R342" s="1133"/>
      <c r="S342" s="1133"/>
      <c r="T342" s="1133"/>
      <c r="U342" s="1133"/>
      <c r="V342" s="1135"/>
      <c r="W342" s="1135"/>
    </row>
    <row r="343">
      <c r="A343" s="1133"/>
      <c r="B343" s="1133"/>
      <c r="C343" s="1133"/>
      <c r="D343" s="1133"/>
      <c r="E343" s="1133"/>
      <c r="F343" s="1133"/>
      <c r="G343" s="1133"/>
      <c r="H343" s="1133"/>
      <c r="I343" s="1133"/>
      <c r="J343" s="1133"/>
      <c r="K343" s="1133"/>
      <c r="L343" s="1133"/>
      <c r="M343" s="1133"/>
      <c r="N343" s="1133"/>
      <c r="O343" s="1133"/>
      <c r="P343" s="1133"/>
      <c r="Q343" s="1133"/>
      <c r="R343" s="1133"/>
      <c r="S343" s="1133"/>
      <c r="T343" s="1133"/>
      <c r="U343" s="1133"/>
      <c r="V343" s="1135"/>
      <c r="W343" s="1135"/>
    </row>
    <row r="344">
      <c r="A344" s="1133"/>
      <c r="B344" s="1133"/>
      <c r="C344" s="1133"/>
      <c r="D344" s="1133"/>
      <c r="E344" s="1133"/>
      <c r="F344" s="1133"/>
      <c r="G344" s="1133"/>
      <c r="H344" s="1133"/>
      <c r="I344" s="1133"/>
      <c r="J344" s="1133"/>
      <c r="K344" s="1133"/>
      <c r="L344" s="1133"/>
      <c r="M344" s="1133"/>
      <c r="N344" s="1133"/>
      <c r="O344" s="1133"/>
      <c r="P344" s="1133"/>
      <c r="Q344" s="1133"/>
      <c r="R344" s="1133"/>
      <c r="S344" s="1133"/>
      <c r="T344" s="1133"/>
      <c r="U344" s="1133"/>
      <c r="V344" s="1135"/>
      <c r="W344" s="1135"/>
    </row>
    <row r="345">
      <c r="A345" s="1133"/>
      <c r="B345" s="1133"/>
      <c r="C345" s="1133"/>
      <c r="D345" s="1133"/>
      <c r="E345" s="1133"/>
      <c r="F345" s="1133"/>
      <c r="G345" s="1133"/>
      <c r="H345" s="1133"/>
      <c r="I345" s="1133"/>
      <c r="J345" s="1133"/>
      <c r="K345" s="1133"/>
      <c r="L345" s="1133"/>
      <c r="M345" s="1133"/>
      <c r="N345" s="1133"/>
      <c r="O345" s="1133"/>
      <c r="P345" s="1133"/>
      <c r="Q345" s="1133"/>
      <c r="R345" s="1133"/>
      <c r="S345" s="1133"/>
      <c r="T345" s="1133"/>
      <c r="U345" s="1133"/>
      <c r="V345" s="1135"/>
      <c r="W345" s="1135"/>
    </row>
    <row r="346">
      <c r="A346" s="1133"/>
      <c r="B346" s="1133"/>
      <c r="C346" s="1133"/>
      <c r="D346" s="1133"/>
      <c r="E346" s="1133"/>
      <c r="F346" s="1133"/>
      <c r="G346" s="1133"/>
      <c r="H346" s="1133"/>
      <c r="I346" s="1133"/>
      <c r="J346" s="1133"/>
      <c r="K346" s="1133"/>
      <c r="L346" s="1133"/>
      <c r="M346" s="1133"/>
      <c r="N346" s="1133"/>
      <c r="O346" s="1133"/>
      <c r="P346" s="1133"/>
      <c r="Q346" s="1133"/>
      <c r="R346" s="1133"/>
      <c r="S346" s="1133"/>
      <c r="T346" s="1133"/>
      <c r="U346" s="1133"/>
      <c r="V346" s="1135"/>
      <c r="W346" s="1135"/>
    </row>
    <row r="347">
      <c r="A347" s="1133"/>
      <c r="B347" s="1133"/>
      <c r="C347" s="1133"/>
      <c r="D347" s="1133"/>
      <c r="E347" s="1133"/>
      <c r="F347" s="1133"/>
      <c r="G347" s="1133"/>
      <c r="H347" s="1133"/>
      <c r="I347" s="1133"/>
      <c r="J347" s="1133"/>
      <c r="K347" s="1133"/>
      <c r="L347" s="1133"/>
      <c r="M347" s="1133"/>
      <c r="N347" s="1133"/>
      <c r="O347" s="1133"/>
      <c r="P347" s="1133"/>
      <c r="Q347" s="1133"/>
      <c r="R347" s="1133"/>
      <c r="S347" s="1133"/>
      <c r="T347" s="1133"/>
      <c r="U347" s="1133"/>
      <c r="V347" s="1135"/>
      <c r="W347" s="1135"/>
    </row>
    <row r="348">
      <c r="A348" s="1133"/>
      <c r="B348" s="1133"/>
      <c r="C348" s="1133"/>
      <c r="D348" s="1133"/>
      <c r="E348" s="1133"/>
      <c r="F348" s="1133"/>
      <c r="G348" s="1133"/>
      <c r="H348" s="1133"/>
      <c r="I348" s="1133"/>
      <c r="J348" s="1133"/>
      <c r="K348" s="1133"/>
      <c r="L348" s="1133"/>
      <c r="M348" s="1133"/>
      <c r="N348" s="1133"/>
      <c r="O348" s="1133"/>
      <c r="P348" s="1133"/>
      <c r="Q348" s="1133"/>
      <c r="R348" s="1133"/>
      <c r="S348" s="1133"/>
      <c r="T348" s="1133"/>
      <c r="U348" s="1133"/>
      <c r="V348" s="1135"/>
      <c r="W348" s="1135"/>
    </row>
    <row r="349">
      <c r="A349" s="1133"/>
      <c r="B349" s="1133"/>
      <c r="C349" s="1133"/>
      <c r="D349" s="1133"/>
      <c r="E349" s="1133"/>
      <c r="F349" s="1133"/>
      <c r="G349" s="1133"/>
      <c r="H349" s="1133"/>
      <c r="I349" s="1133"/>
      <c r="J349" s="1133"/>
      <c r="K349" s="1133"/>
      <c r="L349" s="1133"/>
      <c r="M349" s="1133"/>
      <c r="N349" s="1133"/>
      <c r="O349" s="1133"/>
      <c r="P349" s="1133"/>
      <c r="Q349" s="1133"/>
      <c r="R349" s="1133"/>
      <c r="S349" s="1133"/>
      <c r="T349" s="1133"/>
      <c r="U349" s="1133"/>
      <c r="V349" s="1135"/>
      <c r="W349" s="1135"/>
    </row>
    <row r="350">
      <c r="A350" s="1133"/>
      <c r="B350" s="1133"/>
      <c r="C350" s="1133"/>
      <c r="D350" s="1133"/>
      <c r="E350" s="1133"/>
      <c r="F350" s="1133"/>
      <c r="G350" s="1133"/>
      <c r="H350" s="1133"/>
      <c r="I350" s="1133"/>
      <c r="J350" s="1133"/>
      <c r="K350" s="1133"/>
      <c r="L350" s="1133"/>
      <c r="M350" s="1133"/>
      <c r="N350" s="1133"/>
      <c r="O350" s="1133"/>
      <c r="P350" s="1133"/>
      <c r="Q350" s="1133"/>
      <c r="R350" s="1133"/>
      <c r="S350" s="1133"/>
      <c r="T350" s="1133"/>
      <c r="U350" s="1133"/>
      <c r="V350" s="1135"/>
      <c r="W350" s="1135"/>
    </row>
    <row r="351">
      <c r="A351" s="1133"/>
      <c r="B351" s="1133"/>
      <c r="C351" s="1133"/>
      <c r="D351" s="1133"/>
      <c r="E351" s="1133"/>
      <c r="F351" s="1133"/>
      <c r="G351" s="1133"/>
      <c r="H351" s="1133"/>
      <c r="I351" s="1133"/>
      <c r="J351" s="1133"/>
      <c r="K351" s="1133"/>
      <c r="L351" s="1133"/>
      <c r="M351" s="1133"/>
      <c r="N351" s="1133"/>
      <c r="O351" s="1133"/>
      <c r="P351" s="1133"/>
      <c r="Q351" s="1133"/>
      <c r="R351" s="1133"/>
      <c r="S351" s="1133"/>
      <c r="T351" s="1133"/>
      <c r="U351" s="1133"/>
      <c r="V351" s="1135"/>
      <c r="W351" s="1135"/>
    </row>
    <row r="352">
      <c r="A352" s="1133"/>
      <c r="B352" s="1133"/>
      <c r="C352" s="1133"/>
      <c r="D352" s="1133"/>
      <c r="E352" s="1133"/>
      <c r="F352" s="1133"/>
      <c r="G352" s="1133"/>
      <c r="H352" s="1133"/>
      <c r="I352" s="1133"/>
      <c r="J352" s="1133"/>
      <c r="K352" s="1133"/>
      <c r="L352" s="1133"/>
      <c r="M352" s="1133"/>
      <c r="N352" s="1133"/>
      <c r="O352" s="1133"/>
      <c r="P352" s="1133"/>
      <c r="Q352" s="1133"/>
      <c r="R352" s="1133"/>
      <c r="S352" s="1133"/>
      <c r="T352" s="1133"/>
      <c r="U352" s="1133"/>
      <c r="V352" s="1135"/>
      <c r="W352" s="1135"/>
    </row>
    <row r="353">
      <c r="A353" s="1133"/>
      <c r="B353" s="1133"/>
      <c r="C353" s="1133"/>
      <c r="D353" s="1133"/>
      <c r="E353" s="1133"/>
      <c r="F353" s="1133"/>
      <c r="G353" s="1133"/>
      <c r="H353" s="1133"/>
      <c r="I353" s="1133"/>
      <c r="J353" s="1133"/>
      <c r="K353" s="1133"/>
      <c r="L353" s="1133"/>
      <c r="M353" s="1133"/>
      <c r="N353" s="1133"/>
      <c r="O353" s="1133"/>
      <c r="P353" s="1133"/>
      <c r="Q353" s="1133"/>
      <c r="R353" s="1133"/>
      <c r="S353" s="1133"/>
      <c r="T353" s="1133"/>
      <c r="U353" s="1133"/>
      <c r="V353" s="1135"/>
      <c r="W353" s="1135"/>
    </row>
    <row r="354">
      <c r="A354" s="1133"/>
      <c r="B354" s="1133"/>
      <c r="C354" s="1133"/>
      <c r="D354" s="1133"/>
      <c r="E354" s="1133"/>
      <c r="F354" s="1133"/>
      <c r="G354" s="1133"/>
      <c r="H354" s="1133"/>
      <c r="I354" s="1133"/>
      <c r="J354" s="1133"/>
      <c r="K354" s="1133"/>
      <c r="L354" s="1133"/>
      <c r="M354" s="1133"/>
      <c r="N354" s="1133"/>
      <c r="O354" s="1133"/>
      <c r="P354" s="1133"/>
      <c r="Q354" s="1133"/>
      <c r="R354" s="1133"/>
      <c r="S354" s="1133"/>
      <c r="T354" s="1133"/>
      <c r="U354" s="1133"/>
      <c r="V354" s="1135"/>
      <c r="W354" s="1135"/>
    </row>
    <row r="355">
      <c r="A355" s="1133"/>
      <c r="B355" s="1133"/>
      <c r="C355" s="1133"/>
      <c r="D355" s="1133"/>
      <c r="E355" s="1133"/>
      <c r="F355" s="1133"/>
      <c r="G355" s="1133"/>
      <c r="H355" s="1133"/>
      <c r="I355" s="1133"/>
      <c r="J355" s="1133"/>
      <c r="K355" s="1133"/>
      <c r="L355" s="1133"/>
      <c r="M355" s="1133"/>
      <c r="N355" s="1133"/>
      <c r="O355" s="1133"/>
      <c r="P355" s="1133"/>
      <c r="Q355" s="1133"/>
      <c r="R355" s="1133"/>
      <c r="S355" s="1133"/>
      <c r="T355" s="1133"/>
      <c r="U355" s="1133"/>
      <c r="V355" s="1135"/>
      <c r="W355" s="1135"/>
    </row>
    <row r="356">
      <c r="A356" s="1133"/>
      <c r="B356" s="1133"/>
      <c r="C356" s="1133"/>
      <c r="D356" s="1133"/>
      <c r="E356" s="1133"/>
      <c r="F356" s="1133"/>
      <c r="G356" s="1133"/>
      <c r="H356" s="1133"/>
      <c r="I356" s="1133"/>
      <c r="J356" s="1133"/>
      <c r="K356" s="1133"/>
      <c r="L356" s="1133"/>
      <c r="M356" s="1133"/>
      <c r="N356" s="1133"/>
      <c r="O356" s="1133"/>
      <c r="P356" s="1133"/>
      <c r="Q356" s="1133"/>
      <c r="R356" s="1133"/>
      <c r="S356" s="1133"/>
      <c r="T356" s="1133"/>
      <c r="U356" s="1133"/>
      <c r="V356" s="1135"/>
      <c r="W356" s="1135"/>
    </row>
    <row r="357">
      <c r="A357" s="1133"/>
      <c r="B357" s="1133"/>
      <c r="C357" s="1133"/>
      <c r="D357" s="1133"/>
      <c r="E357" s="1133"/>
      <c r="F357" s="1133"/>
      <c r="G357" s="1133"/>
      <c r="H357" s="1133"/>
      <c r="I357" s="1133"/>
      <c r="J357" s="1133"/>
      <c r="K357" s="1133"/>
      <c r="L357" s="1133"/>
      <c r="M357" s="1133"/>
      <c r="N357" s="1133"/>
      <c r="O357" s="1133"/>
      <c r="P357" s="1133"/>
      <c r="Q357" s="1133"/>
      <c r="R357" s="1133"/>
      <c r="S357" s="1133"/>
      <c r="T357" s="1133"/>
      <c r="U357" s="1133"/>
      <c r="V357" s="1135"/>
      <c r="W357" s="1135"/>
    </row>
    <row r="358">
      <c r="A358" s="1133"/>
      <c r="B358" s="1133"/>
      <c r="C358" s="1133"/>
      <c r="D358" s="1133"/>
      <c r="E358" s="1133"/>
      <c r="F358" s="1133"/>
      <c r="G358" s="1133"/>
      <c r="H358" s="1133"/>
      <c r="I358" s="1133"/>
      <c r="J358" s="1133"/>
      <c r="K358" s="1133"/>
      <c r="L358" s="1133"/>
      <c r="M358" s="1133"/>
      <c r="N358" s="1133"/>
      <c r="O358" s="1133"/>
      <c r="P358" s="1133"/>
      <c r="Q358" s="1133"/>
      <c r="R358" s="1133"/>
      <c r="S358" s="1133"/>
      <c r="T358" s="1133"/>
      <c r="U358" s="1133"/>
      <c r="V358" s="1135"/>
      <c r="W358" s="1135"/>
    </row>
    <row r="359">
      <c r="A359" s="1133"/>
      <c r="B359" s="1133"/>
      <c r="C359" s="1133"/>
      <c r="D359" s="1133"/>
      <c r="E359" s="1133"/>
      <c r="F359" s="1133"/>
      <c r="G359" s="1133"/>
      <c r="H359" s="1133"/>
      <c r="I359" s="1133"/>
      <c r="J359" s="1133"/>
      <c r="K359" s="1133"/>
      <c r="L359" s="1133"/>
      <c r="M359" s="1133"/>
      <c r="N359" s="1133"/>
      <c r="O359" s="1133"/>
      <c r="P359" s="1133"/>
      <c r="Q359" s="1133"/>
      <c r="R359" s="1133"/>
      <c r="S359" s="1133"/>
      <c r="T359" s="1133"/>
      <c r="U359" s="1133"/>
      <c r="V359" s="1135"/>
      <c r="W359" s="1135"/>
    </row>
    <row r="360">
      <c r="A360" s="1133"/>
      <c r="B360" s="1133"/>
      <c r="C360" s="1133"/>
      <c r="D360" s="1133"/>
      <c r="E360" s="1133"/>
      <c r="F360" s="1133"/>
      <c r="G360" s="1133"/>
      <c r="H360" s="1133"/>
      <c r="I360" s="1133"/>
      <c r="J360" s="1133"/>
      <c r="K360" s="1133"/>
      <c r="L360" s="1133"/>
      <c r="M360" s="1133"/>
      <c r="N360" s="1133"/>
      <c r="O360" s="1133"/>
      <c r="P360" s="1133"/>
      <c r="Q360" s="1133"/>
      <c r="R360" s="1133"/>
      <c r="S360" s="1133"/>
      <c r="T360" s="1133"/>
      <c r="U360" s="1133"/>
      <c r="V360" s="1135"/>
      <c r="W360" s="1135"/>
    </row>
    <row r="361">
      <c r="A361" s="1133"/>
      <c r="B361" s="1133"/>
      <c r="C361" s="1133"/>
      <c r="D361" s="1133"/>
      <c r="E361" s="1133"/>
      <c r="F361" s="1133"/>
      <c r="G361" s="1133"/>
      <c r="H361" s="1133"/>
      <c r="I361" s="1133"/>
      <c r="J361" s="1133"/>
      <c r="K361" s="1133"/>
      <c r="L361" s="1133"/>
      <c r="M361" s="1133"/>
      <c r="N361" s="1133"/>
      <c r="O361" s="1133"/>
      <c r="P361" s="1133"/>
      <c r="Q361" s="1133"/>
      <c r="R361" s="1133"/>
      <c r="S361" s="1133"/>
      <c r="T361" s="1133"/>
      <c r="U361" s="1133"/>
      <c r="V361" s="1135"/>
      <c r="W361" s="1135"/>
    </row>
    <row r="362">
      <c r="A362" s="1133"/>
      <c r="B362" s="1133"/>
      <c r="C362" s="1133"/>
      <c r="D362" s="1133"/>
      <c r="E362" s="1133"/>
      <c r="F362" s="1133"/>
      <c r="G362" s="1133"/>
      <c r="H362" s="1133"/>
      <c r="I362" s="1133"/>
      <c r="J362" s="1133"/>
      <c r="K362" s="1133"/>
      <c r="L362" s="1133"/>
      <c r="M362" s="1133"/>
      <c r="N362" s="1133"/>
      <c r="O362" s="1133"/>
      <c r="P362" s="1133"/>
      <c r="Q362" s="1133"/>
      <c r="R362" s="1133"/>
      <c r="S362" s="1133"/>
      <c r="T362" s="1133"/>
      <c r="U362" s="1133"/>
      <c r="V362" s="1135"/>
      <c r="W362" s="1135"/>
    </row>
    <row r="363">
      <c r="A363" s="1133"/>
      <c r="B363" s="1133"/>
      <c r="C363" s="1133"/>
      <c r="D363" s="1133"/>
      <c r="E363" s="1133"/>
      <c r="F363" s="1133"/>
      <c r="G363" s="1133"/>
      <c r="H363" s="1133"/>
      <c r="I363" s="1133"/>
      <c r="J363" s="1133"/>
      <c r="K363" s="1133"/>
      <c r="L363" s="1133"/>
      <c r="M363" s="1133"/>
      <c r="N363" s="1133"/>
      <c r="O363" s="1133"/>
      <c r="P363" s="1133"/>
      <c r="Q363" s="1133"/>
      <c r="R363" s="1133"/>
      <c r="S363" s="1133"/>
      <c r="T363" s="1133"/>
      <c r="U363" s="1133"/>
      <c r="V363" s="1135"/>
      <c r="W363" s="1135"/>
    </row>
    <row r="364">
      <c r="A364" s="1133"/>
      <c r="B364" s="1133"/>
      <c r="C364" s="1133"/>
      <c r="D364" s="1133"/>
      <c r="E364" s="1133"/>
      <c r="F364" s="1133"/>
      <c r="G364" s="1133"/>
      <c r="H364" s="1133"/>
      <c r="I364" s="1133"/>
      <c r="J364" s="1133"/>
      <c r="K364" s="1133"/>
      <c r="L364" s="1133"/>
      <c r="M364" s="1133"/>
      <c r="N364" s="1133"/>
      <c r="O364" s="1133"/>
      <c r="P364" s="1133"/>
      <c r="Q364" s="1133"/>
      <c r="R364" s="1133"/>
      <c r="S364" s="1133"/>
      <c r="T364" s="1133"/>
      <c r="U364" s="1133"/>
      <c r="V364" s="1135"/>
      <c r="W364" s="1135"/>
    </row>
    <row r="365">
      <c r="A365" s="1133"/>
      <c r="B365" s="1133"/>
      <c r="C365" s="1133"/>
      <c r="D365" s="1133"/>
      <c r="E365" s="1133"/>
      <c r="F365" s="1133"/>
      <c r="G365" s="1133"/>
      <c r="H365" s="1133"/>
      <c r="I365" s="1133"/>
      <c r="J365" s="1133"/>
      <c r="K365" s="1133"/>
      <c r="L365" s="1133"/>
      <c r="M365" s="1133"/>
      <c r="N365" s="1133"/>
      <c r="O365" s="1133"/>
      <c r="P365" s="1133"/>
      <c r="Q365" s="1133"/>
      <c r="R365" s="1133"/>
      <c r="S365" s="1133"/>
      <c r="T365" s="1133"/>
      <c r="U365" s="1133"/>
      <c r="V365" s="1135"/>
      <c r="W365" s="1135"/>
    </row>
    <row r="366">
      <c r="A366" s="1133"/>
      <c r="B366" s="1133"/>
      <c r="C366" s="1133"/>
      <c r="D366" s="1133"/>
      <c r="E366" s="1133"/>
      <c r="F366" s="1133"/>
      <c r="G366" s="1133"/>
      <c r="H366" s="1133"/>
      <c r="I366" s="1133"/>
      <c r="J366" s="1133"/>
      <c r="K366" s="1133"/>
      <c r="L366" s="1133"/>
      <c r="M366" s="1133"/>
      <c r="N366" s="1133"/>
      <c r="O366" s="1133"/>
      <c r="P366" s="1133"/>
      <c r="Q366" s="1133"/>
      <c r="R366" s="1133"/>
      <c r="S366" s="1133"/>
      <c r="T366" s="1133"/>
      <c r="U366" s="1133"/>
      <c r="V366" s="1135"/>
      <c r="W366" s="1135"/>
    </row>
    <row r="367">
      <c r="A367" s="1133"/>
      <c r="B367" s="1133"/>
      <c r="C367" s="1133"/>
      <c r="D367" s="1133"/>
      <c r="E367" s="1133"/>
      <c r="F367" s="1133"/>
      <c r="G367" s="1133"/>
      <c r="H367" s="1133"/>
      <c r="I367" s="1133"/>
      <c r="J367" s="1133"/>
      <c r="K367" s="1133"/>
      <c r="L367" s="1133"/>
      <c r="M367" s="1133"/>
      <c r="N367" s="1133"/>
      <c r="O367" s="1133"/>
      <c r="P367" s="1133"/>
      <c r="Q367" s="1133"/>
      <c r="R367" s="1133"/>
      <c r="S367" s="1133"/>
      <c r="T367" s="1133"/>
      <c r="U367" s="1133"/>
      <c r="V367" s="1135"/>
      <c r="W367" s="1135"/>
    </row>
    <row r="368">
      <c r="A368" s="1133"/>
      <c r="B368" s="1133"/>
      <c r="C368" s="1133"/>
      <c r="D368" s="1133"/>
      <c r="E368" s="1133"/>
      <c r="F368" s="1133"/>
      <c r="G368" s="1133"/>
      <c r="H368" s="1133"/>
      <c r="I368" s="1133"/>
      <c r="J368" s="1133"/>
      <c r="K368" s="1133"/>
      <c r="L368" s="1133"/>
      <c r="M368" s="1133"/>
      <c r="N368" s="1133"/>
      <c r="O368" s="1133"/>
      <c r="P368" s="1133"/>
      <c r="Q368" s="1133"/>
      <c r="R368" s="1133"/>
      <c r="S368" s="1133"/>
      <c r="T368" s="1133"/>
      <c r="U368" s="1133"/>
      <c r="V368" s="1135"/>
      <c r="W368" s="1135"/>
    </row>
    <row r="369">
      <c r="A369" s="1133"/>
      <c r="B369" s="1133"/>
      <c r="C369" s="1133"/>
      <c r="D369" s="1133"/>
      <c r="E369" s="1133"/>
      <c r="F369" s="1133"/>
      <c r="G369" s="1133"/>
      <c r="H369" s="1133"/>
      <c r="I369" s="1133"/>
      <c r="J369" s="1133"/>
      <c r="K369" s="1133"/>
      <c r="L369" s="1133"/>
      <c r="M369" s="1133"/>
      <c r="N369" s="1133"/>
      <c r="O369" s="1133"/>
      <c r="P369" s="1133"/>
      <c r="Q369" s="1133"/>
      <c r="R369" s="1133"/>
      <c r="S369" s="1133"/>
      <c r="T369" s="1133"/>
      <c r="U369" s="1133"/>
      <c r="V369" s="1135"/>
      <c r="W369" s="1135"/>
    </row>
    <row r="370">
      <c r="A370" s="1133"/>
      <c r="B370" s="1133"/>
      <c r="C370" s="1133"/>
      <c r="D370" s="1133"/>
      <c r="E370" s="1133"/>
      <c r="F370" s="1133"/>
      <c r="G370" s="1133"/>
      <c r="H370" s="1133"/>
      <c r="I370" s="1133"/>
      <c r="J370" s="1133"/>
      <c r="K370" s="1133"/>
      <c r="L370" s="1133"/>
      <c r="M370" s="1133"/>
      <c r="N370" s="1133"/>
      <c r="O370" s="1133"/>
      <c r="P370" s="1133"/>
      <c r="Q370" s="1133"/>
      <c r="R370" s="1133"/>
      <c r="S370" s="1133"/>
      <c r="T370" s="1133"/>
      <c r="U370" s="1133"/>
      <c r="V370" s="1135"/>
      <c r="W370" s="1135"/>
    </row>
    <row r="371">
      <c r="A371" s="1133"/>
      <c r="B371" s="1133"/>
      <c r="C371" s="1133"/>
      <c r="D371" s="1133"/>
      <c r="E371" s="1133"/>
      <c r="F371" s="1133"/>
      <c r="G371" s="1133"/>
      <c r="H371" s="1133"/>
      <c r="I371" s="1133"/>
      <c r="J371" s="1133"/>
      <c r="K371" s="1133"/>
      <c r="L371" s="1133"/>
      <c r="M371" s="1133"/>
      <c r="N371" s="1133"/>
      <c r="O371" s="1133"/>
      <c r="P371" s="1133"/>
      <c r="Q371" s="1133"/>
      <c r="R371" s="1133"/>
      <c r="S371" s="1133"/>
      <c r="T371" s="1133"/>
      <c r="U371" s="1133"/>
      <c r="V371" s="1135"/>
      <c r="W371" s="1135"/>
    </row>
    <row r="372">
      <c r="A372" s="1133"/>
      <c r="B372" s="1133"/>
      <c r="C372" s="1133"/>
      <c r="D372" s="1133"/>
      <c r="E372" s="1133"/>
      <c r="F372" s="1133"/>
      <c r="G372" s="1133"/>
      <c r="H372" s="1133"/>
      <c r="I372" s="1133"/>
      <c r="J372" s="1133"/>
      <c r="K372" s="1133"/>
      <c r="L372" s="1133"/>
      <c r="M372" s="1133"/>
      <c r="N372" s="1133"/>
      <c r="O372" s="1133"/>
      <c r="P372" s="1133"/>
      <c r="Q372" s="1133"/>
      <c r="R372" s="1133"/>
      <c r="S372" s="1133"/>
      <c r="T372" s="1133"/>
      <c r="U372" s="1133"/>
      <c r="V372" s="1135"/>
      <c r="W372" s="1135"/>
    </row>
    <row r="373">
      <c r="A373" s="1133"/>
      <c r="B373" s="1133"/>
      <c r="C373" s="1133"/>
      <c r="D373" s="1133"/>
      <c r="E373" s="1133"/>
      <c r="F373" s="1133"/>
      <c r="G373" s="1133"/>
      <c r="H373" s="1133"/>
      <c r="I373" s="1133"/>
      <c r="J373" s="1133"/>
      <c r="K373" s="1133"/>
      <c r="L373" s="1133"/>
      <c r="M373" s="1133"/>
      <c r="N373" s="1133"/>
      <c r="O373" s="1133"/>
      <c r="P373" s="1133"/>
      <c r="Q373" s="1133"/>
      <c r="R373" s="1133"/>
      <c r="S373" s="1133"/>
      <c r="T373" s="1133"/>
      <c r="U373" s="1133"/>
      <c r="V373" s="1135"/>
      <c r="W373" s="1135"/>
    </row>
    <row r="374">
      <c r="A374" s="1133"/>
      <c r="B374" s="1133"/>
      <c r="C374" s="1133"/>
      <c r="D374" s="1133"/>
      <c r="E374" s="1133"/>
      <c r="F374" s="1133"/>
      <c r="G374" s="1133"/>
      <c r="H374" s="1133"/>
      <c r="I374" s="1133"/>
      <c r="J374" s="1133"/>
      <c r="K374" s="1133"/>
      <c r="L374" s="1133"/>
      <c r="M374" s="1133"/>
      <c r="N374" s="1133"/>
      <c r="O374" s="1133"/>
      <c r="P374" s="1133"/>
      <c r="Q374" s="1133"/>
      <c r="R374" s="1133"/>
      <c r="S374" s="1133"/>
      <c r="T374" s="1133"/>
      <c r="U374" s="1133"/>
      <c r="V374" s="1135"/>
      <c r="W374" s="1135"/>
    </row>
    <row r="375">
      <c r="A375" s="1133"/>
      <c r="B375" s="1133"/>
      <c r="C375" s="1133"/>
      <c r="D375" s="1133"/>
      <c r="E375" s="1133"/>
      <c r="F375" s="1133"/>
      <c r="G375" s="1133"/>
      <c r="H375" s="1133"/>
      <c r="I375" s="1133"/>
      <c r="J375" s="1133"/>
      <c r="K375" s="1133"/>
      <c r="L375" s="1133"/>
      <c r="M375" s="1133"/>
      <c r="N375" s="1133"/>
      <c r="O375" s="1133"/>
      <c r="P375" s="1133"/>
      <c r="Q375" s="1133"/>
      <c r="R375" s="1133"/>
      <c r="S375" s="1133"/>
      <c r="T375" s="1133"/>
      <c r="U375" s="1133"/>
      <c r="V375" s="1135"/>
      <c r="W375" s="1135"/>
    </row>
    <row r="376">
      <c r="A376" s="1133"/>
      <c r="B376" s="1133"/>
      <c r="C376" s="1133"/>
      <c r="D376" s="1133"/>
      <c r="E376" s="1133"/>
      <c r="F376" s="1133"/>
      <c r="G376" s="1133"/>
      <c r="H376" s="1133"/>
      <c r="I376" s="1133"/>
      <c r="J376" s="1133"/>
      <c r="K376" s="1133"/>
      <c r="L376" s="1133"/>
      <c r="M376" s="1133"/>
      <c r="N376" s="1133"/>
      <c r="O376" s="1133"/>
      <c r="P376" s="1133"/>
      <c r="Q376" s="1133"/>
      <c r="R376" s="1133"/>
      <c r="S376" s="1133"/>
      <c r="T376" s="1133"/>
      <c r="U376" s="1133"/>
      <c r="V376" s="1135"/>
      <c r="W376" s="1135"/>
    </row>
    <row r="377">
      <c r="A377" s="1133"/>
      <c r="B377" s="1133"/>
      <c r="C377" s="1133"/>
      <c r="D377" s="1133"/>
      <c r="E377" s="1133"/>
      <c r="F377" s="1133"/>
      <c r="G377" s="1133"/>
      <c r="H377" s="1133"/>
      <c r="I377" s="1133"/>
      <c r="J377" s="1133"/>
      <c r="K377" s="1133"/>
      <c r="L377" s="1133"/>
      <c r="M377" s="1133"/>
      <c r="N377" s="1133"/>
      <c r="O377" s="1133"/>
      <c r="P377" s="1133"/>
      <c r="Q377" s="1133"/>
      <c r="R377" s="1133"/>
      <c r="S377" s="1133"/>
      <c r="T377" s="1133"/>
      <c r="U377" s="1133"/>
      <c r="V377" s="1135"/>
      <c r="W377" s="1135"/>
    </row>
    <row r="378">
      <c r="A378" s="1133"/>
      <c r="B378" s="1133"/>
      <c r="C378" s="1133"/>
      <c r="D378" s="1133"/>
      <c r="E378" s="1133"/>
      <c r="F378" s="1133"/>
      <c r="G378" s="1133"/>
      <c r="H378" s="1133"/>
      <c r="I378" s="1133"/>
      <c r="J378" s="1133"/>
      <c r="K378" s="1133"/>
      <c r="L378" s="1133"/>
      <c r="M378" s="1133"/>
      <c r="N378" s="1133"/>
      <c r="O378" s="1133"/>
      <c r="P378" s="1133"/>
      <c r="Q378" s="1133"/>
      <c r="R378" s="1133"/>
      <c r="S378" s="1133"/>
      <c r="T378" s="1133"/>
      <c r="U378" s="1133"/>
      <c r="V378" s="1135"/>
      <c r="W378" s="1135"/>
    </row>
    <row r="379">
      <c r="A379" s="1133"/>
      <c r="B379" s="1133"/>
      <c r="C379" s="1133"/>
      <c r="D379" s="1133"/>
      <c r="E379" s="1133"/>
      <c r="F379" s="1133"/>
      <c r="G379" s="1133"/>
      <c r="H379" s="1133"/>
      <c r="I379" s="1133"/>
      <c r="J379" s="1133"/>
      <c r="K379" s="1133"/>
      <c r="L379" s="1133"/>
      <c r="M379" s="1133"/>
      <c r="N379" s="1133"/>
      <c r="O379" s="1133"/>
      <c r="P379" s="1133"/>
      <c r="Q379" s="1133"/>
      <c r="R379" s="1133"/>
      <c r="S379" s="1133"/>
      <c r="T379" s="1133"/>
      <c r="U379" s="1133"/>
      <c r="V379" s="1135"/>
      <c r="W379" s="1135"/>
    </row>
    <row r="380">
      <c r="A380" s="1133"/>
      <c r="B380" s="1133"/>
      <c r="C380" s="1133"/>
      <c r="D380" s="1133"/>
      <c r="E380" s="1133"/>
      <c r="F380" s="1133"/>
      <c r="G380" s="1133"/>
      <c r="H380" s="1133"/>
      <c r="I380" s="1133"/>
      <c r="J380" s="1133"/>
      <c r="K380" s="1133"/>
      <c r="L380" s="1133"/>
      <c r="M380" s="1133"/>
      <c r="N380" s="1133"/>
      <c r="O380" s="1133"/>
      <c r="P380" s="1133"/>
      <c r="Q380" s="1133"/>
      <c r="R380" s="1133"/>
      <c r="S380" s="1133"/>
      <c r="T380" s="1133"/>
      <c r="U380" s="1133"/>
      <c r="V380" s="1135"/>
      <c r="W380" s="1135"/>
    </row>
    <row r="381">
      <c r="A381" s="1133"/>
      <c r="B381" s="1133"/>
      <c r="C381" s="1133"/>
      <c r="D381" s="1133"/>
      <c r="E381" s="1133"/>
      <c r="F381" s="1133"/>
      <c r="G381" s="1133"/>
      <c r="H381" s="1133"/>
      <c r="I381" s="1133"/>
      <c r="J381" s="1133"/>
      <c r="K381" s="1133"/>
      <c r="L381" s="1133"/>
      <c r="M381" s="1133"/>
      <c r="N381" s="1133"/>
      <c r="O381" s="1133"/>
      <c r="P381" s="1133"/>
      <c r="Q381" s="1133"/>
      <c r="R381" s="1133"/>
      <c r="S381" s="1133"/>
      <c r="T381" s="1133"/>
      <c r="U381" s="1133"/>
      <c r="V381" s="1135"/>
      <c r="W381" s="1135"/>
    </row>
    <row r="382">
      <c r="A382" s="1133"/>
      <c r="B382" s="1133"/>
      <c r="C382" s="1133"/>
      <c r="D382" s="1133"/>
      <c r="E382" s="1133"/>
      <c r="F382" s="1133"/>
      <c r="G382" s="1133"/>
      <c r="H382" s="1133"/>
      <c r="I382" s="1133"/>
      <c r="J382" s="1133"/>
      <c r="K382" s="1133"/>
      <c r="L382" s="1133"/>
      <c r="M382" s="1133"/>
      <c r="N382" s="1133"/>
      <c r="O382" s="1133"/>
      <c r="P382" s="1133"/>
      <c r="Q382" s="1133"/>
      <c r="R382" s="1133"/>
      <c r="S382" s="1133"/>
      <c r="T382" s="1133"/>
      <c r="U382" s="1133"/>
      <c r="V382" s="1135"/>
      <c r="W382" s="1135"/>
    </row>
    <row r="383">
      <c r="A383" s="1133"/>
      <c r="B383" s="1133"/>
      <c r="C383" s="1133"/>
      <c r="D383" s="1133"/>
      <c r="E383" s="1133"/>
      <c r="F383" s="1133"/>
      <c r="G383" s="1133"/>
      <c r="H383" s="1133"/>
      <c r="I383" s="1133"/>
      <c r="J383" s="1133"/>
      <c r="K383" s="1133"/>
      <c r="L383" s="1133"/>
      <c r="M383" s="1133"/>
      <c r="N383" s="1133"/>
      <c r="O383" s="1133"/>
      <c r="P383" s="1133"/>
      <c r="Q383" s="1133"/>
      <c r="R383" s="1133"/>
      <c r="S383" s="1133"/>
      <c r="T383" s="1133"/>
      <c r="U383" s="1133"/>
      <c r="V383" s="1135"/>
      <c r="W383" s="1135"/>
    </row>
    <row r="384">
      <c r="A384" s="1133"/>
      <c r="B384" s="1133"/>
      <c r="C384" s="1133"/>
      <c r="D384" s="1133"/>
      <c r="E384" s="1133"/>
      <c r="F384" s="1133"/>
      <c r="G384" s="1133"/>
      <c r="H384" s="1133"/>
      <c r="I384" s="1133"/>
      <c r="J384" s="1133"/>
      <c r="K384" s="1133"/>
      <c r="L384" s="1133"/>
      <c r="M384" s="1133"/>
      <c r="N384" s="1133"/>
      <c r="O384" s="1133"/>
      <c r="P384" s="1133"/>
      <c r="Q384" s="1133"/>
      <c r="R384" s="1133"/>
      <c r="S384" s="1133"/>
      <c r="T384" s="1133"/>
      <c r="U384" s="1133"/>
      <c r="V384" s="1135"/>
      <c r="W384" s="1135"/>
    </row>
    <row r="385">
      <c r="A385" s="1133"/>
      <c r="B385" s="1133"/>
      <c r="C385" s="1133"/>
      <c r="D385" s="1133"/>
      <c r="E385" s="1133"/>
      <c r="F385" s="1133"/>
      <c r="G385" s="1133"/>
      <c r="H385" s="1133"/>
      <c r="I385" s="1133"/>
      <c r="J385" s="1133"/>
      <c r="K385" s="1133"/>
      <c r="L385" s="1133"/>
      <c r="M385" s="1133"/>
      <c r="N385" s="1133"/>
      <c r="O385" s="1133"/>
      <c r="P385" s="1133"/>
      <c r="Q385" s="1133"/>
      <c r="R385" s="1133"/>
      <c r="S385" s="1133"/>
      <c r="T385" s="1133"/>
      <c r="U385" s="1133"/>
      <c r="V385" s="1135"/>
      <c r="W385" s="1135"/>
    </row>
    <row r="386">
      <c r="A386" s="1133"/>
      <c r="B386" s="1133"/>
      <c r="C386" s="1133"/>
      <c r="D386" s="1133"/>
      <c r="E386" s="1133"/>
      <c r="F386" s="1133"/>
      <c r="G386" s="1133"/>
      <c r="H386" s="1133"/>
      <c r="I386" s="1133"/>
      <c r="J386" s="1133"/>
      <c r="K386" s="1133"/>
      <c r="L386" s="1133"/>
      <c r="M386" s="1133"/>
      <c r="N386" s="1133"/>
      <c r="O386" s="1133"/>
      <c r="P386" s="1133"/>
      <c r="Q386" s="1133"/>
      <c r="R386" s="1133"/>
      <c r="S386" s="1133"/>
      <c r="T386" s="1133"/>
      <c r="U386" s="1133"/>
      <c r="V386" s="1135"/>
      <c r="W386" s="1135"/>
    </row>
    <row r="387">
      <c r="A387" s="1133"/>
      <c r="B387" s="1133"/>
      <c r="C387" s="1133"/>
      <c r="D387" s="1133"/>
      <c r="E387" s="1133"/>
      <c r="F387" s="1133"/>
      <c r="G387" s="1133"/>
      <c r="H387" s="1133"/>
      <c r="I387" s="1133"/>
      <c r="J387" s="1133"/>
      <c r="K387" s="1133"/>
      <c r="L387" s="1133"/>
      <c r="M387" s="1133"/>
      <c r="N387" s="1133"/>
      <c r="O387" s="1133"/>
      <c r="P387" s="1133"/>
      <c r="Q387" s="1133"/>
      <c r="R387" s="1133"/>
      <c r="S387" s="1133"/>
      <c r="T387" s="1133"/>
      <c r="U387" s="1133"/>
      <c r="V387" s="1135"/>
      <c r="W387" s="1135"/>
    </row>
    <row r="388">
      <c r="A388" s="1133"/>
      <c r="B388" s="1133"/>
      <c r="C388" s="1133"/>
      <c r="D388" s="1133"/>
      <c r="E388" s="1133"/>
      <c r="F388" s="1133"/>
      <c r="G388" s="1133"/>
      <c r="H388" s="1133"/>
      <c r="I388" s="1133"/>
      <c r="J388" s="1133"/>
      <c r="K388" s="1133"/>
      <c r="L388" s="1133"/>
      <c r="M388" s="1133"/>
      <c r="N388" s="1133"/>
      <c r="O388" s="1133"/>
      <c r="P388" s="1133"/>
      <c r="Q388" s="1133"/>
      <c r="R388" s="1133"/>
      <c r="S388" s="1133"/>
      <c r="T388" s="1133"/>
      <c r="U388" s="1133"/>
      <c r="V388" s="1135"/>
      <c r="W388" s="1135"/>
    </row>
    <row r="389">
      <c r="A389" s="1133"/>
      <c r="B389" s="1133"/>
      <c r="C389" s="1133"/>
      <c r="D389" s="1133"/>
      <c r="E389" s="1133"/>
      <c r="F389" s="1133"/>
      <c r="G389" s="1133"/>
      <c r="H389" s="1133"/>
      <c r="I389" s="1133"/>
      <c r="J389" s="1133"/>
      <c r="K389" s="1133"/>
      <c r="L389" s="1133"/>
      <c r="M389" s="1133"/>
      <c r="N389" s="1133"/>
      <c r="O389" s="1133"/>
      <c r="P389" s="1133"/>
      <c r="Q389" s="1133"/>
      <c r="R389" s="1133"/>
      <c r="S389" s="1133"/>
      <c r="T389" s="1133"/>
      <c r="U389" s="1133"/>
      <c r="V389" s="1135"/>
      <c r="W389" s="1135"/>
    </row>
    <row r="390">
      <c r="A390" s="1133"/>
      <c r="B390" s="1133"/>
      <c r="C390" s="1133"/>
      <c r="D390" s="1133"/>
      <c r="E390" s="1133"/>
      <c r="F390" s="1133"/>
      <c r="G390" s="1133"/>
      <c r="H390" s="1133"/>
      <c r="I390" s="1133"/>
      <c r="J390" s="1133"/>
      <c r="K390" s="1133"/>
      <c r="L390" s="1133"/>
      <c r="M390" s="1133"/>
      <c r="N390" s="1133"/>
      <c r="O390" s="1133"/>
      <c r="P390" s="1133"/>
      <c r="Q390" s="1133"/>
      <c r="R390" s="1133"/>
      <c r="S390" s="1133"/>
      <c r="T390" s="1133"/>
      <c r="U390" s="1133"/>
      <c r="V390" s="1135"/>
      <c r="W390" s="1135"/>
    </row>
    <row r="391">
      <c r="A391" s="1133"/>
      <c r="B391" s="1133"/>
      <c r="C391" s="1133"/>
      <c r="D391" s="1133"/>
      <c r="E391" s="1133"/>
      <c r="F391" s="1133"/>
      <c r="G391" s="1133"/>
      <c r="H391" s="1133"/>
      <c r="I391" s="1133"/>
      <c r="J391" s="1133"/>
      <c r="K391" s="1133"/>
      <c r="L391" s="1133"/>
      <c r="M391" s="1133"/>
      <c r="N391" s="1133"/>
      <c r="O391" s="1133"/>
      <c r="P391" s="1133"/>
      <c r="Q391" s="1133"/>
      <c r="R391" s="1133"/>
      <c r="S391" s="1133"/>
      <c r="T391" s="1133"/>
      <c r="U391" s="1133"/>
      <c r="V391" s="1135"/>
      <c r="W391" s="1135"/>
    </row>
    <row r="392">
      <c r="A392" s="1133"/>
      <c r="B392" s="1133"/>
      <c r="C392" s="1133"/>
      <c r="D392" s="1133"/>
      <c r="E392" s="1133"/>
      <c r="F392" s="1133"/>
      <c r="G392" s="1133"/>
      <c r="H392" s="1133"/>
      <c r="I392" s="1133"/>
      <c r="J392" s="1133"/>
      <c r="K392" s="1133"/>
      <c r="L392" s="1133"/>
      <c r="M392" s="1133"/>
      <c r="N392" s="1133"/>
      <c r="O392" s="1133"/>
      <c r="P392" s="1133"/>
      <c r="Q392" s="1133"/>
      <c r="R392" s="1133"/>
      <c r="S392" s="1133"/>
      <c r="T392" s="1133"/>
      <c r="U392" s="1133"/>
      <c r="V392" s="1135"/>
      <c r="W392" s="1135"/>
    </row>
    <row r="393">
      <c r="A393" s="1133"/>
      <c r="B393" s="1133"/>
      <c r="C393" s="1133"/>
      <c r="D393" s="1133"/>
      <c r="E393" s="1133"/>
      <c r="F393" s="1133"/>
      <c r="G393" s="1133"/>
      <c r="H393" s="1133"/>
      <c r="I393" s="1133"/>
      <c r="J393" s="1133"/>
      <c r="K393" s="1133"/>
      <c r="L393" s="1133"/>
      <c r="M393" s="1133"/>
      <c r="N393" s="1133"/>
      <c r="O393" s="1133"/>
      <c r="P393" s="1133"/>
      <c r="Q393" s="1133"/>
      <c r="R393" s="1133"/>
      <c r="S393" s="1133"/>
      <c r="T393" s="1133"/>
      <c r="U393" s="1133"/>
      <c r="V393" s="1135"/>
      <c r="W393" s="1135"/>
    </row>
    <row r="394">
      <c r="A394" s="1133"/>
      <c r="B394" s="1133"/>
      <c r="C394" s="1133"/>
      <c r="D394" s="1133"/>
      <c r="E394" s="1133"/>
      <c r="F394" s="1133"/>
      <c r="G394" s="1133"/>
      <c r="H394" s="1133"/>
      <c r="I394" s="1133"/>
      <c r="J394" s="1133"/>
      <c r="K394" s="1133"/>
      <c r="L394" s="1133"/>
      <c r="M394" s="1133"/>
      <c r="N394" s="1133"/>
      <c r="O394" s="1133"/>
      <c r="P394" s="1133"/>
      <c r="Q394" s="1133"/>
      <c r="R394" s="1133"/>
      <c r="S394" s="1133"/>
      <c r="T394" s="1133"/>
      <c r="U394" s="1133"/>
      <c r="V394" s="1135"/>
      <c r="W394" s="1135"/>
    </row>
    <row r="395">
      <c r="A395" s="1133"/>
      <c r="B395" s="1133"/>
      <c r="C395" s="1133"/>
      <c r="D395" s="1133"/>
      <c r="E395" s="1133"/>
      <c r="F395" s="1133"/>
      <c r="G395" s="1133"/>
      <c r="H395" s="1133"/>
      <c r="I395" s="1133"/>
      <c r="J395" s="1133"/>
      <c r="K395" s="1133"/>
      <c r="L395" s="1133"/>
      <c r="M395" s="1133"/>
      <c r="N395" s="1133"/>
      <c r="O395" s="1133"/>
      <c r="P395" s="1133"/>
      <c r="Q395" s="1133"/>
      <c r="R395" s="1133"/>
      <c r="S395" s="1133"/>
      <c r="T395" s="1133"/>
      <c r="U395" s="1133"/>
      <c r="V395" s="1135"/>
      <c r="W395" s="1135"/>
    </row>
    <row r="396">
      <c r="A396" s="1133"/>
      <c r="B396" s="1133"/>
      <c r="C396" s="1133"/>
      <c r="D396" s="1133"/>
      <c r="E396" s="1133"/>
      <c r="F396" s="1133"/>
      <c r="G396" s="1133"/>
      <c r="H396" s="1133"/>
      <c r="I396" s="1133"/>
      <c r="J396" s="1133"/>
      <c r="K396" s="1133"/>
      <c r="L396" s="1133"/>
      <c r="M396" s="1133"/>
      <c r="N396" s="1133"/>
      <c r="O396" s="1133"/>
      <c r="P396" s="1133"/>
      <c r="Q396" s="1133"/>
      <c r="R396" s="1133"/>
      <c r="S396" s="1133"/>
      <c r="T396" s="1133"/>
      <c r="U396" s="1133"/>
      <c r="V396" s="1135"/>
      <c r="W396" s="1135"/>
    </row>
    <row r="397">
      <c r="A397" s="1133"/>
      <c r="B397" s="1133"/>
      <c r="C397" s="1133"/>
      <c r="D397" s="1133"/>
      <c r="E397" s="1133"/>
      <c r="F397" s="1133"/>
      <c r="G397" s="1133"/>
      <c r="H397" s="1133"/>
      <c r="I397" s="1133"/>
      <c r="J397" s="1133"/>
      <c r="K397" s="1133"/>
      <c r="L397" s="1133"/>
      <c r="M397" s="1133"/>
      <c r="N397" s="1133"/>
      <c r="O397" s="1133"/>
      <c r="P397" s="1133"/>
      <c r="Q397" s="1133"/>
      <c r="R397" s="1133"/>
      <c r="S397" s="1133"/>
      <c r="T397" s="1133"/>
      <c r="U397" s="1133"/>
      <c r="V397" s="1135"/>
      <c r="W397" s="1135"/>
    </row>
    <row r="398">
      <c r="A398" s="1133"/>
      <c r="B398" s="1133"/>
      <c r="C398" s="1133"/>
      <c r="D398" s="1133"/>
      <c r="E398" s="1133"/>
      <c r="F398" s="1133"/>
      <c r="G398" s="1133"/>
      <c r="H398" s="1133"/>
      <c r="I398" s="1133"/>
      <c r="J398" s="1133"/>
      <c r="K398" s="1133"/>
      <c r="L398" s="1133"/>
      <c r="M398" s="1133"/>
      <c r="N398" s="1133"/>
      <c r="O398" s="1133"/>
      <c r="P398" s="1133"/>
      <c r="Q398" s="1133"/>
      <c r="R398" s="1133"/>
      <c r="S398" s="1133"/>
      <c r="T398" s="1133"/>
      <c r="U398" s="1133"/>
      <c r="V398" s="1135"/>
      <c r="W398" s="1135"/>
    </row>
    <row r="399">
      <c r="A399" s="1133"/>
      <c r="B399" s="1133"/>
      <c r="C399" s="1133"/>
      <c r="D399" s="1133"/>
      <c r="E399" s="1133"/>
      <c r="F399" s="1133"/>
      <c r="G399" s="1133"/>
      <c r="H399" s="1133"/>
      <c r="I399" s="1133"/>
      <c r="J399" s="1133"/>
      <c r="K399" s="1133"/>
      <c r="L399" s="1133"/>
      <c r="M399" s="1133"/>
      <c r="N399" s="1133"/>
      <c r="O399" s="1133"/>
      <c r="P399" s="1133"/>
      <c r="Q399" s="1133"/>
      <c r="R399" s="1133"/>
      <c r="S399" s="1133"/>
      <c r="T399" s="1133"/>
      <c r="U399" s="1133"/>
      <c r="V399" s="1135"/>
      <c r="W399" s="1135"/>
    </row>
    <row r="400">
      <c r="A400" s="1133"/>
      <c r="B400" s="1133"/>
      <c r="C400" s="1133"/>
      <c r="D400" s="1133"/>
      <c r="E400" s="1133"/>
      <c r="F400" s="1133"/>
      <c r="G400" s="1133"/>
      <c r="H400" s="1133"/>
      <c r="I400" s="1133"/>
      <c r="J400" s="1133"/>
      <c r="K400" s="1133"/>
      <c r="L400" s="1133"/>
      <c r="M400" s="1133"/>
      <c r="N400" s="1133"/>
      <c r="O400" s="1133"/>
      <c r="P400" s="1133"/>
      <c r="Q400" s="1133"/>
      <c r="R400" s="1133"/>
      <c r="S400" s="1133"/>
      <c r="T400" s="1133"/>
      <c r="U400" s="1133"/>
      <c r="V400" s="1135"/>
      <c r="W400" s="1135"/>
    </row>
    <row r="401">
      <c r="A401" s="1133"/>
      <c r="B401" s="1133"/>
      <c r="C401" s="1133"/>
      <c r="D401" s="1133"/>
      <c r="E401" s="1133"/>
      <c r="F401" s="1133"/>
      <c r="G401" s="1133"/>
      <c r="H401" s="1133"/>
      <c r="I401" s="1133"/>
      <c r="J401" s="1133"/>
      <c r="K401" s="1133"/>
      <c r="L401" s="1133"/>
      <c r="M401" s="1133"/>
      <c r="N401" s="1133"/>
      <c r="O401" s="1133"/>
      <c r="P401" s="1133"/>
      <c r="Q401" s="1133"/>
      <c r="R401" s="1133"/>
      <c r="S401" s="1133"/>
      <c r="T401" s="1133"/>
      <c r="U401" s="1133"/>
      <c r="V401" s="1135"/>
      <c r="W401" s="1135"/>
    </row>
    <row r="402">
      <c r="A402" s="1133"/>
      <c r="B402" s="1133"/>
      <c r="C402" s="1133"/>
      <c r="D402" s="1133"/>
      <c r="E402" s="1133"/>
      <c r="F402" s="1133"/>
      <c r="G402" s="1133"/>
      <c r="H402" s="1133"/>
      <c r="I402" s="1133"/>
      <c r="J402" s="1133"/>
      <c r="K402" s="1133"/>
      <c r="L402" s="1133"/>
      <c r="M402" s="1133"/>
      <c r="N402" s="1133"/>
      <c r="O402" s="1133"/>
      <c r="P402" s="1133"/>
      <c r="Q402" s="1133"/>
      <c r="R402" s="1133"/>
      <c r="S402" s="1133"/>
      <c r="T402" s="1133"/>
      <c r="U402" s="1133"/>
      <c r="V402" s="1135"/>
      <c r="W402" s="1135"/>
    </row>
    <row r="403">
      <c r="A403" s="1133"/>
      <c r="B403" s="1133"/>
      <c r="C403" s="1133"/>
      <c r="D403" s="1133"/>
      <c r="E403" s="1133"/>
      <c r="F403" s="1133"/>
      <c r="G403" s="1133"/>
      <c r="H403" s="1133"/>
      <c r="I403" s="1133"/>
      <c r="J403" s="1133"/>
      <c r="K403" s="1133"/>
      <c r="L403" s="1133"/>
      <c r="M403" s="1133"/>
      <c r="N403" s="1133"/>
      <c r="O403" s="1133"/>
      <c r="P403" s="1133"/>
      <c r="Q403" s="1133"/>
      <c r="R403" s="1133"/>
      <c r="S403" s="1133"/>
      <c r="T403" s="1133"/>
      <c r="U403" s="1133"/>
      <c r="V403" s="1135"/>
      <c r="W403" s="1135"/>
    </row>
    <row r="404">
      <c r="A404" s="1133"/>
      <c r="B404" s="1133"/>
      <c r="C404" s="1133"/>
      <c r="D404" s="1133"/>
      <c r="E404" s="1133"/>
      <c r="F404" s="1133"/>
      <c r="G404" s="1133"/>
      <c r="H404" s="1133"/>
      <c r="I404" s="1133"/>
      <c r="J404" s="1133"/>
      <c r="K404" s="1133"/>
      <c r="L404" s="1133"/>
      <c r="M404" s="1133"/>
      <c r="N404" s="1133"/>
      <c r="O404" s="1133"/>
      <c r="P404" s="1133"/>
      <c r="Q404" s="1133"/>
      <c r="R404" s="1133"/>
      <c r="S404" s="1133"/>
      <c r="T404" s="1133"/>
      <c r="U404" s="1133"/>
      <c r="V404" s="1135"/>
      <c r="W404" s="1135"/>
    </row>
    <row r="405">
      <c r="A405" s="1133"/>
      <c r="B405" s="1133"/>
      <c r="C405" s="1133"/>
      <c r="D405" s="1133"/>
      <c r="E405" s="1133"/>
      <c r="F405" s="1133"/>
      <c r="G405" s="1133"/>
      <c r="H405" s="1133"/>
      <c r="I405" s="1133"/>
      <c r="J405" s="1133"/>
      <c r="K405" s="1133"/>
      <c r="L405" s="1133"/>
      <c r="M405" s="1133"/>
      <c r="N405" s="1133"/>
      <c r="O405" s="1133"/>
      <c r="P405" s="1133"/>
      <c r="Q405" s="1133"/>
      <c r="R405" s="1133"/>
      <c r="S405" s="1133"/>
      <c r="T405" s="1133"/>
      <c r="U405" s="1133"/>
      <c r="V405" s="1135"/>
      <c r="W405" s="1135"/>
    </row>
    <row r="406">
      <c r="A406" s="1133"/>
      <c r="B406" s="1133"/>
      <c r="C406" s="1133"/>
      <c r="D406" s="1133"/>
      <c r="E406" s="1133"/>
      <c r="F406" s="1133"/>
      <c r="G406" s="1133"/>
      <c r="H406" s="1133"/>
      <c r="I406" s="1133"/>
      <c r="J406" s="1133"/>
      <c r="K406" s="1133"/>
      <c r="L406" s="1133"/>
      <c r="M406" s="1133"/>
      <c r="N406" s="1133"/>
      <c r="O406" s="1133"/>
      <c r="P406" s="1133"/>
      <c r="Q406" s="1133"/>
      <c r="R406" s="1133"/>
      <c r="S406" s="1133"/>
      <c r="T406" s="1133"/>
      <c r="U406" s="1133"/>
      <c r="V406" s="1135"/>
      <c r="W406" s="1135"/>
    </row>
    <row r="407">
      <c r="A407" s="1133"/>
      <c r="B407" s="1133"/>
      <c r="C407" s="1133"/>
      <c r="D407" s="1133"/>
      <c r="E407" s="1133"/>
      <c r="F407" s="1133"/>
      <c r="G407" s="1133"/>
      <c r="H407" s="1133"/>
      <c r="I407" s="1133"/>
      <c r="J407" s="1133"/>
      <c r="K407" s="1133"/>
      <c r="L407" s="1133"/>
      <c r="M407" s="1133"/>
      <c r="N407" s="1133"/>
      <c r="O407" s="1133"/>
      <c r="P407" s="1133"/>
      <c r="Q407" s="1133"/>
      <c r="R407" s="1133"/>
      <c r="S407" s="1133"/>
      <c r="T407" s="1133"/>
      <c r="U407" s="1133"/>
      <c r="V407" s="1135"/>
      <c r="W407" s="1135"/>
    </row>
    <row r="408">
      <c r="A408" s="1133"/>
      <c r="B408" s="1133"/>
      <c r="C408" s="1133"/>
      <c r="D408" s="1133"/>
      <c r="E408" s="1133"/>
      <c r="F408" s="1133"/>
      <c r="G408" s="1133"/>
      <c r="H408" s="1133"/>
      <c r="I408" s="1133"/>
      <c r="J408" s="1133"/>
      <c r="K408" s="1133"/>
      <c r="L408" s="1133"/>
      <c r="M408" s="1133"/>
      <c r="N408" s="1133"/>
      <c r="O408" s="1133"/>
      <c r="P408" s="1133"/>
      <c r="Q408" s="1133"/>
      <c r="R408" s="1133"/>
      <c r="S408" s="1133"/>
      <c r="T408" s="1133"/>
      <c r="U408" s="1133"/>
      <c r="V408" s="1135"/>
      <c r="W408" s="1135"/>
    </row>
    <row r="409">
      <c r="A409" s="1133"/>
      <c r="B409" s="1133"/>
      <c r="C409" s="1133"/>
      <c r="D409" s="1133"/>
      <c r="E409" s="1133"/>
      <c r="F409" s="1133"/>
      <c r="G409" s="1133"/>
      <c r="H409" s="1133"/>
      <c r="I409" s="1133"/>
      <c r="J409" s="1133"/>
      <c r="K409" s="1133"/>
      <c r="L409" s="1133"/>
      <c r="M409" s="1133"/>
      <c r="N409" s="1133"/>
      <c r="O409" s="1133"/>
      <c r="P409" s="1133"/>
      <c r="Q409" s="1133"/>
      <c r="R409" s="1133"/>
      <c r="S409" s="1133"/>
      <c r="T409" s="1133"/>
      <c r="U409" s="1133"/>
      <c r="V409" s="1135"/>
      <c r="W409" s="1135"/>
    </row>
    <row r="410">
      <c r="A410" s="1133"/>
      <c r="B410" s="1133"/>
      <c r="C410" s="1133"/>
      <c r="D410" s="1133"/>
      <c r="E410" s="1133"/>
      <c r="F410" s="1133"/>
      <c r="G410" s="1133"/>
      <c r="H410" s="1133"/>
      <c r="I410" s="1133"/>
      <c r="J410" s="1133"/>
      <c r="K410" s="1133"/>
      <c r="L410" s="1133"/>
      <c r="M410" s="1133"/>
      <c r="N410" s="1133"/>
      <c r="O410" s="1133"/>
      <c r="P410" s="1133"/>
      <c r="Q410" s="1133"/>
      <c r="R410" s="1133"/>
      <c r="S410" s="1133"/>
      <c r="T410" s="1133"/>
      <c r="U410" s="1133"/>
      <c r="V410" s="1135"/>
      <c r="W410" s="1135"/>
    </row>
    <row r="411">
      <c r="A411" s="1133"/>
      <c r="B411" s="1133"/>
      <c r="C411" s="1133"/>
      <c r="D411" s="1133"/>
      <c r="E411" s="1133"/>
      <c r="F411" s="1133"/>
      <c r="G411" s="1133"/>
      <c r="H411" s="1133"/>
      <c r="I411" s="1133"/>
      <c r="J411" s="1133"/>
      <c r="K411" s="1133"/>
      <c r="L411" s="1133"/>
      <c r="M411" s="1133"/>
      <c r="N411" s="1133"/>
      <c r="O411" s="1133"/>
      <c r="P411" s="1133"/>
      <c r="Q411" s="1133"/>
      <c r="R411" s="1133"/>
      <c r="S411" s="1133"/>
      <c r="T411" s="1133"/>
      <c r="U411" s="1133"/>
      <c r="V411" s="1135"/>
      <c r="W411" s="1135"/>
    </row>
    <row r="412">
      <c r="A412" s="1133"/>
      <c r="B412" s="1133"/>
      <c r="C412" s="1133"/>
      <c r="D412" s="1133"/>
      <c r="E412" s="1133"/>
      <c r="F412" s="1133"/>
      <c r="G412" s="1133"/>
      <c r="H412" s="1133"/>
      <c r="I412" s="1133"/>
      <c r="J412" s="1133"/>
      <c r="K412" s="1133"/>
      <c r="L412" s="1133"/>
      <c r="M412" s="1133"/>
      <c r="N412" s="1133"/>
      <c r="O412" s="1133"/>
      <c r="P412" s="1133"/>
      <c r="Q412" s="1133"/>
      <c r="R412" s="1133"/>
      <c r="S412" s="1133"/>
      <c r="T412" s="1133"/>
      <c r="U412" s="1133"/>
      <c r="V412" s="1135"/>
      <c r="W412" s="1135"/>
    </row>
    <row r="413">
      <c r="A413" s="1133"/>
      <c r="B413" s="1133"/>
      <c r="C413" s="1133"/>
      <c r="D413" s="1133"/>
      <c r="E413" s="1133"/>
      <c r="F413" s="1133"/>
      <c r="G413" s="1133"/>
      <c r="H413" s="1133"/>
      <c r="I413" s="1133"/>
      <c r="J413" s="1133"/>
      <c r="K413" s="1133"/>
      <c r="L413" s="1133"/>
      <c r="M413" s="1133"/>
      <c r="N413" s="1133"/>
      <c r="O413" s="1133"/>
      <c r="P413" s="1133"/>
      <c r="Q413" s="1133"/>
      <c r="R413" s="1133"/>
      <c r="S413" s="1133"/>
      <c r="T413" s="1133"/>
      <c r="U413" s="1133"/>
      <c r="V413" s="1135"/>
      <c r="W413" s="1135"/>
    </row>
    <row r="414">
      <c r="A414" s="1133"/>
      <c r="B414" s="1133"/>
      <c r="C414" s="1133"/>
      <c r="D414" s="1133"/>
      <c r="E414" s="1133"/>
      <c r="F414" s="1133"/>
      <c r="G414" s="1133"/>
      <c r="H414" s="1133"/>
      <c r="I414" s="1133"/>
      <c r="J414" s="1133"/>
      <c r="K414" s="1133"/>
      <c r="L414" s="1133"/>
      <c r="M414" s="1133"/>
      <c r="N414" s="1133"/>
      <c r="O414" s="1133"/>
      <c r="P414" s="1133"/>
      <c r="Q414" s="1133"/>
      <c r="R414" s="1133"/>
      <c r="S414" s="1133"/>
      <c r="T414" s="1133"/>
      <c r="U414" s="1133"/>
      <c r="V414" s="1135"/>
      <c r="W414" s="1135"/>
    </row>
    <row r="415">
      <c r="A415" s="1133"/>
      <c r="B415" s="1133"/>
      <c r="C415" s="1133"/>
      <c r="D415" s="1133"/>
      <c r="E415" s="1133"/>
      <c r="F415" s="1133"/>
      <c r="G415" s="1133"/>
      <c r="H415" s="1133"/>
      <c r="I415" s="1133"/>
      <c r="J415" s="1133"/>
      <c r="K415" s="1133"/>
      <c r="L415" s="1133"/>
      <c r="M415" s="1133"/>
      <c r="N415" s="1133"/>
      <c r="O415" s="1133"/>
      <c r="P415" s="1133"/>
      <c r="Q415" s="1133"/>
      <c r="R415" s="1133"/>
      <c r="S415" s="1133"/>
      <c r="T415" s="1133"/>
      <c r="U415" s="1133"/>
      <c r="V415" s="1135"/>
      <c r="W415" s="1135"/>
    </row>
    <row r="416">
      <c r="A416" s="1133"/>
      <c r="B416" s="1133"/>
      <c r="C416" s="1133"/>
      <c r="D416" s="1133"/>
      <c r="E416" s="1133"/>
      <c r="F416" s="1133"/>
      <c r="G416" s="1133"/>
      <c r="H416" s="1133"/>
      <c r="I416" s="1133"/>
      <c r="J416" s="1133"/>
      <c r="K416" s="1133"/>
      <c r="L416" s="1133"/>
      <c r="M416" s="1133"/>
      <c r="N416" s="1133"/>
      <c r="O416" s="1133"/>
      <c r="P416" s="1133"/>
      <c r="Q416" s="1133"/>
      <c r="R416" s="1133"/>
      <c r="S416" s="1133"/>
      <c r="T416" s="1133"/>
      <c r="U416" s="1133"/>
      <c r="V416" s="1135"/>
      <c r="W416" s="1135"/>
    </row>
    <row r="417">
      <c r="A417" s="1133"/>
      <c r="B417" s="1133"/>
      <c r="C417" s="1133"/>
      <c r="D417" s="1133"/>
      <c r="E417" s="1133"/>
      <c r="F417" s="1133"/>
      <c r="G417" s="1133"/>
      <c r="H417" s="1133"/>
      <c r="I417" s="1133"/>
      <c r="J417" s="1133"/>
      <c r="K417" s="1133"/>
      <c r="L417" s="1133"/>
      <c r="M417" s="1133"/>
      <c r="N417" s="1133"/>
      <c r="O417" s="1133"/>
      <c r="P417" s="1133"/>
      <c r="Q417" s="1133"/>
      <c r="R417" s="1133"/>
      <c r="S417" s="1133"/>
      <c r="T417" s="1133"/>
      <c r="U417" s="1133"/>
      <c r="V417" s="1135"/>
      <c r="W417" s="1135"/>
    </row>
    <row r="418">
      <c r="A418" s="1133"/>
      <c r="B418" s="1133"/>
      <c r="C418" s="1133"/>
      <c r="D418" s="1133"/>
      <c r="E418" s="1133"/>
      <c r="F418" s="1133"/>
      <c r="G418" s="1133"/>
      <c r="H418" s="1133"/>
      <c r="I418" s="1133"/>
      <c r="J418" s="1133"/>
      <c r="K418" s="1133"/>
      <c r="L418" s="1133"/>
      <c r="M418" s="1133"/>
      <c r="N418" s="1133"/>
      <c r="O418" s="1133"/>
      <c r="P418" s="1133"/>
      <c r="Q418" s="1133"/>
      <c r="R418" s="1133"/>
      <c r="S418" s="1133"/>
      <c r="T418" s="1133"/>
      <c r="U418" s="1133"/>
      <c r="V418" s="1135"/>
      <c r="W418" s="1135"/>
    </row>
    <row r="419">
      <c r="A419" s="1133"/>
      <c r="B419" s="1133"/>
      <c r="C419" s="1133"/>
      <c r="D419" s="1133"/>
      <c r="E419" s="1133"/>
      <c r="F419" s="1133"/>
      <c r="G419" s="1133"/>
      <c r="H419" s="1133"/>
      <c r="I419" s="1133"/>
      <c r="J419" s="1133"/>
      <c r="K419" s="1133"/>
      <c r="L419" s="1133"/>
      <c r="M419" s="1133"/>
      <c r="N419" s="1133"/>
      <c r="O419" s="1133"/>
      <c r="P419" s="1133"/>
      <c r="Q419" s="1133"/>
      <c r="R419" s="1133"/>
      <c r="S419" s="1133"/>
      <c r="T419" s="1133"/>
      <c r="U419" s="1133"/>
      <c r="V419" s="1135"/>
      <c r="W419" s="1135"/>
    </row>
    <row r="420">
      <c r="A420" s="1133"/>
      <c r="B420" s="1133"/>
      <c r="C420" s="1133"/>
      <c r="D420" s="1133"/>
      <c r="E420" s="1133"/>
      <c r="F420" s="1133"/>
      <c r="G420" s="1133"/>
      <c r="H420" s="1133"/>
      <c r="I420" s="1133"/>
      <c r="J420" s="1133"/>
      <c r="K420" s="1133"/>
      <c r="L420" s="1133"/>
      <c r="M420" s="1133"/>
      <c r="N420" s="1133"/>
      <c r="O420" s="1133"/>
      <c r="P420" s="1133"/>
      <c r="Q420" s="1133"/>
      <c r="R420" s="1133"/>
      <c r="S420" s="1133"/>
      <c r="T420" s="1133"/>
      <c r="U420" s="1133"/>
      <c r="V420" s="1135"/>
      <c r="W420" s="1135"/>
    </row>
    <row r="421">
      <c r="A421" s="1133"/>
      <c r="B421" s="1133"/>
      <c r="C421" s="1133"/>
      <c r="D421" s="1133"/>
      <c r="E421" s="1133"/>
      <c r="F421" s="1133"/>
      <c r="G421" s="1133"/>
      <c r="H421" s="1133"/>
      <c r="I421" s="1133"/>
      <c r="J421" s="1133"/>
      <c r="K421" s="1133"/>
      <c r="L421" s="1133"/>
      <c r="M421" s="1133"/>
      <c r="N421" s="1133"/>
      <c r="O421" s="1133"/>
      <c r="P421" s="1133"/>
      <c r="Q421" s="1133"/>
      <c r="R421" s="1133"/>
      <c r="S421" s="1133"/>
      <c r="T421" s="1133"/>
      <c r="U421" s="1133"/>
      <c r="V421" s="1135"/>
      <c r="W421" s="1135"/>
    </row>
    <row r="422">
      <c r="A422" s="1133"/>
      <c r="B422" s="1133"/>
      <c r="C422" s="1133"/>
      <c r="D422" s="1133"/>
      <c r="E422" s="1133"/>
      <c r="F422" s="1133"/>
      <c r="G422" s="1133"/>
      <c r="H422" s="1133"/>
      <c r="I422" s="1133"/>
      <c r="J422" s="1133"/>
      <c r="K422" s="1133"/>
      <c r="L422" s="1133"/>
      <c r="M422" s="1133"/>
      <c r="N422" s="1133"/>
      <c r="O422" s="1133"/>
      <c r="P422" s="1133"/>
      <c r="Q422" s="1133"/>
      <c r="R422" s="1133"/>
      <c r="S422" s="1133"/>
      <c r="T422" s="1133"/>
      <c r="U422" s="1133"/>
      <c r="V422" s="1135"/>
      <c r="W422" s="1135"/>
    </row>
    <row r="423">
      <c r="A423" s="1133"/>
      <c r="B423" s="1133"/>
      <c r="C423" s="1133"/>
      <c r="D423" s="1133"/>
      <c r="E423" s="1133"/>
      <c r="F423" s="1133"/>
      <c r="G423" s="1133"/>
      <c r="H423" s="1133"/>
      <c r="I423" s="1133"/>
      <c r="J423" s="1133"/>
      <c r="K423" s="1133"/>
      <c r="L423" s="1133"/>
      <c r="M423" s="1133"/>
      <c r="N423" s="1133"/>
      <c r="O423" s="1133"/>
      <c r="P423" s="1133"/>
      <c r="Q423" s="1133"/>
      <c r="R423" s="1133"/>
      <c r="S423" s="1133"/>
      <c r="T423" s="1133"/>
      <c r="U423" s="1133"/>
      <c r="V423" s="1135"/>
      <c r="W423" s="1135"/>
    </row>
    <row r="424">
      <c r="A424" s="1133"/>
      <c r="B424" s="1133"/>
      <c r="C424" s="1133"/>
      <c r="D424" s="1133"/>
      <c r="E424" s="1133"/>
      <c r="F424" s="1133"/>
      <c r="G424" s="1133"/>
      <c r="H424" s="1133"/>
      <c r="I424" s="1133"/>
      <c r="J424" s="1133"/>
      <c r="K424" s="1133"/>
      <c r="L424" s="1133"/>
      <c r="M424" s="1133"/>
      <c r="N424" s="1133"/>
      <c r="O424" s="1133"/>
      <c r="P424" s="1133"/>
      <c r="Q424" s="1133"/>
      <c r="R424" s="1133"/>
      <c r="S424" s="1133"/>
      <c r="T424" s="1133"/>
      <c r="U424" s="1133"/>
      <c r="V424" s="1135"/>
      <c r="W424" s="1135"/>
    </row>
    <row r="425">
      <c r="A425" s="1133"/>
      <c r="B425" s="1133"/>
      <c r="C425" s="1133"/>
      <c r="D425" s="1133"/>
      <c r="E425" s="1133"/>
      <c r="F425" s="1133"/>
      <c r="G425" s="1133"/>
      <c r="H425" s="1133"/>
      <c r="I425" s="1133"/>
      <c r="J425" s="1133"/>
      <c r="K425" s="1133"/>
      <c r="L425" s="1133"/>
      <c r="M425" s="1133"/>
      <c r="N425" s="1133"/>
      <c r="O425" s="1133"/>
      <c r="P425" s="1133"/>
      <c r="Q425" s="1133"/>
      <c r="R425" s="1133"/>
      <c r="S425" s="1133"/>
      <c r="T425" s="1133"/>
      <c r="U425" s="1133"/>
      <c r="V425" s="1135"/>
      <c r="W425" s="1135"/>
    </row>
    <row r="426">
      <c r="A426" s="1133"/>
      <c r="B426" s="1133"/>
      <c r="C426" s="1133"/>
      <c r="D426" s="1133"/>
      <c r="E426" s="1133"/>
      <c r="F426" s="1133"/>
      <c r="G426" s="1133"/>
      <c r="H426" s="1133"/>
      <c r="I426" s="1133"/>
      <c r="J426" s="1133"/>
      <c r="K426" s="1133"/>
      <c r="L426" s="1133"/>
      <c r="M426" s="1133"/>
      <c r="N426" s="1133"/>
      <c r="O426" s="1133"/>
      <c r="P426" s="1133"/>
      <c r="Q426" s="1133"/>
      <c r="R426" s="1133"/>
      <c r="S426" s="1133"/>
      <c r="T426" s="1133"/>
      <c r="U426" s="1133"/>
      <c r="V426" s="1135"/>
      <c r="W426" s="1135"/>
    </row>
    <row r="427">
      <c r="A427" s="1133"/>
      <c r="B427" s="1133"/>
      <c r="C427" s="1133"/>
      <c r="D427" s="1133"/>
      <c r="E427" s="1133"/>
      <c r="F427" s="1133"/>
      <c r="G427" s="1133"/>
      <c r="H427" s="1133"/>
      <c r="I427" s="1133"/>
      <c r="J427" s="1133"/>
      <c r="K427" s="1133"/>
      <c r="L427" s="1133"/>
      <c r="M427" s="1133"/>
      <c r="N427" s="1133"/>
      <c r="O427" s="1133"/>
      <c r="P427" s="1133"/>
      <c r="Q427" s="1133"/>
      <c r="R427" s="1133"/>
      <c r="S427" s="1133"/>
      <c r="T427" s="1133"/>
      <c r="U427" s="1133"/>
      <c r="V427" s="1135"/>
      <c r="W427" s="1135"/>
    </row>
    <row r="428">
      <c r="A428" s="1133"/>
      <c r="B428" s="1133"/>
      <c r="C428" s="1133"/>
      <c r="D428" s="1133"/>
      <c r="E428" s="1133"/>
      <c r="F428" s="1133"/>
      <c r="G428" s="1133"/>
      <c r="H428" s="1133"/>
      <c r="I428" s="1133"/>
      <c r="J428" s="1133"/>
      <c r="K428" s="1133"/>
      <c r="L428" s="1133"/>
      <c r="M428" s="1133"/>
      <c r="N428" s="1133"/>
      <c r="O428" s="1133"/>
      <c r="P428" s="1133"/>
      <c r="Q428" s="1133"/>
      <c r="R428" s="1133"/>
      <c r="S428" s="1133"/>
      <c r="T428" s="1133"/>
      <c r="U428" s="1133"/>
      <c r="V428" s="1135"/>
      <c r="W428" s="1135"/>
    </row>
    <row r="429">
      <c r="A429" s="1133"/>
      <c r="B429" s="1133"/>
      <c r="C429" s="1133"/>
      <c r="D429" s="1133"/>
      <c r="E429" s="1133"/>
      <c r="F429" s="1133"/>
      <c r="G429" s="1133"/>
      <c r="H429" s="1133"/>
      <c r="I429" s="1133"/>
      <c r="J429" s="1133"/>
      <c r="K429" s="1133"/>
      <c r="L429" s="1133"/>
      <c r="M429" s="1133"/>
      <c r="N429" s="1133"/>
      <c r="O429" s="1133"/>
      <c r="P429" s="1133"/>
      <c r="Q429" s="1133"/>
      <c r="R429" s="1133"/>
      <c r="S429" s="1133"/>
      <c r="T429" s="1133"/>
      <c r="U429" s="1133"/>
      <c r="V429" s="1135"/>
      <c r="W429" s="1135"/>
    </row>
    <row r="430">
      <c r="A430" s="1133"/>
      <c r="B430" s="1133"/>
      <c r="C430" s="1133"/>
      <c r="D430" s="1133"/>
      <c r="E430" s="1133"/>
      <c r="F430" s="1133"/>
      <c r="G430" s="1133"/>
      <c r="H430" s="1133"/>
      <c r="I430" s="1133"/>
      <c r="J430" s="1133"/>
      <c r="K430" s="1133"/>
      <c r="L430" s="1133"/>
      <c r="M430" s="1133"/>
      <c r="N430" s="1133"/>
      <c r="O430" s="1133"/>
      <c r="P430" s="1133"/>
      <c r="Q430" s="1133"/>
      <c r="R430" s="1133"/>
      <c r="S430" s="1133"/>
      <c r="T430" s="1133"/>
      <c r="U430" s="1133"/>
      <c r="V430" s="1135"/>
      <c r="W430" s="1135"/>
    </row>
    <row r="431">
      <c r="A431" s="1133"/>
      <c r="B431" s="1133"/>
      <c r="C431" s="1133"/>
      <c r="D431" s="1133"/>
      <c r="E431" s="1133"/>
      <c r="F431" s="1133"/>
      <c r="G431" s="1133"/>
      <c r="H431" s="1133"/>
      <c r="I431" s="1133"/>
      <c r="J431" s="1133"/>
      <c r="K431" s="1133"/>
      <c r="L431" s="1133"/>
      <c r="M431" s="1133"/>
      <c r="N431" s="1133"/>
      <c r="O431" s="1133"/>
      <c r="P431" s="1133"/>
      <c r="Q431" s="1133"/>
      <c r="R431" s="1133"/>
      <c r="S431" s="1133"/>
      <c r="T431" s="1133"/>
      <c r="U431" s="1133"/>
      <c r="V431" s="1135"/>
      <c r="W431" s="1135"/>
    </row>
    <row r="432">
      <c r="A432" s="1133"/>
      <c r="B432" s="1133"/>
      <c r="C432" s="1133"/>
      <c r="D432" s="1133"/>
      <c r="E432" s="1133"/>
      <c r="F432" s="1133"/>
      <c r="G432" s="1133"/>
      <c r="H432" s="1133"/>
      <c r="I432" s="1133"/>
      <c r="J432" s="1133"/>
      <c r="K432" s="1133"/>
      <c r="L432" s="1133"/>
      <c r="M432" s="1133"/>
      <c r="N432" s="1133"/>
      <c r="O432" s="1133"/>
      <c r="P432" s="1133"/>
      <c r="Q432" s="1133"/>
      <c r="R432" s="1133"/>
      <c r="S432" s="1133"/>
      <c r="T432" s="1133"/>
      <c r="U432" s="1133"/>
      <c r="V432" s="1135"/>
      <c r="W432" s="1135"/>
    </row>
    <row r="433">
      <c r="A433" s="1133"/>
      <c r="B433" s="1133"/>
      <c r="C433" s="1133"/>
      <c r="D433" s="1133"/>
      <c r="E433" s="1133"/>
      <c r="F433" s="1133"/>
      <c r="G433" s="1133"/>
      <c r="H433" s="1133"/>
      <c r="I433" s="1133"/>
      <c r="J433" s="1133"/>
      <c r="K433" s="1133"/>
      <c r="L433" s="1133"/>
      <c r="M433" s="1133"/>
      <c r="N433" s="1133"/>
      <c r="O433" s="1133"/>
      <c r="P433" s="1133"/>
      <c r="Q433" s="1133"/>
      <c r="R433" s="1133"/>
      <c r="S433" s="1133"/>
      <c r="T433" s="1133"/>
      <c r="U433" s="1133"/>
      <c r="V433" s="1135"/>
      <c r="W433" s="1135"/>
    </row>
    <row r="434">
      <c r="A434" s="1133"/>
      <c r="B434" s="1133"/>
      <c r="C434" s="1133"/>
      <c r="D434" s="1133"/>
      <c r="E434" s="1133"/>
      <c r="F434" s="1133"/>
      <c r="G434" s="1133"/>
      <c r="H434" s="1133"/>
      <c r="I434" s="1133"/>
      <c r="J434" s="1133"/>
      <c r="K434" s="1133"/>
      <c r="L434" s="1133"/>
      <c r="M434" s="1133"/>
      <c r="N434" s="1133"/>
      <c r="O434" s="1133"/>
      <c r="P434" s="1133"/>
      <c r="Q434" s="1133"/>
      <c r="R434" s="1133"/>
      <c r="S434" s="1133"/>
      <c r="T434" s="1133"/>
      <c r="U434" s="1133"/>
      <c r="V434" s="1135"/>
      <c r="W434" s="1135"/>
    </row>
    <row r="435">
      <c r="A435" s="1133"/>
      <c r="B435" s="1133"/>
      <c r="C435" s="1133"/>
      <c r="D435" s="1133"/>
      <c r="E435" s="1133"/>
      <c r="F435" s="1133"/>
      <c r="G435" s="1133"/>
      <c r="H435" s="1133"/>
      <c r="I435" s="1133"/>
      <c r="J435" s="1133"/>
      <c r="K435" s="1133"/>
      <c r="L435" s="1133"/>
      <c r="M435" s="1133"/>
      <c r="N435" s="1133"/>
      <c r="O435" s="1133"/>
      <c r="P435" s="1133"/>
      <c r="Q435" s="1133"/>
      <c r="R435" s="1133"/>
      <c r="S435" s="1133"/>
      <c r="T435" s="1133"/>
      <c r="U435" s="1133"/>
      <c r="V435" s="1135"/>
      <c r="W435" s="1135"/>
    </row>
    <row r="436">
      <c r="A436" s="1133"/>
      <c r="B436" s="1133"/>
      <c r="C436" s="1133"/>
      <c r="D436" s="1133"/>
      <c r="E436" s="1133"/>
      <c r="F436" s="1133"/>
      <c r="G436" s="1133"/>
      <c r="H436" s="1133"/>
      <c r="I436" s="1133"/>
      <c r="J436" s="1133"/>
      <c r="K436" s="1133"/>
      <c r="L436" s="1133"/>
      <c r="M436" s="1133"/>
      <c r="N436" s="1133"/>
      <c r="O436" s="1133"/>
      <c r="P436" s="1133"/>
      <c r="Q436" s="1133"/>
      <c r="R436" s="1133"/>
      <c r="S436" s="1133"/>
      <c r="T436" s="1133"/>
      <c r="U436" s="1133"/>
      <c r="V436" s="1135"/>
      <c r="W436" s="1135"/>
    </row>
    <row r="437">
      <c r="A437" s="1133"/>
      <c r="B437" s="1133"/>
      <c r="C437" s="1133"/>
      <c r="D437" s="1133"/>
      <c r="E437" s="1133"/>
      <c r="F437" s="1133"/>
      <c r="G437" s="1133"/>
      <c r="H437" s="1133"/>
      <c r="I437" s="1133"/>
      <c r="J437" s="1133"/>
      <c r="K437" s="1133"/>
      <c r="L437" s="1133"/>
      <c r="M437" s="1133"/>
      <c r="N437" s="1133"/>
      <c r="O437" s="1133"/>
      <c r="P437" s="1133"/>
      <c r="Q437" s="1133"/>
      <c r="R437" s="1133"/>
      <c r="S437" s="1133"/>
      <c r="T437" s="1133"/>
      <c r="U437" s="1133"/>
      <c r="V437" s="1135"/>
      <c r="W437" s="1135"/>
    </row>
    <row r="438">
      <c r="A438" s="1133"/>
      <c r="B438" s="1133"/>
      <c r="C438" s="1133"/>
      <c r="D438" s="1133"/>
      <c r="E438" s="1133"/>
      <c r="F438" s="1133"/>
      <c r="G438" s="1133"/>
      <c r="H438" s="1133"/>
      <c r="I438" s="1133"/>
      <c r="J438" s="1133"/>
      <c r="K438" s="1133"/>
      <c r="L438" s="1133"/>
      <c r="M438" s="1133"/>
      <c r="N438" s="1133"/>
      <c r="O438" s="1133"/>
      <c r="P438" s="1133"/>
      <c r="Q438" s="1133"/>
      <c r="R438" s="1133"/>
      <c r="S438" s="1133"/>
      <c r="T438" s="1133"/>
      <c r="U438" s="1133"/>
      <c r="V438" s="1135"/>
      <c r="W438" s="1135"/>
    </row>
    <row r="439">
      <c r="A439" s="1133"/>
      <c r="B439" s="1133"/>
      <c r="C439" s="1133"/>
      <c r="D439" s="1133"/>
      <c r="E439" s="1133"/>
      <c r="F439" s="1133"/>
      <c r="G439" s="1133"/>
      <c r="H439" s="1133"/>
      <c r="I439" s="1133"/>
      <c r="J439" s="1133"/>
      <c r="K439" s="1133"/>
      <c r="L439" s="1133"/>
      <c r="M439" s="1133"/>
      <c r="N439" s="1133"/>
      <c r="O439" s="1133"/>
      <c r="P439" s="1133"/>
      <c r="Q439" s="1133"/>
      <c r="R439" s="1133"/>
      <c r="S439" s="1133"/>
      <c r="T439" s="1133"/>
      <c r="U439" s="1133"/>
      <c r="V439" s="1135"/>
      <c r="W439" s="1135"/>
    </row>
    <row r="440">
      <c r="A440" s="1133"/>
      <c r="B440" s="1133"/>
      <c r="C440" s="1133"/>
      <c r="D440" s="1133"/>
      <c r="E440" s="1133"/>
      <c r="F440" s="1133"/>
      <c r="G440" s="1133"/>
      <c r="H440" s="1133"/>
      <c r="I440" s="1133"/>
      <c r="J440" s="1133"/>
      <c r="K440" s="1133"/>
      <c r="L440" s="1133"/>
      <c r="M440" s="1133"/>
      <c r="N440" s="1133"/>
      <c r="O440" s="1133"/>
      <c r="P440" s="1133"/>
      <c r="Q440" s="1133"/>
      <c r="R440" s="1133"/>
      <c r="S440" s="1133"/>
      <c r="T440" s="1133"/>
      <c r="U440" s="1133"/>
      <c r="V440" s="1135"/>
      <c r="W440" s="1135"/>
    </row>
    <row r="441">
      <c r="A441" s="1133"/>
      <c r="B441" s="1133"/>
      <c r="C441" s="1133"/>
      <c r="D441" s="1133"/>
      <c r="E441" s="1133"/>
      <c r="F441" s="1133"/>
      <c r="G441" s="1133"/>
      <c r="H441" s="1133"/>
      <c r="I441" s="1133"/>
      <c r="J441" s="1133"/>
      <c r="K441" s="1133"/>
      <c r="L441" s="1133"/>
      <c r="M441" s="1133"/>
      <c r="N441" s="1133"/>
      <c r="O441" s="1133"/>
      <c r="P441" s="1133"/>
      <c r="Q441" s="1133"/>
      <c r="R441" s="1133"/>
      <c r="S441" s="1133"/>
      <c r="T441" s="1133"/>
      <c r="U441" s="1133"/>
      <c r="V441" s="1135"/>
      <c r="W441" s="1135"/>
    </row>
    <row r="442">
      <c r="A442" s="1133"/>
      <c r="B442" s="1133"/>
      <c r="C442" s="1133"/>
      <c r="D442" s="1133"/>
      <c r="E442" s="1133"/>
      <c r="F442" s="1133"/>
      <c r="G442" s="1133"/>
      <c r="H442" s="1133"/>
      <c r="I442" s="1133"/>
      <c r="J442" s="1133"/>
      <c r="K442" s="1133"/>
      <c r="L442" s="1133"/>
      <c r="M442" s="1133"/>
      <c r="N442" s="1133"/>
      <c r="O442" s="1133"/>
      <c r="P442" s="1133"/>
      <c r="Q442" s="1133"/>
      <c r="R442" s="1133"/>
      <c r="S442" s="1133"/>
      <c r="T442" s="1133"/>
      <c r="U442" s="1133"/>
      <c r="V442" s="1135"/>
      <c r="W442" s="1135"/>
    </row>
    <row r="443">
      <c r="A443" s="1133"/>
      <c r="B443" s="1133"/>
      <c r="C443" s="1133"/>
      <c r="D443" s="1133"/>
      <c r="E443" s="1133"/>
      <c r="F443" s="1133"/>
      <c r="G443" s="1133"/>
      <c r="H443" s="1133"/>
      <c r="I443" s="1133"/>
      <c r="J443" s="1133"/>
      <c r="K443" s="1133"/>
      <c r="L443" s="1133"/>
      <c r="M443" s="1133"/>
      <c r="N443" s="1133"/>
      <c r="O443" s="1133"/>
      <c r="P443" s="1133"/>
      <c r="Q443" s="1133"/>
      <c r="R443" s="1133"/>
      <c r="S443" s="1133"/>
      <c r="T443" s="1133"/>
      <c r="U443" s="1133"/>
      <c r="V443" s="1135"/>
      <c r="W443" s="1135"/>
    </row>
    <row r="444">
      <c r="A444" s="1133"/>
      <c r="B444" s="1133"/>
      <c r="C444" s="1133"/>
      <c r="D444" s="1133"/>
      <c r="E444" s="1133"/>
      <c r="F444" s="1133"/>
      <c r="G444" s="1133"/>
      <c r="H444" s="1133"/>
      <c r="I444" s="1133"/>
      <c r="J444" s="1133"/>
      <c r="K444" s="1133"/>
      <c r="L444" s="1133"/>
      <c r="M444" s="1133"/>
      <c r="N444" s="1133"/>
      <c r="O444" s="1133"/>
      <c r="P444" s="1133"/>
      <c r="Q444" s="1133"/>
      <c r="R444" s="1133"/>
      <c r="S444" s="1133"/>
      <c r="T444" s="1133"/>
      <c r="U444" s="1133"/>
      <c r="V444" s="1135"/>
      <c r="W444" s="1135"/>
    </row>
    <row r="445">
      <c r="A445" s="1133"/>
      <c r="B445" s="1133"/>
      <c r="C445" s="1133"/>
      <c r="D445" s="1133"/>
      <c r="E445" s="1133"/>
      <c r="F445" s="1133"/>
      <c r="G445" s="1133"/>
      <c r="H445" s="1133"/>
      <c r="I445" s="1133"/>
      <c r="J445" s="1133"/>
      <c r="K445" s="1133"/>
      <c r="L445" s="1133"/>
      <c r="M445" s="1133"/>
      <c r="N445" s="1133"/>
      <c r="O445" s="1133"/>
      <c r="P445" s="1133"/>
      <c r="Q445" s="1133"/>
      <c r="R445" s="1133"/>
      <c r="S445" s="1133"/>
      <c r="T445" s="1133"/>
      <c r="U445" s="1133"/>
      <c r="V445" s="1135"/>
      <c r="W445" s="1135"/>
    </row>
    <row r="446">
      <c r="A446" s="1133"/>
      <c r="B446" s="1133"/>
      <c r="C446" s="1133"/>
      <c r="D446" s="1133"/>
      <c r="E446" s="1133"/>
      <c r="F446" s="1133"/>
      <c r="G446" s="1133"/>
      <c r="H446" s="1133"/>
      <c r="I446" s="1133"/>
      <c r="J446" s="1133"/>
      <c r="K446" s="1133"/>
      <c r="L446" s="1133"/>
      <c r="M446" s="1133"/>
      <c r="N446" s="1133"/>
      <c r="O446" s="1133"/>
      <c r="P446" s="1133"/>
      <c r="Q446" s="1133"/>
      <c r="R446" s="1133"/>
      <c r="S446" s="1133"/>
      <c r="T446" s="1133"/>
      <c r="U446" s="1133"/>
      <c r="V446" s="1135"/>
      <c r="W446" s="1135"/>
    </row>
    <row r="447">
      <c r="A447" s="1133"/>
      <c r="B447" s="1133"/>
      <c r="C447" s="1133"/>
      <c r="D447" s="1133"/>
      <c r="E447" s="1133"/>
      <c r="F447" s="1133"/>
      <c r="G447" s="1133"/>
      <c r="H447" s="1133"/>
      <c r="I447" s="1133"/>
      <c r="J447" s="1133"/>
      <c r="K447" s="1133"/>
      <c r="L447" s="1133"/>
      <c r="M447" s="1133"/>
      <c r="N447" s="1133"/>
      <c r="O447" s="1133"/>
      <c r="P447" s="1133"/>
      <c r="Q447" s="1133"/>
      <c r="R447" s="1133"/>
      <c r="S447" s="1133"/>
      <c r="T447" s="1133"/>
      <c r="U447" s="1133"/>
      <c r="V447" s="1135"/>
      <c r="W447" s="1135"/>
    </row>
    <row r="448">
      <c r="A448" s="1133"/>
      <c r="B448" s="1133"/>
      <c r="C448" s="1133"/>
      <c r="D448" s="1133"/>
      <c r="E448" s="1133"/>
      <c r="F448" s="1133"/>
      <c r="G448" s="1133"/>
      <c r="H448" s="1133"/>
      <c r="I448" s="1133"/>
      <c r="J448" s="1133"/>
      <c r="K448" s="1133"/>
      <c r="L448" s="1133"/>
      <c r="M448" s="1133"/>
      <c r="N448" s="1133"/>
      <c r="O448" s="1133"/>
      <c r="P448" s="1133"/>
      <c r="Q448" s="1133"/>
      <c r="R448" s="1133"/>
      <c r="S448" s="1133"/>
      <c r="T448" s="1133"/>
      <c r="U448" s="1133"/>
      <c r="V448" s="1135"/>
      <c r="W448" s="1135"/>
    </row>
    <row r="449">
      <c r="A449" s="1133"/>
      <c r="B449" s="1133"/>
      <c r="C449" s="1133"/>
      <c r="D449" s="1133"/>
      <c r="E449" s="1133"/>
      <c r="F449" s="1133"/>
      <c r="G449" s="1133"/>
      <c r="H449" s="1133"/>
      <c r="I449" s="1133"/>
      <c r="J449" s="1133"/>
      <c r="K449" s="1133"/>
      <c r="L449" s="1133"/>
      <c r="M449" s="1133"/>
      <c r="N449" s="1133"/>
      <c r="O449" s="1133"/>
      <c r="P449" s="1133"/>
      <c r="Q449" s="1133"/>
      <c r="R449" s="1133"/>
      <c r="S449" s="1133"/>
      <c r="T449" s="1133"/>
      <c r="U449" s="1133"/>
      <c r="V449" s="1135"/>
      <c r="W449" s="1135"/>
    </row>
    <row r="450">
      <c r="A450" s="1133"/>
      <c r="B450" s="1133"/>
      <c r="C450" s="1133"/>
      <c r="D450" s="1133"/>
      <c r="E450" s="1133"/>
      <c r="F450" s="1133"/>
      <c r="G450" s="1133"/>
      <c r="H450" s="1133"/>
      <c r="I450" s="1133"/>
      <c r="J450" s="1133"/>
      <c r="K450" s="1133"/>
      <c r="L450" s="1133"/>
      <c r="M450" s="1133"/>
      <c r="N450" s="1133"/>
      <c r="O450" s="1133"/>
      <c r="P450" s="1133"/>
      <c r="Q450" s="1133"/>
      <c r="R450" s="1133"/>
      <c r="S450" s="1133"/>
      <c r="T450" s="1133"/>
      <c r="U450" s="1133"/>
      <c r="V450" s="1135"/>
      <c r="W450" s="1135"/>
    </row>
    <row r="451">
      <c r="A451" s="1133"/>
      <c r="B451" s="1133"/>
      <c r="C451" s="1133"/>
      <c r="D451" s="1133"/>
      <c r="E451" s="1133"/>
      <c r="F451" s="1133"/>
      <c r="G451" s="1133"/>
      <c r="H451" s="1133"/>
      <c r="I451" s="1133"/>
      <c r="J451" s="1133"/>
      <c r="K451" s="1133"/>
      <c r="L451" s="1133"/>
      <c r="M451" s="1133"/>
      <c r="N451" s="1133"/>
      <c r="O451" s="1133"/>
      <c r="P451" s="1133"/>
      <c r="Q451" s="1133"/>
      <c r="R451" s="1133"/>
      <c r="S451" s="1133"/>
      <c r="T451" s="1133"/>
      <c r="U451" s="1133"/>
      <c r="V451" s="1135"/>
      <c r="W451" s="1135"/>
    </row>
    <row r="452">
      <c r="A452" s="1133"/>
      <c r="B452" s="1133"/>
      <c r="C452" s="1133"/>
      <c r="D452" s="1133"/>
      <c r="E452" s="1133"/>
      <c r="F452" s="1133"/>
      <c r="G452" s="1133"/>
      <c r="H452" s="1133"/>
      <c r="I452" s="1133"/>
      <c r="J452" s="1133"/>
      <c r="K452" s="1133"/>
      <c r="L452" s="1133"/>
      <c r="M452" s="1133"/>
      <c r="N452" s="1133"/>
      <c r="O452" s="1133"/>
      <c r="P452" s="1133"/>
      <c r="Q452" s="1133"/>
      <c r="R452" s="1133"/>
      <c r="S452" s="1133"/>
      <c r="T452" s="1133"/>
      <c r="U452" s="1133"/>
      <c r="V452" s="1135"/>
      <c r="W452" s="1135"/>
    </row>
    <row r="453">
      <c r="A453" s="1133"/>
      <c r="B453" s="1133"/>
      <c r="C453" s="1133"/>
      <c r="D453" s="1133"/>
      <c r="E453" s="1133"/>
      <c r="F453" s="1133"/>
      <c r="G453" s="1133"/>
      <c r="H453" s="1133"/>
      <c r="I453" s="1133"/>
      <c r="J453" s="1133"/>
      <c r="K453" s="1133"/>
      <c r="L453" s="1133"/>
      <c r="M453" s="1133"/>
      <c r="N453" s="1133"/>
      <c r="O453" s="1133"/>
      <c r="P453" s="1133"/>
      <c r="Q453" s="1133"/>
      <c r="R453" s="1133"/>
      <c r="S453" s="1133"/>
      <c r="T453" s="1133"/>
      <c r="U453" s="1133"/>
      <c r="V453" s="1135"/>
      <c r="W453" s="1135"/>
    </row>
    <row r="454">
      <c r="A454" s="1133"/>
      <c r="B454" s="1133"/>
      <c r="C454" s="1133"/>
      <c r="D454" s="1133"/>
      <c r="E454" s="1133"/>
      <c r="F454" s="1133"/>
      <c r="G454" s="1133"/>
      <c r="H454" s="1133"/>
      <c r="I454" s="1133"/>
      <c r="J454" s="1133"/>
      <c r="K454" s="1133"/>
      <c r="L454" s="1133"/>
      <c r="M454" s="1133"/>
      <c r="N454" s="1133"/>
      <c r="O454" s="1133"/>
      <c r="P454" s="1133"/>
      <c r="Q454" s="1133"/>
      <c r="R454" s="1133"/>
      <c r="S454" s="1133"/>
      <c r="T454" s="1133"/>
      <c r="U454" s="1133"/>
      <c r="V454" s="1135"/>
      <c r="W454" s="1135"/>
    </row>
    <row r="455">
      <c r="A455" s="1133"/>
      <c r="B455" s="1133"/>
      <c r="C455" s="1133"/>
      <c r="D455" s="1133"/>
      <c r="E455" s="1133"/>
      <c r="F455" s="1133"/>
      <c r="G455" s="1133"/>
      <c r="H455" s="1133"/>
      <c r="I455" s="1133"/>
      <c r="J455" s="1133"/>
      <c r="K455" s="1133"/>
      <c r="L455" s="1133"/>
      <c r="M455" s="1133"/>
      <c r="N455" s="1133"/>
      <c r="O455" s="1133"/>
      <c r="P455" s="1133"/>
      <c r="Q455" s="1133"/>
      <c r="R455" s="1133"/>
      <c r="S455" s="1133"/>
      <c r="T455" s="1133"/>
      <c r="U455" s="1133"/>
      <c r="V455" s="1135"/>
      <c r="W455" s="1135"/>
    </row>
    <row r="456">
      <c r="A456" s="1133"/>
      <c r="B456" s="1133"/>
      <c r="C456" s="1133"/>
      <c r="D456" s="1133"/>
      <c r="E456" s="1133"/>
      <c r="F456" s="1133"/>
      <c r="G456" s="1133"/>
      <c r="H456" s="1133"/>
      <c r="I456" s="1133"/>
      <c r="J456" s="1133"/>
      <c r="K456" s="1133"/>
      <c r="L456" s="1133"/>
      <c r="M456" s="1133"/>
      <c r="N456" s="1133"/>
      <c r="O456" s="1133"/>
      <c r="P456" s="1133"/>
      <c r="Q456" s="1133"/>
      <c r="R456" s="1133"/>
      <c r="S456" s="1133"/>
      <c r="T456" s="1133"/>
      <c r="U456" s="1133"/>
      <c r="V456" s="1135"/>
      <c r="W456" s="1135"/>
    </row>
    <row r="457">
      <c r="A457" s="1133"/>
      <c r="B457" s="1133"/>
      <c r="C457" s="1133"/>
      <c r="D457" s="1133"/>
      <c r="E457" s="1133"/>
      <c r="F457" s="1133"/>
      <c r="G457" s="1133"/>
      <c r="H457" s="1133"/>
      <c r="I457" s="1133"/>
      <c r="J457" s="1133"/>
      <c r="K457" s="1133"/>
      <c r="L457" s="1133"/>
      <c r="M457" s="1133"/>
      <c r="N457" s="1133"/>
      <c r="O457" s="1133"/>
      <c r="P457" s="1133"/>
      <c r="Q457" s="1133"/>
      <c r="R457" s="1133"/>
      <c r="S457" s="1133"/>
      <c r="T457" s="1133"/>
      <c r="U457" s="1133"/>
      <c r="V457" s="1135"/>
      <c r="W457" s="1135"/>
    </row>
    <row r="458">
      <c r="A458" s="1133"/>
      <c r="B458" s="1133"/>
      <c r="C458" s="1133"/>
      <c r="D458" s="1133"/>
      <c r="E458" s="1133"/>
      <c r="F458" s="1133"/>
      <c r="G458" s="1133"/>
      <c r="H458" s="1133"/>
      <c r="I458" s="1133"/>
      <c r="J458" s="1133"/>
      <c r="K458" s="1133"/>
      <c r="L458" s="1133"/>
      <c r="M458" s="1133"/>
      <c r="N458" s="1133"/>
      <c r="O458" s="1133"/>
      <c r="P458" s="1133"/>
      <c r="Q458" s="1133"/>
      <c r="R458" s="1133"/>
      <c r="S458" s="1133"/>
      <c r="T458" s="1133"/>
      <c r="U458" s="1133"/>
      <c r="V458" s="1135"/>
      <c r="W458" s="1135"/>
    </row>
    <row r="459">
      <c r="A459" s="1133"/>
      <c r="B459" s="1133"/>
      <c r="C459" s="1133"/>
      <c r="D459" s="1133"/>
      <c r="E459" s="1133"/>
      <c r="F459" s="1133"/>
      <c r="G459" s="1133"/>
      <c r="H459" s="1133"/>
      <c r="I459" s="1133"/>
      <c r="J459" s="1133"/>
      <c r="K459" s="1133"/>
      <c r="L459" s="1133"/>
      <c r="M459" s="1133"/>
      <c r="N459" s="1133"/>
      <c r="O459" s="1133"/>
      <c r="P459" s="1133"/>
      <c r="Q459" s="1133"/>
      <c r="R459" s="1133"/>
      <c r="S459" s="1133"/>
      <c r="T459" s="1133"/>
      <c r="U459" s="1133"/>
      <c r="V459" s="1135"/>
      <c r="W459" s="1135"/>
    </row>
    <row r="460">
      <c r="A460" s="1133"/>
      <c r="B460" s="1133"/>
      <c r="C460" s="1133"/>
      <c r="D460" s="1133"/>
      <c r="E460" s="1133"/>
      <c r="F460" s="1133"/>
      <c r="G460" s="1133"/>
      <c r="H460" s="1133"/>
      <c r="I460" s="1133"/>
      <c r="J460" s="1133"/>
      <c r="K460" s="1133"/>
      <c r="L460" s="1133"/>
      <c r="M460" s="1133"/>
      <c r="N460" s="1133"/>
      <c r="O460" s="1133"/>
      <c r="P460" s="1133"/>
      <c r="Q460" s="1133"/>
      <c r="R460" s="1133"/>
      <c r="S460" s="1133"/>
      <c r="T460" s="1133"/>
      <c r="U460" s="1133"/>
      <c r="V460" s="1135"/>
      <c r="W460" s="1135"/>
    </row>
    <row r="461">
      <c r="A461" s="1133"/>
      <c r="B461" s="1133"/>
      <c r="C461" s="1133"/>
      <c r="D461" s="1133"/>
      <c r="E461" s="1133"/>
      <c r="F461" s="1133"/>
      <c r="G461" s="1133"/>
      <c r="H461" s="1133"/>
      <c r="I461" s="1133"/>
      <c r="J461" s="1133"/>
      <c r="K461" s="1133"/>
      <c r="L461" s="1133"/>
      <c r="M461" s="1133"/>
      <c r="N461" s="1133"/>
      <c r="O461" s="1133"/>
      <c r="P461" s="1133"/>
      <c r="Q461" s="1133"/>
      <c r="R461" s="1133"/>
      <c r="S461" s="1133"/>
      <c r="T461" s="1133"/>
      <c r="U461" s="1133"/>
      <c r="V461" s="1135"/>
      <c r="W461" s="1135"/>
    </row>
    <row r="462">
      <c r="A462" s="1133"/>
      <c r="B462" s="1133"/>
      <c r="C462" s="1133"/>
      <c r="D462" s="1133"/>
      <c r="E462" s="1133"/>
      <c r="F462" s="1133"/>
      <c r="G462" s="1133"/>
      <c r="H462" s="1133"/>
      <c r="I462" s="1133"/>
      <c r="J462" s="1133"/>
      <c r="K462" s="1133"/>
      <c r="L462" s="1133"/>
      <c r="M462" s="1133"/>
      <c r="N462" s="1133"/>
      <c r="O462" s="1133"/>
      <c r="P462" s="1133"/>
      <c r="Q462" s="1133"/>
      <c r="R462" s="1133"/>
      <c r="S462" s="1133"/>
      <c r="T462" s="1133"/>
      <c r="U462" s="1133"/>
      <c r="V462" s="1135"/>
      <c r="W462" s="1135"/>
    </row>
    <row r="463">
      <c r="A463" s="1133"/>
      <c r="B463" s="1133"/>
      <c r="C463" s="1133"/>
      <c r="D463" s="1133"/>
      <c r="E463" s="1133"/>
      <c r="F463" s="1133"/>
      <c r="G463" s="1133"/>
      <c r="H463" s="1133"/>
      <c r="I463" s="1133"/>
      <c r="J463" s="1133"/>
      <c r="K463" s="1133"/>
      <c r="L463" s="1133"/>
      <c r="M463" s="1133"/>
      <c r="N463" s="1133"/>
      <c r="O463" s="1133"/>
      <c r="P463" s="1133"/>
      <c r="Q463" s="1133"/>
      <c r="R463" s="1133"/>
      <c r="S463" s="1133"/>
      <c r="T463" s="1133"/>
      <c r="U463" s="1133"/>
      <c r="V463" s="1135"/>
      <c r="W463" s="1135"/>
    </row>
    <row r="464">
      <c r="A464" s="1133"/>
      <c r="B464" s="1133"/>
      <c r="C464" s="1133"/>
      <c r="D464" s="1133"/>
      <c r="E464" s="1133"/>
      <c r="F464" s="1133"/>
      <c r="G464" s="1133"/>
      <c r="H464" s="1133"/>
      <c r="I464" s="1133"/>
      <c r="J464" s="1133"/>
      <c r="K464" s="1133"/>
      <c r="L464" s="1133"/>
      <c r="M464" s="1133"/>
      <c r="N464" s="1133"/>
      <c r="O464" s="1133"/>
      <c r="P464" s="1133"/>
      <c r="Q464" s="1133"/>
      <c r="R464" s="1133"/>
      <c r="S464" s="1133"/>
      <c r="T464" s="1133"/>
      <c r="U464" s="1133"/>
      <c r="V464" s="1135"/>
      <c r="W464" s="1135"/>
    </row>
    <row r="465">
      <c r="A465" s="1133"/>
      <c r="B465" s="1133"/>
      <c r="C465" s="1133"/>
      <c r="D465" s="1133"/>
      <c r="E465" s="1133"/>
      <c r="F465" s="1133"/>
      <c r="G465" s="1133"/>
      <c r="H465" s="1133"/>
      <c r="I465" s="1133"/>
      <c r="J465" s="1133"/>
      <c r="K465" s="1133"/>
      <c r="L465" s="1133"/>
      <c r="M465" s="1133"/>
      <c r="N465" s="1133"/>
      <c r="O465" s="1133"/>
      <c r="P465" s="1133"/>
      <c r="Q465" s="1133"/>
      <c r="R465" s="1133"/>
      <c r="S465" s="1133"/>
      <c r="T465" s="1133"/>
      <c r="U465" s="1133"/>
      <c r="V465" s="1135"/>
      <c r="W465" s="1135"/>
    </row>
    <row r="466">
      <c r="A466" s="1133"/>
      <c r="B466" s="1133"/>
      <c r="C466" s="1133"/>
      <c r="D466" s="1133"/>
      <c r="E466" s="1133"/>
      <c r="F466" s="1133"/>
      <c r="G466" s="1133"/>
      <c r="H466" s="1133"/>
      <c r="I466" s="1133"/>
      <c r="J466" s="1133"/>
      <c r="K466" s="1133"/>
      <c r="L466" s="1133"/>
      <c r="M466" s="1133"/>
      <c r="N466" s="1133"/>
      <c r="O466" s="1133"/>
      <c r="P466" s="1133"/>
      <c r="Q466" s="1133"/>
      <c r="R466" s="1133"/>
      <c r="S466" s="1133"/>
      <c r="T466" s="1133"/>
      <c r="U466" s="1133"/>
      <c r="V466" s="1135"/>
      <c r="W466" s="1135"/>
    </row>
    <row r="467">
      <c r="A467" s="1133"/>
      <c r="B467" s="1133"/>
      <c r="C467" s="1133"/>
      <c r="D467" s="1133"/>
      <c r="E467" s="1133"/>
      <c r="F467" s="1133"/>
      <c r="G467" s="1133"/>
      <c r="H467" s="1133"/>
      <c r="I467" s="1133"/>
      <c r="J467" s="1133"/>
      <c r="K467" s="1133"/>
      <c r="L467" s="1133"/>
      <c r="M467" s="1133"/>
      <c r="N467" s="1133"/>
      <c r="O467" s="1133"/>
      <c r="P467" s="1133"/>
      <c r="Q467" s="1133"/>
      <c r="R467" s="1133"/>
      <c r="S467" s="1133"/>
      <c r="T467" s="1133"/>
      <c r="U467" s="1133"/>
      <c r="V467" s="1135"/>
      <c r="W467" s="1135"/>
    </row>
    <row r="468">
      <c r="A468" s="1133"/>
      <c r="B468" s="1133"/>
      <c r="C468" s="1133"/>
      <c r="D468" s="1133"/>
      <c r="E468" s="1133"/>
      <c r="F468" s="1133"/>
      <c r="G468" s="1133"/>
      <c r="H468" s="1133"/>
      <c r="I468" s="1133"/>
      <c r="J468" s="1133"/>
      <c r="K468" s="1133"/>
      <c r="L468" s="1133"/>
      <c r="M468" s="1133"/>
      <c r="N468" s="1133"/>
      <c r="O468" s="1133"/>
      <c r="P468" s="1133"/>
      <c r="Q468" s="1133"/>
      <c r="R468" s="1133"/>
      <c r="S468" s="1133"/>
      <c r="T468" s="1133"/>
      <c r="U468" s="1133"/>
      <c r="V468" s="1135"/>
      <c r="W468" s="1135"/>
    </row>
    <row r="469">
      <c r="A469" s="1133"/>
      <c r="B469" s="1133"/>
      <c r="C469" s="1133"/>
      <c r="D469" s="1133"/>
      <c r="E469" s="1133"/>
      <c r="F469" s="1133"/>
      <c r="G469" s="1133"/>
      <c r="H469" s="1133"/>
      <c r="I469" s="1133"/>
      <c r="J469" s="1133"/>
      <c r="K469" s="1133"/>
      <c r="L469" s="1133"/>
      <c r="M469" s="1133"/>
      <c r="N469" s="1133"/>
      <c r="O469" s="1133"/>
      <c r="P469" s="1133"/>
      <c r="Q469" s="1133"/>
      <c r="R469" s="1133"/>
      <c r="S469" s="1133"/>
      <c r="T469" s="1133"/>
      <c r="U469" s="1133"/>
      <c r="V469" s="1135"/>
      <c r="W469" s="1135"/>
    </row>
    <row r="470">
      <c r="A470" s="1133"/>
      <c r="B470" s="1133"/>
      <c r="C470" s="1133"/>
      <c r="D470" s="1133"/>
      <c r="E470" s="1133"/>
      <c r="F470" s="1133"/>
      <c r="G470" s="1133"/>
      <c r="H470" s="1133"/>
      <c r="I470" s="1133"/>
      <c r="J470" s="1133"/>
      <c r="K470" s="1133"/>
      <c r="L470" s="1133"/>
      <c r="M470" s="1133"/>
      <c r="N470" s="1133"/>
      <c r="O470" s="1133"/>
      <c r="P470" s="1133"/>
      <c r="Q470" s="1133"/>
      <c r="R470" s="1133"/>
      <c r="S470" s="1133"/>
      <c r="T470" s="1133"/>
      <c r="U470" s="1133"/>
      <c r="V470" s="1135"/>
      <c r="W470" s="1135"/>
    </row>
    <row r="471">
      <c r="A471" s="1133"/>
      <c r="B471" s="1133"/>
      <c r="C471" s="1133"/>
      <c r="D471" s="1133"/>
      <c r="E471" s="1133"/>
      <c r="F471" s="1133"/>
      <c r="G471" s="1133"/>
      <c r="H471" s="1133"/>
      <c r="I471" s="1133"/>
      <c r="J471" s="1133"/>
      <c r="K471" s="1133"/>
      <c r="L471" s="1133"/>
      <c r="M471" s="1133"/>
      <c r="N471" s="1133"/>
      <c r="O471" s="1133"/>
      <c r="P471" s="1133"/>
      <c r="Q471" s="1133"/>
      <c r="R471" s="1133"/>
      <c r="S471" s="1133"/>
      <c r="T471" s="1133"/>
      <c r="U471" s="1133"/>
      <c r="V471" s="1135"/>
      <c r="W471" s="1135"/>
    </row>
    <row r="472">
      <c r="A472" s="1133"/>
      <c r="B472" s="1133"/>
      <c r="C472" s="1133"/>
      <c r="D472" s="1133"/>
      <c r="E472" s="1133"/>
      <c r="F472" s="1133"/>
      <c r="G472" s="1133"/>
      <c r="H472" s="1133"/>
      <c r="I472" s="1133"/>
      <c r="J472" s="1133"/>
      <c r="K472" s="1133"/>
      <c r="L472" s="1133"/>
      <c r="M472" s="1133"/>
      <c r="N472" s="1133"/>
      <c r="O472" s="1133"/>
      <c r="P472" s="1133"/>
      <c r="Q472" s="1133"/>
      <c r="R472" s="1133"/>
      <c r="S472" s="1133"/>
      <c r="T472" s="1133"/>
      <c r="U472" s="1133"/>
      <c r="V472" s="1135"/>
      <c r="W472" s="1135"/>
    </row>
    <row r="473">
      <c r="A473" s="1133"/>
      <c r="B473" s="1133"/>
      <c r="C473" s="1133"/>
      <c r="D473" s="1133"/>
      <c r="E473" s="1133"/>
      <c r="F473" s="1133"/>
      <c r="G473" s="1133"/>
      <c r="H473" s="1133"/>
      <c r="I473" s="1133"/>
      <c r="J473" s="1133"/>
      <c r="K473" s="1133"/>
      <c r="L473" s="1133"/>
      <c r="M473" s="1133"/>
      <c r="N473" s="1133"/>
      <c r="O473" s="1133"/>
      <c r="P473" s="1133"/>
      <c r="Q473" s="1133"/>
      <c r="R473" s="1133"/>
      <c r="S473" s="1133"/>
      <c r="T473" s="1133"/>
      <c r="U473" s="1133"/>
      <c r="V473" s="1135"/>
      <c r="W473" s="1135"/>
    </row>
    <row r="474">
      <c r="A474" s="1133"/>
      <c r="B474" s="1133"/>
      <c r="C474" s="1133"/>
      <c r="D474" s="1133"/>
      <c r="E474" s="1133"/>
      <c r="F474" s="1133"/>
      <c r="G474" s="1133"/>
      <c r="H474" s="1133"/>
      <c r="I474" s="1133"/>
      <c r="J474" s="1133"/>
      <c r="K474" s="1133"/>
      <c r="L474" s="1133"/>
      <c r="M474" s="1133"/>
      <c r="N474" s="1133"/>
      <c r="O474" s="1133"/>
      <c r="P474" s="1133"/>
      <c r="Q474" s="1133"/>
      <c r="R474" s="1133"/>
      <c r="S474" s="1133"/>
      <c r="T474" s="1133"/>
      <c r="U474" s="1133"/>
      <c r="V474" s="1135"/>
      <c r="W474" s="1135"/>
    </row>
    <row r="475">
      <c r="A475" s="1133"/>
      <c r="B475" s="1133"/>
      <c r="C475" s="1133"/>
      <c r="D475" s="1133"/>
      <c r="E475" s="1133"/>
      <c r="F475" s="1133"/>
      <c r="G475" s="1133"/>
      <c r="H475" s="1133"/>
      <c r="I475" s="1133"/>
      <c r="J475" s="1133"/>
      <c r="K475" s="1133"/>
      <c r="L475" s="1133"/>
      <c r="M475" s="1133"/>
      <c r="N475" s="1133"/>
      <c r="O475" s="1133"/>
      <c r="P475" s="1133"/>
      <c r="Q475" s="1133"/>
      <c r="R475" s="1133"/>
      <c r="S475" s="1133"/>
      <c r="T475" s="1133"/>
      <c r="U475" s="1133"/>
      <c r="V475" s="1135"/>
      <c r="W475" s="1135"/>
    </row>
    <row r="476">
      <c r="A476" s="1133"/>
      <c r="B476" s="1133"/>
      <c r="C476" s="1133"/>
      <c r="D476" s="1133"/>
      <c r="E476" s="1133"/>
      <c r="F476" s="1133"/>
      <c r="G476" s="1133"/>
      <c r="H476" s="1133"/>
      <c r="I476" s="1133"/>
      <c r="J476" s="1133"/>
      <c r="K476" s="1133"/>
      <c r="L476" s="1133"/>
      <c r="M476" s="1133"/>
      <c r="N476" s="1133"/>
      <c r="O476" s="1133"/>
      <c r="P476" s="1133"/>
      <c r="Q476" s="1133"/>
      <c r="R476" s="1133"/>
      <c r="S476" s="1133"/>
      <c r="T476" s="1133"/>
      <c r="U476" s="1133"/>
      <c r="V476" s="1135"/>
      <c r="W476" s="1135"/>
    </row>
    <row r="477">
      <c r="A477" s="1133"/>
      <c r="B477" s="1133"/>
      <c r="C477" s="1133"/>
      <c r="D477" s="1133"/>
      <c r="E477" s="1133"/>
      <c r="F477" s="1133"/>
      <c r="G477" s="1133"/>
      <c r="H477" s="1133"/>
      <c r="I477" s="1133"/>
      <c r="J477" s="1133"/>
      <c r="K477" s="1133"/>
      <c r="L477" s="1133"/>
      <c r="M477" s="1133"/>
      <c r="N477" s="1133"/>
      <c r="O477" s="1133"/>
      <c r="P477" s="1133"/>
      <c r="Q477" s="1133"/>
      <c r="R477" s="1133"/>
      <c r="S477" s="1133"/>
      <c r="T477" s="1133"/>
      <c r="U477" s="1133"/>
      <c r="V477" s="1135"/>
      <c r="W477" s="1135"/>
    </row>
    <row r="478">
      <c r="A478" s="1133"/>
      <c r="B478" s="1133"/>
      <c r="C478" s="1133"/>
      <c r="D478" s="1133"/>
      <c r="E478" s="1133"/>
      <c r="F478" s="1133"/>
      <c r="G478" s="1133"/>
      <c r="H478" s="1133"/>
      <c r="I478" s="1133"/>
      <c r="J478" s="1133"/>
      <c r="K478" s="1133"/>
      <c r="L478" s="1133"/>
      <c r="M478" s="1133"/>
      <c r="N478" s="1133"/>
      <c r="O478" s="1133"/>
      <c r="P478" s="1133"/>
      <c r="Q478" s="1133"/>
      <c r="R478" s="1133"/>
      <c r="S478" s="1133"/>
      <c r="T478" s="1133"/>
      <c r="U478" s="1133"/>
      <c r="V478" s="1135"/>
      <c r="W478" s="1135"/>
    </row>
    <row r="479">
      <c r="A479" s="1133"/>
      <c r="B479" s="1133"/>
      <c r="C479" s="1133"/>
      <c r="D479" s="1133"/>
      <c r="E479" s="1133"/>
      <c r="F479" s="1133"/>
      <c r="G479" s="1133"/>
      <c r="H479" s="1133"/>
      <c r="I479" s="1133"/>
      <c r="J479" s="1133"/>
      <c r="K479" s="1133"/>
      <c r="L479" s="1133"/>
      <c r="M479" s="1133"/>
      <c r="N479" s="1133"/>
      <c r="O479" s="1133"/>
      <c r="P479" s="1133"/>
      <c r="Q479" s="1133"/>
      <c r="R479" s="1133"/>
      <c r="S479" s="1133"/>
      <c r="T479" s="1133"/>
      <c r="U479" s="1133"/>
      <c r="V479" s="1135"/>
      <c r="W479" s="1135"/>
    </row>
    <row r="480">
      <c r="A480" s="1133"/>
      <c r="B480" s="1133"/>
      <c r="C480" s="1133"/>
      <c r="D480" s="1133"/>
      <c r="E480" s="1133"/>
      <c r="F480" s="1133"/>
      <c r="G480" s="1133"/>
      <c r="H480" s="1133"/>
      <c r="I480" s="1133"/>
      <c r="J480" s="1133"/>
      <c r="K480" s="1133"/>
      <c r="L480" s="1133"/>
      <c r="M480" s="1133"/>
      <c r="N480" s="1133"/>
      <c r="O480" s="1133"/>
      <c r="P480" s="1133"/>
      <c r="Q480" s="1133"/>
      <c r="R480" s="1133"/>
      <c r="S480" s="1133"/>
      <c r="T480" s="1133"/>
      <c r="U480" s="1133"/>
      <c r="V480" s="1135"/>
      <c r="W480" s="1135"/>
    </row>
    <row r="481">
      <c r="A481" s="1133"/>
      <c r="B481" s="1133"/>
      <c r="C481" s="1133"/>
      <c r="D481" s="1133"/>
      <c r="E481" s="1133"/>
      <c r="F481" s="1133"/>
      <c r="G481" s="1133"/>
      <c r="H481" s="1133"/>
      <c r="I481" s="1133"/>
      <c r="J481" s="1133"/>
      <c r="K481" s="1133"/>
      <c r="L481" s="1133"/>
      <c r="M481" s="1133"/>
      <c r="N481" s="1133"/>
      <c r="O481" s="1133"/>
      <c r="P481" s="1133"/>
      <c r="Q481" s="1133"/>
      <c r="R481" s="1133"/>
      <c r="S481" s="1133"/>
      <c r="T481" s="1133"/>
      <c r="U481" s="1133"/>
      <c r="V481" s="1135"/>
      <c r="W481" s="1135"/>
    </row>
    <row r="482">
      <c r="A482" s="1133"/>
      <c r="B482" s="1133"/>
      <c r="C482" s="1133"/>
      <c r="D482" s="1133"/>
      <c r="E482" s="1133"/>
      <c r="F482" s="1133"/>
      <c r="G482" s="1133"/>
      <c r="H482" s="1133"/>
      <c r="I482" s="1133"/>
      <c r="J482" s="1133"/>
      <c r="K482" s="1133"/>
      <c r="L482" s="1133"/>
      <c r="M482" s="1133"/>
      <c r="N482" s="1133"/>
      <c r="O482" s="1133"/>
      <c r="P482" s="1133"/>
      <c r="Q482" s="1133"/>
      <c r="R482" s="1133"/>
      <c r="S482" s="1133"/>
      <c r="T482" s="1133"/>
      <c r="U482" s="1133"/>
      <c r="V482" s="1135"/>
      <c r="W482" s="1135"/>
    </row>
    <row r="483">
      <c r="A483" s="1133"/>
      <c r="B483" s="1133"/>
      <c r="C483" s="1133"/>
      <c r="D483" s="1133"/>
      <c r="E483" s="1133"/>
      <c r="F483" s="1133"/>
      <c r="G483" s="1133"/>
      <c r="H483" s="1133"/>
      <c r="I483" s="1133"/>
      <c r="J483" s="1133"/>
      <c r="K483" s="1133"/>
      <c r="L483" s="1133"/>
      <c r="M483" s="1133"/>
      <c r="N483" s="1133"/>
      <c r="O483" s="1133"/>
      <c r="P483" s="1133"/>
      <c r="Q483" s="1133"/>
      <c r="R483" s="1133"/>
      <c r="S483" s="1133"/>
      <c r="T483" s="1133"/>
      <c r="U483" s="1133"/>
      <c r="V483" s="1135"/>
      <c r="W483" s="1135"/>
    </row>
    <row r="484">
      <c r="A484" s="1133"/>
      <c r="B484" s="1133"/>
      <c r="C484" s="1133"/>
      <c r="D484" s="1133"/>
      <c r="E484" s="1133"/>
      <c r="F484" s="1133"/>
      <c r="G484" s="1133"/>
      <c r="H484" s="1133"/>
      <c r="I484" s="1133"/>
      <c r="J484" s="1133"/>
      <c r="K484" s="1133"/>
      <c r="L484" s="1133"/>
      <c r="M484" s="1133"/>
      <c r="N484" s="1133"/>
      <c r="O484" s="1133"/>
      <c r="P484" s="1133"/>
      <c r="Q484" s="1133"/>
      <c r="R484" s="1133"/>
      <c r="S484" s="1133"/>
      <c r="T484" s="1133"/>
      <c r="U484" s="1133"/>
      <c r="V484" s="1135"/>
      <c r="W484" s="1135"/>
    </row>
    <row r="485">
      <c r="A485" s="1133"/>
      <c r="B485" s="1133"/>
      <c r="C485" s="1133"/>
      <c r="D485" s="1133"/>
      <c r="E485" s="1133"/>
      <c r="F485" s="1133"/>
      <c r="G485" s="1133"/>
      <c r="H485" s="1133"/>
      <c r="I485" s="1133"/>
      <c r="J485" s="1133"/>
      <c r="K485" s="1133"/>
      <c r="L485" s="1133"/>
      <c r="M485" s="1133"/>
      <c r="N485" s="1133"/>
      <c r="O485" s="1133"/>
      <c r="P485" s="1133"/>
      <c r="Q485" s="1133"/>
      <c r="R485" s="1133"/>
      <c r="S485" s="1133"/>
      <c r="T485" s="1133"/>
      <c r="U485" s="1133"/>
      <c r="V485" s="1135"/>
      <c r="W485" s="1135"/>
    </row>
    <row r="486">
      <c r="A486" s="1133"/>
      <c r="B486" s="1133"/>
      <c r="C486" s="1133"/>
      <c r="D486" s="1133"/>
      <c r="E486" s="1133"/>
      <c r="F486" s="1133"/>
      <c r="G486" s="1133"/>
      <c r="H486" s="1133"/>
      <c r="I486" s="1133"/>
      <c r="J486" s="1133"/>
      <c r="K486" s="1133"/>
      <c r="L486" s="1133"/>
      <c r="M486" s="1133"/>
      <c r="N486" s="1133"/>
      <c r="O486" s="1133"/>
      <c r="P486" s="1133"/>
      <c r="Q486" s="1133"/>
      <c r="R486" s="1133"/>
      <c r="S486" s="1133"/>
      <c r="T486" s="1133"/>
      <c r="U486" s="1133"/>
      <c r="V486" s="1135"/>
      <c r="W486" s="1135"/>
    </row>
    <row r="487">
      <c r="A487" s="1133"/>
      <c r="B487" s="1133"/>
      <c r="C487" s="1133"/>
      <c r="D487" s="1133"/>
      <c r="E487" s="1133"/>
      <c r="F487" s="1133"/>
      <c r="G487" s="1133"/>
      <c r="H487" s="1133"/>
      <c r="I487" s="1133"/>
      <c r="J487" s="1133"/>
      <c r="K487" s="1133"/>
      <c r="L487" s="1133"/>
      <c r="M487" s="1133"/>
      <c r="N487" s="1133"/>
      <c r="O487" s="1133"/>
      <c r="P487" s="1133"/>
      <c r="Q487" s="1133"/>
      <c r="R487" s="1133"/>
      <c r="S487" s="1133"/>
      <c r="T487" s="1133"/>
      <c r="U487" s="1133"/>
      <c r="V487" s="1135"/>
      <c r="W487" s="1135"/>
    </row>
    <row r="488">
      <c r="A488" s="1133"/>
      <c r="B488" s="1133"/>
      <c r="C488" s="1133"/>
      <c r="D488" s="1133"/>
      <c r="E488" s="1133"/>
      <c r="F488" s="1133"/>
      <c r="G488" s="1133"/>
      <c r="H488" s="1133"/>
      <c r="I488" s="1133"/>
      <c r="J488" s="1133"/>
      <c r="K488" s="1133"/>
      <c r="L488" s="1133"/>
      <c r="M488" s="1133"/>
      <c r="N488" s="1133"/>
      <c r="O488" s="1133"/>
      <c r="P488" s="1133"/>
      <c r="Q488" s="1133"/>
      <c r="R488" s="1133"/>
      <c r="S488" s="1133"/>
      <c r="T488" s="1133"/>
      <c r="U488" s="1133"/>
      <c r="V488" s="1135"/>
      <c r="W488" s="1135"/>
    </row>
    <row r="489">
      <c r="A489" s="1133"/>
      <c r="B489" s="1133"/>
      <c r="C489" s="1133"/>
      <c r="D489" s="1133"/>
      <c r="E489" s="1133"/>
      <c r="F489" s="1133"/>
      <c r="G489" s="1133"/>
      <c r="H489" s="1133"/>
      <c r="I489" s="1133"/>
      <c r="J489" s="1133"/>
      <c r="K489" s="1133"/>
      <c r="L489" s="1133"/>
      <c r="M489" s="1133"/>
      <c r="N489" s="1133"/>
      <c r="O489" s="1133"/>
      <c r="P489" s="1133"/>
      <c r="Q489" s="1133"/>
      <c r="R489" s="1133"/>
      <c r="S489" s="1133"/>
      <c r="T489" s="1133"/>
      <c r="U489" s="1133"/>
      <c r="V489" s="1135"/>
      <c r="W489" s="1135"/>
    </row>
    <row r="490">
      <c r="A490" s="1133"/>
      <c r="B490" s="1133"/>
      <c r="C490" s="1133"/>
      <c r="D490" s="1133"/>
      <c r="E490" s="1133"/>
      <c r="F490" s="1133"/>
      <c r="G490" s="1133"/>
      <c r="H490" s="1133"/>
      <c r="I490" s="1133"/>
      <c r="J490" s="1133"/>
      <c r="K490" s="1133"/>
      <c r="L490" s="1133"/>
      <c r="M490" s="1133"/>
      <c r="N490" s="1133"/>
      <c r="O490" s="1133"/>
      <c r="P490" s="1133"/>
      <c r="Q490" s="1133"/>
      <c r="R490" s="1133"/>
      <c r="S490" s="1133"/>
      <c r="T490" s="1133"/>
      <c r="U490" s="1133"/>
      <c r="V490" s="1135"/>
      <c r="W490" s="1135"/>
    </row>
    <row r="491">
      <c r="A491" s="1133"/>
      <c r="B491" s="1133"/>
      <c r="C491" s="1133"/>
      <c r="D491" s="1133"/>
      <c r="E491" s="1133"/>
      <c r="F491" s="1133"/>
      <c r="G491" s="1133"/>
      <c r="H491" s="1133"/>
      <c r="I491" s="1133"/>
      <c r="J491" s="1133"/>
      <c r="K491" s="1133"/>
      <c r="L491" s="1133"/>
      <c r="M491" s="1133"/>
      <c r="N491" s="1133"/>
      <c r="O491" s="1133"/>
      <c r="P491" s="1133"/>
      <c r="Q491" s="1133"/>
      <c r="R491" s="1133"/>
      <c r="S491" s="1133"/>
      <c r="T491" s="1133"/>
      <c r="U491" s="1133"/>
      <c r="V491" s="1135"/>
      <c r="W491" s="1135"/>
    </row>
    <row r="492">
      <c r="A492" s="1133"/>
      <c r="B492" s="1133"/>
      <c r="C492" s="1133"/>
      <c r="D492" s="1133"/>
      <c r="E492" s="1133"/>
      <c r="F492" s="1133"/>
      <c r="G492" s="1133"/>
      <c r="H492" s="1133"/>
      <c r="I492" s="1133"/>
      <c r="J492" s="1133"/>
      <c r="K492" s="1133"/>
      <c r="L492" s="1133"/>
      <c r="M492" s="1133"/>
      <c r="N492" s="1133"/>
      <c r="O492" s="1133"/>
      <c r="P492" s="1133"/>
      <c r="Q492" s="1133"/>
      <c r="R492" s="1133"/>
      <c r="S492" s="1133"/>
      <c r="T492" s="1133"/>
      <c r="U492" s="1133"/>
      <c r="V492" s="1135"/>
      <c r="W492" s="1135"/>
    </row>
    <row r="493">
      <c r="A493" s="1133"/>
      <c r="B493" s="1133"/>
      <c r="C493" s="1133"/>
      <c r="D493" s="1133"/>
      <c r="E493" s="1133"/>
      <c r="F493" s="1133"/>
      <c r="G493" s="1133"/>
      <c r="H493" s="1133"/>
      <c r="I493" s="1133"/>
      <c r="J493" s="1133"/>
      <c r="K493" s="1133"/>
      <c r="L493" s="1133"/>
      <c r="M493" s="1133"/>
      <c r="N493" s="1133"/>
      <c r="O493" s="1133"/>
      <c r="P493" s="1133"/>
      <c r="Q493" s="1133"/>
      <c r="R493" s="1133"/>
      <c r="S493" s="1133"/>
      <c r="T493" s="1133"/>
      <c r="U493" s="1133"/>
      <c r="V493" s="1135"/>
      <c r="W493" s="1135"/>
    </row>
    <row r="494">
      <c r="A494" s="1133"/>
      <c r="B494" s="1133"/>
      <c r="C494" s="1133"/>
      <c r="D494" s="1133"/>
      <c r="E494" s="1133"/>
      <c r="F494" s="1133"/>
      <c r="G494" s="1133"/>
      <c r="H494" s="1133"/>
      <c r="I494" s="1133"/>
      <c r="J494" s="1133"/>
      <c r="K494" s="1133"/>
      <c r="L494" s="1133"/>
      <c r="M494" s="1133"/>
      <c r="N494" s="1133"/>
      <c r="O494" s="1133"/>
      <c r="P494" s="1133"/>
      <c r="Q494" s="1133"/>
      <c r="R494" s="1133"/>
      <c r="S494" s="1133"/>
      <c r="T494" s="1133"/>
      <c r="U494" s="1133"/>
      <c r="V494" s="1135"/>
      <c r="W494" s="1135"/>
    </row>
    <row r="495">
      <c r="A495" s="1133"/>
      <c r="B495" s="1133"/>
      <c r="C495" s="1133"/>
      <c r="D495" s="1133"/>
      <c r="E495" s="1133"/>
      <c r="F495" s="1133"/>
      <c r="G495" s="1133"/>
      <c r="H495" s="1133"/>
      <c r="I495" s="1133"/>
      <c r="J495" s="1133"/>
      <c r="K495" s="1133"/>
      <c r="L495" s="1133"/>
      <c r="M495" s="1133"/>
      <c r="N495" s="1133"/>
      <c r="O495" s="1133"/>
      <c r="P495" s="1133"/>
      <c r="Q495" s="1133"/>
      <c r="R495" s="1133"/>
      <c r="S495" s="1133"/>
      <c r="T495" s="1133"/>
      <c r="U495" s="1133"/>
      <c r="V495" s="1135"/>
      <c r="W495" s="1135"/>
    </row>
    <row r="496">
      <c r="A496" s="1133"/>
      <c r="B496" s="1133"/>
      <c r="C496" s="1133"/>
      <c r="D496" s="1133"/>
      <c r="E496" s="1133"/>
      <c r="F496" s="1133"/>
      <c r="G496" s="1133"/>
      <c r="H496" s="1133"/>
      <c r="I496" s="1133"/>
      <c r="J496" s="1133"/>
      <c r="K496" s="1133"/>
      <c r="L496" s="1133"/>
      <c r="M496" s="1133"/>
      <c r="N496" s="1133"/>
      <c r="O496" s="1133"/>
      <c r="P496" s="1133"/>
      <c r="Q496" s="1133"/>
      <c r="R496" s="1133"/>
      <c r="S496" s="1133"/>
      <c r="T496" s="1133"/>
      <c r="U496" s="1133"/>
      <c r="V496" s="1135"/>
      <c r="W496" s="1135"/>
    </row>
    <row r="497">
      <c r="A497" s="1133"/>
      <c r="B497" s="1133"/>
      <c r="C497" s="1133"/>
      <c r="D497" s="1133"/>
      <c r="E497" s="1133"/>
      <c r="F497" s="1133"/>
      <c r="G497" s="1133"/>
      <c r="H497" s="1133"/>
      <c r="I497" s="1133"/>
      <c r="J497" s="1133"/>
      <c r="K497" s="1133"/>
      <c r="L497" s="1133"/>
      <c r="M497" s="1133"/>
      <c r="N497" s="1133"/>
      <c r="O497" s="1133"/>
      <c r="P497" s="1133"/>
      <c r="Q497" s="1133"/>
      <c r="R497" s="1133"/>
      <c r="S497" s="1133"/>
      <c r="T497" s="1133"/>
      <c r="U497" s="1133"/>
      <c r="V497" s="1135"/>
      <c r="W497" s="1135"/>
    </row>
    <row r="498">
      <c r="A498" s="1133"/>
      <c r="B498" s="1133"/>
      <c r="C498" s="1133"/>
      <c r="D498" s="1133"/>
      <c r="E498" s="1133"/>
      <c r="F498" s="1133"/>
      <c r="G498" s="1133"/>
      <c r="H498" s="1133"/>
      <c r="I498" s="1133"/>
      <c r="J498" s="1133"/>
      <c r="K498" s="1133"/>
      <c r="L498" s="1133"/>
      <c r="M498" s="1133"/>
      <c r="N498" s="1133"/>
      <c r="O498" s="1133"/>
      <c r="P498" s="1133"/>
      <c r="Q498" s="1133"/>
      <c r="R498" s="1133"/>
      <c r="S498" s="1133"/>
      <c r="T498" s="1133"/>
      <c r="U498" s="1133"/>
      <c r="V498" s="1135"/>
      <c r="W498" s="1135"/>
    </row>
    <row r="499">
      <c r="A499" s="1133"/>
      <c r="B499" s="1133"/>
      <c r="C499" s="1133"/>
      <c r="D499" s="1133"/>
      <c r="E499" s="1133"/>
      <c r="F499" s="1133"/>
      <c r="G499" s="1133"/>
      <c r="H499" s="1133"/>
      <c r="I499" s="1133"/>
      <c r="J499" s="1133"/>
      <c r="K499" s="1133"/>
      <c r="L499" s="1133"/>
      <c r="M499" s="1133"/>
      <c r="N499" s="1133"/>
      <c r="O499" s="1133"/>
      <c r="P499" s="1133"/>
      <c r="Q499" s="1133"/>
      <c r="R499" s="1133"/>
      <c r="S499" s="1133"/>
      <c r="T499" s="1133"/>
      <c r="U499" s="1133"/>
      <c r="V499" s="1135"/>
      <c r="W499" s="1135"/>
    </row>
    <row r="500">
      <c r="A500" s="1133"/>
      <c r="B500" s="1133"/>
      <c r="C500" s="1133"/>
      <c r="D500" s="1133"/>
      <c r="E500" s="1133"/>
      <c r="F500" s="1133"/>
      <c r="G500" s="1133"/>
      <c r="H500" s="1133"/>
      <c r="I500" s="1133"/>
      <c r="J500" s="1133"/>
      <c r="K500" s="1133"/>
      <c r="L500" s="1133"/>
      <c r="M500" s="1133"/>
      <c r="N500" s="1133"/>
      <c r="O500" s="1133"/>
      <c r="P500" s="1133"/>
      <c r="Q500" s="1133"/>
      <c r="R500" s="1133"/>
      <c r="S500" s="1133"/>
      <c r="T500" s="1133"/>
      <c r="U500" s="1133"/>
      <c r="V500" s="1135"/>
      <c r="W500" s="1135"/>
    </row>
    <row r="501">
      <c r="A501" s="1133"/>
      <c r="B501" s="1133"/>
      <c r="C501" s="1133"/>
      <c r="D501" s="1133"/>
      <c r="E501" s="1133"/>
      <c r="F501" s="1133"/>
      <c r="G501" s="1133"/>
      <c r="H501" s="1133"/>
      <c r="I501" s="1133"/>
      <c r="J501" s="1133"/>
      <c r="K501" s="1133"/>
      <c r="L501" s="1133"/>
      <c r="M501" s="1133"/>
      <c r="N501" s="1133"/>
      <c r="O501" s="1133"/>
      <c r="P501" s="1133"/>
      <c r="Q501" s="1133"/>
      <c r="R501" s="1133"/>
      <c r="S501" s="1133"/>
      <c r="T501" s="1133"/>
      <c r="U501" s="1133"/>
      <c r="V501" s="1135"/>
      <c r="W501" s="1135"/>
    </row>
    <row r="502">
      <c r="A502" s="1133"/>
      <c r="B502" s="1133"/>
      <c r="C502" s="1133"/>
      <c r="D502" s="1133"/>
      <c r="E502" s="1133"/>
      <c r="F502" s="1133"/>
      <c r="G502" s="1133"/>
      <c r="H502" s="1133"/>
      <c r="I502" s="1133"/>
      <c r="J502" s="1133"/>
      <c r="K502" s="1133"/>
      <c r="L502" s="1133"/>
      <c r="M502" s="1133"/>
      <c r="N502" s="1133"/>
      <c r="O502" s="1133"/>
      <c r="P502" s="1133"/>
      <c r="Q502" s="1133"/>
      <c r="R502" s="1133"/>
      <c r="S502" s="1133"/>
      <c r="T502" s="1133"/>
      <c r="U502" s="1133"/>
      <c r="V502" s="1135"/>
      <c r="W502" s="1135"/>
    </row>
    <row r="503">
      <c r="A503" s="1133"/>
      <c r="B503" s="1133"/>
      <c r="C503" s="1133"/>
      <c r="D503" s="1133"/>
      <c r="E503" s="1133"/>
      <c r="F503" s="1133"/>
      <c r="G503" s="1133"/>
      <c r="H503" s="1133"/>
      <c r="I503" s="1133"/>
      <c r="J503" s="1133"/>
      <c r="K503" s="1133"/>
      <c r="L503" s="1133"/>
      <c r="M503" s="1133"/>
      <c r="N503" s="1133"/>
      <c r="O503" s="1133"/>
      <c r="P503" s="1133"/>
      <c r="Q503" s="1133"/>
      <c r="R503" s="1133"/>
      <c r="S503" s="1133"/>
      <c r="T503" s="1133"/>
      <c r="U503" s="1133"/>
      <c r="V503" s="1135"/>
      <c r="W503" s="1135"/>
    </row>
    <row r="504">
      <c r="A504" s="1133"/>
      <c r="B504" s="1133"/>
      <c r="C504" s="1133"/>
      <c r="D504" s="1133"/>
      <c r="E504" s="1133"/>
      <c r="F504" s="1133"/>
      <c r="G504" s="1133"/>
      <c r="H504" s="1133"/>
      <c r="I504" s="1133"/>
      <c r="J504" s="1133"/>
      <c r="K504" s="1133"/>
      <c r="L504" s="1133"/>
      <c r="M504" s="1133"/>
      <c r="N504" s="1133"/>
      <c r="O504" s="1133"/>
      <c r="P504" s="1133"/>
      <c r="Q504" s="1133"/>
      <c r="R504" s="1133"/>
      <c r="S504" s="1133"/>
      <c r="T504" s="1133"/>
      <c r="U504" s="1133"/>
      <c r="V504" s="1135"/>
      <c r="W504" s="1135"/>
    </row>
    <row r="505">
      <c r="A505" s="1133"/>
      <c r="B505" s="1133"/>
      <c r="C505" s="1133"/>
      <c r="D505" s="1133"/>
      <c r="E505" s="1133"/>
      <c r="F505" s="1133"/>
      <c r="G505" s="1133"/>
      <c r="H505" s="1133"/>
      <c r="I505" s="1133"/>
      <c r="J505" s="1133"/>
      <c r="K505" s="1133"/>
      <c r="L505" s="1133"/>
      <c r="M505" s="1133"/>
      <c r="N505" s="1133"/>
      <c r="O505" s="1133"/>
      <c r="P505" s="1133"/>
      <c r="Q505" s="1133"/>
      <c r="R505" s="1133"/>
      <c r="S505" s="1133"/>
      <c r="T505" s="1133"/>
      <c r="U505" s="1133"/>
      <c r="V505" s="1135"/>
      <c r="W505" s="1135"/>
    </row>
    <row r="506">
      <c r="A506" s="1133"/>
      <c r="B506" s="1133"/>
      <c r="C506" s="1133"/>
      <c r="D506" s="1133"/>
      <c r="E506" s="1133"/>
      <c r="F506" s="1133"/>
      <c r="G506" s="1133"/>
      <c r="H506" s="1133"/>
      <c r="I506" s="1133"/>
      <c r="J506" s="1133"/>
      <c r="K506" s="1133"/>
      <c r="L506" s="1133"/>
      <c r="M506" s="1133"/>
      <c r="N506" s="1133"/>
      <c r="O506" s="1133"/>
      <c r="P506" s="1133"/>
      <c r="Q506" s="1133"/>
      <c r="R506" s="1133"/>
      <c r="S506" s="1133"/>
      <c r="T506" s="1133"/>
      <c r="U506" s="1133"/>
      <c r="V506" s="1135"/>
      <c r="W506" s="1135"/>
    </row>
    <row r="507">
      <c r="A507" s="1133"/>
      <c r="B507" s="1133"/>
      <c r="C507" s="1133"/>
      <c r="D507" s="1133"/>
      <c r="E507" s="1133"/>
      <c r="F507" s="1133"/>
      <c r="G507" s="1133"/>
      <c r="H507" s="1133"/>
      <c r="I507" s="1133"/>
      <c r="J507" s="1133"/>
      <c r="K507" s="1133"/>
      <c r="L507" s="1133"/>
      <c r="M507" s="1133"/>
      <c r="N507" s="1133"/>
      <c r="O507" s="1133"/>
      <c r="P507" s="1133"/>
      <c r="Q507" s="1133"/>
      <c r="R507" s="1133"/>
      <c r="S507" s="1133"/>
      <c r="T507" s="1133"/>
      <c r="U507" s="1133"/>
      <c r="V507" s="1135"/>
      <c r="W507" s="1135"/>
    </row>
    <row r="508">
      <c r="A508" s="1133"/>
      <c r="B508" s="1133"/>
      <c r="C508" s="1133"/>
      <c r="D508" s="1133"/>
      <c r="E508" s="1133"/>
      <c r="F508" s="1133"/>
      <c r="G508" s="1133"/>
      <c r="H508" s="1133"/>
      <c r="I508" s="1133"/>
      <c r="J508" s="1133"/>
      <c r="K508" s="1133"/>
      <c r="L508" s="1133"/>
      <c r="M508" s="1133"/>
      <c r="N508" s="1133"/>
      <c r="O508" s="1133"/>
      <c r="P508" s="1133"/>
      <c r="Q508" s="1133"/>
      <c r="R508" s="1133"/>
      <c r="S508" s="1133"/>
      <c r="T508" s="1133"/>
      <c r="U508" s="1133"/>
      <c r="V508" s="1135"/>
      <c r="W508" s="1135"/>
    </row>
    <row r="509">
      <c r="A509" s="1133"/>
      <c r="B509" s="1133"/>
      <c r="C509" s="1133"/>
      <c r="D509" s="1133"/>
      <c r="E509" s="1133"/>
      <c r="F509" s="1133"/>
      <c r="G509" s="1133"/>
      <c r="H509" s="1133"/>
      <c r="I509" s="1133"/>
      <c r="J509" s="1133"/>
      <c r="K509" s="1133"/>
      <c r="L509" s="1133"/>
      <c r="M509" s="1133"/>
      <c r="N509" s="1133"/>
      <c r="O509" s="1133"/>
      <c r="P509" s="1133"/>
      <c r="Q509" s="1133"/>
      <c r="R509" s="1133"/>
      <c r="S509" s="1133"/>
      <c r="T509" s="1133"/>
      <c r="U509" s="1133"/>
      <c r="V509" s="1135"/>
      <c r="W509" s="1135"/>
    </row>
    <row r="510">
      <c r="A510" s="1133"/>
      <c r="B510" s="1133"/>
      <c r="C510" s="1133"/>
      <c r="D510" s="1133"/>
      <c r="E510" s="1133"/>
      <c r="F510" s="1133"/>
      <c r="G510" s="1133"/>
      <c r="H510" s="1133"/>
      <c r="I510" s="1133"/>
      <c r="J510" s="1133"/>
      <c r="K510" s="1133"/>
      <c r="L510" s="1133"/>
      <c r="M510" s="1133"/>
      <c r="N510" s="1133"/>
      <c r="O510" s="1133"/>
      <c r="P510" s="1133"/>
      <c r="Q510" s="1133"/>
      <c r="R510" s="1133"/>
      <c r="S510" s="1133"/>
      <c r="T510" s="1133"/>
      <c r="U510" s="1133"/>
      <c r="V510" s="1135"/>
      <c r="W510" s="1135"/>
    </row>
    <row r="511">
      <c r="A511" s="1133"/>
      <c r="B511" s="1133"/>
      <c r="C511" s="1133"/>
      <c r="D511" s="1133"/>
      <c r="E511" s="1133"/>
      <c r="F511" s="1133"/>
      <c r="G511" s="1133"/>
      <c r="H511" s="1133"/>
      <c r="I511" s="1133"/>
      <c r="J511" s="1133"/>
      <c r="K511" s="1133"/>
      <c r="L511" s="1133"/>
      <c r="M511" s="1133"/>
      <c r="N511" s="1133"/>
      <c r="O511" s="1133"/>
      <c r="P511" s="1133"/>
      <c r="Q511" s="1133"/>
      <c r="R511" s="1133"/>
      <c r="S511" s="1133"/>
      <c r="T511" s="1133"/>
      <c r="U511" s="1133"/>
      <c r="V511" s="1135"/>
      <c r="W511" s="1135"/>
    </row>
    <row r="512">
      <c r="A512" s="1133"/>
      <c r="B512" s="1133"/>
      <c r="C512" s="1133"/>
      <c r="D512" s="1133"/>
      <c r="E512" s="1133"/>
      <c r="F512" s="1133"/>
      <c r="G512" s="1133"/>
      <c r="H512" s="1133"/>
      <c r="I512" s="1133"/>
      <c r="J512" s="1133"/>
      <c r="K512" s="1133"/>
      <c r="L512" s="1133"/>
      <c r="M512" s="1133"/>
      <c r="N512" s="1133"/>
      <c r="O512" s="1133"/>
      <c r="P512" s="1133"/>
      <c r="Q512" s="1133"/>
      <c r="R512" s="1133"/>
      <c r="S512" s="1133"/>
      <c r="T512" s="1133"/>
      <c r="U512" s="1133"/>
      <c r="V512" s="1135"/>
      <c r="W512" s="1135"/>
    </row>
    <row r="513">
      <c r="A513" s="1133"/>
      <c r="B513" s="1133"/>
      <c r="C513" s="1133"/>
      <c r="D513" s="1133"/>
      <c r="E513" s="1133"/>
      <c r="F513" s="1133"/>
      <c r="G513" s="1133"/>
      <c r="H513" s="1133"/>
      <c r="I513" s="1133"/>
      <c r="J513" s="1133"/>
      <c r="K513" s="1133"/>
      <c r="L513" s="1133"/>
      <c r="M513" s="1133"/>
      <c r="N513" s="1133"/>
      <c r="O513" s="1133"/>
      <c r="P513" s="1133"/>
      <c r="Q513" s="1133"/>
      <c r="R513" s="1133"/>
      <c r="S513" s="1133"/>
      <c r="T513" s="1133"/>
      <c r="U513" s="1133"/>
      <c r="V513" s="1135"/>
      <c r="W513" s="1135"/>
    </row>
    <row r="514">
      <c r="A514" s="1133"/>
      <c r="B514" s="1133"/>
      <c r="C514" s="1133"/>
      <c r="D514" s="1133"/>
      <c r="E514" s="1133"/>
      <c r="F514" s="1133"/>
      <c r="G514" s="1133"/>
      <c r="H514" s="1133"/>
      <c r="I514" s="1133"/>
      <c r="J514" s="1133"/>
      <c r="K514" s="1133"/>
      <c r="L514" s="1133"/>
      <c r="M514" s="1133"/>
      <c r="N514" s="1133"/>
      <c r="O514" s="1133"/>
      <c r="P514" s="1133"/>
      <c r="Q514" s="1133"/>
      <c r="R514" s="1133"/>
      <c r="S514" s="1133"/>
      <c r="T514" s="1133"/>
      <c r="U514" s="1133"/>
      <c r="V514" s="1135"/>
      <c r="W514" s="1135"/>
    </row>
    <row r="515">
      <c r="A515" s="1133"/>
      <c r="B515" s="1133"/>
      <c r="C515" s="1133"/>
      <c r="D515" s="1133"/>
      <c r="E515" s="1133"/>
      <c r="F515" s="1133"/>
      <c r="G515" s="1133"/>
      <c r="H515" s="1133"/>
      <c r="I515" s="1133"/>
      <c r="J515" s="1133"/>
      <c r="K515" s="1133"/>
      <c r="L515" s="1133"/>
      <c r="M515" s="1133"/>
      <c r="N515" s="1133"/>
      <c r="O515" s="1133"/>
      <c r="P515" s="1133"/>
      <c r="Q515" s="1133"/>
      <c r="R515" s="1133"/>
      <c r="S515" s="1133"/>
      <c r="T515" s="1133"/>
      <c r="U515" s="1133"/>
      <c r="V515" s="1135"/>
      <c r="W515" s="1135"/>
    </row>
    <row r="516">
      <c r="A516" s="1133"/>
      <c r="B516" s="1133"/>
      <c r="C516" s="1133"/>
      <c r="D516" s="1133"/>
      <c r="E516" s="1133"/>
      <c r="F516" s="1133"/>
      <c r="G516" s="1133"/>
      <c r="H516" s="1133"/>
      <c r="I516" s="1133"/>
      <c r="J516" s="1133"/>
      <c r="K516" s="1133"/>
      <c r="L516" s="1133"/>
      <c r="M516" s="1133"/>
      <c r="N516" s="1133"/>
      <c r="O516" s="1133"/>
      <c r="P516" s="1133"/>
      <c r="Q516" s="1133"/>
      <c r="R516" s="1133"/>
      <c r="S516" s="1133"/>
      <c r="T516" s="1133"/>
      <c r="U516" s="1133"/>
      <c r="V516" s="1135"/>
      <c r="W516" s="1135"/>
    </row>
    <row r="517">
      <c r="A517" s="1133"/>
      <c r="B517" s="1133"/>
      <c r="C517" s="1133"/>
      <c r="D517" s="1133"/>
      <c r="E517" s="1133"/>
      <c r="F517" s="1133"/>
      <c r="G517" s="1133"/>
      <c r="H517" s="1133"/>
      <c r="I517" s="1133"/>
      <c r="J517" s="1133"/>
      <c r="K517" s="1133"/>
      <c r="L517" s="1133"/>
      <c r="M517" s="1133"/>
      <c r="N517" s="1133"/>
      <c r="O517" s="1133"/>
      <c r="P517" s="1133"/>
      <c r="Q517" s="1133"/>
      <c r="R517" s="1133"/>
      <c r="S517" s="1133"/>
      <c r="T517" s="1133"/>
      <c r="U517" s="1133"/>
      <c r="V517" s="1135"/>
      <c r="W517" s="1135"/>
    </row>
    <row r="518">
      <c r="A518" s="1133"/>
      <c r="B518" s="1133"/>
      <c r="C518" s="1133"/>
      <c r="D518" s="1133"/>
      <c r="E518" s="1133"/>
      <c r="F518" s="1133"/>
      <c r="G518" s="1133"/>
      <c r="H518" s="1133"/>
      <c r="I518" s="1133"/>
      <c r="J518" s="1133"/>
      <c r="K518" s="1133"/>
      <c r="L518" s="1133"/>
      <c r="M518" s="1133"/>
      <c r="N518" s="1133"/>
      <c r="O518" s="1133"/>
      <c r="P518" s="1133"/>
      <c r="Q518" s="1133"/>
      <c r="R518" s="1133"/>
      <c r="S518" s="1133"/>
      <c r="T518" s="1133"/>
      <c r="U518" s="1133"/>
      <c r="V518" s="1135"/>
      <c r="W518" s="1135"/>
    </row>
    <row r="519">
      <c r="A519" s="1133"/>
      <c r="B519" s="1133"/>
      <c r="C519" s="1133"/>
      <c r="D519" s="1133"/>
      <c r="E519" s="1133"/>
      <c r="F519" s="1133"/>
      <c r="G519" s="1133"/>
      <c r="H519" s="1133"/>
      <c r="I519" s="1133"/>
      <c r="J519" s="1133"/>
      <c r="K519" s="1133"/>
      <c r="L519" s="1133"/>
      <c r="M519" s="1133"/>
      <c r="N519" s="1133"/>
      <c r="O519" s="1133"/>
      <c r="P519" s="1133"/>
      <c r="Q519" s="1133"/>
      <c r="R519" s="1133"/>
      <c r="S519" s="1133"/>
      <c r="T519" s="1133"/>
      <c r="U519" s="1133"/>
      <c r="V519" s="1135"/>
      <c r="W519" s="1135"/>
    </row>
    <row r="520">
      <c r="A520" s="1133"/>
      <c r="B520" s="1133"/>
      <c r="C520" s="1133"/>
      <c r="D520" s="1133"/>
      <c r="E520" s="1133"/>
      <c r="F520" s="1133"/>
      <c r="G520" s="1133"/>
      <c r="H520" s="1133"/>
      <c r="I520" s="1133"/>
      <c r="J520" s="1133"/>
      <c r="K520" s="1133"/>
      <c r="L520" s="1133"/>
      <c r="M520" s="1133"/>
      <c r="N520" s="1133"/>
      <c r="O520" s="1133"/>
      <c r="P520" s="1133"/>
      <c r="Q520" s="1133"/>
      <c r="R520" s="1133"/>
      <c r="S520" s="1133"/>
      <c r="T520" s="1133"/>
      <c r="U520" s="1133"/>
      <c r="V520" s="1135"/>
      <c r="W520" s="1135"/>
    </row>
    <row r="521">
      <c r="A521" s="1133"/>
      <c r="B521" s="1133"/>
      <c r="C521" s="1133"/>
      <c r="D521" s="1133"/>
      <c r="E521" s="1133"/>
      <c r="F521" s="1133"/>
      <c r="G521" s="1133"/>
      <c r="H521" s="1133"/>
      <c r="I521" s="1133"/>
      <c r="J521" s="1133"/>
      <c r="K521" s="1133"/>
      <c r="L521" s="1133"/>
      <c r="M521" s="1133"/>
      <c r="N521" s="1133"/>
      <c r="O521" s="1133"/>
      <c r="P521" s="1133"/>
      <c r="Q521" s="1133"/>
      <c r="R521" s="1133"/>
      <c r="S521" s="1133"/>
      <c r="T521" s="1133"/>
      <c r="U521" s="1133"/>
      <c r="V521" s="1135"/>
      <c r="W521" s="1135"/>
    </row>
    <row r="522">
      <c r="A522" s="1133"/>
      <c r="B522" s="1133"/>
      <c r="C522" s="1133"/>
      <c r="D522" s="1133"/>
      <c r="E522" s="1133"/>
      <c r="F522" s="1133"/>
      <c r="G522" s="1133"/>
      <c r="H522" s="1133"/>
      <c r="I522" s="1133"/>
      <c r="J522" s="1133"/>
      <c r="K522" s="1133"/>
      <c r="L522" s="1133"/>
      <c r="M522" s="1133"/>
      <c r="N522" s="1133"/>
      <c r="O522" s="1133"/>
      <c r="P522" s="1133"/>
      <c r="Q522" s="1133"/>
      <c r="R522" s="1133"/>
      <c r="S522" s="1133"/>
      <c r="T522" s="1133"/>
      <c r="U522" s="1133"/>
      <c r="V522" s="1135"/>
      <c r="W522" s="1135"/>
    </row>
    <row r="523">
      <c r="A523" s="1133"/>
      <c r="B523" s="1133"/>
      <c r="C523" s="1133"/>
      <c r="D523" s="1133"/>
      <c r="E523" s="1133"/>
      <c r="F523" s="1133"/>
      <c r="G523" s="1133"/>
      <c r="H523" s="1133"/>
      <c r="I523" s="1133"/>
      <c r="J523" s="1133"/>
      <c r="K523" s="1133"/>
      <c r="L523" s="1133"/>
      <c r="M523" s="1133"/>
      <c r="N523" s="1133"/>
      <c r="O523" s="1133"/>
      <c r="P523" s="1133"/>
      <c r="Q523" s="1133"/>
      <c r="R523" s="1133"/>
      <c r="S523" s="1133"/>
      <c r="T523" s="1133"/>
      <c r="U523" s="1133"/>
      <c r="V523" s="1135"/>
      <c r="W523" s="1135"/>
    </row>
    <row r="524">
      <c r="A524" s="1133"/>
      <c r="B524" s="1133"/>
      <c r="C524" s="1133"/>
      <c r="D524" s="1133"/>
      <c r="E524" s="1133"/>
      <c r="F524" s="1133"/>
      <c r="G524" s="1133"/>
      <c r="H524" s="1133"/>
      <c r="I524" s="1133"/>
      <c r="J524" s="1133"/>
      <c r="K524" s="1133"/>
      <c r="L524" s="1133"/>
      <c r="M524" s="1133"/>
      <c r="N524" s="1133"/>
      <c r="O524" s="1133"/>
      <c r="P524" s="1133"/>
      <c r="Q524" s="1133"/>
      <c r="R524" s="1133"/>
      <c r="S524" s="1133"/>
      <c r="T524" s="1133"/>
      <c r="U524" s="1133"/>
      <c r="V524" s="1135"/>
      <c r="W524" s="1135"/>
    </row>
    <row r="525">
      <c r="A525" s="1133"/>
      <c r="B525" s="1133"/>
      <c r="C525" s="1133"/>
      <c r="D525" s="1133"/>
      <c r="E525" s="1133"/>
      <c r="F525" s="1133"/>
      <c r="G525" s="1133"/>
      <c r="H525" s="1133"/>
      <c r="I525" s="1133"/>
      <c r="J525" s="1133"/>
      <c r="K525" s="1133"/>
      <c r="L525" s="1133"/>
      <c r="M525" s="1133"/>
      <c r="N525" s="1133"/>
      <c r="O525" s="1133"/>
      <c r="P525" s="1133"/>
      <c r="Q525" s="1133"/>
      <c r="R525" s="1133"/>
      <c r="S525" s="1133"/>
      <c r="T525" s="1133"/>
      <c r="U525" s="1133"/>
      <c r="V525" s="1135"/>
      <c r="W525" s="1135"/>
    </row>
    <row r="526">
      <c r="A526" s="1133"/>
      <c r="B526" s="1133"/>
      <c r="C526" s="1133"/>
      <c r="D526" s="1133"/>
      <c r="E526" s="1133"/>
      <c r="F526" s="1133"/>
      <c r="G526" s="1133"/>
      <c r="H526" s="1133"/>
      <c r="I526" s="1133"/>
      <c r="J526" s="1133"/>
      <c r="K526" s="1133"/>
      <c r="L526" s="1133"/>
      <c r="M526" s="1133"/>
      <c r="N526" s="1133"/>
      <c r="O526" s="1133"/>
      <c r="P526" s="1133"/>
      <c r="Q526" s="1133"/>
      <c r="R526" s="1133"/>
      <c r="S526" s="1133"/>
      <c r="T526" s="1133"/>
      <c r="U526" s="1133"/>
      <c r="V526" s="1135"/>
      <c r="W526" s="1135"/>
    </row>
    <row r="527">
      <c r="A527" s="1133"/>
      <c r="B527" s="1133"/>
      <c r="C527" s="1133"/>
      <c r="D527" s="1133"/>
      <c r="E527" s="1133"/>
      <c r="F527" s="1133"/>
      <c r="G527" s="1133"/>
      <c r="H527" s="1133"/>
      <c r="I527" s="1133"/>
      <c r="J527" s="1133"/>
      <c r="K527" s="1133"/>
      <c r="L527" s="1133"/>
      <c r="M527" s="1133"/>
      <c r="N527" s="1133"/>
      <c r="O527" s="1133"/>
      <c r="P527" s="1133"/>
      <c r="Q527" s="1133"/>
      <c r="R527" s="1133"/>
      <c r="S527" s="1133"/>
      <c r="T527" s="1133"/>
      <c r="U527" s="1133"/>
      <c r="V527" s="1135"/>
      <c r="W527" s="1135"/>
    </row>
    <row r="528">
      <c r="A528" s="1133"/>
      <c r="B528" s="1133"/>
      <c r="C528" s="1133"/>
      <c r="D528" s="1133"/>
      <c r="E528" s="1133"/>
      <c r="F528" s="1133"/>
      <c r="G528" s="1133"/>
      <c r="H528" s="1133"/>
      <c r="I528" s="1133"/>
      <c r="J528" s="1133"/>
      <c r="K528" s="1133"/>
      <c r="L528" s="1133"/>
      <c r="M528" s="1133"/>
      <c r="N528" s="1133"/>
      <c r="O528" s="1133"/>
      <c r="P528" s="1133"/>
      <c r="Q528" s="1133"/>
      <c r="R528" s="1133"/>
      <c r="S528" s="1133"/>
      <c r="T528" s="1133"/>
      <c r="U528" s="1133"/>
      <c r="V528" s="1135"/>
      <c r="W528" s="1135"/>
    </row>
    <row r="529">
      <c r="A529" s="1133"/>
      <c r="B529" s="1133"/>
      <c r="C529" s="1133"/>
      <c r="D529" s="1133"/>
      <c r="E529" s="1133"/>
      <c r="F529" s="1133"/>
      <c r="G529" s="1133"/>
      <c r="H529" s="1133"/>
      <c r="I529" s="1133"/>
      <c r="J529" s="1133"/>
      <c r="K529" s="1133"/>
      <c r="L529" s="1133"/>
      <c r="M529" s="1133"/>
      <c r="N529" s="1133"/>
      <c r="O529" s="1133"/>
      <c r="P529" s="1133"/>
      <c r="Q529" s="1133"/>
      <c r="R529" s="1133"/>
      <c r="S529" s="1133"/>
      <c r="T529" s="1133"/>
      <c r="U529" s="1133"/>
      <c r="V529" s="1135"/>
      <c r="W529" s="1135"/>
    </row>
    <row r="530">
      <c r="A530" s="1133"/>
      <c r="B530" s="1133"/>
      <c r="C530" s="1133"/>
      <c r="D530" s="1133"/>
      <c r="E530" s="1133"/>
      <c r="F530" s="1133"/>
      <c r="G530" s="1133"/>
      <c r="H530" s="1133"/>
      <c r="I530" s="1133"/>
      <c r="J530" s="1133"/>
      <c r="K530" s="1133"/>
      <c r="L530" s="1133"/>
      <c r="M530" s="1133"/>
      <c r="N530" s="1133"/>
      <c r="O530" s="1133"/>
      <c r="P530" s="1133"/>
      <c r="Q530" s="1133"/>
      <c r="R530" s="1133"/>
      <c r="S530" s="1133"/>
      <c r="T530" s="1133"/>
      <c r="U530" s="1133"/>
      <c r="V530" s="1135"/>
      <c r="W530" s="1135"/>
    </row>
    <row r="531">
      <c r="A531" s="1133"/>
      <c r="B531" s="1133"/>
      <c r="C531" s="1133"/>
      <c r="D531" s="1133"/>
      <c r="E531" s="1133"/>
      <c r="F531" s="1133"/>
      <c r="G531" s="1133"/>
      <c r="H531" s="1133"/>
      <c r="I531" s="1133"/>
      <c r="J531" s="1133"/>
      <c r="K531" s="1133"/>
      <c r="L531" s="1133"/>
      <c r="M531" s="1133"/>
      <c r="N531" s="1133"/>
      <c r="O531" s="1133"/>
      <c r="P531" s="1133"/>
      <c r="Q531" s="1133"/>
      <c r="R531" s="1133"/>
      <c r="S531" s="1133"/>
      <c r="T531" s="1133"/>
      <c r="U531" s="1133"/>
      <c r="V531" s="1135"/>
      <c r="W531" s="1135"/>
    </row>
    <row r="532">
      <c r="A532" s="1133"/>
      <c r="B532" s="1133"/>
      <c r="C532" s="1133"/>
      <c r="D532" s="1133"/>
      <c r="E532" s="1133"/>
      <c r="F532" s="1133"/>
      <c r="G532" s="1133"/>
      <c r="H532" s="1133"/>
      <c r="I532" s="1133"/>
      <c r="J532" s="1133"/>
      <c r="K532" s="1133"/>
      <c r="L532" s="1133"/>
      <c r="M532" s="1133"/>
      <c r="N532" s="1133"/>
      <c r="O532" s="1133"/>
      <c r="P532" s="1133"/>
      <c r="Q532" s="1133"/>
      <c r="R532" s="1133"/>
      <c r="S532" s="1133"/>
      <c r="T532" s="1133"/>
      <c r="U532" s="1133"/>
      <c r="V532" s="1135"/>
      <c r="W532" s="1135"/>
    </row>
    <row r="533">
      <c r="A533" s="1133"/>
      <c r="B533" s="1133"/>
      <c r="C533" s="1133"/>
      <c r="D533" s="1133"/>
      <c r="E533" s="1133"/>
      <c r="F533" s="1133"/>
      <c r="G533" s="1133"/>
      <c r="H533" s="1133"/>
      <c r="I533" s="1133"/>
      <c r="J533" s="1133"/>
      <c r="K533" s="1133"/>
      <c r="L533" s="1133"/>
      <c r="M533" s="1133"/>
      <c r="N533" s="1133"/>
      <c r="O533" s="1133"/>
      <c r="P533" s="1133"/>
      <c r="Q533" s="1133"/>
      <c r="R533" s="1133"/>
      <c r="S533" s="1133"/>
      <c r="T533" s="1133"/>
      <c r="U533" s="1133"/>
      <c r="V533" s="1135"/>
      <c r="W533" s="1135"/>
    </row>
    <row r="534">
      <c r="A534" s="1133"/>
      <c r="B534" s="1133"/>
      <c r="C534" s="1133"/>
      <c r="D534" s="1133"/>
      <c r="E534" s="1133"/>
      <c r="F534" s="1133"/>
      <c r="G534" s="1133"/>
      <c r="H534" s="1133"/>
      <c r="I534" s="1133"/>
      <c r="J534" s="1133"/>
      <c r="K534" s="1133"/>
      <c r="L534" s="1133"/>
      <c r="M534" s="1133"/>
      <c r="N534" s="1133"/>
      <c r="O534" s="1133"/>
      <c r="P534" s="1133"/>
      <c r="Q534" s="1133"/>
      <c r="R534" s="1133"/>
      <c r="S534" s="1133"/>
      <c r="T534" s="1133"/>
      <c r="U534" s="1133"/>
      <c r="V534" s="1135"/>
      <c r="W534" s="1135"/>
    </row>
    <row r="535">
      <c r="A535" s="1133"/>
      <c r="B535" s="1133"/>
      <c r="C535" s="1133"/>
      <c r="D535" s="1133"/>
      <c r="E535" s="1133"/>
      <c r="F535" s="1133"/>
      <c r="G535" s="1133"/>
      <c r="H535" s="1133"/>
      <c r="I535" s="1133"/>
      <c r="J535" s="1133"/>
      <c r="K535" s="1133"/>
      <c r="L535" s="1133"/>
      <c r="M535" s="1133"/>
      <c r="N535" s="1133"/>
      <c r="O535" s="1133"/>
      <c r="P535" s="1133"/>
      <c r="Q535" s="1133"/>
      <c r="R535" s="1133"/>
      <c r="S535" s="1133"/>
      <c r="T535" s="1133"/>
      <c r="U535" s="1133"/>
      <c r="V535" s="1135"/>
      <c r="W535" s="1135"/>
    </row>
    <row r="536">
      <c r="A536" s="1133"/>
      <c r="B536" s="1133"/>
      <c r="C536" s="1133"/>
      <c r="D536" s="1133"/>
      <c r="E536" s="1133"/>
      <c r="F536" s="1133"/>
      <c r="G536" s="1133"/>
      <c r="H536" s="1133"/>
      <c r="I536" s="1133"/>
      <c r="J536" s="1133"/>
      <c r="K536" s="1133"/>
      <c r="L536" s="1133"/>
      <c r="M536" s="1133"/>
      <c r="N536" s="1133"/>
      <c r="O536" s="1133"/>
      <c r="P536" s="1133"/>
      <c r="Q536" s="1133"/>
      <c r="R536" s="1133"/>
      <c r="S536" s="1133"/>
      <c r="T536" s="1133"/>
      <c r="U536" s="1133"/>
      <c r="V536" s="1135"/>
      <c r="W536" s="1135"/>
    </row>
    <row r="537">
      <c r="A537" s="1133"/>
      <c r="B537" s="1133"/>
      <c r="C537" s="1133"/>
      <c r="D537" s="1133"/>
      <c r="E537" s="1133"/>
      <c r="F537" s="1133"/>
      <c r="G537" s="1133"/>
      <c r="H537" s="1133"/>
      <c r="I537" s="1133"/>
      <c r="J537" s="1133"/>
      <c r="K537" s="1133"/>
      <c r="L537" s="1133"/>
      <c r="M537" s="1133"/>
      <c r="N537" s="1133"/>
      <c r="O537" s="1133"/>
      <c r="P537" s="1133"/>
      <c r="Q537" s="1133"/>
      <c r="R537" s="1133"/>
      <c r="S537" s="1133"/>
      <c r="T537" s="1133"/>
      <c r="U537" s="1133"/>
      <c r="V537" s="1135"/>
      <c r="W537" s="1135"/>
    </row>
    <row r="538">
      <c r="A538" s="1133"/>
      <c r="B538" s="1133"/>
      <c r="C538" s="1133"/>
      <c r="D538" s="1133"/>
      <c r="E538" s="1133"/>
      <c r="F538" s="1133"/>
      <c r="G538" s="1133"/>
      <c r="H538" s="1133"/>
      <c r="I538" s="1133"/>
      <c r="J538" s="1133"/>
      <c r="K538" s="1133"/>
      <c r="L538" s="1133"/>
      <c r="M538" s="1133"/>
      <c r="N538" s="1133"/>
      <c r="O538" s="1133"/>
      <c r="P538" s="1133"/>
      <c r="Q538" s="1133"/>
      <c r="R538" s="1133"/>
      <c r="S538" s="1133"/>
      <c r="T538" s="1133"/>
      <c r="U538" s="1133"/>
      <c r="V538" s="1135"/>
      <c r="W538" s="1135"/>
    </row>
    <row r="539">
      <c r="A539" s="1133"/>
      <c r="B539" s="1133"/>
      <c r="C539" s="1133"/>
      <c r="D539" s="1133"/>
      <c r="E539" s="1133"/>
      <c r="F539" s="1133"/>
      <c r="G539" s="1133"/>
      <c r="H539" s="1133"/>
      <c r="I539" s="1133"/>
      <c r="J539" s="1133"/>
      <c r="K539" s="1133"/>
      <c r="L539" s="1133"/>
      <c r="M539" s="1133"/>
      <c r="N539" s="1133"/>
      <c r="O539" s="1133"/>
      <c r="P539" s="1133"/>
      <c r="Q539" s="1133"/>
      <c r="R539" s="1133"/>
      <c r="S539" s="1133"/>
      <c r="T539" s="1133"/>
      <c r="U539" s="1133"/>
      <c r="V539" s="1135"/>
      <c r="W539" s="1135"/>
    </row>
    <row r="540">
      <c r="A540" s="1133"/>
      <c r="B540" s="1133"/>
      <c r="C540" s="1133"/>
      <c r="D540" s="1133"/>
      <c r="E540" s="1133"/>
      <c r="F540" s="1133"/>
      <c r="G540" s="1133"/>
      <c r="H540" s="1133"/>
      <c r="I540" s="1133"/>
      <c r="J540" s="1133"/>
      <c r="K540" s="1133"/>
      <c r="L540" s="1133"/>
      <c r="M540" s="1133"/>
      <c r="N540" s="1133"/>
      <c r="O540" s="1133"/>
      <c r="P540" s="1133"/>
      <c r="Q540" s="1133"/>
      <c r="R540" s="1133"/>
      <c r="S540" s="1133"/>
      <c r="T540" s="1133"/>
      <c r="U540" s="1133"/>
      <c r="V540" s="1135"/>
      <c r="W540" s="1135"/>
    </row>
    <row r="541">
      <c r="A541" s="1133"/>
      <c r="B541" s="1133"/>
      <c r="C541" s="1133"/>
      <c r="D541" s="1133"/>
      <c r="E541" s="1133"/>
      <c r="F541" s="1133"/>
      <c r="G541" s="1133"/>
      <c r="H541" s="1133"/>
      <c r="I541" s="1133"/>
      <c r="J541" s="1133"/>
      <c r="K541" s="1133"/>
      <c r="L541" s="1133"/>
      <c r="M541" s="1133"/>
      <c r="N541" s="1133"/>
      <c r="O541" s="1133"/>
      <c r="P541" s="1133"/>
      <c r="Q541" s="1133"/>
      <c r="R541" s="1133"/>
      <c r="S541" s="1133"/>
      <c r="T541" s="1133"/>
      <c r="U541" s="1133"/>
      <c r="V541" s="1135"/>
      <c r="W541" s="1135"/>
    </row>
    <row r="542">
      <c r="A542" s="1133"/>
      <c r="B542" s="1133"/>
      <c r="C542" s="1133"/>
      <c r="D542" s="1133"/>
      <c r="E542" s="1133"/>
      <c r="F542" s="1133"/>
      <c r="G542" s="1133"/>
      <c r="H542" s="1133"/>
      <c r="I542" s="1133"/>
      <c r="J542" s="1133"/>
      <c r="K542" s="1133"/>
      <c r="L542" s="1133"/>
      <c r="M542" s="1133"/>
      <c r="N542" s="1133"/>
      <c r="O542" s="1133"/>
      <c r="P542" s="1133"/>
      <c r="Q542" s="1133"/>
      <c r="R542" s="1133"/>
      <c r="S542" s="1133"/>
      <c r="T542" s="1133"/>
      <c r="U542" s="1133"/>
      <c r="V542" s="1135"/>
      <c r="W542" s="1135"/>
    </row>
    <row r="543">
      <c r="A543" s="1133"/>
      <c r="B543" s="1133"/>
      <c r="C543" s="1133"/>
      <c r="D543" s="1133"/>
      <c r="E543" s="1133"/>
      <c r="F543" s="1133"/>
      <c r="G543" s="1133"/>
      <c r="H543" s="1133"/>
      <c r="I543" s="1133"/>
      <c r="J543" s="1133"/>
      <c r="K543" s="1133"/>
      <c r="L543" s="1133"/>
      <c r="M543" s="1133"/>
      <c r="N543" s="1133"/>
      <c r="O543" s="1133"/>
      <c r="P543" s="1133"/>
      <c r="Q543" s="1133"/>
      <c r="R543" s="1133"/>
      <c r="S543" s="1133"/>
      <c r="T543" s="1133"/>
      <c r="U543" s="1133"/>
      <c r="V543" s="1135"/>
      <c r="W543" s="1135"/>
    </row>
    <row r="544">
      <c r="A544" s="1133"/>
      <c r="B544" s="1133"/>
      <c r="C544" s="1133"/>
      <c r="D544" s="1133"/>
      <c r="E544" s="1133"/>
      <c r="F544" s="1133"/>
      <c r="G544" s="1133"/>
      <c r="H544" s="1133"/>
      <c r="I544" s="1133"/>
      <c r="J544" s="1133"/>
      <c r="K544" s="1133"/>
      <c r="L544" s="1133"/>
      <c r="M544" s="1133"/>
      <c r="N544" s="1133"/>
      <c r="O544" s="1133"/>
      <c r="P544" s="1133"/>
      <c r="Q544" s="1133"/>
      <c r="R544" s="1133"/>
      <c r="S544" s="1133"/>
      <c r="T544" s="1133"/>
      <c r="U544" s="1133"/>
      <c r="V544" s="1135"/>
      <c r="W544" s="1135"/>
    </row>
    <row r="545">
      <c r="A545" s="1133"/>
      <c r="B545" s="1133"/>
      <c r="C545" s="1133"/>
      <c r="D545" s="1133"/>
      <c r="E545" s="1133"/>
      <c r="F545" s="1133"/>
      <c r="G545" s="1133"/>
      <c r="H545" s="1133"/>
      <c r="I545" s="1133"/>
      <c r="J545" s="1133"/>
      <c r="K545" s="1133"/>
      <c r="L545" s="1133"/>
      <c r="M545" s="1133"/>
      <c r="N545" s="1133"/>
      <c r="O545" s="1133"/>
      <c r="P545" s="1133"/>
      <c r="Q545" s="1133"/>
      <c r="R545" s="1133"/>
      <c r="S545" s="1133"/>
      <c r="T545" s="1133"/>
      <c r="U545" s="1133"/>
      <c r="V545" s="1135"/>
      <c r="W545" s="1135"/>
    </row>
    <row r="546">
      <c r="A546" s="1133"/>
      <c r="B546" s="1133"/>
      <c r="C546" s="1133"/>
      <c r="D546" s="1133"/>
      <c r="E546" s="1133"/>
      <c r="F546" s="1133"/>
      <c r="G546" s="1133"/>
      <c r="H546" s="1133"/>
      <c r="I546" s="1133"/>
      <c r="J546" s="1133"/>
      <c r="K546" s="1133"/>
      <c r="L546" s="1133"/>
      <c r="M546" s="1133"/>
      <c r="N546" s="1133"/>
      <c r="O546" s="1133"/>
      <c r="P546" s="1133"/>
      <c r="Q546" s="1133"/>
      <c r="R546" s="1133"/>
      <c r="S546" s="1133"/>
      <c r="T546" s="1133"/>
      <c r="U546" s="1133"/>
      <c r="V546" s="1135"/>
      <c r="W546" s="1135"/>
    </row>
    <row r="547">
      <c r="A547" s="1133"/>
      <c r="B547" s="1133"/>
      <c r="C547" s="1133"/>
      <c r="D547" s="1133"/>
      <c r="E547" s="1133"/>
      <c r="F547" s="1133"/>
      <c r="G547" s="1133"/>
      <c r="H547" s="1133"/>
      <c r="I547" s="1133"/>
      <c r="J547" s="1133"/>
      <c r="K547" s="1133"/>
      <c r="L547" s="1133"/>
      <c r="M547" s="1133"/>
      <c r="N547" s="1133"/>
      <c r="O547" s="1133"/>
      <c r="P547" s="1133"/>
      <c r="Q547" s="1133"/>
      <c r="R547" s="1133"/>
      <c r="S547" s="1133"/>
      <c r="T547" s="1133"/>
      <c r="U547" s="1133"/>
      <c r="V547" s="1135"/>
      <c r="W547" s="1135"/>
    </row>
    <row r="548">
      <c r="A548" s="1133"/>
      <c r="B548" s="1133"/>
      <c r="C548" s="1133"/>
      <c r="D548" s="1133"/>
      <c r="E548" s="1133"/>
      <c r="F548" s="1133"/>
      <c r="G548" s="1133"/>
      <c r="H548" s="1133"/>
      <c r="I548" s="1133"/>
      <c r="J548" s="1133"/>
      <c r="K548" s="1133"/>
      <c r="L548" s="1133"/>
      <c r="M548" s="1133"/>
      <c r="N548" s="1133"/>
      <c r="O548" s="1133"/>
      <c r="P548" s="1133"/>
      <c r="Q548" s="1133"/>
      <c r="R548" s="1133"/>
      <c r="S548" s="1133"/>
      <c r="T548" s="1133"/>
      <c r="U548" s="1133"/>
      <c r="V548" s="1135"/>
      <c r="W548" s="1135"/>
    </row>
    <row r="549">
      <c r="A549" s="1133"/>
      <c r="B549" s="1133"/>
      <c r="C549" s="1133"/>
      <c r="D549" s="1133"/>
      <c r="E549" s="1133"/>
      <c r="F549" s="1133"/>
      <c r="G549" s="1133"/>
      <c r="H549" s="1133"/>
      <c r="I549" s="1133"/>
      <c r="J549" s="1133"/>
      <c r="K549" s="1133"/>
      <c r="L549" s="1133"/>
      <c r="M549" s="1133"/>
      <c r="N549" s="1133"/>
      <c r="O549" s="1133"/>
      <c r="P549" s="1133"/>
      <c r="Q549" s="1133"/>
      <c r="R549" s="1133"/>
      <c r="S549" s="1133"/>
      <c r="T549" s="1133"/>
      <c r="U549" s="1133"/>
      <c r="V549" s="1135"/>
      <c r="W549" s="1135"/>
    </row>
    <row r="550">
      <c r="A550" s="1133"/>
      <c r="B550" s="1133"/>
      <c r="C550" s="1133"/>
      <c r="D550" s="1133"/>
      <c r="E550" s="1133"/>
      <c r="F550" s="1133"/>
      <c r="G550" s="1133"/>
      <c r="H550" s="1133"/>
      <c r="I550" s="1133"/>
      <c r="J550" s="1133"/>
      <c r="K550" s="1133"/>
      <c r="L550" s="1133"/>
      <c r="M550" s="1133"/>
      <c r="N550" s="1133"/>
      <c r="O550" s="1133"/>
      <c r="P550" s="1133"/>
      <c r="Q550" s="1133"/>
      <c r="R550" s="1133"/>
      <c r="S550" s="1133"/>
      <c r="T550" s="1133"/>
      <c r="U550" s="1133"/>
      <c r="V550" s="1135"/>
      <c r="W550" s="1135"/>
    </row>
    <row r="551">
      <c r="A551" s="1133"/>
      <c r="B551" s="1133"/>
      <c r="C551" s="1133"/>
      <c r="D551" s="1133"/>
      <c r="E551" s="1133"/>
      <c r="F551" s="1133"/>
      <c r="G551" s="1133"/>
      <c r="H551" s="1133"/>
      <c r="I551" s="1133"/>
      <c r="J551" s="1133"/>
      <c r="K551" s="1133"/>
      <c r="L551" s="1133"/>
      <c r="M551" s="1133"/>
      <c r="N551" s="1133"/>
      <c r="O551" s="1133"/>
      <c r="P551" s="1133"/>
      <c r="Q551" s="1133"/>
      <c r="R551" s="1133"/>
      <c r="S551" s="1133"/>
      <c r="T551" s="1133"/>
      <c r="U551" s="1133"/>
      <c r="V551" s="1135"/>
      <c r="W551" s="1135"/>
    </row>
    <row r="552">
      <c r="A552" s="1133"/>
      <c r="B552" s="1133"/>
      <c r="C552" s="1133"/>
      <c r="D552" s="1133"/>
      <c r="E552" s="1133"/>
      <c r="F552" s="1133"/>
      <c r="G552" s="1133"/>
      <c r="H552" s="1133"/>
      <c r="I552" s="1133"/>
      <c r="J552" s="1133"/>
      <c r="K552" s="1133"/>
      <c r="L552" s="1133"/>
      <c r="M552" s="1133"/>
      <c r="N552" s="1133"/>
      <c r="O552" s="1133"/>
      <c r="P552" s="1133"/>
      <c r="Q552" s="1133"/>
      <c r="R552" s="1133"/>
      <c r="S552" s="1133"/>
      <c r="T552" s="1133"/>
      <c r="U552" s="1133"/>
      <c r="V552" s="1135"/>
      <c r="W552" s="1135"/>
    </row>
    <row r="553">
      <c r="A553" s="1133"/>
      <c r="B553" s="1133"/>
      <c r="C553" s="1133"/>
      <c r="D553" s="1133"/>
      <c r="E553" s="1133"/>
      <c r="F553" s="1133"/>
      <c r="G553" s="1133"/>
      <c r="H553" s="1133"/>
      <c r="I553" s="1133"/>
      <c r="J553" s="1133"/>
      <c r="K553" s="1133"/>
      <c r="L553" s="1133"/>
      <c r="M553" s="1133"/>
      <c r="N553" s="1133"/>
      <c r="O553" s="1133"/>
      <c r="P553" s="1133"/>
      <c r="Q553" s="1133"/>
      <c r="R553" s="1133"/>
      <c r="S553" s="1133"/>
      <c r="T553" s="1133"/>
      <c r="U553" s="1133"/>
      <c r="V553" s="1135"/>
      <c r="W553" s="1135"/>
    </row>
    <row r="554">
      <c r="A554" s="1133"/>
      <c r="B554" s="1133"/>
      <c r="C554" s="1133"/>
      <c r="D554" s="1133"/>
      <c r="E554" s="1133"/>
      <c r="F554" s="1133"/>
      <c r="G554" s="1133"/>
      <c r="H554" s="1133"/>
      <c r="I554" s="1133"/>
      <c r="J554" s="1133"/>
      <c r="K554" s="1133"/>
      <c r="L554" s="1133"/>
      <c r="M554" s="1133"/>
      <c r="N554" s="1133"/>
      <c r="O554" s="1133"/>
      <c r="P554" s="1133"/>
      <c r="Q554" s="1133"/>
      <c r="R554" s="1133"/>
      <c r="S554" s="1133"/>
      <c r="T554" s="1133"/>
      <c r="U554" s="1133"/>
      <c r="V554" s="1135"/>
      <c r="W554" s="1135"/>
    </row>
    <row r="555">
      <c r="A555" s="1133"/>
      <c r="B555" s="1133"/>
      <c r="C555" s="1133"/>
      <c r="D555" s="1133"/>
      <c r="E555" s="1133"/>
      <c r="F555" s="1133"/>
      <c r="G555" s="1133"/>
      <c r="H555" s="1133"/>
      <c r="I555" s="1133"/>
      <c r="J555" s="1133"/>
      <c r="K555" s="1133"/>
      <c r="L555" s="1133"/>
      <c r="M555" s="1133"/>
      <c r="N555" s="1133"/>
      <c r="O555" s="1133"/>
      <c r="P555" s="1133"/>
      <c r="Q555" s="1133"/>
      <c r="R555" s="1133"/>
      <c r="S555" s="1133"/>
      <c r="T555" s="1133"/>
      <c r="U555" s="1133"/>
      <c r="V555" s="1135"/>
      <c r="W555" s="1135"/>
    </row>
    <row r="556">
      <c r="A556" s="1133"/>
      <c r="B556" s="1133"/>
      <c r="C556" s="1133"/>
      <c r="D556" s="1133"/>
      <c r="E556" s="1133"/>
      <c r="F556" s="1133"/>
      <c r="G556" s="1133"/>
      <c r="H556" s="1133"/>
      <c r="I556" s="1133"/>
      <c r="J556" s="1133"/>
      <c r="K556" s="1133"/>
      <c r="L556" s="1133"/>
      <c r="M556" s="1133"/>
      <c r="N556" s="1133"/>
      <c r="O556" s="1133"/>
      <c r="P556" s="1133"/>
      <c r="Q556" s="1133"/>
      <c r="R556" s="1133"/>
      <c r="S556" s="1133"/>
      <c r="T556" s="1133"/>
      <c r="U556" s="1133"/>
      <c r="V556" s="1135"/>
      <c r="W556" s="1135"/>
    </row>
    <row r="557">
      <c r="A557" s="1133"/>
      <c r="B557" s="1133"/>
      <c r="C557" s="1133"/>
      <c r="D557" s="1133"/>
      <c r="E557" s="1133"/>
      <c r="F557" s="1133"/>
      <c r="G557" s="1133"/>
      <c r="H557" s="1133"/>
      <c r="I557" s="1133"/>
      <c r="J557" s="1133"/>
      <c r="K557" s="1133"/>
      <c r="L557" s="1133"/>
      <c r="M557" s="1133"/>
      <c r="N557" s="1133"/>
      <c r="O557" s="1133"/>
      <c r="P557" s="1133"/>
      <c r="Q557" s="1133"/>
      <c r="R557" s="1133"/>
      <c r="S557" s="1133"/>
      <c r="T557" s="1133"/>
      <c r="U557" s="1133"/>
      <c r="V557" s="1135"/>
      <c r="W557" s="1135"/>
    </row>
    <row r="558">
      <c r="A558" s="1133"/>
      <c r="B558" s="1133"/>
      <c r="C558" s="1133"/>
      <c r="D558" s="1133"/>
      <c r="E558" s="1133"/>
      <c r="F558" s="1133"/>
      <c r="G558" s="1133"/>
      <c r="H558" s="1133"/>
      <c r="I558" s="1133"/>
      <c r="J558" s="1133"/>
      <c r="K558" s="1133"/>
      <c r="L558" s="1133"/>
      <c r="M558" s="1133"/>
      <c r="N558" s="1133"/>
      <c r="O558" s="1133"/>
      <c r="P558" s="1133"/>
      <c r="Q558" s="1133"/>
      <c r="R558" s="1133"/>
      <c r="S558" s="1133"/>
      <c r="T558" s="1133"/>
      <c r="U558" s="1133"/>
      <c r="V558" s="1135"/>
      <c r="W558" s="1135"/>
    </row>
    <row r="559">
      <c r="A559" s="1133"/>
      <c r="B559" s="1133"/>
      <c r="C559" s="1133"/>
      <c r="D559" s="1133"/>
      <c r="E559" s="1133"/>
      <c r="F559" s="1133"/>
      <c r="G559" s="1133"/>
      <c r="H559" s="1133"/>
      <c r="I559" s="1133"/>
      <c r="J559" s="1133"/>
      <c r="K559" s="1133"/>
      <c r="L559" s="1133"/>
      <c r="M559" s="1133"/>
      <c r="N559" s="1133"/>
      <c r="O559" s="1133"/>
      <c r="P559" s="1133"/>
      <c r="Q559" s="1133"/>
      <c r="R559" s="1133"/>
      <c r="S559" s="1133"/>
      <c r="T559" s="1133"/>
      <c r="U559" s="1133"/>
      <c r="V559" s="1135"/>
      <c r="W559" s="1135"/>
    </row>
    <row r="560">
      <c r="A560" s="1133"/>
      <c r="B560" s="1133"/>
      <c r="C560" s="1133"/>
      <c r="D560" s="1133"/>
      <c r="E560" s="1133"/>
      <c r="F560" s="1133"/>
      <c r="G560" s="1133"/>
      <c r="H560" s="1133"/>
      <c r="I560" s="1133"/>
      <c r="J560" s="1133"/>
      <c r="K560" s="1133"/>
      <c r="L560" s="1133"/>
      <c r="M560" s="1133"/>
      <c r="N560" s="1133"/>
      <c r="O560" s="1133"/>
      <c r="P560" s="1133"/>
      <c r="Q560" s="1133"/>
      <c r="R560" s="1133"/>
      <c r="S560" s="1133"/>
      <c r="T560" s="1133"/>
      <c r="U560" s="1133"/>
      <c r="V560" s="1135"/>
      <c r="W560" s="1135"/>
    </row>
    <row r="561">
      <c r="A561" s="1133"/>
      <c r="B561" s="1133"/>
      <c r="C561" s="1133"/>
      <c r="D561" s="1133"/>
      <c r="E561" s="1133"/>
      <c r="F561" s="1133"/>
      <c r="G561" s="1133"/>
      <c r="H561" s="1133"/>
      <c r="I561" s="1133"/>
      <c r="J561" s="1133"/>
      <c r="K561" s="1133"/>
      <c r="L561" s="1133"/>
      <c r="M561" s="1133"/>
      <c r="N561" s="1133"/>
      <c r="O561" s="1133"/>
      <c r="P561" s="1133"/>
      <c r="Q561" s="1133"/>
      <c r="R561" s="1133"/>
      <c r="S561" s="1133"/>
      <c r="T561" s="1133"/>
      <c r="U561" s="1133"/>
      <c r="V561" s="1135"/>
      <c r="W561" s="1135"/>
    </row>
    <row r="562">
      <c r="A562" s="1133"/>
      <c r="B562" s="1133"/>
      <c r="C562" s="1133"/>
      <c r="D562" s="1133"/>
      <c r="E562" s="1133"/>
      <c r="F562" s="1133"/>
      <c r="G562" s="1133"/>
      <c r="H562" s="1133"/>
      <c r="I562" s="1133"/>
      <c r="J562" s="1133"/>
      <c r="K562" s="1133"/>
      <c r="L562" s="1133"/>
      <c r="M562" s="1133"/>
      <c r="N562" s="1133"/>
      <c r="O562" s="1133"/>
      <c r="P562" s="1133"/>
      <c r="Q562" s="1133"/>
      <c r="R562" s="1133"/>
      <c r="S562" s="1133"/>
      <c r="T562" s="1133"/>
      <c r="U562" s="1133"/>
      <c r="V562" s="1135"/>
      <c r="W562" s="1135"/>
    </row>
    <row r="563">
      <c r="A563" s="1133"/>
      <c r="B563" s="1133"/>
      <c r="C563" s="1133"/>
      <c r="D563" s="1133"/>
      <c r="E563" s="1133"/>
      <c r="F563" s="1133"/>
      <c r="G563" s="1133"/>
      <c r="H563" s="1133"/>
      <c r="I563" s="1133"/>
      <c r="J563" s="1133"/>
      <c r="K563" s="1133"/>
      <c r="L563" s="1133"/>
      <c r="M563" s="1133"/>
      <c r="N563" s="1133"/>
      <c r="O563" s="1133"/>
      <c r="P563" s="1133"/>
      <c r="Q563" s="1133"/>
      <c r="R563" s="1133"/>
      <c r="S563" s="1133"/>
      <c r="T563" s="1133"/>
      <c r="U563" s="1133"/>
      <c r="V563" s="1135"/>
      <c r="W563" s="1135"/>
    </row>
    <row r="564">
      <c r="A564" s="1133"/>
      <c r="B564" s="1133"/>
      <c r="C564" s="1133"/>
      <c r="D564" s="1133"/>
      <c r="E564" s="1133"/>
      <c r="F564" s="1133"/>
      <c r="G564" s="1133"/>
      <c r="H564" s="1133"/>
      <c r="I564" s="1133"/>
      <c r="J564" s="1133"/>
      <c r="K564" s="1133"/>
      <c r="L564" s="1133"/>
      <c r="M564" s="1133"/>
      <c r="N564" s="1133"/>
      <c r="O564" s="1133"/>
      <c r="P564" s="1133"/>
      <c r="Q564" s="1133"/>
      <c r="R564" s="1133"/>
      <c r="S564" s="1133"/>
      <c r="T564" s="1133"/>
      <c r="U564" s="1133"/>
      <c r="V564" s="1135"/>
      <c r="W564" s="1135"/>
    </row>
    <row r="565">
      <c r="A565" s="1133"/>
      <c r="B565" s="1133"/>
      <c r="C565" s="1133"/>
      <c r="D565" s="1133"/>
      <c r="E565" s="1133"/>
      <c r="F565" s="1133"/>
      <c r="G565" s="1133"/>
      <c r="H565" s="1133"/>
      <c r="I565" s="1133"/>
      <c r="J565" s="1133"/>
      <c r="K565" s="1133"/>
      <c r="L565" s="1133"/>
      <c r="M565" s="1133"/>
      <c r="N565" s="1133"/>
      <c r="O565" s="1133"/>
      <c r="P565" s="1133"/>
      <c r="Q565" s="1133"/>
      <c r="R565" s="1133"/>
      <c r="S565" s="1133"/>
      <c r="T565" s="1133"/>
      <c r="U565" s="1133"/>
      <c r="V565" s="1135"/>
      <c r="W565" s="1135"/>
    </row>
    <row r="566">
      <c r="A566" s="1133"/>
      <c r="B566" s="1133"/>
      <c r="C566" s="1133"/>
      <c r="D566" s="1133"/>
      <c r="E566" s="1133"/>
      <c r="F566" s="1133"/>
      <c r="G566" s="1133"/>
      <c r="H566" s="1133"/>
      <c r="I566" s="1133"/>
      <c r="J566" s="1133"/>
      <c r="K566" s="1133"/>
      <c r="L566" s="1133"/>
      <c r="M566" s="1133"/>
      <c r="N566" s="1133"/>
      <c r="O566" s="1133"/>
      <c r="P566" s="1133"/>
      <c r="Q566" s="1133"/>
      <c r="R566" s="1133"/>
      <c r="S566" s="1133"/>
      <c r="T566" s="1133"/>
      <c r="U566" s="1133"/>
      <c r="V566" s="1135"/>
      <c r="W566" s="1135"/>
    </row>
    <row r="567">
      <c r="A567" s="1133"/>
      <c r="B567" s="1133"/>
      <c r="C567" s="1133"/>
      <c r="D567" s="1133"/>
      <c r="E567" s="1133"/>
      <c r="F567" s="1133"/>
      <c r="G567" s="1133"/>
      <c r="H567" s="1133"/>
      <c r="I567" s="1133"/>
      <c r="J567" s="1133"/>
      <c r="K567" s="1133"/>
      <c r="L567" s="1133"/>
      <c r="M567" s="1133"/>
      <c r="N567" s="1133"/>
      <c r="O567" s="1133"/>
      <c r="P567" s="1133"/>
      <c r="Q567" s="1133"/>
      <c r="R567" s="1133"/>
      <c r="S567" s="1133"/>
      <c r="T567" s="1133"/>
      <c r="U567" s="1133"/>
      <c r="V567" s="1135"/>
      <c r="W567" s="1135"/>
    </row>
    <row r="568">
      <c r="A568" s="1133"/>
      <c r="B568" s="1133"/>
      <c r="C568" s="1133"/>
      <c r="D568" s="1133"/>
      <c r="E568" s="1133"/>
      <c r="F568" s="1133"/>
      <c r="G568" s="1133"/>
      <c r="H568" s="1133"/>
      <c r="I568" s="1133"/>
      <c r="J568" s="1133"/>
      <c r="K568" s="1133"/>
      <c r="L568" s="1133"/>
      <c r="M568" s="1133"/>
      <c r="N568" s="1133"/>
      <c r="O568" s="1133"/>
      <c r="P568" s="1133"/>
      <c r="Q568" s="1133"/>
      <c r="R568" s="1133"/>
      <c r="S568" s="1133"/>
      <c r="T568" s="1133"/>
      <c r="U568" s="1133"/>
      <c r="V568" s="1135"/>
      <c r="W568" s="1135"/>
    </row>
    <row r="569">
      <c r="A569" s="1133"/>
      <c r="B569" s="1133"/>
      <c r="C569" s="1133"/>
      <c r="D569" s="1133"/>
      <c r="E569" s="1133"/>
      <c r="F569" s="1133"/>
      <c r="G569" s="1133"/>
      <c r="H569" s="1133"/>
      <c r="I569" s="1133"/>
      <c r="J569" s="1133"/>
      <c r="K569" s="1133"/>
      <c r="L569" s="1133"/>
      <c r="M569" s="1133"/>
      <c r="N569" s="1133"/>
      <c r="O569" s="1133"/>
      <c r="P569" s="1133"/>
      <c r="Q569" s="1133"/>
      <c r="R569" s="1133"/>
      <c r="S569" s="1133"/>
      <c r="T569" s="1133"/>
      <c r="U569" s="1133"/>
      <c r="V569" s="1135"/>
      <c r="W569" s="1135"/>
    </row>
    <row r="570">
      <c r="A570" s="1133"/>
      <c r="B570" s="1133"/>
      <c r="C570" s="1133"/>
      <c r="D570" s="1133"/>
      <c r="E570" s="1133"/>
      <c r="F570" s="1133"/>
      <c r="G570" s="1133"/>
      <c r="H570" s="1133"/>
      <c r="I570" s="1133"/>
      <c r="J570" s="1133"/>
      <c r="K570" s="1133"/>
      <c r="L570" s="1133"/>
      <c r="M570" s="1133"/>
      <c r="N570" s="1133"/>
      <c r="O570" s="1133"/>
      <c r="P570" s="1133"/>
      <c r="Q570" s="1133"/>
      <c r="R570" s="1133"/>
      <c r="S570" s="1133"/>
      <c r="T570" s="1133"/>
      <c r="U570" s="1133"/>
      <c r="V570" s="1135"/>
      <c r="W570" s="1135"/>
    </row>
    <row r="571">
      <c r="A571" s="1133"/>
      <c r="B571" s="1133"/>
      <c r="C571" s="1133"/>
      <c r="D571" s="1133"/>
      <c r="E571" s="1133"/>
      <c r="F571" s="1133"/>
      <c r="G571" s="1133"/>
      <c r="H571" s="1133"/>
      <c r="I571" s="1133"/>
      <c r="J571" s="1133"/>
      <c r="K571" s="1133"/>
      <c r="L571" s="1133"/>
      <c r="M571" s="1133"/>
      <c r="N571" s="1133"/>
      <c r="O571" s="1133"/>
      <c r="P571" s="1133"/>
      <c r="Q571" s="1133"/>
      <c r="R571" s="1133"/>
      <c r="S571" s="1133"/>
      <c r="T571" s="1133"/>
      <c r="U571" s="1133"/>
      <c r="V571" s="1135"/>
      <c r="W571" s="1135"/>
    </row>
    <row r="572">
      <c r="A572" s="1133"/>
      <c r="B572" s="1133"/>
      <c r="C572" s="1133"/>
      <c r="D572" s="1133"/>
      <c r="E572" s="1133"/>
      <c r="F572" s="1133"/>
      <c r="G572" s="1133"/>
      <c r="H572" s="1133"/>
      <c r="I572" s="1133"/>
      <c r="J572" s="1133"/>
      <c r="K572" s="1133"/>
      <c r="L572" s="1133"/>
      <c r="M572" s="1133"/>
      <c r="N572" s="1133"/>
      <c r="O572" s="1133"/>
      <c r="P572" s="1133"/>
      <c r="Q572" s="1133"/>
      <c r="R572" s="1133"/>
      <c r="S572" s="1133"/>
      <c r="T572" s="1133"/>
      <c r="U572" s="1133"/>
      <c r="V572" s="1135"/>
      <c r="W572" s="1135"/>
    </row>
    <row r="573">
      <c r="A573" s="1133"/>
      <c r="B573" s="1133"/>
      <c r="C573" s="1133"/>
      <c r="D573" s="1133"/>
      <c r="E573" s="1133"/>
      <c r="F573" s="1133"/>
      <c r="G573" s="1133"/>
      <c r="H573" s="1133"/>
      <c r="I573" s="1133"/>
      <c r="J573" s="1133"/>
      <c r="K573" s="1133"/>
      <c r="L573" s="1133"/>
      <c r="M573" s="1133"/>
      <c r="N573" s="1133"/>
      <c r="O573" s="1133"/>
      <c r="P573" s="1133"/>
      <c r="Q573" s="1133"/>
      <c r="R573" s="1133"/>
      <c r="S573" s="1133"/>
      <c r="T573" s="1133"/>
      <c r="U573" s="1133"/>
      <c r="V573" s="1135"/>
      <c r="W573" s="1135"/>
    </row>
    <row r="574">
      <c r="A574" s="1133"/>
      <c r="B574" s="1133"/>
      <c r="C574" s="1133"/>
      <c r="D574" s="1133"/>
      <c r="E574" s="1133"/>
      <c r="F574" s="1133"/>
      <c r="G574" s="1133"/>
      <c r="H574" s="1133"/>
      <c r="I574" s="1133"/>
      <c r="J574" s="1133"/>
      <c r="K574" s="1133"/>
      <c r="L574" s="1133"/>
      <c r="M574" s="1133"/>
      <c r="N574" s="1133"/>
      <c r="O574" s="1133"/>
      <c r="P574" s="1133"/>
      <c r="Q574" s="1133"/>
      <c r="R574" s="1133"/>
      <c r="S574" s="1133"/>
      <c r="T574" s="1133"/>
      <c r="U574" s="1133"/>
      <c r="V574" s="1135"/>
      <c r="W574" s="1135"/>
    </row>
    <row r="575">
      <c r="A575" s="1133"/>
      <c r="B575" s="1133"/>
      <c r="C575" s="1133"/>
      <c r="D575" s="1133"/>
      <c r="E575" s="1133"/>
      <c r="F575" s="1133"/>
      <c r="G575" s="1133"/>
      <c r="H575" s="1133"/>
      <c r="I575" s="1133"/>
      <c r="J575" s="1133"/>
      <c r="K575" s="1133"/>
      <c r="L575" s="1133"/>
      <c r="M575" s="1133"/>
      <c r="N575" s="1133"/>
      <c r="O575" s="1133"/>
      <c r="P575" s="1133"/>
      <c r="Q575" s="1133"/>
      <c r="R575" s="1133"/>
      <c r="S575" s="1133"/>
      <c r="T575" s="1133"/>
      <c r="U575" s="1133"/>
      <c r="V575" s="1135"/>
      <c r="W575" s="1135"/>
    </row>
    <row r="576">
      <c r="A576" s="1133"/>
      <c r="B576" s="1133"/>
      <c r="C576" s="1133"/>
      <c r="D576" s="1133"/>
      <c r="E576" s="1133"/>
      <c r="F576" s="1133"/>
      <c r="G576" s="1133"/>
      <c r="H576" s="1133"/>
      <c r="I576" s="1133"/>
      <c r="J576" s="1133"/>
      <c r="K576" s="1133"/>
      <c r="L576" s="1133"/>
      <c r="M576" s="1133"/>
      <c r="N576" s="1133"/>
      <c r="O576" s="1133"/>
      <c r="P576" s="1133"/>
      <c r="Q576" s="1133"/>
      <c r="R576" s="1133"/>
      <c r="S576" s="1133"/>
      <c r="T576" s="1133"/>
      <c r="U576" s="1133"/>
      <c r="V576" s="1135"/>
      <c r="W576" s="1135"/>
    </row>
    <row r="577">
      <c r="A577" s="1133"/>
      <c r="B577" s="1133"/>
      <c r="C577" s="1133"/>
      <c r="D577" s="1133"/>
      <c r="E577" s="1133"/>
      <c r="F577" s="1133"/>
      <c r="G577" s="1133"/>
      <c r="H577" s="1133"/>
      <c r="I577" s="1133"/>
      <c r="J577" s="1133"/>
      <c r="K577" s="1133"/>
      <c r="L577" s="1133"/>
      <c r="M577" s="1133"/>
      <c r="N577" s="1133"/>
      <c r="O577" s="1133"/>
      <c r="P577" s="1133"/>
      <c r="Q577" s="1133"/>
      <c r="R577" s="1133"/>
      <c r="S577" s="1133"/>
      <c r="T577" s="1133"/>
      <c r="U577" s="1133"/>
      <c r="V577" s="1135"/>
      <c r="W577" s="1135"/>
    </row>
    <row r="578">
      <c r="A578" s="1133"/>
      <c r="B578" s="1133"/>
      <c r="C578" s="1133"/>
      <c r="D578" s="1133"/>
      <c r="E578" s="1133"/>
      <c r="F578" s="1133"/>
      <c r="G578" s="1133"/>
      <c r="H578" s="1133"/>
      <c r="I578" s="1133"/>
      <c r="J578" s="1133"/>
      <c r="K578" s="1133"/>
      <c r="L578" s="1133"/>
      <c r="M578" s="1133"/>
      <c r="N578" s="1133"/>
      <c r="O578" s="1133"/>
      <c r="P578" s="1133"/>
      <c r="Q578" s="1133"/>
      <c r="R578" s="1133"/>
      <c r="S578" s="1133"/>
      <c r="T578" s="1133"/>
      <c r="U578" s="1133"/>
      <c r="V578" s="1135"/>
      <c r="W578" s="1135"/>
    </row>
    <row r="579">
      <c r="A579" s="1133"/>
      <c r="B579" s="1133"/>
      <c r="C579" s="1133"/>
      <c r="D579" s="1133"/>
      <c r="E579" s="1133"/>
      <c r="F579" s="1133"/>
      <c r="G579" s="1133"/>
      <c r="H579" s="1133"/>
      <c r="I579" s="1133"/>
      <c r="J579" s="1133"/>
      <c r="K579" s="1133"/>
      <c r="L579" s="1133"/>
      <c r="M579" s="1133"/>
      <c r="N579" s="1133"/>
      <c r="O579" s="1133"/>
      <c r="P579" s="1133"/>
      <c r="Q579" s="1133"/>
      <c r="R579" s="1133"/>
      <c r="S579" s="1133"/>
      <c r="T579" s="1133"/>
      <c r="U579" s="1133"/>
      <c r="V579" s="1135"/>
      <c r="W579" s="1135"/>
    </row>
    <row r="580">
      <c r="A580" s="1133"/>
      <c r="B580" s="1133"/>
      <c r="C580" s="1133"/>
      <c r="D580" s="1133"/>
      <c r="E580" s="1133"/>
      <c r="F580" s="1133"/>
      <c r="G580" s="1133"/>
      <c r="H580" s="1133"/>
      <c r="I580" s="1133"/>
      <c r="J580" s="1133"/>
      <c r="K580" s="1133"/>
      <c r="L580" s="1133"/>
      <c r="M580" s="1133"/>
      <c r="N580" s="1133"/>
      <c r="O580" s="1133"/>
      <c r="P580" s="1133"/>
      <c r="Q580" s="1133"/>
      <c r="R580" s="1133"/>
      <c r="S580" s="1133"/>
      <c r="T580" s="1133"/>
      <c r="U580" s="1133"/>
      <c r="V580" s="1135"/>
      <c r="W580" s="1135"/>
    </row>
    <row r="581">
      <c r="A581" s="1133"/>
      <c r="B581" s="1133"/>
      <c r="C581" s="1133"/>
      <c r="D581" s="1133"/>
      <c r="E581" s="1133"/>
      <c r="F581" s="1133"/>
      <c r="G581" s="1133"/>
      <c r="H581" s="1133"/>
      <c r="I581" s="1133"/>
      <c r="J581" s="1133"/>
      <c r="K581" s="1133"/>
      <c r="L581" s="1133"/>
      <c r="M581" s="1133"/>
      <c r="N581" s="1133"/>
      <c r="O581" s="1133"/>
      <c r="P581" s="1133"/>
      <c r="Q581" s="1133"/>
      <c r="R581" s="1133"/>
      <c r="S581" s="1133"/>
      <c r="T581" s="1133"/>
      <c r="U581" s="1133"/>
      <c r="V581" s="1135"/>
      <c r="W581" s="1135"/>
    </row>
    <row r="582">
      <c r="A582" s="1133"/>
      <c r="B582" s="1133"/>
      <c r="C582" s="1133"/>
      <c r="D582" s="1133"/>
      <c r="E582" s="1133"/>
      <c r="F582" s="1133"/>
      <c r="G582" s="1133"/>
      <c r="H582" s="1133"/>
      <c r="I582" s="1133"/>
      <c r="J582" s="1133"/>
      <c r="K582" s="1133"/>
      <c r="L582" s="1133"/>
      <c r="M582" s="1133"/>
      <c r="N582" s="1133"/>
      <c r="O582" s="1133"/>
      <c r="P582" s="1133"/>
      <c r="Q582" s="1133"/>
      <c r="R582" s="1133"/>
      <c r="S582" s="1133"/>
      <c r="T582" s="1133"/>
      <c r="U582" s="1133"/>
      <c r="V582" s="1135"/>
      <c r="W582" s="1135"/>
    </row>
    <row r="583">
      <c r="A583" s="1133"/>
      <c r="B583" s="1133"/>
      <c r="C583" s="1133"/>
      <c r="D583" s="1133"/>
      <c r="E583" s="1133"/>
      <c r="F583" s="1133"/>
      <c r="G583" s="1133"/>
      <c r="H583" s="1133"/>
      <c r="I583" s="1133"/>
      <c r="J583" s="1133"/>
      <c r="K583" s="1133"/>
      <c r="L583" s="1133"/>
      <c r="M583" s="1133"/>
      <c r="N583" s="1133"/>
      <c r="O583" s="1133"/>
      <c r="P583" s="1133"/>
      <c r="Q583" s="1133"/>
      <c r="R583" s="1133"/>
      <c r="S583" s="1133"/>
      <c r="T583" s="1133"/>
      <c r="U583" s="1133"/>
      <c r="V583" s="1135"/>
      <c r="W583" s="1135"/>
    </row>
    <row r="584">
      <c r="A584" s="1133"/>
      <c r="B584" s="1133"/>
      <c r="C584" s="1133"/>
      <c r="D584" s="1133"/>
      <c r="E584" s="1133"/>
      <c r="F584" s="1133"/>
      <c r="G584" s="1133"/>
      <c r="H584" s="1133"/>
      <c r="I584" s="1133"/>
      <c r="J584" s="1133"/>
      <c r="K584" s="1133"/>
      <c r="L584" s="1133"/>
      <c r="M584" s="1133"/>
      <c r="N584" s="1133"/>
      <c r="O584" s="1133"/>
      <c r="P584" s="1133"/>
      <c r="Q584" s="1133"/>
      <c r="R584" s="1133"/>
      <c r="S584" s="1133"/>
      <c r="T584" s="1133"/>
      <c r="U584" s="1133"/>
      <c r="V584" s="1135"/>
      <c r="W584" s="1135"/>
    </row>
    <row r="585">
      <c r="A585" s="1133"/>
      <c r="B585" s="1133"/>
      <c r="C585" s="1133"/>
      <c r="D585" s="1133"/>
      <c r="E585" s="1133"/>
      <c r="F585" s="1133"/>
      <c r="G585" s="1133"/>
      <c r="H585" s="1133"/>
      <c r="I585" s="1133"/>
      <c r="J585" s="1133"/>
      <c r="K585" s="1133"/>
      <c r="L585" s="1133"/>
      <c r="M585" s="1133"/>
      <c r="N585" s="1133"/>
      <c r="O585" s="1133"/>
      <c r="P585" s="1133"/>
      <c r="Q585" s="1133"/>
      <c r="R585" s="1133"/>
      <c r="S585" s="1133"/>
      <c r="T585" s="1133"/>
      <c r="U585" s="1133"/>
      <c r="V585" s="1135"/>
      <c r="W585" s="1135"/>
    </row>
    <row r="586">
      <c r="A586" s="1133"/>
      <c r="B586" s="1133"/>
      <c r="C586" s="1133"/>
      <c r="D586" s="1133"/>
      <c r="E586" s="1133"/>
      <c r="F586" s="1133"/>
      <c r="G586" s="1133"/>
      <c r="H586" s="1133"/>
      <c r="I586" s="1133"/>
      <c r="J586" s="1133"/>
      <c r="K586" s="1133"/>
      <c r="L586" s="1133"/>
      <c r="M586" s="1133"/>
      <c r="N586" s="1133"/>
      <c r="O586" s="1133"/>
      <c r="P586" s="1133"/>
      <c r="Q586" s="1133"/>
      <c r="R586" s="1133"/>
      <c r="S586" s="1133"/>
      <c r="T586" s="1133"/>
      <c r="U586" s="1133"/>
      <c r="V586" s="1135"/>
      <c r="W586" s="1135"/>
    </row>
    <row r="587">
      <c r="A587" s="1133"/>
      <c r="B587" s="1133"/>
      <c r="C587" s="1133"/>
      <c r="D587" s="1133"/>
      <c r="E587" s="1133"/>
      <c r="F587" s="1133"/>
      <c r="G587" s="1133"/>
      <c r="H587" s="1133"/>
      <c r="I587" s="1133"/>
      <c r="J587" s="1133"/>
      <c r="K587" s="1133"/>
      <c r="L587" s="1133"/>
      <c r="M587" s="1133"/>
      <c r="N587" s="1133"/>
      <c r="O587" s="1133"/>
      <c r="P587" s="1133"/>
      <c r="Q587" s="1133"/>
      <c r="R587" s="1133"/>
      <c r="S587" s="1133"/>
      <c r="T587" s="1133"/>
      <c r="U587" s="1133"/>
      <c r="V587" s="1135"/>
      <c r="W587" s="1135"/>
    </row>
    <row r="588">
      <c r="A588" s="1133"/>
      <c r="B588" s="1133"/>
      <c r="C588" s="1133"/>
      <c r="D588" s="1133"/>
      <c r="E588" s="1133"/>
      <c r="F588" s="1133"/>
      <c r="G588" s="1133"/>
      <c r="H588" s="1133"/>
      <c r="I588" s="1133"/>
      <c r="J588" s="1133"/>
      <c r="K588" s="1133"/>
      <c r="L588" s="1133"/>
      <c r="M588" s="1133"/>
      <c r="N588" s="1133"/>
      <c r="O588" s="1133"/>
      <c r="P588" s="1133"/>
      <c r="Q588" s="1133"/>
      <c r="R588" s="1133"/>
      <c r="S588" s="1133"/>
      <c r="T588" s="1133"/>
      <c r="U588" s="1133"/>
      <c r="V588" s="1135"/>
      <c r="W588" s="1135"/>
    </row>
    <row r="589">
      <c r="A589" s="1133"/>
      <c r="B589" s="1133"/>
      <c r="C589" s="1133"/>
      <c r="D589" s="1133"/>
      <c r="E589" s="1133"/>
      <c r="F589" s="1133"/>
      <c r="G589" s="1133"/>
      <c r="H589" s="1133"/>
      <c r="I589" s="1133"/>
      <c r="J589" s="1133"/>
      <c r="K589" s="1133"/>
      <c r="L589" s="1133"/>
      <c r="M589" s="1133"/>
      <c r="N589" s="1133"/>
      <c r="O589" s="1133"/>
      <c r="P589" s="1133"/>
      <c r="Q589" s="1133"/>
      <c r="R589" s="1133"/>
      <c r="S589" s="1133"/>
      <c r="T589" s="1133"/>
      <c r="U589" s="1133"/>
      <c r="V589" s="1135"/>
      <c r="W589" s="1135"/>
    </row>
    <row r="590">
      <c r="A590" s="1133"/>
      <c r="B590" s="1133"/>
      <c r="C590" s="1133"/>
      <c r="D590" s="1133"/>
      <c r="E590" s="1133"/>
      <c r="F590" s="1133"/>
      <c r="G590" s="1133"/>
      <c r="H590" s="1133"/>
      <c r="I590" s="1133"/>
      <c r="J590" s="1133"/>
      <c r="K590" s="1133"/>
      <c r="L590" s="1133"/>
      <c r="M590" s="1133"/>
      <c r="N590" s="1133"/>
      <c r="O590" s="1133"/>
      <c r="P590" s="1133"/>
      <c r="Q590" s="1133"/>
      <c r="R590" s="1133"/>
      <c r="S590" s="1133"/>
      <c r="T590" s="1133"/>
      <c r="U590" s="1133"/>
      <c r="V590" s="1135"/>
      <c r="W590" s="1135"/>
    </row>
    <row r="591">
      <c r="A591" s="1133"/>
      <c r="B591" s="1133"/>
      <c r="C591" s="1133"/>
      <c r="D591" s="1133"/>
      <c r="E591" s="1133"/>
      <c r="F591" s="1133"/>
      <c r="G591" s="1133"/>
      <c r="H591" s="1133"/>
      <c r="I591" s="1133"/>
      <c r="J591" s="1133"/>
      <c r="K591" s="1133"/>
      <c r="L591" s="1133"/>
      <c r="M591" s="1133"/>
      <c r="N591" s="1133"/>
      <c r="O591" s="1133"/>
      <c r="P591" s="1133"/>
      <c r="Q591" s="1133"/>
      <c r="R591" s="1133"/>
      <c r="S591" s="1133"/>
      <c r="T591" s="1133"/>
      <c r="U591" s="1133"/>
      <c r="V591" s="1135"/>
      <c r="W591" s="1135"/>
    </row>
    <row r="592">
      <c r="A592" s="1133"/>
      <c r="B592" s="1133"/>
      <c r="C592" s="1133"/>
      <c r="D592" s="1133"/>
      <c r="E592" s="1133"/>
      <c r="F592" s="1133"/>
      <c r="G592" s="1133"/>
      <c r="H592" s="1133"/>
      <c r="I592" s="1133"/>
      <c r="J592" s="1133"/>
      <c r="K592" s="1133"/>
      <c r="L592" s="1133"/>
      <c r="M592" s="1133"/>
      <c r="N592" s="1133"/>
      <c r="O592" s="1133"/>
      <c r="P592" s="1133"/>
      <c r="Q592" s="1133"/>
      <c r="R592" s="1133"/>
      <c r="S592" s="1133"/>
      <c r="T592" s="1133"/>
      <c r="U592" s="1133"/>
      <c r="V592" s="1135"/>
      <c r="W592" s="1135"/>
    </row>
    <row r="593">
      <c r="A593" s="1133"/>
      <c r="B593" s="1133"/>
      <c r="C593" s="1133"/>
      <c r="D593" s="1133"/>
      <c r="E593" s="1133"/>
      <c r="F593" s="1133"/>
      <c r="G593" s="1133"/>
      <c r="H593" s="1133"/>
      <c r="I593" s="1133"/>
      <c r="J593" s="1133"/>
      <c r="K593" s="1133"/>
      <c r="L593" s="1133"/>
      <c r="M593" s="1133"/>
      <c r="N593" s="1133"/>
      <c r="O593" s="1133"/>
      <c r="P593" s="1133"/>
      <c r="Q593" s="1133"/>
      <c r="R593" s="1133"/>
      <c r="S593" s="1133"/>
      <c r="T593" s="1133"/>
      <c r="U593" s="1133"/>
      <c r="V593" s="1135"/>
      <c r="W593" s="1135"/>
    </row>
    <row r="594">
      <c r="A594" s="1133"/>
      <c r="B594" s="1133"/>
      <c r="C594" s="1133"/>
      <c r="D594" s="1133"/>
      <c r="E594" s="1133"/>
      <c r="F594" s="1133"/>
      <c r="G594" s="1133"/>
      <c r="H594" s="1133"/>
      <c r="I594" s="1133"/>
      <c r="J594" s="1133"/>
      <c r="K594" s="1133"/>
      <c r="L594" s="1133"/>
      <c r="M594" s="1133"/>
      <c r="N594" s="1133"/>
      <c r="O594" s="1133"/>
      <c r="P594" s="1133"/>
      <c r="Q594" s="1133"/>
      <c r="R594" s="1133"/>
      <c r="S594" s="1133"/>
      <c r="T594" s="1133"/>
      <c r="U594" s="1133"/>
      <c r="V594" s="1135"/>
      <c r="W594" s="1135"/>
    </row>
    <row r="595">
      <c r="A595" s="1133"/>
      <c r="B595" s="1133"/>
      <c r="C595" s="1133"/>
      <c r="D595" s="1133"/>
      <c r="E595" s="1133"/>
      <c r="F595" s="1133"/>
      <c r="G595" s="1133"/>
      <c r="H595" s="1133"/>
      <c r="I595" s="1133"/>
      <c r="J595" s="1133"/>
      <c r="K595" s="1133"/>
      <c r="L595" s="1133"/>
      <c r="M595" s="1133"/>
      <c r="N595" s="1133"/>
      <c r="O595" s="1133"/>
      <c r="P595" s="1133"/>
      <c r="Q595" s="1133"/>
      <c r="R595" s="1133"/>
      <c r="S595" s="1133"/>
      <c r="T595" s="1133"/>
      <c r="U595" s="1133"/>
      <c r="V595" s="1135"/>
      <c r="W595" s="1135"/>
    </row>
    <row r="596">
      <c r="A596" s="1133"/>
      <c r="B596" s="1133"/>
      <c r="C596" s="1133"/>
      <c r="D596" s="1133"/>
      <c r="E596" s="1133"/>
      <c r="F596" s="1133"/>
      <c r="G596" s="1133"/>
      <c r="H596" s="1133"/>
      <c r="I596" s="1133"/>
      <c r="J596" s="1133"/>
      <c r="K596" s="1133"/>
      <c r="L596" s="1133"/>
      <c r="M596" s="1133"/>
      <c r="N596" s="1133"/>
      <c r="O596" s="1133"/>
      <c r="P596" s="1133"/>
      <c r="Q596" s="1133"/>
      <c r="R596" s="1133"/>
      <c r="S596" s="1133"/>
      <c r="T596" s="1133"/>
      <c r="U596" s="1133"/>
      <c r="V596" s="1135"/>
      <c r="W596" s="1135"/>
    </row>
    <row r="597">
      <c r="A597" s="1133"/>
      <c r="B597" s="1133"/>
      <c r="C597" s="1133"/>
      <c r="D597" s="1133"/>
      <c r="E597" s="1133"/>
      <c r="F597" s="1133"/>
      <c r="G597" s="1133"/>
      <c r="H597" s="1133"/>
      <c r="I597" s="1133"/>
      <c r="J597" s="1133"/>
      <c r="K597" s="1133"/>
      <c r="L597" s="1133"/>
      <c r="M597" s="1133"/>
      <c r="N597" s="1133"/>
      <c r="O597" s="1133"/>
      <c r="P597" s="1133"/>
      <c r="Q597" s="1133"/>
      <c r="R597" s="1133"/>
      <c r="S597" s="1133"/>
      <c r="T597" s="1133"/>
      <c r="U597" s="1133"/>
      <c r="V597" s="1135"/>
      <c r="W597" s="1135"/>
    </row>
    <row r="598">
      <c r="A598" s="1133"/>
      <c r="B598" s="1133"/>
      <c r="C598" s="1133"/>
      <c r="D598" s="1133"/>
      <c r="E598" s="1133"/>
      <c r="F598" s="1133"/>
      <c r="G598" s="1133"/>
      <c r="H598" s="1133"/>
      <c r="I598" s="1133"/>
      <c r="J598" s="1133"/>
      <c r="K598" s="1133"/>
      <c r="L598" s="1133"/>
      <c r="M598" s="1133"/>
      <c r="N598" s="1133"/>
      <c r="O598" s="1133"/>
      <c r="P598" s="1133"/>
      <c r="Q598" s="1133"/>
      <c r="R598" s="1133"/>
      <c r="S598" s="1133"/>
      <c r="T598" s="1133"/>
      <c r="U598" s="1133"/>
      <c r="V598" s="1135"/>
      <c r="W598" s="1135"/>
    </row>
    <row r="599">
      <c r="A599" s="1133"/>
      <c r="B599" s="1133"/>
      <c r="C599" s="1133"/>
      <c r="D599" s="1133"/>
      <c r="E599" s="1133"/>
      <c r="F599" s="1133"/>
      <c r="G599" s="1133"/>
      <c r="H599" s="1133"/>
      <c r="I599" s="1133"/>
      <c r="J599" s="1133"/>
      <c r="K599" s="1133"/>
      <c r="L599" s="1133"/>
      <c r="M599" s="1133"/>
      <c r="N599" s="1133"/>
      <c r="O599" s="1133"/>
      <c r="P599" s="1133"/>
      <c r="Q599" s="1133"/>
      <c r="R599" s="1133"/>
      <c r="S599" s="1133"/>
      <c r="T599" s="1133"/>
      <c r="U599" s="1133"/>
      <c r="V599" s="1135"/>
      <c r="W599" s="1135"/>
    </row>
    <row r="600">
      <c r="A600" s="1133"/>
      <c r="B600" s="1133"/>
      <c r="C600" s="1133"/>
      <c r="D600" s="1133"/>
      <c r="E600" s="1133"/>
      <c r="F600" s="1133"/>
      <c r="G600" s="1133"/>
      <c r="H600" s="1133"/>
      <c r="I600" s="1133"/>
      <c r="J600" s="1133"/>
      <c r="K600" s="1133"/>
      <c r="L600" s="1133"/>
      <c r="M600" s="1133"/>
      <c r="N600" s="1133"/>
      <c r="O600" s="1133"/>
      <c r="P600" s="1133"/>
      <c r="Q600" s="1133"/>
      <c r="R600" s="1133"/>
      <c r="S600" s="1133"/>
      <c r="T600" s="1133"/>
      <c r="U600" s="1133"/>
      <c r="V600" s="1135"/>
      <c r="W600" s="1135"/>
    </row>
    <row r="601">
      <c r="A601" s="1133"/>
      <c r="B601" s="1133"/>
      <c r="C601" s="1133"/>
      <c r="D601" s="1133"/>
      <c r="E601" s="1133"/>
      <c r="F601" s="1133"/>
      <c r="G601" s="1133"/>
      <c r="H601" s="1133"/>
      <c r="I601" s="1133"/>
      <c r="J601" s="1133"/>
      <c r="K601" s="1133"/>
      <c r="L601" s="1133"/>
      <c r="M601" s="1133"/>
      <c r="N601" s="1133"/>
      <c r="O601" s="1133"/>
      <c r="P601" s="1133"/>
      <c r="Q601" s="1133"/>
      <c r="R601" s="1133"/>
      <c r="S601" s="1133"/>
      <c r="T601" s="1133"/>
      <c r="U601" s="1133"/>
      <c r="V601" s="1135"/>
      <c r="W601" s="1135"/>
    </row>
    <row r="602">
      <c r="A602" s="1133"/>
      <c r="B602" s="1133"/>
      <c r="C602" s="1133"/>
      <c r="D602" s="1133"/>
      <c r="E602" s="1133"/>
      <c r="F602" s="1133"/>
      <c r="G602" s="1133"/>
      <c r="H602" s="1133"/>
      <c r="I602" s="1133"/>
      <c r="J602" s="1133"/>
      <c r="K602" s="1133"/>
      <c r="L602" s="1133"/>
      <c r="M602" s="1133"/>
      <c r="N602" s="1133"/>
      <c r="O602" s="1133"/>
      <c r="P602" s="1133"/>
      <c r="Q602" s="1133"/>
      <c r="R602" s="1133"/>
      <c r="S602" s="1133"/>
      <c r="T602" s="1133"/>
      <c r="U602" s="1133"/>
      <c r="V602" s="1135"/>
      <c r="W602" s="1135"/>
    </row>
    <row r="603">
      <c r="A603" s="1133"/>
      <c r="B603" s="1133"/>
      <c r="C603" s="1133"/>
      <c r="D603" s="1133"/>
      <c r="E603" s="1133"/>
      <c r="F603" s="1133"/>
      <c r="G603" s="1133"/>
      <c r="H603" s="1133"/>
      <c r="I603" s="1133"/>
      <c r="J603" s="1133"/>
      <c r="K603" s="1133"/>
      <c r="L603" s="1133"/>
      <c r="M603" s="1133"/>
      <c r="N603" s="1133"/>
      <c r="O603" s="1133"/>
      <c r="P603" s="1133"/>
      <c r="Q603" s="1133"/>
      <c r="R603" s="1133"/>
      <c r="S603" s="1133"/>
      <c r="T603" s="1133"/>
      <c r="U603" s="1133"/>
      <c r="V603" s="1135"/>
      <c r="W603" s="1135"/>
    </row>
    <row r="604">
      <c r="A604" s="1133"/>
      <c r="B604" s="1133"/>
      <c r="C604" s="1133"/>
      <c r="D604" s="1133"/>
      <c r="E604" s="1133"/>
      <c r="F604" s="1133"/>
      <c r="G604" s="1133"/>
      <c r="H604" s="1133"/>
      <c r="I604" s="1133"/>
      <c r="J604" s="1133"/>
      <c r="K604" s="1133"/>
      <c r="L604" s="1133"/>
      <c r="M604" s="1133"/>
      <c r="N604" s="1133"/>
      <c r="O604" s="1133"/>
      <c r="P604" s="1133"/>
      <c r="Q604" s="1133"/>
      <c r="R604" s="1133"/>
      <c r="S604" s="1133"/>
      <c r="T604" s="1133"/>
      <c r="U604" s="1133"/>
      <c r="V604" s="1135"/>
      <c r="W604" s="1135"/>
    </row>
    <row r="605">
      <c r="A605" s="1133"/>
      <c r="B605" s="1133"/>
      <c r="C605" s="1133"/>
      <c r="D605" s="1133"/>
      <c r="E605" s="1133"/>
      <c r="F605" s="1133"/>
      <c r="G605" s="1133"/>
      <c r="H605" s="1133"/>
      <c r="I605" s="1133"/>
      <c r="J605" s="1133"/>
      <c r="K605" s="1133"/>
      <c r="L605" s="1133"/>
      <c r="M605" s="1133"/>
      <c r="N605" s="1133"/>
      <c r="O605" s="1133"/>
      <c r="P605" s="1133"/>
      <c r="Q605" s="1133"/>
      <c r="R605" s="1133"/>
      <c r="S605" s="1133"/>
      <c r="T605" s="1133"/>
      <c r="U605" s="1133"/>
      <c r="V605" s="1135"/>
      <c r="W605" s="1135"/>
    </row>
    <row r="606">
      <c r="A606" s="1133"/>
      <c r="B606" s="1133"/>
      <c r="C606" s="1133"/>
      <c r="D606" s="1133"/>
      <c r="E606" s="1133"/>
      <c r="F606" s="1133"/>
      <c r="G606" s="1133"/>
      <c r="H606" s="1133"/>
      <c r="I606" s="1133"/>
      <c r="J606" s="1133"/>
      <c r="K606" s="1133"/>
      <c r="L606" s="1133"/>
      <c r="M606" s="1133"/>
      <c r="N606" s="1133"/>
      <c r="O606" s="1133"/>
      <c r="P606" s="1133"/>
      <c r="Q606" s="1133"/>
      <c r="R606" s="1133"/>
      <c r="S606" s="1133"/>
      <c r="T606" s="1133"/>
      <c r="U606" s="1133"/>
      <c r="V606" s="1135"/>
      <c r="W606" s="1135"/>
    </row>
    <row r="607">
      <c r="A607" s="1133"/>
      <c r="B607" s="1133"/>
      <c r="C607" s="1133"/>
      <c r="D607" s="1133"/>
      <c r="E607" s="1133"/>
      <c r="F607" s="1133"/>
      <c r="G607" s="1133"/>
      <c r="H607" s="1133"/>
      <c r="I607" s="1133"/>
      <c r="J607" s="1133"/>
      <c r="K607" s="1133"/>
      <c r="L607" s="1133"/>
      <c r="M607" s="1133"/>
      <c r="N607" s="1133"/>
      <c r="O607" s="1133"/>
      <c r="P607" s="1133"/>
      <c r="Q607" s="1133"/>
      <c r="R607" s="1133"/>
      <c r="S607" s="1133"/>
      <c r="T607" s="1133"/>
      <c r="U607" s="1133"/>
      <c r="V607" s="1135"/>
      <c r="W607" s="1135"/>
    </row>
    <row r="608">
      <c r="A608" s="1133"/>
      <c r="B608" s="1133"/>
      <c r="C608" s="1133"/>
      <c r="D608" s="1133"/>
      <c r="E608" s="1133"/>
      <c r="F608" s="1133"/>
      <c r="G608" s="1133"/>
      <c r="H608" s="1133"/>
      <c r="I608" s="1133"/>
      <c r="J608" s="1133"/>
      <c r="K608" s="1133"/>
      <c r="L608" s="1133"/>
      <c r="M608" s="1133"/>
      <c r="N608" s="1133"/>
      <c r="O608" s="1133"/>
      <c r="P608" s="1133"/>
      <c r="Q608" s="1133"/>
      <c r="R608" s="1133"/>
      <c r="S608" s="1133"/>
      <c r="T608" s="1133"/>
      <c r="U608" s="1133"/>
      <c r="V608" s="1135"/>
      <c r="W608" s="1135"/>
    </row>
    <row r="609">
      <c r="A609" s="1133"/>
      <c r="B609" s="1133"/>
      <c r="C609" s="1133"/>
      <c r="D609" s="1133"/>
      <c r="E609" s="1133"/>
      <c r="F609" s="1133"/>
      <c r="G609" s="1133"/>
      <c r="H609" s="1133"/>
      <c r="I609" s="1133"/>
      <c r="J609" s="1133"/>
      <c r="K609" s="1133"/>
      <c r="L609" s="1133"/>
      <c r="M609" s="1133"/>
      <c r="N609" s="1133"/>
      <c r="O609" s="1133"/>
      <c r="P609" s="1133"/>
      <c r="Q609" s="1133"/>
      <c r="R609" s="1133"/>
      <c r="S609" s="1133"/>
      <c r="T609" s="1133"/>
      <c r="U609" s="1133"/>
      <c r="V609" s="1135"/>
      <c r="W609" s="1135"/>
    </row>
    <row r="610">
      <c r="A610" s="1133"/>
      <c r="B610" s="1133"/>
      <c r="C610" s="1133"/>
      <c r="D610" s="1133"/>
      <c r="E610" s="1133"/>
      <c r="F610" s="1133"/>
      <c r="G610" s="1133"/>
      <c r="H610" s="1133"/>
      <c r="I610" s="1133"/>
      <c r="J610" s="1133"/>
      <c r="K610" s="1133"/>
      <c r="L610" s="1133"/>
      <c r="M610" s="1133"/>
      <c r="N610" s="1133"/>
      <c r="O610" s="1133"/>
      <c r="P610" s="1133"/>
      <c r="Q610" s="1133"/>
      <c r="R610" s="1133"/>
      <c r="S610" s="1133"/>
      <c r="T610" s="1133"/>
      <c r="U610" s="1133"/>
      <c r="V610" s="1135"/>
      <c r="W610" s="1135"/>
    </row>
    <row r="611">
      <c r="A611" s="1133"/>
      <c r="B611" s="1133"/>
      <c r="C611" s="1133"/>
      <c r="D611" s="1133"/>
      <c r="E611" s="1133"/>
      <c r="F611" s="1133"/>
      <c r="G611" s="1133"/>
      <c r="H611" s="1133"/>
      <c r="I611" s="1133"/>
      <c r="J611" s="1133"/>
      <c r="K611" s="1133"/>
      <c r="L611" s="1133"/>
      <c r="M611" s="1133"/>
      <c r="N611" s="1133"/>
      <c r="O611" s="1133"/>
      <c r="P611" s="1133"/>
      <c r="Q611" s="1133"/>
      <c r="R611" s="1133"/>
      <c r="S611" s="1133"/>
      <c r="T611" s="1133"/>
      <c r="U611" s="1133"/>
      <c r="V611" s="1135"/>
      <c r="W611" s="1135"/>
    </row>
    <row r="612">
      <c r="A612" s="1133"/>
      <c r="B612" s="1133"/>
      <c r="C612" s="1133"/>
      <c r="D612" s="1133"/>
      <c r="E612" s="1133"/>
      <c r="F612" s="1133"/>
      <c r="G612" s="1133"/>
      <c r="H612" s="1133"/>
      <c r="I612" s="1133"/>
      <c r="J612" s="1133"/>
      <c r="K612" s="1133"/>
      <c r="L612" s="1133"/>
      <c r="M612" s="1133"/>
      <c r="N612" s="1133"/>
      <c r="O612" s="1133"/>
      <c r="P612" s="1133"/>
      <c r="Q612" s="1133"/>
      <c r="R612" s="1133"/>
      <c r="S612" s="1133"/>
      <c r="T612" s="1133"/>
      <c r="U612" s="1133"/>
      <c r="V612" s="1135"/>
      <c r="W612" s="1135"/>
    </row>
    <row r="613">
      <c r="A613" s="1133"/>
      <c r="B613" s="1133"/>
      <c r="C613" s="1133"/>
      <c r="D613" s="1133"/>
      <c r="E613" s="1133"/>
      <c r="F613" s="1133"/>
      <c r="G613" s="1133"/>
      <c r="H613" s="1133"/>
      <c r="I613" s="1133"/>
      <c r="J613" s="1133"/>
      <c r="K613" s="1133"/>
      <c r="L613" s="1133"/>
      <c r="M613" s="1133"/>
      <c r="N613" s="1133"/>
      <c r="O613" s="1133"/>
      <c r="P613" s="1133"/>
      <c r="Q613" s="1133"/>
      <c r="R613" s="1133"/>
      <c r="S613" s="1133"/>
      <c r="T613" s="1133"/>
      <c r="U613" s="1133"/>
      <c r="V613" s="1135"/>
      <c r="W613" s="1135"/>
    </row>
    <row r="614">
      <c r="A614" s="1133"/>
      <c r="B614" s="1133"/>
      <c r="C614" s="1133"/>
      <c r="D614" s="1133"/>
      <c r="E614" s="1133"/>
      <c r="F614" s="1133"/>
      <c r="G614" s="1133"/>
      <c r="H614" s="1133"/>
      <c r="I614" s="1133"/>
      <c r="J614" s="1133"/>
      <c r="K614" s="1133"/>
      <c r="L614" s="1133"/>
      <c r="M614" s="1133"/>
      <c r="N614" s="1133"/>
      <c r="O614" s="1133"/>
      <c r="P614" s="1133"/>
      <c r="Q614" s="1133"/>
      <c r="R614" s="1133"/>
      <c r="S614" s="1133"/>
      <c r="T614" s="1133"/>
      <c r="U614" s="1133"/>
      <c r="V614" s="1135"/>
      <c r="W614" s="1135"/>
    </row>
    <row r="615">
      <c r="A615" s="1133"/>
      <c r="B615" s="1133"/>
      <c r="C615" s="1133"/>
      <c r="D615" s="1133"/>
      <c r="E615" s="1133"/>
      <c r="F615" s="1133"/>
      <c r="G615" s="1133"/>
      <c r="H615" s="1133"/>
      <c r="I615" s="1133"/>
      <c r="J615" s="1133"/>
      <c r="K615" s="1133"/>
      <c r="L615" s="1133"/>
      <c r="M615" s="1133"/>
      <c r="N615" s="1133"/>
      <c r="O615" s="1133"/>
      <c r="P615" s="1133"/>
      <c r="Q615" s="1133"/>
      <c r="R615" s="1133"/>
      <c r="S615" s="1133"/>
      <c r="T615" s="1133"/>
      <c r="U615" s="1133"/>
      <c r="V615" s="1135"/>
      <c r="W615" s="1135"/>
    </row>
    <row r="616">
      <c r="A616" s="1133"/>
      <c r="B616" s="1133"/>
      <c r="C616" s="1133"/>
      <c r="D616" s="1133"/>
      <c r="E616" s="1133"/>
      <c r="F616" s="1133"/>
      <c r="G616" s="1133"/>
      <c r="H616" s="1133"/>
      <c r="I616" s="1133"/>
      <c r="J616" s="1133"/>
      <c r="K616" s="1133"/>
      <c r="L616" s="1133"/>
      <c r="M616" s="1133"/>
      <c r="N616" s="1133"/>
      <c r="O616" s="1133"/>
      <c r="P616" s="1133"/>
      <c r="Q616" s="1133"/>
      <c r="R616" s="1133"/>
      <c r="S616" s="1133"/>
      <c r="T616" s="1133"/>
      <c r="U616" s="1133"/>
      <c r="V616" s="1135"/>
      <c r="W616" s="1135"/>
    </row>
    <row r="617">
      <c r="A617" s="1133"/>
      <c r="B617" s="1133"/>
      <c r="C617" s="1133"/>
      <c r="D617" s="1133"/>
      <c r="E617" s="1133"/>
      <c r="F617" s="1133"/>
      <c r="G617" s="1133"/>
      <c r="H617" s="1133"/>
      <c r="I617" s="1133"/>
      <c r="J617" s="1133"/>
      <c r="K617" s="1133"/>
      <c r="L617" s="1133"/>
      <c r="M617" s="1133"/>
      <c r="N617" s="1133"/>
      <c r="O617" s="1133"/>
      <c r="P617" s="1133"/>
      <c r="Q617" s="1133"/>
      <c r="R617" s="1133"/>
      <c r="S617" s="1133"/>
      <c r="T617" s="1133"/>
      <c r="U617" s="1133"/>
      <c r="V617" s="1135"/>
      <c r="W617" s="1135"/>
    </row>
    <row r="618">
      <c r="A618" s="1133"/>
      <c r="B618" s="1133"/>
      <c r="C618" s="1133"/>
      <c r="D618" s="1133"/>
      <c r="E618" s="1133"/>
      <c r="F618" s="1133"/>
      <c r="G618" s="1133"/>
      <c r="H618" s="1133"/>
      <c r="I618" s="1133"/>
      <c r="J618" s="1133"/>
      <c r="K618" s="1133"/>
      <c r="L618" s="1133"/>
      <c r="M618" s="1133"/>
      <c r="N618" s="1133"/>
      <c r="O618" s="1133"/>
      <c r="P618" s="1133"/>
      <c r="Q618" s="1133"/>
      <c r="R618" s="1133"/>
      <c r="S618" s="1133"/>
      <c r="T618" s="1133"/>
      <c r="U618" s="1133"/>
      <c r="V618" s="1135"/>
      <c r="W618" s="1135"/>
    </row>
    <row r="619">
      <c r="A619" s="1133"/>
      <c r="B619" s="1133"/>
      <c r="C619" s="1133"/>
      <c r="D619" s="1133"/>
      <c r="E619" s="1133"/>
      <c r="F619" s="1133"/>
      <c r="G619" s="1133"/>
      <c r="H619" s="1133"/>
      <c r="I619" s="1133"/>
      <c r="J619" s="1133"/>
      <c r="K619" s="1133"/>
      <c r="L619" s="1133"/>
      <c r="M619" s="1133"/>
      <c r="N619" s="1133"/>
      <c r="O619" s="1133"/>
      <c r="P619" s="1133"/>
      <c r="Q619" s="1133"/>
      <c r="R619" s="1133"/>
      <c r="S619" s="1133"/>
      <c r="T619" s="1133"/>
      <c r="U619" s="1133"/>
      <c r="V619" s="1135"/>
      <c r="W619" s="1135"/>
    </row>
    <row r="620">
      <c r="A620" s="1133"/>
      <c r="B620" s="1133"/>
      <c r="C620" s="1133"/>
      <c r="D620" s="1133"/>
      <c r="E620" s="1133"/>
      <c r="F620" s="1133"/>
      <c r="G620" s="1133"/>
      <c r="H620" s="1133"/>
      <c r="I620" s="1133"/>
      <c r="J620" s="1133"/>
      <c r="K620" s="1133"/>
      <c r="L620" s="1133"/>
      <c r="M620" s="1133"/>
      <c r="N620" s="1133"/>
      <c r="O620" s="1133"/>
      <c r="P620" s="1133"/>
      <c r="Q620" s="1133"/>
      <c r="R620" s="1133"/>
      <c r="S620" s="1133"/>
      <c r="T620" s="1133"/>
      <c r="U620" s="1133"/>
      <c r="V620" s="1135"/>
      <c r="W620" s="1135"/>
    </row>
    <row r="621">
      <c r="A621" s="1133"/>
      <c r="B621" s="1133"/>
      <c r="C621" s="1133"/>
      <c r="D621" s="1133"/>
      <c r="E621" s="1133"/>
      <c r="F621" s="1133"/>
      <c r="G621" s="1133"/>
      <c r="H621" s="1133"/>
      <c r="I621" s="1133"/>
      <c r="J621" s="1133"/>
      <c r="K621" s="1133"/>
      <c r="L621" s="1133"/>
      <c r="M621" s="1133"/>
      <c r="N621" s="1133"/>
      <c r="O621" s="1133"/>
      <c r="P621" s="1133"/>
      <c r="Q621" s="1133"/>
      <c r="R621" s="1133"/>
      <c r="S621" s="1133"/>
      <c r="T621" s="1133"/>
      <c r="U621" s="1133"/>
      <c r="V621" s="1135"/>
      <c r="W621" s="1135"/>
    </row>
    <row r="622">
      <c r="A622" s="1133"/>
      <c r="B622" s="1133"/>
      <c r="C622" s="1133"/>
      <c r="D622" s="1133"/>
      <c r="E622" s="1133"/>
      <c r="F622" s="1133"/>
      <c r="G622" s="1133"/>
      <c r="H622" s="1133"/>
      <c r="I622" s="1133"/>
      <c r="J622" s="1133"/>
      <c r="K622" s="1133"/>
      <c r="L622" s="1133"/>
      <c r="M622" s="1133"/>
      <c r="N622" s="1133"/>
      <c r="O622" s="1133"/>
      <c r="P622" s="1133"/>
      <c r="Q622" s="1133"/>
      <c r="R622" s="1133"/>
      <c r="S622" s="1133"/>
      <c r="T622" s="1133"/>
      <c r="U622" s="1133"/>
      <c r="V622" s="1135"/>
      <c r="W622" s="1135"/>
    </row>
    <row r="623">
      <c r="A623" s="1133"/>
      <c r="B623" s="1133"/>
      <c r="C623" s="1133"/>
      <c r="D623" s="1133"/>
      <c r="E623" s="1133"/>
      <c r="F623" s="1133"/>
      <c r="G623" s="1133"/>
      <c r="H623" s="1133"/>
      <c r="I623" s="1133"/>
      <c r="J623" s="1133"/>
      <c r="K623" s="1133"/>
      <c r="L623" s="1133"/>
      <c r="M623" s="1133"/>
      <c r="N623" s="1133"/>
      <c r="O623" s="1133"/>
      <c r="P623" s="1133"/>
      <c r="Q623" s="1133"/>
      <c r="R623" s="1133"/>
      <c r="S623" s="1133"/>
      <c r="T623" s="1133"/>
      <c r="U623" s="1133"/>
      <c r="V623" s="1135"/>
      <c r="W623" s="1135"/>
    </row>
    <row r="624">
      <c r="A624" s="1133"/>
      <c r="B624" s="1133"/>
      <c r="C624" s="1133"/>
      <c r="D624" s="1133"/>
      <c r="E624" s="1133"/>
      <c r="F624" s="1133"/>
      <c r="G624" s="1133"/>
      <c r="H624" s="1133"/>
      <c r="I624" s="1133"/>
      <c r="J624" s="1133"/>
      <c r="K624" s="1133"/>
      <c r="L624" s="1133"/>
      <c r="M624" s="1133"/>
      <c r="N624" s="1133"/>
      <c r="O624" s="1133"/>
      <c r="P624" s="1133"/>
      <c r="Q624" s="1133"/>
      <c r="R624" s="1133"/>
      <c r="S624" s="1133"/>
      <c r="T624" s="1133"/>
      <c r="U624" s="1133"/>
      <c r="V624" s="1135"/>
      <c r="W624" s="1135"/>
    </row>
    <row r="625">
      <c r="A625" s="1133"/>
      <c r="B625" s="1133"/>
      <c r="C625" s="1133"/>
      <c r="D625" s="1133"/>
      <c r="E625" s="1133"/>
      <c r="F625" s="1133"/>
      <c r="G625" s="1133"/>
      <c r="H625" s="1133"/>
      <c r="I625" s="1133"/>
      <c r="J625" s="1133"/>
      <c r="K625" s="1133"/>
      <c r="L625" s="1133"/>
      <c r="M625" s="1133"/>
      <c r="N625" s="1133"/>
      <c r="O625" s="1133"/>
      <c r="P625" s="1133"/>
      <c r="Q625" s="1133"/>
      <c r="R625" s="1133"/>
      <c r="S625" s="1133"/>
      <c r="T625" s="1133"/>
      <c r="U625" s="1133"/>
      <c r="V625" s="1135"/>
      <c r="W625" s="1135"/>
    </row>
    <row r="626">
      <c r="A626" s="1133"/>
      <c r="B626" s="1133"/>
      <c r="C626" s="1133"/>
      <c r="D626" s="1133"/>
      <c r="E626" s="1133"/>
      <c r="F626" s="1133"/>
      <c r="G626" s="1133"/>
      <c r="H626" s="1133"/>
      <c r="I626" s="1133"/>
      <c r="J626" s="1133"/>
      <c r="K626" s="1133"/>
      <c r="L626" s="1133"/>
      <c r="M626" s="1133"/>
      <c r="N626" s="1133"/>
      <c r="O626" s="1133"/>
      <c r="P626" s="1133"/>
      <c r="Q626" s="1133"/>
      <c r="R626" s="1133"/>
      <c r="S626" s="1133"/>
      <c r="T626" s="1133"/>
      <c r="U626" s="1133"/>
      <c r="V626" s="1135"/>
      <c r="W626" s="1135"/>
    </row>
    <row r="627">
      <c r="A627" s="1133"/>
      <c r="B627" s="1133"/>
      <c r="C627" s="1133"/>
      <c r="D627" s="1133"/>
      <c r="E627" s="1133"/>
      <c r="F627" s="1133"/>
      <c r="G627" s="1133"/>
      <c r="H627" s="1133"/>
      <c r="I627" s="1133"/>
      <c r="J627" s="1133"/>
      <c r="K627" s="1133"/>
      <c r="L627" s="1133"/>
      <c r="M627" s="1133"/>
      <c r="N627" s="1133"/>
      <c r="O627" s="1133"/>
      <c r="P627" s="1133"/>
      <c r="Q627" s="1133"/>
      <c r="R627" s="1133"/>
      <c r="S627" s="1133"/>
      <c r="T627" s="1133"/>
      <c r="U627" s="1133"/>
      <c r="V627" s="1135"/>
      <c r="W627" s="1135"/>
    </row>
    <row r="628">
      <c r="A628" s="1133"/>
      <c r="B628" s="1133"/>
      <c r="C628" s="1133"/>
      <c r="D628" s="1133"/>
      <c r="E628" s="1133"/>
      <c r="F628" s="1133"/>
      <c r="G628" s="1133"/>
      <c r="H628" s="1133"/>
      <c r="I628" s="1133"/>
      <c r="J628" s="1133"/>
      <c r="K628" s="1133"/>
      <c r="L628" s="1133"/>
      <c r="M628" s="1133"/>
      <c r="N628" s="1133"/>
      <c r="O628" s="1133"/>
      <c r="P628" s="1133"/>
      <c r="Q628" s="1133"/>
      <c r="R628" s="1133"/>
      <c r="S628" s="1133"/>
      <c r="T628" s="1133"/>
      <c r="U628" s="1133"/>
      <c r="V628" s="1135"/>
      <c r="W628" s="1135"/>
    </row>
    <row r="629">
      <c r="A629" s="1133"/>
      <c r="B629" s="1133"/>
      <c r="C629" s="1133"/>
      <c r="D629" s="1133"/>
      <c r="E629" s="1133"/>
      <c r="F629" s="1133"/>
      <c r="G629" s="1133"/>
      <c r="H629" s="1133"/>
      <c r="I629" s="1133"/>
      <c r="J629" s="1133"/>
      <c r="K629" s="1133"/>
      <c r="L629" s="1133"/>
      <c r="M629" s="1133"/>
      <c r="N629" s="1133"/>
      <c r="O629" s="1133"/>
      <c r="P629" s="1133"/>
      <c r="Q629" s="1133"/>
      <c r="R629" s="1133"/>
      <c r="S629" s="1133"/>
      <c r="T629" s="1133"/>
      <c r="U629" s="1133"/>
      <c r="V629" s="1135"/>
      <c r="W629" s="1135"/>
    </row>
    <row r="630">
      <c r="A630" s="1133"/>
      <c r="B630" s="1133"/>
      <c r="C630" s="1133"/>
      <c r="D630" s="1133"/>
      <c r="E630" s="1133"/>
      <c r="F630" s="1133"/>
      <c r="G630" s="1133"/>
      <c r="H630" s="1133"/>
      <c r="I630" s="1133"/>
      <c r="J630" s="1133"/>
      <c r="K630" s="1133"/>
      <c r="L630" s="1133"/>
      <c r="M630" s="1133"/>
      <c r="N630" s="1133"/>
      <c r="O630" s="1133"/>
      <c r="P630" s="1133"/>
      <c r="Q630" s="1133"/>
      <c r="R630" s="1133"/>
      <c r="S630" s="1133"/>
      <c r="T630" s="1133"/>
      <c r="U630" s="1133"/>
      <c r="V630" s="1135"/>
      <c r="W630" s="1135"/>
    </row>
    <row r="631">
      <c r="A631" s="1133"/>
      <c r="B631" s="1133"/>
      <c r="C631" s="1133"/>
      <c r="D631" s="1133"/>
      <c r="E631" s="1133"/>
      <c r="F631" s="1133"/>
      <c r="G631" s="1133"/>
      <c r="H631" s="1133"/>
      <c r="I631" s="1133"/>
      <c r="J631" s="1133"/>
      <c r="K631" s="1133"/>
      <c r="L631" s="1133"/>
      <c r="M631" s="1133"/>
      <c r="N631" s="1133"/>
      <c r="O631" s="1133"/>
      <c r="P631" s="1133"/>
      <c r="Q631" s="1133"/>
      <c r="R631" s="1133"/>
      <c r="S631" s="1133"/>
      <c r="T631" s="1133"/>
      <c r="U631" s="1133"/>
      <c r="V631" s="1135"/>
      <c r="W631" s="1135"/>
    </row>
    <row r="632">
      <c r="A632" s="1133"/>
      <c r="B632" s="1133"/>
      <c r="C632" s="1133"/>
      <c r="D632" s="1133"/>
      <c r="E632" s="1133"/>
      <c r="F632" s="1133"/>
      <c r="G632" s="1133"/>
      <c r="H632" s="1133"/>
      <c r="I632" s="1133"/>
      <c r="J632" s="1133"/>
      <c r="K632" s="1133"/>
      <c r="L632" s="1133"/>
      <c r="M632" s="1133"/>
      <c r="N632" s="1133"/>
      <c r="O632" s="1133"/>
      <c r="P632" s="1133"/>
      <c r="Q632" s="1133"/>
      <c r="R632" s="1133"/>
      <c r="S632" s="1133"/>
      <c r="T632" s="1133"/>
      <c r="U632" s="1133"/>
      <c r="V632" s="1135"/>
      <c r="W632" s="1135"/>
    </row>
    <row r="633">
      <c r="A633" s="1133"/>
      <c r="B633" s="1133"/>
      <c r="C633" s="1133"/>
      <c r="D633" s="1133"/>
      <c r="E633" s="1133"/>
      <c r="F633" s="1133"/>
      <c r="G633" s="1133"/>
      <c r="H633" s="1133"/>
      <c r="I633" s="1133"/>
      <c r="J633" s="1133"/>
      <c r="K633" s="1133"/>
      <c r="L633" s="1133"/>
      <c r="M633" s="1133"/>
      <c r="N633" s="1133"/>
      <c r="O633" s="1133"/>
      <c r="P633" s="1133"/>
      <c r="Q633" s="1133"/>
      <c r="R633" s="1133"/>
      <c r="S633" s="1133"/>
      <c r="T633" s="1133"/>
      <c r="U633" s="1133"/>
      <c r="V633" s="1135"/>
      <c r="W633" s="1135"/>
    </row>
    <row r="634">
      <c r="A634" s="1133"/>
      <c r="B634" s="1133"/>
      <c r="C634" s="1133"/>
      <c r="D634" s="1133"/>
      <c r="E634" s="1133"/>
      <c r="F634" s="1133"/>
      <c r="G634" s="1133"/>
      <c r="H634" s="1133"/>
      <c r="I634" s="1133"/>
      <c r="J634" s="1133"/>
      <c r="K634" s="1133"/>
      <c r="L634" s="1133"/>
      <c r="M634" s="1133"/>
      <c r="N634" s="1133"/>
      <c r="O634" s="1133"/>
      <c r="P634" s="1133"/>
      <c r="Q634" s="1133"/>
      <c r="R634" s="1133"/>
      <c r="S634" s="1133"/>
      <c r="T634" s="1133"/>
      <c r="U634" s="1133"/>
      <c r="V634" s="1135"/>
      <c r="W634" s="1135"/>
    </row>
    <row r="635">
      <c r="A635" s="1133"/>
      <c r="B635" s="1133"/>
      <c r="C635" s="1133"/>
      <c r="D635" s="1133"/>
      <c r="E635" s="1133"/>
      <c r="F635" s="1133"/>
      <c r="G635" s="1133"/>
      <c r="H635" s="1133"/>
      <c r="I635" s="1133"/>
      <c r="J635" s="1133"/>
      <c r="K635" s="1133"/>
      <c r="L635" s="1133"/>
      <c r="M635" s="1133"/>
      <c r="N635" s="1133"/>
      <c r="O635" s="1133"/>
      <c r="P635" s="1133"/>
      <c r="Q635" s="1133"/>
      <c r="R635" s="1133"/>
      <c r="S635" s="1133"/>
      <c r="T635" s="1133"/>
      <c r="U635" s="1133"/>
      <c r="V635" s="1135"/>
      <c r="W635" s="1135"/>
    </row>
    <row r="636">
      <c r="A636" s="1133"/>
      <c r="B636" s="1133"/>
      <c r="C636" s="1133"/>
      <c r="D636" s="1133"/>
      <c r="E636" s="1133"/>
      <c r="F636" s="1133"/>
      <c r="G636" s="1133"/>
      <c r="H636" s="1133"/>
      <c r="I636" s="1133"/>
      <c r="J636" s="1133"/>
      <c r="K636" s="1133"/>
      <c r="L636" s="1133"/>
      <c r="M636" s="1133"/>
      <c r="N636" s="1133"/>
      <c r="O636" s="1133"/>
      <c r="P636" s="1133"/>
      <c r="Q636" s="1133"/>
      <c r="R636" s="1133"/>
      <c r="S636" s="1133"/>
      <c r="T636" s="1133"/>
      <c r="U636" s="1133"/>
      <c r="V636" s="1135"/>
      <c r="W636" s="1135"/>
    </row>
    <row r="637">
      <c r="A637" s="1133"/>
      <c r="B637" s="1133"/>
      <c r="C637" s="1133"/>
      <c r="D637" s="1133"/>
      <c r="E637" s="1133"/>
      <c r="F637" s="1133"/>
      <c r="G637" s="1133"/>
      <c r="H637" s="1133"/>
      <c r="I637" s="1133"/>
      <c r="J637" s="1133"/>
      <c r="K637" s="1133"/>
      <c r="L637" s="1133"/>
      <c r="M637" s="1133"/>
      <c r="N637" s="1133"/>
      <c r="O637" s="1133"/>
      <c r="P637" s="1133"/>
      <c r="Q637" s="1133"/>
      <c r="R637" s="1133"/>
      <c r="S637" s="1133"/>
      <c r="T637" s="1133"/>
      <c r="U637" s="1133"/>
      <c r="V637" s="1135"/>
      <c r="W637" s="1135"/>
    </row>
    <row r="638">
      <c r="A638" s="1133"/>
      <c r="B638" s="1133"/>
      <c r="C638" s="1133"/>
      <c r="D638" s="1133"/>
      <c r="E638" s="1133"/>
      <c r="F638" s="1133"/>
      <c r="G638" s="1133"/>
      <c r="H638" s="1133"/>
      <c r="I638" s="1133"/>
      <c r="J638" s="1133"/>
      <c r="K638" s="1133"/>
      <c r="L638" s="1133"/>
      <c r="M638" s="1133"/>
      <c r="N638" s="1133"/>
      <c r="O638" s="1133"/>
      <c r="P638" s="1133"/>
      <c r="Q638" s="1133"/>
      <c r="R638" s="1133"/>
      <c r="S638" s="1133"/>
      <c r="T638" s="1133"/>
      <c r="U638" s="1133"/>
      <c r="V638" s="1135"/>
      <c r="W638" s="1135"/>
    </row>
    <row r="639">
      <c r="A639" s="1133"/>
      <c r="B639" s="1133"/>
      <c r="C639" s="1133"/>
      <c r="D639" s="1133"/>
      <c r="E639" s="1133"/>
      <c r="F639" s="1133"/>
      <c r="G639" s="1133"/>
      <c r="H639" s="1133"/>
      <c r="I639" s="1133"/>
      <c r="J639" s="1133"/>
      <c r="K639" s="1133"/>
      <c r="L639" s="1133"/>
      <c r="M639" s="1133"/>
      <c r="N639" s="1133"/>
      <c r="O639" s="1133"/>
      <c r="P639" s="1133"/>
      <c r="Q639" s="1133"/>
      <c r="R639" s="1133"/>
      <c r="S639" s="1133"/>
      <c r="T639" s="1133"/>
      <c r="U639" s="1133"/>
      <c r="V639" s="1135"/>
      <c r="W639" s="1135"/>
    </row>
    <row r="640">
      <c r="A640" s="1133"/>
      <c r="B640" s="1133"/>
      <c r="C640" s="1133"/>
      <c r="D640" s="1133"/>
      <c r="E640" s="1133"/>
      <c r="F640" s="1133"/>
      <c r="G640" s="1133"/>
      <c r="H640" s="1133"/>
      <c r="I640" s="1133"/>
      <c r="J640" s="1133"/>
      <c r="K640" s="1133"/>
      <c r="L640" s="1133"/>
      <c r="M640" s="1133"/>
      <c r="N640" s="1133"/>
      <c r="O640" s="1133"/>
      <c r="P640" s="1133"/>
      <c r="Q640" s="1133"/>
      <c r="R640" s="1133"/>
      <c r="S640" s="1133"/>
      <c r="T640" s="1133"/>
      <c r="U640" s="1133"/>
      <c r="V640" s="1135"/>
      <c r="W640" s="1135"/>
    </row>
    <row r="641">
      <c r="A641" s="1133"/>
      <c r="B641" s="1133"/>
      <c r="C641" s="1133"/>
      <c r="D641" s="1133"/>
      <c r="E641" s="1133"/>
      <c r="F641" s="1133"/>
      <c r="G641" s="1133"/>
      <c r="H641" s="1133"/>
      <c r="I641" s="1133"/>
      <c r="J641" s="1133"/>
      <c r="K641" s="1133"/>
      <c r="L641" s="1133"/>
      <c r="M641" s="1133"/>
      <c r="N641" s="1133"/>
      <c r="O641" s="1133"/>
      <c r="P641" s="1133"/>
      <c r="Q641" s="1133"/>
      <c r="R641" s="1133"/>
      <c r="S641" s="1133"/>
      <c r="T641" s="1133"/>
      <c r="U641" s="1133"/>
      <c r="V641" s="1135"/>
      <c r="W641" s="1135"/>
    </row>
    <row r="642">
      <c r="A642" s="1133"/>
      <c r="B642" s="1133"/>
      <c r="C642" s="1133"/>
      <c r="D642" s="1133"/>
      <c r="E642" s="1133"/>
      <c r="F642" s="1133"/>
      <c r="G642" s="1133"/>
      <c r="H642" s="1133"/>
      <c r="I642" s="1133"/>
      <c r="J642" s="1133"/>
      <c r="K642" s="1133"/>
      <c r="L642" s="1133"/>
      <c r="M642" s="1133"/>
      <c r="N642" s="1133"/>
      <c r="O642" s="1133"/>
      <c r="P642" s="1133"/>
      <c r="Q642" s="1133"/>
      <c r="R642" s="1133"/>
      <c r="S642" s="1133"/>
      <c r="T642" s="1133"/>
      <c r="U642" s="1133"/>
      <c r="V642" s="1135"/>
      <c r="W642" s="1135"/>
    </row>
    <row r="643">
      <c r="A643" s="1133"/>
      <c r="B643" s="1133"/>
      <c r="C643" s="1133"/>
      <c r="D643" s="1133"/>
      <c r="E643" s="1133"/>
      <c r="F643" s="1133"/>
      <c r="G643" s="1133"/>
      <c r="H643" s="1133"/>
      <c r="I643" s="1133"/>
      <c r="J643" s="1133"/>
      <c r="K643" s="1133"/>
      <c r="L643" s="1133"/>
      <c r="M643" s="1133"/>
      <c r="N643" s="1133"/>
      <c r="O643" s="1133"/>
      <c r="P643" s="1133"/>
      <c r="Q643" s="1133"/>
      <c r="R643" s="1133"/>
      <c r="S643" s="1133"/>
      <c r="T643" s="1133"/>
      <c r="U643" s="1133"/>
      <c r="V643" s="1135"/>
      <c r="W643" s="1135"/>
    </row>
    <row r="644">
      <c r="A644" s="1133"/>
      <c r="B644" s="1133"/>
      <c r="C644" s="1133"/>
      <c r="D644" s="1133"/>
      <c r="E644" s="1133"/>
      <c r="F644" s="1133"/>
      <c r="G644" s="1133"/>
      <c r="H644" s="1133"/>
      <c r="I644" s="1133"/>
      <c r="J644" s="1133"/>
      <c r="K644" s="1133"/>
      <c r="L644" s="1133"/>
      <c r="M644" s="1133"/>
      <c r="N644" s="1133"/>
      <c r="O644" s="1133"/>
      <c r="P644" s="1133"/>
      <c r="Q644" s="1133"/>
      <c r="R644" s="1133"/>
      <c r="S644" s="1133"/>
      <c r="T644" s="1133"/>
      <c r="U644" s="1133"/>
      <c r="V644" s="1135"/>
      <c r="W644" s="1135"/>
    </row>
    <row r="645">
      <c r="A645" s="1133"/>
      <c r="B645" s="1133"/>
      <c r="C645" s="1133"/>
      <c r="D645" s="1133"/>
      <c r="E645" s="1133"/>
      <c r="F645" s="1133"/>
      <c r="G645" s="1133"/>
      <c r="H645" s="1133"/>
      <c r="I645" s="1133"/>
      <c r="J645" s="1133"/>
      <c r="K645" s="1133"/>
      <c r="L645" s="1133"/>
      <c r="M645" s="1133"/>
      <c r="N645" s="1133"/>
      <c r="O645" s="1133"/>
      <c r="P645" s="1133"/>
      <c r="Q645" s="1133"/>
      <c r="R645" s="1133"/>
      <c r="S645" s="1133"/>
      <c r="T645" s="1133"/>
      <c r="U645" s="1133"/>
      <c r="V645" s="1135"/>
      <c r="W645" s="1135"/>
    </row>
    <row r="646">
      <c r="A646" s="1133"/>
      <c r="B646" s="1133"/>
      <c r="C646" s="1133"/>
      <c r="D646" s="1133"/>
      <c r="E646" s="1133"/>
      <c r="F646" s="1133"/>
      <c r="G646" s="1133"/>
      <c r="H646" s="1133"/>
      <c r="I646" s="1133"/>
      <c r="J646" s="1133"/>
      <c r="K646" s="1133"/>
      <c r="L646" s="1133"/>
      <c r="M646" s="1133"/>
      <c r="N646" s="1133"/>
      <c r="O646" s="1133"/>
      <c r="P646" s="1133"/>
      <c r="Q646" s="1133"/>
      <c r="R646" s="1133"/>
      <c r="S646" s="1133"/>
      <c r="T646" s="1133"/>
      <c r="U646" s="1133"/>
      <c r="V646" s="1135"/>
      <c r="W646" s="1135"/>
    </row>
    <row r="647">
      <c r="A647" s="1133"/>
      <c r="B647" s="1133"/>
      <c r="C647" s="1133"/>
      <c r="D647" s="1133"/>
      <c r="E647" s="1133"/>
      <c r="F647" s="1133"/>
      <c r="G647" s="1133"/>
      <c r="H647" s="1133"/>
      <c r="I647" s="1133"/>
      <c r="J647" s="1133"/>
      <c r="K647" s="1133"/>
      <c r="L647" s="1133"/>
      <c r="M647" s="1133"/>
      <c r="N647" s="1133"/>
      <c r="O647" s="1133"/>
      <c r="P647" s="1133"/>
      <c r="Q647" s="1133"/>
      <c r="R647" s="1133"/>
      <c r="S647" s="1133"/>
      <c r="T647" s="1133"/>
      <c r="U647" s="1133"/>
      <c r="V647" s="1135"/>
      <c r="W647" s="1135"/>
    </row>
    <row r="648">
      <c r="A648" s="1133"/>
      <c r="B648" s="1133"/>
      <c r="C648" s="1133"/>
      <c r="D648" s="1133"/>
      <c r="E648" s="1133"/>
      <c r="F648" s="1133"/>
      <c r="G648" s="1133"/>
      <c r="H648" s="1133"/>
      <c r="I648" s="1133"/>
      <c r="J648" s="1133"/>
      <c r="K648" s="1133"/>
      <c r="L648" s="1133"/>
      <c r="M648" s="1133"/>
      <c r="N648" s="1133"/>
      <c r="O648" s="1133"/>
      <c r="P648" s="1133"/>
      <c r="Q648" s="1133"/>
      <c r="R648" s="1133"/>
      <c r="S648" s="1133"/>
      <c r="T648" s="1133"/>
      <c r="U648" s="1133"/>
      <c r="V648" s="1135"/>
      <c r="W648" s="1135"/>
    </row>
    <row r="649">
      <c r="A649" s="1133"/>
      <c r="B649" s="1133"/>
      <c r="C649" s="1133"/>
      <c r="D649" s="1133"/>
      <c r="E649" s="1133"/>
      <c r="F649" s="1133"/>
      <c r="G649" s="1133"/>
      <c r="H649" s="1133"/>
      <c r="I649" s="1133"/>
      <c r="J649" s="1133"/>
      <c r="K649" s="1133"/>
      <c r="L649" s="1133"/>
      <c r="M649" s="1133"/>
      <c r="N649" s="1133"/>
      <c r="O649" s="1133"/>
      <c r="P649" s="1133"/>
      <c r="Q649" s="1133"/>
      <c r="R649" s="1133"/>
      <c r="S649" s="1133"/>
      <c r="T649" s="1133"/>
      <c r="U649" s="1133"/>
      <c r="V649" s="1135"/>
      <c r="W649" s="1135"/>
    </row>
    <row r="650">
      <c r="A650" s="1133"/>
      <c r="B650" s="1133"/>
      <c r="C650" s="1133"/>
      <c r="D650" s="1133"/>
      <c r="E650" s="1133"/>
      <c r="F650" s="1133"/>
      <c r="G650" s="1133"/>
      <c r="H650" s="1133"/>
      <c r="I650" s="1133"/>
      <c r="J650" s="1133"/>
      <c r="K650" s="1133"/>
      <c r="L650" s="1133"/>
      <c r="M650" s="1133"/>
      <c r="N650" s="1133"/>
      <c r="O650" s="1133"/>
      <c r="P650" s="1133"/>
      <c r="Q650" s="1133"/>
      <c r="R650" s="1133"/>
      <c r="S650" s="1133"/>
      <c r="T650" s="1133"/>
      <c r="U650" s="1133"/>
      <c r="V650" s="1135"/>
      <c r="W650" s="1135"/>
    </row>
    <row r="651">
      <c r="A651" s="1133"/>
      <c r="B651" s="1133"/>
      <c r="C651" s="1133"/>
      <c r="D651" s="1133"/>
      <c r="E651" s="1133"/>
      <c r="F651" s="1133"/>
      <c r="G651" s="1133"/>
      <c r="H651" s="1133"/>
      <c r="I651" s="1133"/>
      <c r="J651" s="1133"/>
      <c r="K651" s="1133"/>
      <c r="L651" s="1133"/>
      <c r="M651" s="1133"/>
      <c r="N651" s="1133"/>
      <c r="O651" s="1133"/>
      <c r="P651" s="1133"/>
      <c r="Q651" s="1133"/>
      <c r="R651" s="1133"/>
      <c r="S651" s="1133"/>
      <c r="T651" s="1133"/>
      <c r="U651" s="1133"/>
      <c r="V651" s="1135"/>
      <c r="W651" s="1135"/>
    </row>
    <row r="652">
      <c r="A652" s="1133"/>
      <c r="B652" s="1133"/>
      <c r="C652" s="1133"/>
      <c r="D652" s="1133"/>
      <c r="E652" s="1133"/>
      <c r="F652" s="1133"/>
      <c r="G652" s="1133"/>
      <c r="H652" s="1133"/>
      <c r="I652" s="1133"/>
      <c r="J652" s="1133"/>
      <c r="K652" s="1133"/>
      <c r="L652" s="1133"/>
      <c r="M652" s="1133"/>
      <c r="N652" s="1133"/>
      <c r="O652" s="1133"/>
      <c r="P652" s="1133"/>
      <c r="Q652" s="1133"/>
      <c r="R652" s="1133"/>
      <c r="S652" s="1133"/>
      <c r="T652" s="1133"/>
      <c r="U652" s="1133"/>
      <c r="V652" s="1135"/>
      <c r="W652" s="1135"/>
    </row>
    <row r="653">
      <c r="A653" s="1133"/>
      <c r="B653" s="1133"/>
      <c r="C653" s="1133"/>
      <c r="D653" s="1133"/>
      <c r="E653" s="1133"/>
      <c r="F653" s="1133"/>
      <c r="G653" s="1133"/>
      <c r="H653" s="1133"/>
      <c r="I653" s="1133"/>
      <c r="J653" s="1133"/>
      <c r="K653" s="1133"/>
      <c r="L653" s="1133"/>
      <c r="M653" s="1133"/>
      <c r="N653" s="1133"/>
      <c r="O653" s="1133"/>
      <c r="P653" s="1133"/>
      <c r="Q653" s="1133"/>
      <c r="R653" s="1133"/>
      <c r="S653" s="1133"/>
      <c r="T653" s="1133"/>
      <c r="U653" s="1133"/>
      <c r="V653" s="1135"/>
      <c r="W653" s="1135"/>
    </row>
    <row r="654">
      <c r="A654" s="1133"/>
      <c r="B654" s="1133"/>
      <c r="C654" s="1133"/>
      <c r="D654" s="1133"/>
      <c r="E654" s="1133"/>
      <c r="F654" s="1133"/>
      <c r="G654" s="1133"/>
      <c r="H654" s="1133"/>
      <c r="I654" s="1133"/>
      <c r="J654" s="1133"/>
      <c r="K654" s="1133"/>
      <c r="L654" s="1133"/>
      <c r="M654" s="1133"/>
      <c r="N654" s="1133"/>
      <c r="O654" s="1133"/>
      <c r="P654" s="1133"/>
      <c r="Q654" s="1133"/>
      <c r="R654" s="1133"/>
      <c r="S654" s="1133"/>
      <c r="T654" s="1133"/>
      <c r="U654" s="1133"/>
      <c r="V654" s="1135"/>
      <c r="W654" s="1135"/>
    </row>
    <row r="655">
      <c r="A655" s="1133"/>
      <c r="B655" s="1133"/>
      <c r="C655" s="1133"/>
      <c r="D655" s="1133"/>
      <c r="E655" s="1133"/>
      <c r="F655" s="1133"/>
      <c r="G655" s="1133"/>
      <c r="H655" s="1133"/>
      <c r="I655" s="1133"/>
      <c r="J655" s="1133"/>
      <c r="K655" s="1133"/>
      <c r="L655" s="1133"/>
      <c r="M655" s="1133"/>
      <c r="N655" s="1133"/>
      <c r="O655" s="1133"/>
      <c r="P655" s="1133"/>
      <c r="Q655" s="1133"/>
      <c r="R655" s="1133"/>
      <c r="S655" s="1133"/>
      <c r="T655" s="1133"/>
      <c r="U655" s="1133"/>
      <c r="V655" s="1135"/>
      <c r="W655" s="1135"/>
    </row>
    <row r="656">
      <c r="A656" s="1133"/>
      <c r="B656" s="1133"/>
      <c r="C656" s="1133"/>
      <c r="D656" s="1133"/>
      <c r="E656" s="1133"/>
      <c r="F656" s="1133"/>
      <c r="G656" s="1133"/>
      <c r="H656" s="1133"/>
      <c r="I656" s="1133"/>
      <c r="J656" s="1133"/>
      <c r="K656" s="1133"/>
      <c r="L656" s="1133"/>
      <c r="M656" s="1133"/>
      <c r="N656" s="1133"/>
      <c r="O656" s="1133"/>
      <c r="P656" s="1133"/>
      <c r="Q656" s="1133"/>
      <c r="R656" s="1133"/>
      <c r="S656" s="1133"/>
      <c r="T656" s="1133"/>
      <c r="U656" s="1133"/>
      <c r="V656" s="1135"/>
      <c r="W656" s="1135"/>
    </row>
    <row r="657">
      <c r="A657" s="1133"/>
      <c r="B657" s="1133"/>
      <c r="C657" s="1133"/>
      <c r="D657" s="1133"/>
      <c r="E657" s="1133"/>
      <c r="F657" s="1133"/>
      <c r="G657" s="1133"/>
      <c r="H657" s="1133"/>
      <c r="I657" s="1133"/>
      <c r="J657" s="1133"/>
      <c r="K657" s="1133"/>
      <c r="L657" s="1133"/>
      <c r="M657" s="1133"/>
      <c r="N657" s="1133"/>
      <c r="O657" s="1133"/>
      <c r="P657" s="1133"/>
      <c r="Q657" s="1133"/>
      <c r="R657" s="1133"/>
      <c r="S657" s="1133"/>
      <c r="T657" s="1133"/>
      <c r="U657" s="1133"/>
      <c r="V657" s="1135"/>
      <c r="W657" s="1135"/>
    </row>
    <row r="658">
      <c r="A658" s="1133"/>
      <c r="B658" s="1133"/>
      <c r="C658" s="1133"/>
      <c r="D658" s="1133"/>
      <c r="E658" s="1133"/>
      <c r="F658" s="1133"/>
      <c r="G658" s="1133"/>
      <c r="H658" s="1133"/>
      <c r="I658" s="1133"/>
      <c r="J658" s="1133"/>
      <c r="K658" s="1133"/>
      <c r="L658" s="1133"/>
      <c r="M658" s="1133"/>
      <c r="N658" s="1133"/>
      <c r="O658" s="1133"/>
      <c r="P658" s="1133"/>
      <c r="Q658" s="1133"/>
      <c r="R658" s="1133"/>
      <c r="S658" s="1133"/>
      <c r="T658" s="1133"/>
      <c r="U658" s="1133"/>
      <c r="V658" s="1135"/>
      <c r="W658" s="1135"/>
    </row>
    <row r="659">
      <c r="A659" s="1133"/>
      <c r="B659" s="1133"/>
      <c r="C659" s="1133"/>
      <c r="D659" s="1133"/>
      <c r="E659" s="1133"/>
      <c r="F659" s="1133"/>
      <c r="G659" s="1133"/>
      <c r="H659" s="1133"/>
      <c r="I659" s="1133"/>
      <c r="J659" s="1133"/>
      <c r="K659" s="1133"/>
      <c r="L659" s="1133"/>
      <c r="M659" s="1133"/>
      <c r="N659" s="1133"/>
      <c r="O659" s="1133"/>
      <c r="P659" s="1133"/>
      <c r="Q659" s="1133"/>
      <c r="R659" s="1133"/>
      <c r="S659" s="1133"/>
      <c r="T659" s="1133"/>
      <c r="U659" s="1133"/>
      <c r="V659" s="1135"/>
      <c r="W659" s="1135"/>
    </row>
    <row r="660">
      <c r="A660" s="1133"/>
      <c r="B660" s="1133"/>
      <c r="C660" s="1133"/>
      <c r="D660" s="1133"/>
      <c r="E660" s="1133"/>
      <c r="F660" s="1133"/>
      <c r="G660" s="1133"/>
      <c r="H660" s="1133"/>
      <c r="I660" s="1133"/>
      <c r="J660" s="1133"/>
      <c r="K660" s="1133"/>
      <c r="L660" s="1133"/>
      <c r="M660" s="1133"/>
      <c r="N660" s="1133"/>
      <c r="O660" s="1133"/>
      <c r="P660" s="1133"/>
      <c r="Q660" s="1133"/>
      <c r="R660" s="1133"/>
      <c r="S660" s="1133"/>
      <c r="T660" s="1133"/>
      <c r="U660" s="1133"/>
      <c r="V660" s="1135"/>
      <c r="W660" s="1135"/>
    </row>
    <row r="661">
      <c r="A661" s="1133"/>
      <c r="B661" s="1133"/>
      <c r="C661" s="1133"/>
      <c r="D661" s="1133"/>
      <c r="E661" s="1133"/>
      <c r="F661" s="1133"/>
      <c r="G661" s="1133"/>
      <c r="H661" s="1133"/>
      <c r="I661" s="1133"/>
      <c r="J661" s="1133"/>
      <c r="K661" s="1133"/>
      <c r="L661" s="1133"/>
      <c r="M661" s="1133"/>
      <c r="N661" s="1133"/>
      <c r="O661" s="1133"/>
      <c r="P661" s="1133"/>
      <c r="Q661" s="1133"/>
      <c r="R661" s="1133"/>
      <c r="S661" s="1133"/>
      <c r="T661" s="1133"/>
      <c r="U661" s="1133"/>
      <c r="V661" s="1135"/>
      <c r="W661" s="1135"/>
    </row>
    <row r="662">
      <c r="A662" s="1133"/>
      <c r="B662" s="1133"/>
      <c r="C662" s="1133"/>
      <c r="D662" s="1133"/>
      <c r="E662" s="1133"/>
      <c r="F662" s="1133"/>
      <c r="G662" s="1133"/>
      <c r="H662" s="1133"/>
      <c r="I662" s="1133"/>
      <c r="J662" s="1133"/>
      <c r="K662" s="1133"/>
      <c r="L662" s="1133"/>
      <c r="M662" s="1133"/>
      <c r="N662" s="1133"/>
      <c r="O662" s="1133"/>
      <c r="P662" s="1133"/>
      <c r="Q662" s="1133"/>
      <c r="R662" s="1133"/>
      <c r="S662" s="1133"/>
      <c r="T662" s="1133"/>
      <c r="U662" s="1133"/>
      <c r="V662" s="1135"/>
      <c r="W662" s="1135"/>
    </row>
    <row r="663">
      <c r="A663" s="1133"/>
      <c r="B663" s="1133"/>
      <c r="C663" s="1133"/>
      <c r="D663" s="1133"/>
      <c r="E663" s="1133"/>
      <c r="F663" s="1133"/>
      <c r="G663" s="1133"/>
      <c r="H663" s="1133"/>
      <c r="I663" s="1133"/>
      <c r="J663" s="1133"/>
      <c r="K663" s="1133"/>
      <c r="L663" s="1133"/>
      <c r="M663" s="1133"/>
      <c r="N663" s="1133"/>
      <c r="O663" s="1133"/>
      <c r="P663" s="1133"/>
      <c r="Q663" s="1133"/>
      <c r="R663" s="1133"/>
      <c r="S663" s="1133"/>
      <c r="T663" s="1133"/>
      <c r="U663" s="1133"/>
      <c r="V663" s="1135"/>
      <c r="W663" s="1135"/>
    </row>
    <row r="664">
      <c r="A664" s="1133"/>
      <c r="B664" s="1133"/>
      <c r="C664" s="1133"/>
      <c r="D664" s="1133"/>
      <c r="E664" s="1133"/>
      <c r="F664" s="1133"/>
      <c r="G664" s="1133"/>
      <c r="H664" s="1133"/>
      <c r="I664" s="1133"/>
      <c r="J664" s="1133"/>
      <c r="K664" s="1133"/>
      <c r="L664" s="1133"/>
      <c r="M664" s="1133"/>
      <c r="N664" s="1133"/>
      <c r="O664" s="1133"/>
      <c r="P664" s="1133"/>
      <c r="Q664" s="1133"/>
      <c r="R664" s="1133"/>
      <c r="S664" s="1133"/>
      <c r="T664" s="1133"/>
      <c r="U664" s="1133"/>
      <c r="V664" s="1135"/>
      <c r="W664" s="1135"/>
    </row>
    <row r="665">
      <c r="A665" s="1133"/>
      <c r="B665" s="1133"/>
      <c r="C665" s="1133"/>
      <c r="D665" s="1133"/>
      <c r="E665" s="1133"/>
      <c r="F665" s="1133"/>
      <c r="G665" s="1133"/>
      <c r="H665" s="1133"/>
      <c r="I665" s="1133"/>
      <c r="J665" s="1133"/>
      <c r="K665" s="1133"/>
      <c r="L665" s="1133"/>
      <c r="M665" s="1133"/>
      <c r="N665" s="1133"/>
      <c r="O665" s="1133"/>
      <c r="P665" s="1133"/>
      <c r="Q665" s="1133"/>
      <c r="R665" s="1133"/>
      <c r="S665" s="1133"/>
      <c r="T665" s="1133"/>
      <c r="U665" s="1133"/>
      <c r="V665" s="1135"/>
      <c r="W665" s="1135"/>
    </row>
    <row r="666">
      <c r="A666" s="1133"/>
      <c r="B666" s="1133"/>
      <c r="C666" s="1133"/>
      <c r="D666" s="1133"/>
      <c r="E666" s="1133"/>
      <c r="F666" s="1133"/>
      <c r="G666" s="1133"/>
      <c r="H666" s="1133"/>
      <c r="I666" s="1133"/>
      <c r="J666" s="1133"/>
      <c r="K666" s="1133"/>
      <c r="L666" s="1133"/>
      <c r="M666" s="1133"/>
      <c r="N666" s="1133"/>
      <c r="O666" s="1133"/>
      <c r="P666" s="1133"/>
      <c r="Q666" s="1133"/>
      <c r="R666" s="1133"/>
      <c r="S666" s="1133"/>
      <c r="T666" s="1133"/>
      <c r="U666" s="1133"/>
      <c r="V666" s="1135"/>
      <c r="W666" s="1135"/>
    </row>
    <row r="667">
      <c r="A667" s="1133"/>
      <c r="B667" s="1133"/>
      <c r="C667" s="1133"/>
      <c r="D667" s="1133"/>
      <c r="E667" s="1133"/>
      <c r="F667" s="1133"/>
      <c r="G667" s="1133"/>
      <c r="H667" s="1133"/>
      <c r="I667" s="1133"/>
      <c r="J667" s="1133"/>
      <c r="K667" s="1133"/>
      <c r="L667" s="1133"/>
      <c r="M667" s="1133"/>
      <c r="N667" s="1133"/>
      <c r="O667" s="1133"/>
      <c r="P667" s="1133"/>
      <c r="Q667" s="1133"/>
      <c r="R667" s="1133"/>
      <c r="S667" s="1133"/>
      <c r="T667" s="1133"/>
      <c r="U667" s="1133"/>
      <c r="V667" s="1135"/>
      <c r="W667" s="1135"/>
    </row>
    <row r="668">
      <c r="A668" s="1133"/>
      <c r="B668" s="1133"/>
      <c r="C668" s="1133"/>
      <c r="D668" s="1133"/>
      <c r="E668" s="1133"/>
      <c r="F668" s="1133"/>
      <c r="G668" s="1133"/>
      <c r="H668" s="1133"/>
      <c r="I668" s="1133"/>
      <c r="J668" s="1133"/>
      <c r="K668" s="1133"/>
      <c r="L668" s="1133"/>
      <c r="M668" s="1133"/>
      <c r="N668" s="1133"/>
      <c r="O668" s="1133"/>
      <c r="P668" s="1133"/>
      <c r="Q668" s="1133"/>
      <c r="R668" s="1133"/>
      <c r="S668" s="1133"/>
      <c r="T668" s="1133"/>
      <c r="U668" s="1133"/>
      <c r="V668" s="1135"/>
      <c r="W668" s="1135"/>
    </row>
    <row r="669">
      <c r="A669" s="1133"/>
      <c r="B669" s="1133"/>
      <c r="C669" s="1133"/>
      <c r="D669" s="1133"/>
      <c r="E669" s="1133"/>
      <c r="F669" s="1133"/>
      <c r="G669" s="1133"/>
      <c r="H669" s="1133"/>
      <c r="I669" s="1133"/>
      <c r="J669" s="1133"/>
      <c r="K669" s="1133"/>
      <c r="L669" s="1133"/>
      <c r="M669" s="1133"/>
      <c r="N669" s="1133"/>
      <c r="O669" s="1133"/>
      <c r="P669" s="1133"/>
      <c r="Q669" s="1133"/>
      <c r="R669" s="1133"/>
      <c r="S669" s="1133"/>
      <c r="T669" s="1133"/>
      <c r="U669" s="1133"/>
      <c r="V669" s="1135"/>
      <c r="W669" s="1135"/>
    </row>
    <row r="670">
      <c r="A670" s="1133"/>
      <c r="B670" s="1133"/>
      <c r="C670" s="1133"/>
      <c r="D670" s="1133"/>
      <c r="E670" s="1133"/>
      <c r="F670" s="1133"/>
      <c r="G670" s="1133"/>
      <c r="H670" s="1133"/>
      <c r="I670" s="1133"/>
      <c r="J670" s="1133"/>
      <c r="K670" s="1133"/>
      <c r="L670" s="1133"/>
      <c r="M670" s="1133"/>
      <c r="N670" s="1133"/>
      <c r="O670" s="1133"/>
      <c r="P670" s="1133"/>
      <c r="Q670" s="1133"/>
      <c r="R670" s="1133"/>
      <c r="S670" s="1133"/>
      <c r="T670" s="1133"/>
      <c r="U670" s="1133"/>
      <c r="V670" s="1135"/>
      <c r="W670" s="1135"/>
    </row>
    <row r="671">
      <c r="A671" s="1133"/>
      <c r="B671" s="1133"/>
      <c r="C671" s="1133"/>
      <c r="D671" s="1133"/>
      <c r="E671" s="1133"/>
      <c r="F671" s="1133"/>
      <c r="G671" s="1133"/>
      <c r="H671" s="1133"/>
      <c r="I671" s="1133"/>
      <c r="J671" s="1133"/>
      <c r="K671" s="1133"/>
      <c r="L671" s="1133"/>
      <c r="M671" s="1133"/>
      <c r="N671" s="1133"/>
      <c r="O671" s="1133"/>
      <c r="P671" s="1133"/>
      <c r="Q671" s="1133"/>
      <c r="R671" s="1133"/>
      <c r="S671" s="1133"/>
      <c r="T671" s="1133"/>
      <c r="U671" s="1133"/>
      <c r="V671" s="1135"/>
      <c r="W671" s="1135"/>
    </row>
    <row r="672">
      <c r="A672" s="1133"/>
      <c r="B672" s="1133"/>
      <c r="C672" s="1133"/>
      <c r="D672" s="1133"/>
      <c r="E672" s="1133"/>
      <c r="F672" s="1133"/>
      <c r="G672" s="1133"/>
      <c r="H672" s="1133"/>
      <c r="I672" s="1133"/>
      <c r="J672" s="1133"/>
      <c r="K672" s="1133"/>
      <c r="L672" s="1133"/>
      <c r="M672" s="1133"/>
      <c r="N672" s="1133"/>
      <c r="O672" s="1133"/>
      <c r="P672" s="1133"/>
      <c r="Q672" s="1133"/>
      <c r="R672" s="1133"/>
      <c r="S672" s="1133"/>
      <c r="T672" s="1133"/>
      <c r="U672" s="1133"/>
      <c r="V672" s="1135"/>
      <c r="W672" s="1135"/>
    </row>
    <row r="673">
      <c r="A673" s="1133"/>
      <c r="B673" s="1133"/>
      <c r="C673" s="1133"/>
      <c r="D673" s="1133"/>
      <c r="E673" s="1133"/>
      <c r="F673" s="1133"/>
      <c r="G673" s="1133"/>
      <c r="H673" s="1133"/>
      <c r="I673" s="1133"/>
      <c r="J673" s="1133"/>
      <c r="K673" s="1133"/>
      <c r="L673" s="1133"/>
      <c r="M673" s="1133"/>
      <c r="N673" s="1133"/>
      <c r="O673" s="1133"/>
      <c r="P673" s="1133"/>
      <c r="Q673" s="1133"/>
      <c r="R673" s="1133"/>
      <c r="S673" s="1133"/>
      <c r="T673" s="1133"/>
      <c r="U673" s="1133"/>
      <c r="V673" s="1135"/>
      <c r="W673" s="1135"/>
    </row>
    <row r="674">
      <c r="A674" s="1133"/>
      <c r="B674" s="1133"/>
      <c r="C674" s="1133"/>
      <c r="D674" s="1133"/>
      <c r="E674" s="1133"/>
      <c r="F674" s="1133"/>
      <c r="G674" s="1133"/>
      <c r="H674" s="1133"/>
      <c r="I674" s="1133"/>
      <c r="J674" s="1133"/>
      <c r="K674" s="1133"/>
      <c r="L674" s="1133"/>
      <c r="M674" s="1133"/>
      <c r="N674" s="1133"/>
      <c r="O674" s="1133"/>
      <c r="P674" s="1133"/>
      <c r="Q674" s="1133"/>
      <c r="R674" s="1133"/>
      <c r="S674" s="1133"/>
      <c r="T674" s="1133"/>
      <c r="U674" s="1133"/>
      <c r="V674" s="1135"/>
      <c r="W674" s="1135"/>
    </row>
    <row r="675">
      <c r="A675" s="1133"/>
      <c r="B675" s="1133"/>
      <c r="C675" s="1133"/>
      <c r="D675" s="1133"/>
      <c r="E675" s="1133"/>
      <c r="F675" s="1133"/>
      <c r="G675" s="1133"/>
      <c r="H675" s="1133"/>
      <c r="I675" s="1133"/>
      <c r="J675" s="1133"/>
      <c r="K675" s="1133"/>
      <c r="L675" s="1133"/>
      <c r="M675" s="1133"/>
      <c r="N675" s="1133"/>
      <c r="O675" s="1133"/>
      <c r="P675" s="1133"/>
      <c r="Q675" s="1133"/>
      <c r="R675" s="1133"/>
      <c r="S675" s="1133"/>
      <c r="T675" s="1133"/>
      <c r="U675" s="1133"/>
      <c r="V675" s="1135"/>
      <c r="W675" s="1135"/>
    </row>
    <row r="676">
      <c r="A676" s="1133"/>
      <c r="B676" s="1133"/>
      <c r="C676" s="1133"/>
      <c r="D676" s="1133"/>
      <c r="E676" s="1133"/>
      <c r="F676" s="1133"/>
      <c r="G676" s="1133"/>
      <c r="H676" s="1133"/>
      <c r="I676" s="1133"/>
      <c r="J676" s="1133"/>
      <c r="K676" s="1133"/>
      <c r="L676" s="1133"/>
      <c r="M676" s="1133"/>
      <c r="N676" s="1133"/>
      <c r="O676" s="1133"/>
      <c r="P676" s="1133"/>
      <c r="Q676" s="1133"/>
      <c r="R676" s="1133"/>
      <c r="S676" s="1133"/>
      <c r="T676" s="1133"/>
      <c r="U676" s="1133"/>
      <c r="V676" s="1135"/>
      <c r="W676" s="1135"/>
    </row>
    <row r="677">
      <c r="A677" s="1133"/>
      <c r="B677" s="1133"/>
      <c r="C677" s="1133"/>
      <c r="D677" s="1133"/>
      <c r="E677" s="1133"/>
      <c r="F677" s="1133"/>
      <c r="G677" s="1133"/>
      <c r="H677" s="1133"/>
      <c r="I677" s="1133"/>
      <c r="J677" s="1133"/>
      <c r="K677" s="1133"/>
      <c r="L677" s="1133"/>
      <c r="M677" s="1133"/>
      <c r="N677" s="1133"/>
      <c r="O677" s="1133"/>
      <c r="P677" s="1133"/>
      <c r="Q677" s="1133"/>
      <c r="R677" s="1133"/>
      <c r="S677" s="1133"/>
      <c r="T677" s="1133"/>
      <c r="U677" s="1133"/>
      <c r="V677" s="1135"/>
      <c r="W677" s="1135"/>
    </row>
    <row r="678">
      <c r="A678" s="1133"/>
      <c r="B678" s="1133"/>
      <c r="C678" s="1133"/>
      <c r="D678" s="1133"/>
      <c r="E678" s="1133"/>
      <c r="F678" s="1133"/>
      <c r="G678" s="1133"/>
      <c r="H678" s="1133"/>
      <c r="I678" s="1133"/>
      <c r="J678" s="1133"/>
      <c r="K678" s="1133"/>
      <c r="L678" s="1133"/>
      <c r="M678" s="1133"/>
      <c r="N678" s="1133"/>
      <c r="O678" s="1133"/>
      <c r="P678" s="1133"/>
      <c r="Q678" s="1133"/>
      <c r="R678" s="1133"/>
      <c r="S678" s="1133"/>
      <c r="T678" s="1133"/>
      <c r="U678" s="1133"/>
      <c r="V678" s="1135"/>
      <c r="W678" s="1135"/>
    </row>
    <row r="679">
      <c r="A679" s="1133"/>
      <c r="B679" s="1133"/>
      <c r="C679" s="1133"/>
      <c r="D679" s="1133"/>
      <c r="E679" s="1133"/>
      <c r="F679" s="1133"/>
      <c r="G679" s="1133"/>
      <c r="H679" s="1133"/>
      <c r="I679" s="1133"/>
      <c r="J679" s="1133"/>
      <c r="K679" s="1133"/>
      <c r="L679" s="1133"/>
      <c r="M679" s="1133"/>
      <c r="N679" s="1133"/>
      <c r="O679" s="1133"/>
      <c r="P679" s="1133"/>
      <c r="Q679" s="1133"/>
      <c r="R679" s="1133"/>
      <c r="S679" s="1133"/>
      <c r="T679" s="1133"/>
      <c r="U679" s="1133"/>
      <c r="V679" s="1135"/>
      <c r="W679" s="1135"/>
    </row>
    <row r="680">
      <c r="A680" s="1133"/>
      <c r="B680" s="1133"/>
      <c r="C680" s="1133"/>
      <c r="D680" s="1133"/>
      <c r="E680" s="1133"/>
      <c r="F680" s="1133"/>
      <c r="G680" s="1133"/>
      <c r="H680" s="1133"/>
      <c r="I680" s="1133"/>
      <c r="J680" s="1133"/>
      <c r="K680" s="1133"/>
      <c r="L680" s="1133"/>
      <c r="M680" s="1133"/>
      <c r="N680" s="1133"/>
      <c r="O680" s="1133"/>
      <c r="P680" s="1133"/>
      <c r="Q680" s="1133"/>
      <c r="R680" s="1133"/>
      <c r="S680" s="1133"/>
      <c r="T680" s="1133"/>
      <c r="U680" s="1133"/>
      <c r="V680" s="1135"/>
      <c r="W680" s="1135"/>
    </row>
    <row r="681">
      <c r="A681" s="1133"/>
      <c r="B681" s="1133"/>
      <c r="C681" s="1133"/>
      <c r="D681" s="1133"/>
      <c r="E681" s="1133"/>
      <c r="F681" s="1133"/>
      <c r="G681" s="1133"/>
      <c r="H681" s="1133"/>
      <c r="I681" s="1133"/>
      <c r="J681" s="1133"/>
      <c r="K681" s="1133"/>
      <c r="L681" s="1133"/>
      <c r="M681" s="1133"/>
      <c r="N681" s="1133"/>
      <c r="O681" s="1133"/>
      <c r="P681" s="1133"/>
      <c r="Q681" s="1133"/>
      <c r="R681" s="1133"/>
      <c r="S681" s="1133"/>
      <c r="T681" s="1133"/>
      <c r="U681" s="1133"/>
      <c r="V681" s="1135"/>
      <c r="W681" s="1135"/>
    </row>
    <row r="682">
      <c r="A682" s="1133"/>
      <c r="B682" s="1133"/>
      <c r="C682" s="1133"/>
      <c r="D682" s="1133"/>
      <c r="E682" s="1133"/>
      <c r="F682" s="1133"/>
      <c r="G682" s="1133"/>
      <c r="H682" s="1133"/>
      <c r="I682" s="1133"/>
      <c r="J682" s="1133"/>
      <c r="K682" s="1133"/>
      <c r="L682" s="1133"/>
      <c r="M682" s="1133"/>
      <c r="N682" s="1133"/>
      <c r="O682" s="1133"/>
      <c r="P682" s="1133"/>
      <c r="Q682" s="1133"/>
      <c r="R682" s="1133"/>
      <c r="S682" s="1133"/>
      <c r="T682" s="1133"/>
      <c r="U682" s="1133"/>
      <c r="V682" s="1135"/>
      <c r="W682" s="1135"/>
    </row>
    <row r="683">
      <c r="A683" s="1133"/>
      <c r="B683" s="1133"/>
      <c r="C683" s="1133"/>
      <c r="D683" s="1133"/>
      <c r="E683" s="1133"/>
      <c r="F683" s="1133"/>
      <c r="G683" s="1133"/>
      <c r="H683" s="1133"/>
      <c r="I683" s="1133"/>
      <c r="J683" s="1133"/>
      <c r="K683" s="1133"/>
      <c r="L683" s="1133"/>
      <c r="M683" s="1133"/>
      <c r="N683" s="1133"/>
      <c r="O683" s="1133"/>
      <c r="P683" s="1133"/>
      <c r="Q683" s="1133"/>
      <c r="R683" s="1133"/>
      <c r="S683" s="1133"/>
      <c r="T683" s="1133"/>
      <c r="U683" s="1133"/>
      <c r="V683" s="1135"/>
      <c r="W683" s="1135"/>
    </row>
    <row r="684">
      <c r="A684" s="1133"/>
      <c r="B684" s="1133"/>
      <c r="C684" s="1133"/>
      <c r="D684" s="1133"/>
      <c r="E684" s="1133"/>
      <c r="F684" s="1133"/>
      <c r="G684" s="1133"/>
      <c r="H684" s="1133"/>
      <c r="I684" s="1133"/>
      <c r="J684" s="1133"/>
      <c r="K684" s="1133"/>
      <c r="L684" s="1133"/>
      <c r="M684" s="1133"/>
      <c r="N684" s="1133"/>
      <c r="O684" s="1133"/>
      <c r="P684" s="1133"/>
      <c r="Q684" s="1133"/>
      <c r="R684" s="1133"/>
      <c r="S684" s="1133"/>
      <c r="T684" s="1133"/>
      <c r="U684" s="1133"/>
      <c r="V684" s="1135"/>
      <c r="W684" s="1135"/>
    </row>
    <row r="685">
      <c r="A685" s="1133"/>
      <c r="B685" s="1133"/>
      <c r="C685" s="1133"/>
      <c r="D685" s="1133"/>
      <c r="E685" s="1133"/>
      <c r="F685" s="1133"/>
      <c r="G685" s="1133"/>
      <c r="H685" s="1133"/>
      <c r="I685" s="1133"/>
      <c r="J685" s="1133"/>
      <c r="K685" s="1133"/>
      <c r="L685" s="1133"/>
      <c r="M685" s="1133"/>
      <c r="N685" s="1133"/>
      <c r="O685" s="1133"/>
      <c r="P685" s="1133"/>
      <c r="Q685" s="1133"/>
      <c r="R685" s="1133"/>
      <c r="S685" s="1133"/>
      <c r="T685" s="1133"/>
      <c r="U685" s="1133"/>
      <c r="V685" s="1135"/>
      <c r="W685" s="1135"/>
    </row>
    <row r="686">
      <c r="A686" s="1133"/>
      <c r="B686" s="1133"/>
      <c r="C686" s="1133"/>
      <c r="D686" s="1133"/>
      <c r="E686" s="1133"/>
      <c r="F686" s="1133"/>
      <c r="G686" s="1133"/>
      <c r="H686" s="1133"/>
      <c r="I686" s="1133"/>
      <c r="J686" s="1133"/>
      <c r="K686" s="1133"/>
      <c r="L686" s="1133"/>
      <c r="M686" s="1133"/>
      <c r="N686" s="1133"/>
      <c r="O686" s="1133"/>
      <c r="P686" s="1133"/>
      <c r="Q686" s="1133"/>
      <c r="R686" s="1133"/>
      <c r="S686" s="1133"/>
      <c r="T686" s="1133"/>
      <c r="U686" s="1133"/>
      <c r="V686" s="1135"/>
      <c r="W686" s="1135"/>
    </row>
    <row r="687">
      <c r="A687" s="1133"/>
      <c r="B687" s="1133"/>
      <c r="C687" s="1133"/>
      <c r="D687" s="1133"/>
      <c r="E687" s="1133"/>
      <c r="F687" s="1133"/>
      <c r="G687" s="1133"/>
      <c r="H687" s="1133"/>
      <c r="I687" s="1133"/>
      <c r="J687" s="1133"/>
      <c r="K687" s="1133"/>
      <c r="L687" s="1133"/>
      <c r="M687" s="1133"/>
      <c r="N687" s="1133"/>
      <c r="O687" s="1133"/>
      <c r="P687" s="1133"/>
      <c r="Q687" s="1133"/>
      <c r="R687" s="1133"/>
      <c r="S687" s="1133"/>
      <c r="T687" s="1133"/>
      <c r="U687" s="1133"/>
      <c r="V687" s="1135"/>
      <c r="W687" s="1135"/>
    </row>
    <row r="688">
      <c r="A688" s="1133"/>
      <c r="B688" s="1133"/>
      <c r="C688" s="1133"/>
      <c r="D688" s="1133"/>
      <c r="E688" s="1133"/>
      <c r="F688" s="1133"/>
      <c r="G688" s="1133"/>
      <c r="H688" s="1133"/>
      <c r="I688" s="1133"/>
      <c r="J688" s="1133"/>
      <c r="K688" s="1133"/>
      <c r="L688" s="1133"/>
      <c r="M688" s="1133"/>
      <c r="N688" s="1133"/>
      <c r="O688" s="1133"/>
      <c r="P688" s="1133"/>
      <c r="Q688" s="1133"/>
      <c r="R688" s="1133"/>
      <c r="S688" s="1133"/>
      <c r="T688" s="1133"/>
      <c r="U688" s="1133"/>
      <c r="V688" s="1135"/>
      <c r="W688" s="1135"/>
    </row>
    <row r="689">
      <c r="A689" s="1133"/>
      <c r="B689" s="1133"/>
      <c r="C689" s="1133"/>
      <c r="D689" s="1133"/>
      <c r="E689" s="1133"/>
      <c r="F689" s="1133"/>
      <c r="G689" s="1133"/>
      <c r="H689" s="1133"/>
      <c r="I689" s="1133"/>
      <c r="J689" s="1133"/>
      <c r="K689" s="1133"/>
      <c r="L689" s="1133"/>
      <c r="M689" s="1133"/>
      <c r="N689" s="1133"/>
      <c r="O689" s="1133"/>
      <c r="P689" s="1133"/>
      <c r="Q689" s="1133"/>
      <c r="R689" s="1133"/>
      <c r="S689" s="1133"/>
      <c r="T689" s="1133"/>
      <c r="U689" s="1133"/>
      <c r="V689" s="1135"/>
      <c r="W689" s="1135"/>
    </row>
    <row r="690">
      <c r="A690" s="1133"/>
      <c r="B690" s="1133"/>
      <c r="C690" s="1133"/>
      <c r="D690" s="1133"/>
      <c r="E690" s="1133"/>
      <c r="F690" s="1133"/>
      <c r="G690" s="1133"/>
      <c r="H690" s="1133"/>
      <c r="I690" s="1133"/>
      <c r="J690" s="1133"/>
      <c r="K690" s="1133"/>
      <c r="L690" s="1133"/>
      <c r="M690" s="1133"/>
      <c r="N690" s="1133"/>
      <c r="O690" s="1133"/>
      <c r="P690" s="1133"/>
      <c r="Q690" s="1133"/>
      <c r="R690" s="1133"/>
      <c r="S690" s="1133"/>
      <c r="T690" s="1133"/>
      <c r="U690" s="1133"/>
      <c r="V690" s="1135"/>
      <c r="W690" s="1135"/>
    </row>
    <row r="691">
      <c r="A691" s="1133"/>
      <c r="B691" s="1133"/>
      <c r="C691" s="1133"/>
      <c r="D691" s="1133"/>
      <c r="E691" s="1133"/>
      <c r="F691" s="1133"/>
      <c r="G691" s="1133"/>
      <c r="H691" s="1133"/>
      <c r="I691" s="1133"/>
      <c r="J691" s="1133"/>
      <c r="K691" s="1133"/>
      <c r="L691" s="1133"/>
      <c r="M691" s="1133"/>
      <c r="N691" s="1133"/>
      <c r="O691" s="1133"/>
      <c r="P691" s="1133"/>
      <c r="Q691" s="1133"/>
      <c r="R691" s="1133"/>
      <c r="S691" s="1133"/>
      <c r="T691" s="1133"/>
      <c r="U691" s="1133"/>
      <c r="V691" s="1135"/>
      <c r="W691" s="1135"/>
    </row>
    <row r="692">
      <c r="A692" s="1133"/>
      <c r="B692" s="1133"/>
      <c r="C692" s="1133"/>
      <c r="D692" s="1133"/>
      <c r="E692" s="1133"/>
      <c r="F692" s="1133"/>
      <c r="G692" s="1133"/>
      <c r="H692" s="1133"/>
      <c r="I692" s="1133"/>
      <c r="J692" s="1133"/>
      <c r="K692" s="1133"/>
      <c r="L692" s="1133"/>
      <c r="M692" s="1133"/>
      <c r="N692" s="1133"/>
      <c r="O692" s="1133"/>
      <c r="P692" s="1133"/>
      <c r="Q692" s="1133"/>
      <c r="R692" s="1133"/>
      <c r="S692" s="1133"/>
      <c r="T692" s="1133"/>
      <c r="U692" s="1133"/>
      <c r="V692" s="1135"/>
      <c r="W692" s="1135"/>
    </row>
    <row r="693">
      <c r="A693" s="1133"/>
      <c r="B693" s="1133"/>
      <c r="C693" s="1133"/>
      <c r="D693" s="1133"/>
      <c r="E693" s="1133"/>
      <c r="F693" s="1133"/>
      <c r="G693" s="1133"/>
      <c r="H693" s="1133"/>
      <c r="I693" s="1133"/>
      <c r="J693" s="1133"/>
      <c r="K693" s="1133"/>
      <c r="L693" s="1133"/>
      <c r="M693" s="1133"/>
      <c r="N693" s="1133"/>
      <c r="O693" s="1133"/>
      <c r="P693" s="1133"/>
      <c r="Q693" s="1133"/>
      <c r="R693" s="1133"/>
      <c r="S693" s="1133"/>
      <c r="T693" s="1133"/>
      <c r="U693" s="1133"/>
      <c r="V693" s="1135"/>
      <c r="W693" s="1135"/>
    </row>
    <row r="694">
      <c r="A694" s="1133"/>
      <c r="B694" s="1133"/>
      <c r="C694" s="1133"/>
      <c r="D694" s="1133"/>
      <c r="E694" s="1133"/>
      <c r="F694" s="1133"/>
      <c r="G694" s="1133"/>
      <c r="H694" s="1133"/>
      <c r="I694" s="1133"/>
      <c r="J694" s="1133"/>
      <c r="K694" s="1133"/>
      <c r="L694" s="1133"/>
      <c r="M694" s="1133"/>
      <c r="N694" s="1133"/>
      <c r="O694" s="1133"/>
      <c r="P694" s="1133"/>
      <c r="Q694" s="1133"/>
      <c r="R694" s="1133"/>
      <c r="S694" s="1133"/>
      <c r="T694" s="1133"/>
      <c r="U694" s="1133"/>
      <c r="V694" s="1135"/>
      <c r="W694" s="1135"/>
    </row>
    <row r="695">
      <c r="A695" s="1133"/>
      <c r="B695" s="1133"/>
      <c r="C695" s="1133"/>
      <c r="D695" s="1133"/>
      <c r="E695" s="1133"/>
      <c r="F695" s="1133"/>
      <c r="G695" s="1133"/>
      <c r="H695" s="1133"/>
      <c r="I695" s="1133"/>
      <c r="J695" s="1133"/>
      <c r="K695" s="1133"/>
      <c r="L695" s="1133"/>
      <c r="M695" s="1133"/>
      <c r="N695" s="1133"/>
      <c r="O695" s="1133"/>
      <c r="P695" s="1133"/>
      <c r="Q695" s="1133"/>
      <c r="R695" s="1133"/>
      <c r="S695" s="1133"/>
      <c r="T695" s="1133"/>
      <c r="U695" s="1133"/>
      <c r="V695" s="1135"/>
      <c r="W695" s="1135"/>
    </row>
    <row r="696">
      <c r="A696" s="1133"/>
      <c r="B696" s="1133"/>
      <c r="C696" s="1133"/>
      <c r="D696" s="1133"/>
      <c r="E696" s="1133"/>
      <c r="F696" s="1133"/>
      <c r="G696" s="1133"/>
      <c r="H696" s="1133"/>
      <c r="I696" s="1133"/>
      <c r="J696" s="1133"/>
      <c r="K696" s="1133"/>
      <c r="L696" s="1133"/>
      <c r="M696" s="1133"/>
      <c r="N696" s="1133"/>
      <c r="O696" s="1133"/>
      <c r="P696" s="1133"/>
      <c r="Q696" s="1133"/>
      <c r="R696" s="1133"/>
      <c r="S696" s="1133"/>
      <c r="T696" s="1133"/>
      <c r="U696" s="1133"/>
      <c r="V696" s="1135"/>
      <c r="W696" s="1135"/>
    </row>
    <row r="697">
      <c r="A697" s="1133"/>
      <c r="B697" s="1133"/>
      <c r="C697" s="1133"/>
      <c r="D697" s="1133"/>
      <c r="E697" s="1133"/>
      <c r="F697" s="1133"/>
      <c r="G697" s="1133"/>
      <c r="H697" s="1133"/>
      <c r="I697" s="1133"/>
      <c r="J697" s="1133"/>
      <c r="K697" s="1133"/>
      <c r="L697" s="1133"/>
      <c r="M697" s="1133"/>
      <c r="N697" s="1133"/>
      <c r="O697" s="1133"/>
      <c r="P697" s="1133"/>
      <c r="Q697" s="1133"/>
      <c r="R697" s="1133"/>
      <c r="S697" s="1133"/>
      <c r="T697" s="1133"/>
      <c r="U697" s="1133"/>
      <c r="V697" s="1135"/>
      <c r="W697" s="1135"/>
    </row>
    <row r="698">
      <c r="A698" s="1133"/>
      <c r="B698" s="1133"/>
      <c r="C698" s="1133"/>
      <c r="D698" s="1133"/>
      <c r="E698" s="1133"/>
      <c r="F698" s="1133"/>
      <c r="G698" s="1133"/>
      <c r="H698" s="1133"/>
      <c r="I698" s="1133"/>
      <c r="J698" s="1133"/>
      <c r="K698" s="1133"/>
      <c r="L698" s="1133"/>
      <c r="M698" s="1133"/>
      <c r="N698" s="1133"/>
      <c r="O698" s="1133"/>
      <c r="P698" s="1133"/>
      <c r="Q698" s="1133"/>
      <c r="R698" s="1133"/>
      <c r="S698" s="1133"/>
      <c r="T698" s="1133"/>
      <c r="U698" s="1133"/>
      <c r="V698" s="1135"/>
      <c r="W698" s="1135"/>
    </row>
    <row r="699">
      <c r="A699" s="1133"/>
      <c r="B699" s="1133"/>
      <c r="C699" s="1133"/>
      <c r="D699" s="1133"/>
      <c r="E699" s="1133"/>
      <c r="F699" s="1133"/>
      <c r="G699" s="1133"/>
      <c r="H699" s="1133"/>
      <c r="I699" s="1133"/>
      <c r="J699" s="1133"/>
      <c r="K699" s="1133"/>
      <c r="L699" s="1133"/>
      <c r="M699" s="1133"/>
      <c r="N699" s="1133"/>
      <c r="O699" s="1133"/>
      <c r="P699" s="1133"/>
      <c r="Q699" s="1133"/>
      <c r="R699" s="1133"/>
      <c r="S699" s="1133"/>
      <c r="T699" s="1133"/>
      <c r="U699" s="1133"/>
      <c r="V699" s="1135"/>
      <c r="W699" s="1135"/>
    </row>
    <row r="700">
      <c r="A700" s="1133"/>
      <c r="B700" s="1133"/>
      <c r="C700" s="1133"/>
      <c r="D700" s="1133"/>
      <c r="E700" s="1133"/>
      <c r="F700" s="1133"/>
      <c r="G700" s="1133"/>
      <c r="H700" s="1133"/>
      <c r="I700" s="1133"/>
      <c r="J700" s="1133"/>
      <c r="K700" s="1133"/>
      <c r="L700" s="1133"/>
      <c r="M700" s="1133"/>
      <c r="N700" s="1133"/>
      <c r="O700" s="1133"/>
      <c r="P700" s="1133"/>
      <c r="Q700" s="1133"/>
      <c r="R700" s="1133"/>
      <c r="S700" s="1133"/>
      <c r="T700" s="1133"/>
      <c r="U700" s="1133"/>
      <c r="V700" s="1135"/>
      <c r="W700" s="1135"/>
    </row>
    <row r="701">
      <c r="A701" s="1133"/>
      <c r="B701" s="1133"/>
      <c r="C701" s="1133"/>
      <c r="D701" s="1133"/>
      <c r="E701" s="1133"/>
      <c r="F701" s="1133"/>
      <c r="G701" s="1133"/>
      <c r="H701" s="1133"/>
      <c r="I701" s="1133"/>
      <c r="J701" s="1133"/>
      <c r="K701" s="1133"/>
      <c r="L701" s="1133"/>
      <c r="M701" s="1133"/>
      <c r="N701" s="1133"/>
      <c r="O701" s="1133"/>
      <c r="P701" s="1133"/>
      <c r="Q701" s="1133"/>
      <c r="R701" s="1133"/>
      <c r="S701" s="1133"/>
      <c r="T701" s="1133"/>
      <c r="U701" s="1133"/>
      <c r="V701" s="1135"/>
      <c r="W701" s="1135"/>
    </row>
    <row r="702">
      <c r="A702" s="1133"/>
      <c r="B702" s="1133"/>
      <c r="C702" s="1133"/>
      <c r="D702" s="1133"/>
      <c r="E702" s="1133"/>
      <c r="F702" s="1133"/>
      <c r="G702" s="1133"/>
      <c r="H702" s="1133"/>
      <c r="I702" s="1133"/>
      <c r="J702" s="1133"/>
      <c r="K702" s="1133"/>
      <c r="L702" s="1133"/>
      <c r="M702" s="1133"/>
      <c r="N702" s="1133"/>
      <c r="O702" s="1133"/>
      <c r="P702" s="1133"/>
      <c r="Q702" s="1133"/>
      <c r="R702" s="1133"/>
      <c r="S702" s="1133"/>
      <c r="T702" s="1133"/>
      <c r="U702" s="1133"/>
      <c r="V702" s="1135"/>
      <c r="W702" s="1135"/>
    </row>
    <row r="703">
      <c r="A703" s="1133"/>
      <c r="B703" s="1133"/>
      <c r="C703" s="1133"/>
      <c r="D703" s="1133"/>
      <c r="E703" s="1133"/>
      <c r="F703" s="1133"/>
      <c r="G703" s="1133"/>
      <c r="H703" s="1133"/>
      <c r="I703" s="1133"/>
      <c r="J703" s="1133"/>
      <c r="K703" s="1133"/>
      <c r="L703" s="1133"/>
      <c r="M703" s="1133"/>
      <c r="N703" s="1133"/>
      <c r="O703" s="1133"/>
      <c r="P703" s="1133"/>
      <c r="Q703" s="1133"/>
      <c r="R703" s="1133"/>
      <c r="S703" s="1133"/>
      <c r="T703" s="1133"/>
      <c r="U703" s="1133"/>
      <c r="V703" s="1135"/>
      <c r="W703" s="1135"/>
    </row>
    <row r="704">
      <c r="A704" s="1133"/>
      <c r="B704" s="1133"/>
      <c r="C704" s="1133"/>
      <c r="D704" s="1133"/>
      <c r="E704" s="1133"/>
      <c r="F704" s="1133"/>
      <c r="G704" s="1133"/>
      <c r="H704" s="1133"/>
      <c r="I704" s="1133"/>
      <c r="J704" s="1133"/>
      <c r="K704" s="1133"/>
      <c r="L704" s="1133"/>
      <c r="M704" s="1133"/>
      <c r="N704" s="1133"/>
      <c r="O704" s="1133"/>
      <c r="P704" s="1133"/>
      <c r="Q704" s="1133"/>
      <c r="R704" s="1133"/>
      <c r="S704" s="1133"/>
      <c r="T704" s="1133"/>
      <c r="U704" s="1133"/>
      <c r="V704" s="1135"/>
      <c r="W704" s="1135"/>
    </row>
    <row r="705">
      <c r="A705" s="1133"/>
      <c r="B705" s="1133"/>
      <c r="C705" s="1133"/>
      <c r="D705" s="1133"/>
      <c r="E705" s="1133"/>
      <c r="F705" s="1133"/>
      <c r="G705" s="1133"/>
      <c r="H705" s="1133"/>
      <c r="I705" s="1133"/>
      <c r="J705" s="1133"/>
      <c r="K705" s="1133"/>
      <c r="L705" s="1133"/>
      <c r="M705" s="1133"/>
      <c r="N705" s="1133"/>
      <c r="O705" s="1133"/>
      <c r="P705" s="1133"/>
      <c r="Q705" s="1133"/>
      <c r="R705" s="1133"/>
      <c r="S705" s="1133"/>
      <c r="T705" s="1133"/>
      <c r="U705" s="1133"/>
      <c r="V705" s="1135"/>
      <c r="W705" s="1135"/>
    </row>
    <row r="706">
      <c r="A706" s="1133"/>
      <c r="B706" s="1133"/>
      <c r="C706" s="1133"/>
      <c r="D706" s="1133"/>
      <c r="E706" s="1133"/>
      <c r="F706" s="1133"/>
      <c r="G706" s="1133"/>
      <c r="H706" s="1133"/>
      <c r="I706" s="1133"/>
      <c r="J706" s="1133"/>
      <c r="K706" s="1133"/>
      <c r="L706" s="1133"/>
      <c r="M706" s="1133"/>
      <c r="N706" s="1133"/>
      <c r="O706" s="1133"/>
      <c r="P706" s="1133"/>
      <c r="Q706" s="1133"/>
      <c r="R706" s="1133"/>
      <c r="S706" s="1133"/>
      <c r="T706" s="1133"/>
      <c r="U706" s="1133"/>
      <c r="V706" s="1135"/>
      <c r="W706" s="1135"/>
    </row>
    <row r="707">
      <c r="A707" s="1133"/>
      <c r="B707" s="1133"/>
      <c r="C707" s="1133"/>
      <c r="D707" s="1133"/>
      <c r="E707" s="1133"/>
      <c r="F707" s="1133"/>
      <c r="G707" s="1133"/>
      <c r="H707" s="1133"/>
      <c r="I707" s="1133"/>
      <c r="J707" s="1133"/>
      <c r="K707" s="1133"/>
      <c r="L707" s="1133"/>
      <c r="M707" s="1133"/>
      <c r="N707" s="1133"/>
      <c r="O707" s="1133"/>
      <c r="P707" s="1133"/>
      <c r="Q707" s="1133"/>
      <c r="R707" s="1133"/>
      <c r="S707" s="1133"/>
      <c r="T707" s="1133"/>
      <c r="U707" s="1133"/>
      <c r="V707" s="1135"/>
      <c r="W707" s="1135"/>
    </row>
    <row r="708">
      <c r="A708" s="1133"/>
      <c r="B708" s="1133"/>
      <c r="C708" s="1133"/>
      <c r="D708" s="1133"/>
      <c r="E708" s="1133"/>
      <c r="F708" s="1133"/>
      <c r="G708" s="1133"/>
      <c r="H708" s="1133"/>
      <c r="I708" s="1133"/>
      <c r="J708" s="1133"/>
      <c r="K708" s="1133"/>
      <c r="L708" s="1133"/>
      <c r="M708" s="1133"/>
      <c r="N708" s="1133"/>
      <c r="O708" s="1133"/>
      <c r="P708" s="1133"/>
      <c r="Q708" s="1133"/>
      <c r="R708" s="1133"/>
      <c r="S708" s="1133"/>
      <c r="T708" s="1133"/>
      <c r="U708" s="1133"/>
      <c r="V708" s="1135"/>
      <c r="W708" s="1135"/>
    </row>
    <row r="709">
      <c r="A709" s="1133"/>
      <c r="B709" s="1133"/>
      <c r="C709" s="1133"/>
      <c r="D709" s="1133"/>
      <c r="E709" s="1133"/>
      <c r="F709" s="1133"/>
      <c r="G709" s="1133"/>
      <c r="H709" s="1133"/>
      <c r="I709" s="1133"/>
      <c r="J709" s="1133"/>
      <c r="K709" s="1133"/>
      <c r="L709" s="1133"/>
      <c r="M709" s="1133"/>
      <c r="N709" s="1133"/>
      <c r="O709" s="1133"/>
      <c r="P709" s="1133"/>
      <c r="Q709" s="1133"/>
      <c r="R709" s="1133"/>
      <c r="S709" s="1133"/>
      <c r="T709" s="1133"/>
      <c r="U709" s="1133"/>
      <c r="V709" s="1135"/>
      <c r="W709" s="1135"/>
    </row>
    <row r="710">
      <c r="A710" s="1133"/>
      <c r="B710" s="1133"/>
      <c r="C710" s="1133"/>
      <c r="D710" s="1133"/>
      <c r="E710" s="1133"/>
      <c r="F710" s="1133"/>
      <c r="G710" s="1133"/>
      <c r="H710" s="1133"/>
      <c r="I710" s="1133"/>
      <c r="J710" s="1133"/>
      <c r="K710" s="1133"/>
      <c r="L710" s="1133"/>
      <c r="M710" s="1133"/>
      <c r="N710" s="1133"/>
      <c r="O710" s="1133"/>
      <c r="P710" s="1133"/>
      <c r="Q710" s="1133"/>
      <c r="R710" s="1133"/>
      <c r="S710" s="1133"/>
      <c r="T710" s="1133"/>
      <c r="U710" s="1133"/>
      <c r="V710" s="1135"/>
      <c r="W710" s="1135"/>
    </row>
    <row r="711">
      <c r="A711" s="1133"/>
      <c r="B711" s="1133"/>
      <c r="C711" s="1133"/>
      <c r="D711" s="1133"/>
      <c r="E711" s="1133"/>
      <c r="F711" s="1133"/>
      <c r="G711" s="1133"/>
      <c r="H711" s="1133"/>
      <c r="I711" s="1133"/>
      <c r="J711" s="1133"/>
      <c r="K711" s="1133"/>
      <c r="L711" s="1133"/>
      <c r="M711" s="1133"/>
      <c r="N711" s="1133"/>
      <c r="O711" s="1133"/>
      <c r="P711" s="1133"/>
      <c r="Q711" s="1133"/>
      <c r="R711" s="1133"/>
      <c r="S711" s="1133"/>
      <c r="T711" s="1133"/>
      <c r="U711" s="1133"/>
      <c r="V711" s="1135"/>
      <c r="W711" s="1135"/>
    </row>
    <row r="712">
      <c r="A712" s="1133"/>
      <c r="B712" s="1133"/>
      <c r="C712" s="1133"/>
      <c r="D712" s="1133"/>
      <c r="E712" s="1133"/>
      <c r="F712" s="1133"/>
      <c r="G712" s="1133"/>
      <c r="H712" s="1133"/>
      <c r="I712" s="1133"/>
      <c r="J712" s="1133"/>
      <c r="K712" s="1133"/>
      <c r="L712" s="1133"/>
      <c r="M712" s="1133"/>
      <c r="N712" s="1133"/>
      <c r="O712" s="1133"/>
      <c r="P712" s="1133"/>
      <c r="Q712" s="1133"/>
      <c r="R712" s="1133"/>
      <c r="S712" s="1133"/>
      <c r="T712" s="1133"/>
      <c r="U712" s="1133"/>
      <c r="V712" s="1135"/>
      <c r="W712" s="1135"/>
    </row>
    <row r="713">
      <c r="A713" s="1133"/>
      <c r="B713" s="1133"/>
      <c r="C713" s="1133"/>
      <c r="D713" s="1133"/>
      <c r="E713" s="1133"/>
      <c r="F713" s="1133"/>
      <c r="G713" s="1133"/>
      <c r="H713" s="1133"/>
      <c r="I713" s="1133"/>
      <c r="J713" s="1133"/>
      <c r="K713" s="1133"/>
      <c r="L713" s="1133"/>
      <c r="M713" s="1133"/>
      <c r="N713" s="1133"/>
      <c r="O713" s="1133"/>
      <c r="P713" s="1133"/>
      <c r="Q713" s="1133"/>
      <c r="R713" s="1133"/>
      <c r="S713" s="1133"/>
      <c r="T713" s="1133"/>
      <c r="U713" s="1133"/>
      <c r="V713" s="1135"/>
      <c r="W713" s="1135"/>
    </row>
    <row r="714">
      <c r="A714" s="1133"/>
      <c r="B714" s="1133"/>
      <c r="C714" s="1133"/>
      <c r="D714" s="1133"/>
      <c r="E714" s="1133"/>
      <c r="F714" s="1133"/>
      <c r="G714" s="1133"/>
      <c r="H714" s="1133"/>
      <c r="I714" s="1133"/>
      <c r="J714" s="1133"/>
      <c r="K714" s="1133"/>
      <c r="L714" s="1133"/>
      <c r="M714" s="1133"/>
      <c r="N714" s="1133"/>
      <c r="O714" s="1133"/>
      <c r="P714" s="1133"/>
      <c r="Q714" s="1133"/>
      <c r="R714" s="1133"/>
      <c r="S714" s="1133"/>
      <c r="T714" s="1133"/>
      <c r="U714" s="1133"/>
      <c r="V714" s="1135"/>
      <c r="W714" s="1135"/>
    </row>
    <row r="715">
      <c r="A715" s="1133"/>
      <c r="B715" s="1133"/>
      <c r="C715" s="1133"/>
      <c r="D715" s="1133"/>
      <c r="E715" s="1133"/>
      <c r="F715" s="1133"/>
      <c r="G715" s="1133"/>
      <c r="H715" s="1133"/>
      <c r="I715" s="1133"/>
      <c r="J715" s="1133"/>
      <c r="K715" s="1133"/>
      <c r="L715" s="1133"/>
      <c r="M715" s="1133"/>
      <c r="N715" s="1133"/>
      <c r="O715" s="1133"/>
      <c r="P715" s="1133"/>
      <c r="Q715" s="1133"/>
      <c r="R715" s="1133"/>
      <c r="S715" s="1133"/>
      <c r="T715" s="1133"/>
      <c r="U715" s="1133"/>
      <c r="V715" s="1135"/>
      <c r="W715" s="1135"/>
    </row>
    <row r="716">
      <c r="A716" s="1133"/>
      <c r="B716" s="1133"/>
      <c r="C716" s="1133"/>
      <c r="D716" s="1133"/>
      <c r="E716" s="1133"/>
      <c r="F716" s="1133"/>
      <c r="G716" s="1133"/>
      <c r="H716" s="1133"/>
      <c r="I716" s="1133"/>
      <c r="J716" s="1133"/>
      <c r="K716" s="1133"/>
      <c r="L716" s="1133"/>
      <c r="M716" s="1133"/>
      <c r="N716" s="1133"/>
      <c r="O716" s="1133"/>
      <c r="P716" s="1133"/>
      <c r="Q716" s="1133"/>
      <c r="R716" s="1133"/>
      <c r="S716" s="1133"/>
      <c r="T716" s="1133"/>
      <c r="U716" s="1133"/>
      <c r="V716" s="1135"/>
      <c r="W716" s="1135"/>
    </row>
    <row r="717">
      <c r="A717" s="1133"/>
      <c r="B717" s="1133"/>
      <c r="C717" s="1133"/>
      <c r="D717" s="1133"/>
      <c r="E717" s="1133"/>
      <c r="F717" s="1133"/>
      <c r="G717" s="1133"/>
      <c r="H717" s="1133"/>
      <c r="I717" s="1133"/>
      <c r="J717" s="1133"/>
      <c r="K717" s="1133"/>
      <c r="L717" s="1133"/>
      <c r="M717" s="1133"/>
      <c r="N717" s="1133"/>
      <c r="O717" s="1133"/>
      <c r="P717" s="1133"/>
      <c r="Q717" s="1133"/>
      <c r="R717" s="1133"/>
      <c r="S717" s="1133"/>
      <c r="T717" s="1133"/>
      <c r="U717" s="1133"/>
      <c r="V717" s="1135"/>
      <c r="W717" s="1135"/>
    </row>
    <row r="718">
      <c r="A718" s="1133"/>
      <c r="B718" s="1133"/>
      <c r="C718" s="1133"/>
      <c r="D718" s="1133"/>
      <c r="E718" s="1133"/>
      <c r="F718" s="1133"/>
      <c r="G718" s="1133"/>
      <c r="H718" s="1133"/>
      <c r="I718" s="1133"/>
      <c r="J718" s="1133"/>
      <c r="K718" s="1133"/>
      <c r="L718" s="1133"/>
      <c r="M718" s="1133"/>
      <c r="N718" s="1133"/>
      <c r="O718" s="1133"/>
      <c r="P718" s="1133"/>
      <c r="Q718" s="1133"/>
      <c r="R718" s="1133"/>
      <c r="S718" s="1133"/>
      <c r="T718" s="1133"/>
      <c r="U718" s="1133"/>
      <c r="V718" s="1135"/>
      <c r="W718" s="1135"/>
    </row>
    <row r="719">
      <c r="A719" s="1133"/>
      <c r="B719" s="1133"/>
      <c r="C719" s="1133"/>
      <c r="D719" s="1133"/>
      <c r="E719" s="1133"/>
      <c r="F719" s="1133"/>
      <c r="G719" s="1133"/>
      <c r="H719" s="1133"/>
      <c r="I719" s="1133"/>
      <c r="J719" s="1133"/>
      <c r="K719" s="1133"/>
      <c r="L719" s="1133"/>
      <c r="M719" s="1133"/>
      <c r="N719" s="1133"/>
      <c r="O719" s="1133"/>
      <c r="P719" s="1133"/>
      <c r="Q719" s="1133"/>
      <c r="R719" s="1133"/>
      <c r="S719" s="1133"/>
      <c r="T719" s="1133"/>
      <c r="U719" s="1133"/>
      <c r="V719" s="1135"/>
      <c r="W719" s="1135"/>
    </row>
    <row r="720">
      <c r="A720" s="1133"/>
      <c r="B720" s="1133"/>
      <c r="C720" s="1133"/>
      <c r="D720" s="1133"/>
      <c r="E720" s="1133"/>
      <c r="F720" s="1133"/>
      <c r="G720" s="1133"/>
      <c r="H720" s="1133"/>
      <c r="I720" s="1133"/>
      <c r="J720" s="1133"/>
      <c r="K720" s="1133"/>
      <c r="L720" s="1133"/>
      <c r="M720" s="1133"/>
      <c r="N720" s="1133"/>
      <c r="O720" s="1133"/>
      <c r="P720" s="1133"/>
      <c r="Q720" s="1133"/>
      <c r="R720" s="1133"/>
      <c r="S720" s="1133"/>
      <c r="T720" s="1133"/>
      <c r="U720" s="1133"/>
      <c r="V720" s="1135"/>
      <c r="W720" s="1135"/>
    </row>
    <row r="721">
      <c r="A721" s="1133"/>
      <c r="B721" s="1133"/>
      <c r="C721" s="1133"/>
      <c r="D721" s="1133"/>
      <c r="E721" s="1133"/>
      <c r="F721" s="1133"/>
      <c r="G721" s="1133"/>
      <c r="H721" s="1133"/>
      <c r="I721" s="1133"/>
      <c r="J721" s="1133"/>
      <c r="K721" s="1133"/>
      <c r="L721" s="1133"/>
      <c r="M721" s="1133"/>
      <c r="N721" s="1133"/>
      <c r="O721" s="1133"/>
      <c r="P721" s="1133"/>
      <c r="Q721" s="1133"/>
      <c r="R721" s="1133"/>
      <c r="S721" s="1133"/>
      <c r="T721" s="1133"/>
      <c r="U721" s="1133"/>
      <c r="V721" s="1135"/>
      <c r="W721" s="1135"/>
    </row>
    <row r="722">
      <c r="A722" s="1133"/>
      <c r="B722" s="1133"/>
      <c r="C722" s="1133"/>
      <c r="D722" s="1133"/>
      <c r="E722" s="1133"/>
      <c r="F722" s="1133"/>
      <c r="G722" s="1133"/>
      <c r="H722" s="1133"/>
      <c r="I722" s="1133"/>
      <c r="J722" s="1133"/>
      <c r="K722" s="1133"/>
      <c r="L722" s="1133"/>
      <c r="M722" s="1133"/>
      <c r="N722" s="1133"/>
      <c r="O722" s="1133"/>
      <c r="P722" s="1133"/>
      <c r="Q722" s="1133"/>
      <c r="R722" s="1133"/>
      <c r="S722" s="1133"/>
      <c r="T722" s="1133"/>
      <c r="U722" s="1133"/>
      <c r="V722" s="1135"/>
      <c r="W722" s="1135"/>
    </row>
    <row r="723">
      <c r="A723" s="1133"/>
      <c r="B723" s="1133"/>
      <c r="C723" s="1133"/>
      <c r="D723" s="1133"/>
      <c r="E723" s="1133"/>
      <c r="F723" s="1133"/>
      <c r="G723" s="1133"/>
      <c r="H723" s="1133"/>
      <c r="I723" s="1133"/>
      <c r="J723" s="1133"/>
      <c r="K723" s="1133"/>
      <c r="L723" s="1133"/>
      <c r="M723" s="1133"/>
      <c r="N723" s="1133"/>
      <c r="O723" s="1133"/>
      <c r="P723" s="1133"/>
      <c r="Q723" s="1133"/>
      <c r="R723" s="1133"/>
      <c r="S723" s="1133"/>
      <c r="T723" s="1133"/>
      <c r="U723" s="1133"/>
      <c r="V723" s="1135"/>
      <c r="W723" s="1135"/>
    </row>
    <row r="724">
      <c r="A724" s="1133"/>
      <c r="B724" s="1133"/>
      <c r="C724" s="1133"/>
      <c r="D724" s="1133"/>
      <c r="E724" s="1133"/>
      <c r="F724" s="1133"/>
      <c r="G724" s="1133"/>
      <c r="H724" s="1133"/>
      <c r="I724" s="1133"/>
      <c r="J724" s="1133"/>
      <c r="K724" s="1133"/>
      <c r="L724" s="1133"/>
      <c r="M724" s="1133"/>
      <c r="N724" s="1133"/>
      <c r="O724" s="1133"/>
      <c r="P724" s="1133"/>
      <c r="Q724" s="1133"/>
      <c r="R724" s="1133"/>
      <c r="S724" s="1133"/>
      <c r="T724" s="1133"/>
      <c r="U724" s="1133"/>
      <c r="V724" s="1135"/>
      <c r="W724" s="1135"/>
    </row>
    <row r="725">
      <c r="A725" s="1133"/>
      <c r="B725" s="1133"/>
      <c r="C725" s="1133"/>
      <c r="D725" s="1133"/>
      <c r="E725" s="1133"/>
      <c r="F725" s="1133"/>
      <c r="G725" s="1133"/>
      <c r="H725" s="1133"/>
      <c r="I725" s="1133"/>
      <c r="J725" s="1133"/>
      <c r="K725" s="1133"/>
      <c r="L725" s="1133"/>
      <c r="M725" s="1133"/>
      <c r="N725" s="1133"/>
      <c r="O725" s="1133"/>
      <c r="P725" s="1133"/>
      <c r="Q725" s="1133"/>
      <c r="R725" s="1133"/>
      <c r="S725" s="1133"/>
      <c r="T725" s="1133"/>
      <c r="U725" s="1133"/>
      <c r="V725" s="1135"/>
      <c r="W725" s="1135"/>
    </row>
    <row r="726">
      <c r="A726" s="1133"/>
      <c r="B726" s="1133"/>
      <c r="C726" s="1133"/>
      <c r="D726" s="1133"/>
      <c r="E726" s="1133"/>
      <c r="F726" s="1133"/>
      <c r="G726" s="1133"/>
      <c r="H726" s="1133"/>
      <c r="I726" s="1133"/>
      <c r="J726" s="1133"/>
      <c r="K726" s="1133"/>
      <c r="L726" s="1133"/>
      <c r="M726" s="1133"/>
      <c r="N726" s="1133"/>
      <c r="O726" s="1133"/>
      <c r="P726" s="1133"/>
      <c r="Q726" s="1133"/>
      <c r="R726" s="1133"/>
      <c r="S726" s="1133"/>
      <c r="T726" s="1133"/>
      <c r="U726" s="1133"/>
      <c r="V726" s="1135"/>
      <c r="W726" s="1135"/>
    </row>
    <row r="727">
      <c r="A727" s="1133"/>
      <c r="B727" s="1133"/>
      <c r="C727" s="1133"/>
      <c r="D727" s="1133"/>
      <c r="E727" s="1133"/>
      <c r="F727" s="1133"/>
      <c r="G727" s="1133"/>
      <c r="H727" s="1133"/>
      <c r="I727" s="1133"/>
      <c r="J727" s="1133"/>
      <c r="K727" s="1133"/>
      <c r="L727" s="1133"/>
      <c r="M727" s="1133"/>
      <c r="N727" s="1133"/>
      <c r="O727" s="1133"/>
      <c r="P727" s="1133"/>
      <c r="Q727" s="1133"/>
      <c r="R727" s="1133"/>
      <c r="S727" s="1133"/>
      <c r="T727" s="1133"/>
      <c r="U727" s="1133"/>
      <c r="V727" s="1135"/>
      <c r="W727" s="1135"/>
    </row>
    <row r="728">
      <c r="A728" s="1133"/>
      <c r="B728" s="1133"/>
      <c r="C728" s="1133"/>
      <c r="D728" s="1133"/>
      <c r="E728" s="1133"/>
      <c r="F728" s="1133"/>
      <c r="G728" s="1133"/>
      <c r="H728" s="1133"/>
      <c r="I728" s="1133"/>
      <c r="J728" s="1133"/>
      <c r="K728" s="1133"/>
      <c r="L728" s="1133"/>
      <c r="M728" s="1133"/>
      <c r="N728" s="1133"/>
      <c r="O728" s="1133"/>
      <c r="P728" s="1133"/>
      <c r="Q728" s="1133"/>
      <c r="R728" s="1133"/>
      <c r="S728" s="1133"/>
      <c r="T728" s="1133"/>
      <c r="U728" s="1133"/>
      <c r="V728" s="1135"/>
      <c r="W728" s="1135"/>
    </row>
    <row r="729">
      <c r="A729" s="1133"/>
      <c r="B729" s="1133"/>
      <c r="C729" s="1133"/>
      <c r="D729" s="1133"/>
      <c r="E729" s="1133"/>
      <c r="F729" s="1133"/>
      <c r="G729" s="1133"/>
      <c r="H729" s="1133"/>
      <c r="I729" s="1133"/>
      <c r="J729" s="1133"/>
      <c r="K729" s="1133"/>
      <c r="L729" s="1133"/>
      <c r="M729" s="1133"/>
      <c r="N729" s="1133"/>
      <c r="O729" s="1133"/>
      <c r="P729" s="1133"/>
      <c r="Q729" s="1133"/>
      <c r="R729" s="1133"/>
      <c r="S729" s="1133"/>
      <c r="T729" s="1133"/>
      <c r="U729" s="1133"/>
      <c r="V729" s="1135"/>
      <c r="W729" s="1135"/>
    </row>
    <row r="730">
      <c r="A730" s="1133"/>
      <c r="B730" s="1133"/>
      <c r="C730" s="1133"/>
      <c r="D730" s="1133"/>
      <c r="E730" s="1133"/>
      <c r="F730" s="1133"/>
      <c r="G730" s="1133"/>
      <c r="H730" s="1133"/>
      <c r="I730" s="1133"/>
      <c r="J730" s="1133"/>
      <c r="K730" s="1133"/>
      <c r="L730" s="1133"/>
      <c r="M730" s="1133"/>
      <c r="N730" s="1133"/>
      <c r="O730" s="1133"/>
      <c r="P730" s="1133"/>
      <c r="Q730" s="1133"/>
      <c r="R730" s="1133"/>
      <c r="S730" s="1133"/>
      <c r="T730" s="1133"/>
      <c r="U730" s="1133"/>
      <c r="V730" s="1135"/>
      <c r="W730" s="1135"/>
    </row>
    <row r="731">
      <c r="A731" s="1133"/>
      <c r="B731" s="1133"/>
      <c r="C731" s="1133"/>
      <c r="D731" s="1133"/>
      <c r="E731" s="1133"/>
      <c r="F731" s="1133"/>
      <c r="G731" s="1133"/>
      <c r="H731" s="1133"/>
      <c r="I731" s="1133"/>
      <c r="J731" s="1133"/>
      <c r="K731" s="1133"/>
      <c r="L731" s="1133"/>
      <c r="M731" s="1133"/>
      <c r="N731" s="1133"/>
      <c r="O731" s="1133"/>
      <c r="P731" s="1133"/>
      <c r="Q731" s="1133"/>
      <c r="R731" s="1133"/>
      <c r="S731" s="1133"/>
      <c r="T731" s="1133"/>
      <c r="U731" s="1133"/>
      <c r="V731" s="1135"/>
      <c r="W731" s="1135"/>
    </row>
    <row r="732">
      <c r="A732" s="1133"/>
      <c r="B732" s="1133"/>
      <c r="C732" s="1133"/>
      <c r="D732" s="1133"/>
      <c r="E732" s="1133"/>
      <c r="F732" s="1133"/>
      <c r="G732" s="1133"/>
      <c r="H732" s="1133"/>
      <c r="I732" s="1133"/>
      <c r="J732" s="1133"/>
      <c r="K732" s="1133"/>
      <c r="L732" s="1133"/>
      <c r="M732" s="1133"/>
      <c r="N732" s="1133"/>
      <c r="O732" s="1133"/>
      <c r="P732" s="1133"/>
      <c r="Q732" s="1133"/>
      <c r="R732" s="1133"/>
      <c r="S732" s="1133"/>
      <c r="T732" s="1133"/>
      <c r="U732" s="1133"/>
      <c r="V732" s="1135"/>
      <c r="W732" s="1135"/>
    </row>
    <row r="733">
      <c r="A733" s="1133"/>
      <c r="B733" s="1133"/>
      <c r="C733" s="1133"/>
      <c r="D733" s="1133"/>
      <c r="E733" s="1133"/>
      <c r="F733" s="1133"/>
      <c r="G733" s="1133"/>
      <c r="H733" s="1133"/>
      <c r="I733" s="1133"/>
      <c r="J733" s="1133"/>
      <c r="K733" s="1133"/>
      <c r="L733" s="1133"/>
      <c r="M733" s="1133"/>
      <c r="N733" s="1133"/>
      <c r="O733" s="1133"/>
      <c r="P733" s="1133"/>
      <c r="Q733" s="1133"/>
      <c r="R733" s="1133"/>
      <c r="S733" s="1133"/>
      <c r="T733" s="1133"/>
      <c r="U733" s="1133"/>
      <c r="V733" s="1135"/>
      <c r="W733" s="1135"/>
    </row>
    <row r="734">
      <c r="A734" s="1133"/>
      <c r="B734" s="1133"/>
      <c r="C734" s="1133"/>
      <c r="D734" s="1133"/>
      <c r="E734" s="1133"/>
      <c r="F734" s="1133"/>
      <c r="G734" s="1133"/>
      <c r="H734" s="1133"/>
      <c r="I734" s="1133"/>
      <c r="J734" s="1133"/>
      <c r="K734" s="1133"/>
      <c r="L734" s="1133"/>
      <c r="M734" s="1133"/>
      <c r="N734" s="1133"/>
      <c r="O734" s="1133"/>
      <c r="P734" s="1133"/>
      <c r="Q734" s="1133"/>
      <c r="R734" s="1133"/>
      <c r="S734" s="1133"/>
      <c r="T734" s="1133"/>
      <c r="U734" s="1133"/>
      <c r="V734" s="1135"/>
      <c r="W734" s="1135"/>
    </row>
    <row r="735">
      <c r="A735" s="1133"/>
      <c r="B735" s="1133"/>
      <c r="C735" s="1133"/>
      <c r="D735" s="1133"/>
      <c r="E735" s="1133"/>
      <c r="F735" s="1133"/>
      <c r="G735" s="1133"/>
      <c r="H735" s="1133"/>
      <c r="I735" s="1133"/>
      <c r="J735" s="1133"/>
      <c r="K735" s="1133"/>
      <c r="L735" s="1133"/>
      <c r="M735" s="1133"/>
      <c r="N735" s="1133"/>
      <c r="O735" s="1133"/>
      <c r="P735" s="1133"/>
      <c r="Q735" s="1133"/>
      <c r="R735" s="1133"/>
      <c r="S735" s="1133"/>
      <c r="T735" s="1133"/>
      <c r="U735" s="1133"/>
      <c r="V735" s="1135"/>
      <c r="W735" s="1135"/>
    </row>
    <row r="736">
      <c r="A736" s="1133"/>
      <c r="B736" s="1133"/>
      <c r="C736" s="1133"/>
      <c r="D736" s="1133"/>
      <c r="E736" s="1133"/>
      <c r="F736" s="1133"/>
      <c r="G736" s="1133"/>
      <c r="H736" s="1133"/>
      <c r="I736" s="1133"/>
      <c r="J736" s="1133"/>
      <c r="K736" s="1133"/>
      <c r="L736" s="1133"/>
      <c r="M736" s="1133"/>
      <c r="N736" s="1133"/>
      <c r="O736" s="1133"/>
      <c r="P736" s="1133"/>
      <c r="Q736" s="1133"/>
      <c r="R736" s="1133"/>
      <c r="S736" s="1133"/>
      <c r="T736" s="1133"/>
      <c r="U736" s="1133"/>
      <c r="V736" s="1135"/>
      <c r="W736" s="1135"/>
    </row>
    <row r="737">
      <c r="A737" s="1133"/>
      <c r="B737" s="1133"/>
      <c r="C737" s="1133"/>
      <c r="D737" s="1133"/>
      <c r="E737" s="1133"/>
      <c r="F737" s="1133"/>
      <c r="G737" s="1133"/>
      <c r="H737" s="1133"/>
      <c r="I737" s="1133"/>
      <c r="J737" s="1133"/>
      <c r="K737" s="1133"/>
      <c r="L737" s="1133"/>
      <c r="M737" s="1133"/>
      <c r="N737" s="1133"/>
      <c r="O737" s="1133"/>
      <c r="P737" s="1133"/>
      <c r="Q737" s="1133"/>
      <c r="R737" s="1133"/>
      <c r="S737" s="1133"/>
      <c r="T737" s="1133"/>
      <c r="U737" s="1133"/>
      <c r="V737" s="1135"/>
      <c r="W737" s="1135"/>
    </row>
    <row r="738">
      <c r="A738" s="1133"/>
      <c r="B738" s="1133"/>
      <c r="C738" s="1133"/>
      <c r="D738" s="1133"/>
      <c r="E738" s="1133"/>
      <c r="F738" s="1133"/>
      <c r="G738" s="1133"/>
      <c r="H738" s="1133"/>
      <c r="I738" s="1133"/>
      <c r="J738" s="1133"/>
      <c r="K738" s="1133"/>
      <c r="L738" s="1133"/>
      <c r="M738" s="1133"/>
      <c r="N738" s="1133"/>
      <c r="O738" s="1133"/>
      <c r="P738" s="1133"/>
      <c r="Q738" s="1133"/>
      <c r="R738" s="1133"/>
      <c r="S738" s="1133"/>
      <c r="T738" s="1133"/>
      <c r="U738" s="1133"/>
      <c r="V738" s="1135"/>
      <c r="W738" s="1135"/>
    </row>
    <row r="739">
      <c r="A739" s="1133"/>
      <c r="B739" s="1133"/>
      <c r="C739" s="1133"/>
      <c r="D739" s="1133"/>
      <c r="E739" s="1133"/>
      <c r="F739" s="1133"/>
      <c r="G739" s="1133"/>
      <c r="H739" s="1133"/>
      <c r="I739" s="1133"/>
      <c r="J739" s="1133"/>
      <c r="K739" s="1133"/>
      <c r="L739" s="1133"/>
      <c r="M739" s="1133"/>
      <c r="N739" s="1133"/>
      <c r="O739" s="1133"/>
      <c r="P739" s="1133"/>
      <c r="Q739" s="1133"/>
      <c r="R739" s="1133"/>
      <c r="S739" s="1133"/>
      <c r="T739" s="1133"/>
      <c r="U739" s="1133"/>
      <c r="V739" s="1135"/>
      <c r="W739" s="1135"/>
    </row>
    <row r="740">
      <c r="A740" s="1133"/>
      <c r="B740" s="1133"/>
      <c r="C740" s="1133"/>
      <c r="D740" s="1133"/>
      <c r="E740" s="1133"/>
      <c r="F740" s="1133"/>
      <c r="G740" s="1133"/>
      <c r="H740" s="1133"/>
      <c r="I740" s="1133"/>
      <c r="J740" s="1133"/>
      <c r="K740" s="1133"/>
      <c r="L740" s="1133"/>
      <c r="M740" s="1133"/>
      <c r="N740" s="1133"/>
      <c r="O740" s="1133"/>
      <c r="P740" s="1133"/>
      <c r="Q740" s="1133"/>
      <c r="R740" s="1133"/>
      <c r="S740" s="1133"/>
      <c r="T740" s="1133"/>
      <c r="U740" s="1133"/>
      <c r="V740" s="1135"/>
      <c r="W740" s="1135"/>
    </row>
    <row r="741">
      <c r="A741" s="1133"/>
      <c r="B741" s="1133"/>
      <c r="C741" s="1133"/>
      <c r="D741" s="1133"/>
      <c r="E741" s="1133"/>
      <c r="F741" s="1133"/>
      <c r="G741" s="1133"/>
      <c r="H741" s="1133"/>
      <c r="I741" s="1133"/>
      <c r="J741" s="1133"/>
      <c r="K741" s="1133"/>
      <c r="L741" s="1133"/>
      <c r="M741" s="1133"/>
      <c r="N741" s="1133"/>
      <c r="O741" s="1133"/>
      <c r="P741" s="1133"/>
      <c r="Q741" s="1133"/>
      <c r="R741" s="1133"/>
      <c r="S741" s="1133"/>
      <c r="T741" s="1133"/>
      <c r="U741" s="1133"/>
      <c r="V741" s="1135"/>
      <c r="W741" s="1135"/>
    </row>
    <row r="742">
      <c r="A742" s="1133"/>
      <c r="B742" s="1133"/>
      <c r="C742" s="1133"/>
      <c r="D742" s="1133"/>
      <c r="E742" s="1133"/>
      <c r="F742" s="1133"/>
      <c r="G742" s="1133"/>
      <c r="H742" s="1133"/>
      <c r="I742" s="1133"/>
      <c r="J742" s="1133"/>
      <c r="K742" s="1133"/>
      <c r="L742" s="1133"/>
      <c r="M742" s="1133"/>
      <c r="N742" s="1133"/>
      <c r="O742" s="1133"/>
      <c r="P742" s="1133"/>
      <c r="Q742" s="1133"/>
      <c r="R742" s="1133"/>
      <c r="S742" s="1133"/>
      <c r="T742" s="1133"/>
      <c r="U742" s="1133"/>
      <c r="V742" s="1135"/>
      <c r="W742" s="1135"/>
    </row>
    <row r="743">
      <c r="A743" s="1133"/>
      <c r="B743" s="1133"/>
      <c r="C743" s="1133"/>
      <c r="D743" s="1133"/>
      <c r="E743" s="1133"/>
      <c r="F743" s="1133"/>
      <c r="G743" s="1133"/>
      <c r="H743" s="1133"/>
      <c r="I743" s="1133"/>
      <c r="J743" s="1133"/>
      <c r="K743" s="1133"/>
      <c r="L743" s="1133"/>
      <c r="M743" s="1133"/>
      <c r="N743" s="1133"/>
      <c r="O743" s="1133"/>
      <c r="P743" s="1133"/>
      <c r="Q743" s="1133"/>
      <c r="R743" s="1133"/>
      <c r="S743" s="1133"/>
      <c r="T743" s="1133"/>
      <c r="U743" s="1133"/>
      <c r="V743" s="1135"/>
      <c r="W743" s="1135"/>
    </row>
    <row r="744">
      <c r="A744" s="1133"/>
      <c r="B744" s="1133"/>
      <c r="C744" s="1133"/>
      <c r="D744" s="1133"/>
      <c r="E744" s="1133"/>
      <c r="F744" s="1133"/>
      <c r="G744" s="1133"/>
      <c r="H744" s="1133"/>
      <c r="I744" s="1133"/>
      <c r="J744" s="1133"/>
      <c r="K744" s="1133"/>
      <c r="L744" s="1133"/>
      <c r="M744" s="1133"/>
      <c r="N744" s="1133"/>
      <c r="O744" s="1133"/>
      <c r="P744" s="1133"/>
      <c r="Q744" s="1133"/>
      <c r="R744" s="1133"/>
      <c r="S744" s="1133"/>
      <c r="T744" s="1133"/>
      <c r="U744" s="1133"/>
      <c r="V744" s="1135"/>
      <c r="W744" s="1135"/>
    </row>
    <row r="745">
      <c r="A745" s="1133"/>
      <c r="B745" s="1133"/>
      <c r="C745" s="1133"/>
      <c r="D745" s="1133"/>
      <c r="E745" s="1133"/>
      <c r="F745" s="1133"/>
      <c r="G745" s="1133"/>
      <c r="H745" s="1133"/>
      <c r="I745" s="1133"/>
      <c r="J745" s="1133"/>
      <c r="K745" s="1133"/>
      <c r="L745" s="1133"/>
      <c r="M745" s="1133"/>
      <c r="N745" s="1133"/>
      <c r="O745" s="1133"/>
      <c r="P745" s="1133"/>
      <c r="Q745" s="1133"/>
      <c r="R745" s="1133"/>
      <c r="S745" s="1133"/>
      <c r="T745" s="1133"/>
      <c r="U745" s="1133"/>
      <c r="V745" s="1135"/>
      <c r="W745" s="1135"/>
    </row>
    <row r="746">
      <c r="A746" s="1133"/>
      <c r="B746" s="1133"/>
      <c r="C746" s="1133"/>
      <c r="D746" s="1133"/>
      <c r="E746" s="1133"/>
      <c r="F746" s="1133"/>
      <c r="G746" s="1133"/>
      <c r="H746" s="1133"/>
      <c r="I746" s="1133"/>
      <c r="J746" s="1133"/>
      <c r="K746" s="1133"/>
      <c r="L746" s="1133"/>
      <c r="M746" s="1133"/>
      <c r="N746" s="1133"/>
      <c r="O746" s="1133"/>
      <c r="P746" s="1133"/>
      <c r="Q746" s="1133"/>
      <c r="R746" s="1133"/>
      <c r="S746" s="1133"/>
      <c r="T746" s="1133"/>
      <c r="U746" s="1133"/>
      <c r="V746" s="1135"/>
      <c r="W746" s="1135"/>
    </row>
    <row r="747">
      <c r="A747" s="1133"/>
      <c r="B747" s="1133"/>
      <c r="C747" s="1133"/>
      <c r="D747" s="1133"/>
      <c r="E747" s="1133"/>
      <c r="F747" s="1133"/>
      <c r="G747" s="1133"/>
      <c r="H747" s="1133"/>
      <c r="I747" s="1133"/>
      <c r="J747" s="1133"/>
      <c r="K747" s="1133"/>
      <c r="L747" s="1133"/>
      <c r="M747" s="1133"/>
      <c r="N747" s="1133"/>
      <c r="O747" s="1133"/>
      <c r="P747" s="1133"/>
      <c r="Q747" s="1133"/>
      <c r="R747" s="1133"/>
      <c r="S747" s="1133"/>
      <c r="T747" s="1133"/>
      <c r="U747" s="1133"/>
      <c r="V747" s="1135"/>
      <c r="W747" s="1135"/>
    </row>
    <row r="748">
      <c r="A748" s="1133"/>
      <c r="B748" s="1133"/>
      <c r="C748" s="1133"/>
      <c r="D748" s="1133"/>
      <c r="E748" s="1133"/>
      <c r="F748" s="1133"/>
      <c r="G748" s="1133"/>
      <c r="H748" s="1133"/>
      <c r="I748" s="1133"/>
      <c r="J748" s="1133"/>
      <c r="K748" s="1133"/>
      <c r="L748" s="1133"/>
      <c r="M748" s="1133"/>
      <c r="N748" s="1133"/>
      <c r="O748" s="1133"/>
      <c r="P748" s="1133"/>
      <c r="Q748" s="1133"/>
      <c r="R748" s="1133"/>
      <c r="S748" s="1133"/>
      <c r="T748" s="1133"/>
      <c r="U748" s="1133"/>
      <c r="V748" s="1135"/>
      <c r="W748" s="1135"/>
    </row>
    <row r="749">
      <c r="A749" s="1133"/>
      <c r="B749" s="1133"/>
      <c r="C749" s="1133"/>
      <c r="D749" s="1133"/>
      <c r="E749" s="1133"/>
      <c r="F749" s="1133"/>
      <c r="G749" s="1133"/>
      <c r="H749" s="1133"/>
      <c r="I749" s="1133"/>
      <c r="J749" s="1133"/>
      <c r="K749" s="1133"/>
      <c r="L749" s="1133"/>
      <c r="M749" s="1133"/>
      <c r="N749" s="1133"/>
      <c r="O749" s="1133"/>
      <c r="P749" s="1133"/>
      <c r="Q749" s="1133"/>
      <c r="R749" s="1133"/>
      <c r="S749" s="1133"/>
      <c r="T749" s="1133"/>
      <c r="U749" s="1133"/>
      <c r="V749" s="1135"/>
      <c r="W749" s="1135"/>
    </row>
    <row r="750">
      <c r="A750" s="1133"/>
      <c r="B750" s="1133"/>
      <c r="C750" s="1133"/>
      <c r="D750" s="1133"/>
      <c r="E750" s="1133"/>
      <c r="F750" s="1133"/>
      <c r="G750" s="1133"/>
      <c r="H750" s="1133"/>
      <c r="I750" s="1133"/>
      <c r="J750" s="1133"/>
      <c r="K750" s="1133"/>
      <c r="L750" s="1133"/>
      <c r="M750" s="1133"/>
      <c r="N750" s="1133"/>
      <c r="O750" s="1133"/>
      <c r="P750" s="1133"/>
      <c r="Q750" s="1133"/>
      <c r="R750" s="1133"/>
      <c r="S750" s="1133"/>
      <c r="T750" s="1133"/>
      <c r="U750" s="1133"/>
      <c r="V750" s="1135"/>
      <c r="W750" s="1135"/>
    </row>
    <row r="751">
      <c r="A751" s="1133"/>
      <c r="B751" s="1133"/>
      <c r="C751" s="1133"/>
      <c r="D751" s="1133"/>
      <c r="E751" s="1133"/>
      <c r="F751" s="1133"/>
      <c r="G751" s="1133"/>
      <c r="H751" s="1133"/>
      <c r="I751" s="1133"/>
      <c r="J751" s="1133"/>
      <c r="K751" s="1133"/>
      <c r="L751" s="1133"/>
      <c r="M751" s="1133"/>
      <c r="N751" s="1133"/>
      <c r="O751" s="1133"/>
      <c r="P751" s="1133"/>
      <c r="Q751" s="1133"/>
      <c r="R751" s="1133"/>
      <c r="S751" s="1133"/>
      <c r="T751" s="1133"/>
      <c r="U751" s="1133"/>
      <c r="V751" s="1135"/>
      <c r="W751" s="1135"/>
    </row>
    <row r="752">
      <c r="A752" s="1133"/>
      <c r="B752" s="1133"/>
      <c r="C752" s="1133"/>
      <c r="D752" s="1133"/>
      <c r="E752" s="1133"/>
      <c r="F752" s="1133"/>
      <c r="G752" s="1133"/>
      <c r="H752" s="1133"/>
      <c r="I752" s="1133"/>
      <c r="J752" s="1133"/>
      <c r="K752" s="1133"/>
      <c r="L752" s="1133"/>
      <c r="M752" s="1133"/>
      <c r="N752" s="1133"/>
      <c r="O752" s="1133"/>
      <c r="P752" s="1133"/>
      <c r="Q752" s="1133"/>
      <c r="R752" s="1133"/>
      <c r="S752" s="1133"/>
      <c r="T752" s="1133"/>
      <c r="U752" s="1133"/>
      <c r="V752" s="1135"/>
      <c r="W752" s="1135"/>
    </row>
    <row r="753">
      <c r="A753" s="1133"/>
      <c r="B753" s="1133"/>
      <c r="C753" s="1133"/>
      <c r="D753" s="1133"/>
      <c r="E753" s="1133"/>
      <c r="F753" s="1133"/>
      <c r="G753" s="1133"/>
      <c r="H753" s="1133"/>
      <c r="I753" s="1133"/>
      <c r="J753" s="1133"/>
      <c r="K753" s="1133"/>
      <c r="L753" s="1133"/>
      <c r="M753" s="1133"/>
      <c r="N753" s="1133"/>
      <c r="O753" s="1133"/>
      <c r="P753" s="1133"/>
      <c r="Q753" s="1133"/>
      <c r="R753" s="1133"/>
      <c r="S753" s="1133"/>
      <c r="T753" s="1133"/>
      <c r="U753" s="1133"/>
      <c r="V753" s="1135"/>
      <c r="W753" s="1135"/>
    </row>
    <row r="754">
      <c r="A754" s="1133"/>
      <c r="B754" s="1133"/>
      <c r="C754" s="1133"/>
      <c r="D754" s="1133"/>
      <c r="E754" s="1133"/>
      <c r="F754" s="1133"/>
      <c r="G754" s="1133"/>
      <c r="H754" s="1133"/>
      <c r="I754" s="1133"/>
      <c r="J754" s="1133"/>
      <c r="K754" s="1133"/>
      <c r="L754" s="1133"/>
      <c r="M754" s="1133"/>
      <c r="N754" s="1133"/>
      <c r="O754" s="1133"/>
      <c r="P754" s="1133"/>
      <c r="Q754" s="1133"/>
      <c r="R754" s="1133"/>
      <c r="S754" s="1133"/>
      <c r="T754" s="1133"/>
      <c r="U754" s="1133"/>
      <c r="V754" s="1135"/>
      <c r="W754" s="1135"/>
    </row>
    <row r="755">
      <c r="A755" s="1133"/>
      <c r="B755" s="1133"/>
      <c r="C755" s="1133"/>
      <c r="D755" s="1133"/>
      <c r="E755" s="1133"/>
      <c r="F755" s="1133"/>
      <c r="G755" s="1133"/>
      <c r="H755" s="1133"/>
      <c r="I755" s="1133"/>
      <c r="J755" s="1133"/>
      <c r="K755" s="1133"/>
      <c r="L755" s="1133"/>
      <c r="M755" s="1133"/>
      <c r="N755" s="1133"/>
      <c r="O755" s="1133"/>
      <c r="P755" s="1133"/>
      <c r="Q755" s="1133"/>
      <c r="R755" s="1133"/>
      <c r="S755" s="1133"/>
      <c r="T755" s="1133"/>
      <c r="U755" s="1133"/>
      <c r="V755" s="1135"/>
      <c r="W755" s="1135"/>
    </row>
    <row r="756">
      <c r="A756" s="1133"/>
      <c r="B756" s="1133"/>
      <c r="C756" s="1133"/>
      <c r="D756" s="1133"/>
      <c r="E756" s="1133"/>
      <c r="F756" s="1133"/>
      <c r="G756" s="1133"/>
      <c r="H756" s="1133"/>
      <c r="I756" s="1133"/>
      <c r="J756" s="1133"/>
      <c r="K756" s="1133"/>
      <c r="L756" s="1133"/>
      <c r="M756" s="1133"/>
      <c r="N756" s="1133"/>
      <c r="O756" s="1133"/>
      <c r="P756" s="1133"/>
      <c r="Q756" s="1133"/>
      <c r="R756" s="1133"/>
      <c r="S756" s="1133"/>
      <c r="T756" s="1133"/>
      <c r="U756" s="1133"/>
      <c r="V756" s="1135"/>
      <c r="W756" s="1135"/>
    </row>
    <row r="757">
      <c r="A757" s="1133"/>
      <c r="B757" s="1133"/>
      <c r="C757" s="1133"/>
      <c r="D757" s="1133"/>
      <c r="E757" s="1133"/>
      <c r="F757" s="1133"/>
      <c r="G757" s="1133"/>
      <c r="H757" s="1133"/>
      <c r="I757" s="1133"/>
      <c r="J757" s="1133"/>
      <c r="K757" s="1133"/>
      <c r="L757" s="1133"/>
      <c r="M757" s="1133"/>
      <c r="N757" s="1133"/>
      <c r="O757" s="1133"/>
      <c r="P757" s="1133"/>
      <c r="Q757" s="1133"/>
      <c r="R757" s="1133"/>
      <c r="S757" s="1133"/>
      <c r="T757" s="1133"/>
      <c r="U757" s="1133"/>
      <c r="V757" s="1135"/>
      <c r="W757" s="1135"/>
    </row>
    <row r="758">
      <c r="A758" s="1133"/>
      <c r="B758" s="1133"/>
      <c r="C758" s="1133"/>
      <c r="D758" s="1133"/>
      <c r="E758" s="1133"/>
      <c r="F758" s="1133"/>
      <c r="G758" s="1133"/>
      <c r="H758" s="1133"/>
      <c r="I758" s="1133"/>
      <c r="J758" s="1133"/>
      <c r="K758" s="1133"/>
      <c r="L758" s="1133"/>
      <c r="M758" s="1133"/>
      <c r="N758" s="1133"/>
      <c r="O758" s="1133"/>
      <c r="P758" s="1133"/>
      <c r="Q758" s="1133"/>
      <c r="R758" s="1133"/>
      <c r="S758" s="1133"/>
      <c r="T758" s="1133"/>
      <c r="U758" s="1133"/>
      <c r="V758" s="1135"/>
      <c r="W758" s="1135"/>
    </row>
    <row r="759">
      <c r="A759" s="1133"/>
      <c r="B759" s="1133"/>
      <c r="C759" s="1133"/>
      <c r="D759" s="1133"/>
      <c r="E759" s="1133"/>
      <c r="F759" s="1133"/>
      <c r="G759" s="1133"/>
      <c r="H759" s="1133"/>
      <c r="I759" s="1133"/>
      <c r="J759" s="1133"/>
      <c r="K759" s="1133"/>
      <c r="L759" s="1133"/>
      <c r="M759" s="1133"/>
      <c r="N759" s="1133"/>
      <c r="O759" s="1133"/>
      <c r="P759" s="1133"/>
      <c r="Q759" s="1133"/>
      <c r="R759" s="1133"/>
      <c r="S759" s="1133"/>
      <c r="T759" s="1133"/>
      <c r="U759" s="1133"/>
      <c r="V759" s="1135"/>
      <c r="W759" s="1135"/>
    </row>
    <row r="760">
      <c r="A760" s="1133"/>
      <c r="B760" s="1133"/>
      <c r="C760" s="1133"/>
      <c r="D760" s="1133"/>
      <c r="E760" s="1133"/>
      <c r="F760" s="1133"/>
      <c r="G760" s="1133"/>
      <c r="H760" s="1133"/>
      <c r="I760" s="1133"/>
      <c r="J760" s="1133"/>
      <c r="K760" s="1133"/>
      <c r="L760" s="1133"/>
      <c r="M760" s="1133"/>
      <c r="N760" s="1133"/>
      <c r="O760" s="1133"/>
      <c r="P760" s="1133"/>
      <c r="Q760" s="1133"/>
      <c r="R760" s="1133"/>
      <c r="S760" s="1133"/>
      <c r="T760" s="1133"/>
      <c r="U760" s="1133"/>
      <c r="V760" s="1135"/>
      <c r="W760" s="1135"/>
    </row>
    <row r="761">
      <c r="A761" s="1133"/>
      <c r="B761" s="1133"/>
      <c r="C761" s="1133"/>
      <c r="D761" s="1133"/>
      <c r="E761" s="1133"/>
      <c r="F761" s="1133"/>
      <c r="G761" s="1133"/>
      <c r="H761" s="1133"/>
      <c r="I761" s="1133"/>
      <c r="J761" s="1133"/>
      <c r="K761" s="1133"/>
      <c r="L761" s="1133"/>
      <c r="M761" s="1133"/>
      <c r="N761" s="1133"/>
      <c r="O761" s="1133"/>
      <c r="P761" s="1133"/>
      <c r="Q761" s="1133"/>
      <c r="R761" s="1133"/>
      <c r="S761" s="1133"/>
      <c r="T761" s="1133"/>
      <c r="U761" s="1133"/>
      <c r="V761" s="1135"/>
      <c r="W761" s="1135"/>
    </row>
    <row r="762">
      <c r="A762" s="1133"/>
      <c r="B762" s="1133"/>
      <c r="C762" s="1133"/>
      <c r="D762" s="1133"/>
      <c r="E762" s="1133"/>
      <c r="F762" s="1133"/>
      <c r="G762" s="1133"/>
      <c r="H762" s="1133"/>
      <c r="I762" s="1133"/>
      <c r="J762" s="1133"/>
      <c r="K762" s="1133"/>
      <c r="L762" s="1133"/>
      <c r="M762" s="1133"/>
      <c r="N762" s="1133"/>
      <c r="O762" s="1133"/>
      <c r="P762" s="1133"/>
      <c r="Q762" s="1133"/>
      <c r="R762" s="1133"/>
      <c r="S762" s="1133"/>
      <c r="T762" s="1133"/>
      <c r="U762" s="1133"/>
      <c r="V762" s="1135"/>
      <c r="W762" s="1135"/>
    </row>
    <row r="763">
      <c r="A763" s="1133"/>
      <c r="B763" s="1133"/>
      <c r="C763" s="1133"/>
      <c r="D763" s="1133"/>
      <c r="E763" s="1133"/>
      <c r="F763" s="1133"/>
      <c r="G763" s="1133"/>
      <c r="H763" s="1133"/>
      <c r="I763" s="1133"/>
      <c r="J763" s="1133"/>
      <c r="K763" s="1133"/>
      <c r="L763" s="1133"/>
      <c r="M763" s="1133"/>
      <c r="N763" s="1133"/>
      <c r="O763" s="1133"/>
      <c r="P763" s="1133"/>
      <c r="Q763" s="1133"/>
      <c r="R763" s="1133"/>
      <c r="S763" s="1133"/>
      <c r="T763" s="1133"/>
      <c r="U763" s="1133"/>
      <c r="V763" s="1135"/>
      <c r="W763" s="1135"/>
    </row>
    <row r="764">
      <c r="A764" s="1133"/>
      <c r="B764" s="1133"/>
      <c r="C764" s="1133"/>
      <c r="D764" s="1133"/>
      <c r="E764" s="1133"/>
      <c r="F764" s="1133"/>
      <c r="G764" s="1133"/>
      <c r="H764" s="1133"/>
      <c r="I764" s="1133"/>
      <c r="J764" s="1133"/>
      <c r="K764" s="1133"/>
      <c r="L764" s="1133"/>
      <c r="M764" s="1133"/>
      <c r="N764" s="1133"/>
      <c r="O764" s="1133"/>
      <c r="P764" s="1133"/>
      <c r="Q764" s="1133"/>
      <c r="R764" s="1133"/>
      <c r="S764" s="1133"/>
      <c r="T764" s="1133"/>
      <c r="U764" s="1133"/>
      <c r="V764" s="1135"/>
      <c r="W764" s="1135"/>
    </row>
    <row r="765">
      <c r="A765" s="1133"/>
      <c r="B765" s="1133"/>
      <c r="C765" s="1133"/>
      <c r="D765" s="1133"/>
      <c r="E765" s="1133"/>
      <c r="F765" s="1133"/>
      <c r="G765" s="1133"/>
      <c r="H765" s="1133"/>
      <c r="I765" s="1133"/>
      <c r="J765" s="1133"/>
      <c r="K765" s="1133"/>
      <c r="L765" s="1133"/>
      <c r="M765" s="1133"/>
      <c r="N765" s="1133"/>
      <c r="O765" s="1133"/>
      <c r="P765" s="1133"/>
      <c r="Q765" s="1133"/>
      <c r="R765" s="1133"/>
      <c r="S765" s="1133"/>
      <c r="T765" s="1133"/>
      <c r="U765" s="1133"/>
      <c r="V765" s="1135"/>
      <c r="W765" s="1135"/>
    </row>
    <row r="766">
      <c r="A766" s="1133"/>
      <c r="B766" s="1133"/>
      <c r="C766" s="1133"/>
      <c r="D766" s="1133"/>
      <c r="E766" s="1133"/>
      <c r="F766" s="1133"/>
      <c r="G766" s="1133"/>
      <c r="H766" s="1133"/>
      <c r="I766" s="1133"/>
      <c r="J766" s="1133"/>
      <c r="K766" s="1133"/>
      <c r="L766" s="1133"/>
      <c r="M766" s="1133"/>
      <c r="N766" s="1133"/>
      <c r="O766" s="1133"/>
      <c r="P766" s="1133"/>
      <c r="Q766" s="1133"/>
      <c r="R766" s="1133"/>
      <c r="S766" s="1133"/>
      <c r="T766" s="1133"/>
      <c r="U766" s="1133"/>
      <c r="V766" s="1135"/>
      <c r="W766" s="1135"/>
    </row>
    <row r="767">
      <c r="A767" s="1133"/>
      <c r="B767" s="1133"/>
      <c r="C767" s="1133"/>
      <c r="D767" s="1133"/>
      <c r="E767" s="1133"/>
      <c r="F767" s="1133"/>
      <c r="G767" s="1133"/>
      <c r="H767" s="1133"/>
      <c r="I767" s="1133"/>
      <c r="J767" s="1133"/>
      <c r="K767" s="1133"/>
      <c r="L767" s="1133"/>
      <c r="M767" s="1133"/>
      <c r="N767" s="1133"/>
      <c r="O767" s="1133"/>
      <c r="P767" s="1133"/>
      <c r="Q767" s="1133"/>
      <c r="R767" s="1133"/>
      <c r="S767" s="1133"/>
      <c r="T767" s="1133"/>
      <c r="U767" s="1133"/>
      <c r="V767" s="1135"/>
      <c r="W767" s="1135"/>
    </row>
    <row r="768">
      <c r="A768" s="1133"/>
      <c r="B768" s="1133"/>
      <c r="C768" s="1133"/>
      <c r="D768" s="1133"/>
      <c r="E768" s="1133"/>
      <c r="F768" s="1133"/>
      <c r="G768" s="1133"/>
      <c r="H768" s="1133"/>
      <c r="I768" s="1133"/>
      <c r="J768" s="1133"/>
      <c r="K768" s="1133"/>
      <c r="L768" s="1133"/>
      <c r="M768" s="1133"/>
      <c r="N768" s="1133"/>
      <c r="O768" s="1133"/>
      <c r="P768" s="1133"/>
      <c r="Q768" s="1133"/>
      <c r="R768" s="1133"/>
      <c r="S768" s="1133"/>
      <c r="T768" s="1133"/>
      <c r="U768" s="1133"/>
      <c r="V768" s="1135"/>
      <c r="W768" s="1135"/>
    </row>
    <row r="769">
      <c r="A769" s="1133"/>
      <c r="B769" s="1133"/>
      <c r="C769" s="1133"/>
      <c r="D769" s="1133"/>
      <c r="E769" s="1133"/>
      <c r="F769" s="1133"/>
      <c r="G769" s="1133"/>
      <c r="H769" s="1133"/>
      <c r="I769" s="1133"/>
      <c r="J769" s="1133"/>
      <c r="K769" s="1133"/>
      <c r="L769" s="1133"/>
      <c r="M769" s="1133"/>
      <c r="N769" s="1133"/>
      <c r="O769" s="1133"/>
      <c r="P769" s="1133"/>
      <c r="Q769" s="1133"/>
      <c r="R769" s="1133"/>
      <c r="S769" s="1133"/>
      <c r="T769" s="1133"/>
      <c r="U769" s="1133"/>
      <c r="V769" s="1135"/>
      <c r="W769" s="1135"/>
    </row>
    <row r="770">
      <c r="A770" s="1133"/>
      <c r="B770" s="1133"/>
      <c r="C770" s="1133"/>
      <c r="D770" s="1133"/>
      <c r="E770" s="1133"/>
      <c r="F770" s="1133"/>
      <c r="G770" s="1133"/>
      <c r="H770" s="1133"/>
      <c r="I770" s="1133"/>
      <c r="J770" s="1133"/>
      <c r="K770" s="1133"/>
      <c r="L770" s="1133"/>
      <c r="M770" s="1133"/>
      <c r="N770" s="1133"/>
      <c r="O770" s="1133"/>
      <c r="P770" s="1133"/>
      <c r="Q770" s="1133"/>
      <c r="R770" s="1133"/>
      <c r="S770" s="1133"/>
      <c r="T770" s="1133"/>
      <c r="U770" s="1133"/>
      <c r="V770" s="1135"/>
      <c r="W770" s="1135"/>
    </row>
    <row r="771">
      <c r="A771" s="1133"/>
      <c r="B771" s="1133"/>
      <c r="C771" s="1133"/>
      <c r="D771" s="1133"/>
      <c r="E771" s="1133"/>
      <c r="F771" s="1133"/>
      <c r="G771" s="1133"/>
      <c r="H771" s="1133"/>
      <c r="I771" s="1133"/>
      <c r="J771" s="1133"/>
      <c r="K771" s="1133"/>
      <c r="L771" s="1133"/>
      <c r="M771" s="1133"/>
      <c r="N771" s="1133"/>
      <c r="O771" s="1133"/>
      <c r="P771" s="1133"/>
      <c r="Q771" s="1133"/>
      <c r="R771" s="1133"/>
      <c r="S771" s="1133"/>
      <c r="T771" s="1133"/>
      <c r="U771" s="1133"/>
      <c r="V771" s="1135"/>
      <c r="W771" s="1135"/>
    </row>
    <row r="772">
      <c r="A772" s="1133"/>
      <c r="B772" s="1133"/>
      <c r="C772" s="1133"/>
      <c r="D772" s="1133"/>
      <c r="E772" s="1133"/>
      <c r="F772" s="1133"/>
      <c r="G772" s="1133"/>
      <c r="H772" s="1133"/>
      <c r="I772" s="1133"/>
      <c r="J772" s="1133"/>
      <c r="K772" s="1133"/>
      <c r="L772" s="1133"/>
      <c r="M772" s="1133"/>
      <c r="N772" s="1133"/>
      <c r="O772" s="1133"/>
      <c r="P772" s="1133"/>
      <c r="Q772" s="1133"/>
      <c r="R772" s="1133"/>
      <c r="S772" s="1133"/>
      <c r="T772" s="1133"/>
      <c r="U772" s="1133"/>
      <c r="V772" s="1135"/>
      <c r="W772" s="1135"/>
    </row>
    <row r="773">
      <c r="A773" s="1133"/>
      <c r="B773" s="1133"/>
      <c r="C773" s="1133"/>
      <c r="D773" s="1133"/>
      <c r="E773" s="1133"/>
      <c r="F773" s="1133"/>
      <c r="G773" s="1133"/>
      <c r="H773" s="1133"/>
      <c r="I773" s="1133"/>
      <c r="J773" s="1133"/>
      <c r="K773" s="1133"/>
      <c r="L773" s="1133"/>
      <c r="M773" s="1133"/>
      <c r="N773" s="1133"/>
      <c r="O773" s="1133"/>
      <c r="P773" s="1133"/>
      <c r="Q773" s="1133"/>
      <c r="R773" s="1133"/>
      <c r="S773" s="1133"/>
      <c r="T773" s="1133"/>
      <c r="U773" s="1133"/>
      <c r="V773" s="1135"/>
      <c r="W773" s="1135"/>
    </row>
    <row r="774">
      <c r="A774" s="1133"/>
      <c r="B774" s="1133"/>
      <c r="C774" s="1133"/>
      <c r="D774" s="1133"/>
      <c r="E774" s="1133"/>
      <c r="F774" s="1133"/>
      <c r="G774" s="1133"/>
      <c r="H774" s="1133"/>
      <c r="I774" s="1133"/>
      <c r="J774" s="1133"/>
      <c r="K774" s="1133"/>
      <c r="L774" s="1133"/>
      <c r="M774" s="1133"/>
      <c r="N774" s="1133"/>
      <c r="O774" s="1133"/>
      <c r="P774" s="1133"/>
      <c r="Q774" s="1133"/>
      <c r="R774" s="1133"/>
      <c r="S774" s="1133"/>
      <c r="T774" s="1133"/>
      <c r="U774" s="1133"/>
      <c r="V774" s="1135"/>
      <c r="W774" s="1135"/>
    </row>
    <row r="775">
      <c r="A775" s="1133"/>
      <c r="B775" s="1133"/>
      <c r="C775" s="1133"/>
      <c r="D775" s="1133"/>
      <c r="E775" s="1133"/>
      <c r="F775" s="1133"/>
      <c r="G775" s="1133"/>
      <c r="H775" s="1133"/>
      <c r="I775" s="1133"/>
      <c r="J775" s="1133"/>
      <c r="K775" s="1133"/>
      <c r="L775" s="1133"/>
      <c r="M775" s="1133"/>
      <c r="N775" s="1133"/>
      <c r="O775" s="1133"/>
      <c r="P775" s="1133"/>
      <c r="Q775" s="1133"/>
      <c r="R775" s="1133"/>
      <c r="S775" s="1133"/>
      <c r="T775" s="1133"/>
      <c r="U775" s="1133"/>
      <c r="V775" s="1135"/>
      <c r="W775" s="1135"/>
    </row>
    <row r="776">
      <c r="A776" s="1133"/>
      <c r="B776" s="1133"/>
      <c r="C776" s="1133"/>
      <c r="D776" s="1133"/>
      <c r="E776" s="1133"/>
      <c r="F776" s="1133"/>
      <c r="G776" s="1133"/>
      <c r="H776" s="1133"/>
      <c r="I776" s="1133"/>
      <c r="J776" s="1133"/>
      <c r="K776" s="1133"/>
      <c r="L776" s="1133"/>
      <c r="M776" s="1133"/>
      <c r="N776" s="1133"/>
      <c r="O776" s="1133"/>
      <c r="P776" s="1133"/>
      <c r="Q776" s="1133"/>
      <c r="R776" s="1133"/>
      <c r="S776" s="1133"/>
      <c r="T776" s="1133"/>
      <c r="U776" s="1133"/>
      <c r="V776" s="1135"/>
      <c r="W776" s="1135"/>
    </row>
    <row r="777">
      <c r="A777" s="1133"/>
      <c r="B777" s="1133"/>
      <c r="C777" s="1133"/>
      <c r="D777" s="1133"/>
      <c r="E777" s="1133"/>
      <c r="F777" s="1133"/>
      <c r="G777" s="1133"/>
      <c r="H777" s="1133"/>
      <c r="I777" s="1133"/>
      <c r="J777" s="1133"/>
      <c r="K777" s="1133"/>
      <c r="L777" s="1133"/>
      <c r="M777" s="1133"/>
      <c r="N777" s="1133"/>
      <c r="O777" s="1133"/>
      <c r="P777" s="1133"/>
      <c r="Q777" s="1133"/>
      <c r="R777" s="1133"/>
      <c r="S777" s="1133"/>
      <c r="T777" s="1133"/>
      <c r="U777" s="1133"/>
      <c r="V777" s="1135"/>
      <c r="W777" s="1135"/>
    </row>
    <row r="778">
      <c r="A778" s="1133"/>
      <c r="B778" s="1133"/>
      <c r="C778" s="1133"/>
      <c r="D778" s="1133"/>
      <c r="E778" s="1133"/>
      <c r="F778" s="1133"/>
      <c r="G778" s="1133"/>
      <c r="H778" s="1133"/>
      <c r="I778" s="1133"/>
      <c r="J778" s="1133"/>
      <c r="K778" s="1133"/>
      <c r="L778" s="1133"/>
      <c r="M778" s="1133"/>
      <c r="N778" s="1133"/>
      <c r="O778" s="1133"/>
      <c r="P778" s="1133"/>
      <c r="Q778" s="1133"/>
      <c r="R778" s="1133"/>
      <c r="S778" s="1133"/>
      <c r="T778" s="1133"/>
      <c r="U778" s="1133"/>
      <c r="V778" s="1135"/>
      <c r="W778" s="1135"/>
    </row>
    <row r="779">
      <c r="A779" s="1133"/>
      <c r="B779" s="1133"/>
      <c r="C779" s="1133"/>
      <c r="D779" s="1133"/>
      <c r="E779" s="1133"/>
      <c r="F779" s="1133"/>
      <c r="G779" s="1133"/>
      <c r="H779" s="1133"/>
      <c r="I779" s="1133"/>
      <c r="J779" s="1133"/>
      <c r="K779" s="1133"/>
      <c r="L779" s="1133"/>
      <c r="M779" s="1133"/>
      <c r="N779" s="1133"/>
      <c r="O779" s="1133"/>
      <c r="P779" s="1133"/>
      <c r="Q779" s="1133"/>
      <c r="R779" s="1133"/>
      <c r="S779" s="1133"/>
      <c r="T779" s="1133"/>
      <c r="U779" s="1133"/>
      <c r="V779" s="1135"/>
      <c r="W779" s="1135"/>
    </row>
    <row r="780">
      <c r="A780" s="1133"/>
      <c r="B780" s="1133"/>
      <c r="C780" s="1133"/>
      <c r="D780" s="1133"/>
      <c r="E780" s="1133"/>
      <c r="F780" s="1133"/>
      <c r="G780" s="1133"/>
      <c r="H780" s="1133"/>
      <c r="I780" s="1133"/>
      <c r="J780" s="1133"/>
      <c r="K780" s="1133"/>
      <c r="L780" s="1133"/>
      <c r="M780" s="1133"/>
      <c r="N780" s="1133"/>
      <c r="O780" s="1133"/>
      <c r="P780" s="1133"/>
      <c r="Q780" s="1133"/>
      <c r="R780" s="1133"/>
      <c r="S780" s="1133"/>
      <c r="T780" s="1133"/>
      <c r="U780" s="1133"/>
      <c r="V780" s="1135"/>
      <c r="W780" s="1135"/>
    </row>
    <row r="781">
      <c r="A781" s="1133"/>
      <c r="B781" s="1133"/>
      <c r="C781" s="1133"/>
      <c r="D781" s="1133"/>
      <c r="E781" s="1133"/>
      <c r="F781" s="1133"/>
      <c r="G781" s="1133"/>
      <c r="H781" s="1133"/>
      <c r="I781" s="1133"/>
      <c r="J781" s="1133"/>
      <c r="K781" s="1133"/>
      <c r="L781" s="1133"/>
      <c r="M781" s="1133"/>
      <c r="N781" s="1133"/>
      <c r="O781" s="1133"/>
      <c r="P781" s="1133"/>
      <c r="Q781" s="1133"/>
      <c r="R781" s="1133"/>
      <c r="S781" s="1133"/>
      <c r="T781" s="1133"/>
      <c r="U781" s="1133"/>
      <c r="V781" s="1135"/>
      <c r="W781" s="1135"/>
    </row>
    <row r="782">
      <c r="A782" s="1133"/>
      <c r="B782" s="1133"/>
      <c r="C782" s="1133"/>
      <c r="D782" s="1133"/>
      <c r="E782" s="1133"/>
      <c r="F782" s="1133"/>
      <c r="G782" s="1133"/>
      <c r="H782" s="1133"/>
      <c r="I782" s="1133"/>
      <c r="J782" s="1133"/>
      <c r="K782" s="1133"/>
      <c r="L782" s="1133"/>
      <c r="M782" s="1133"/>
      <c r="N782" s="1133"/>
      <c r="O782" s="1133"/>
      <c r="P782" s="1133"/>
      <c r="Q782" s="1133"/>
      <c r="R782" s="1133"/>
      <c r="S782" s="1133"/>
      <c r="T782" s="1133"/>
      <c r="U782" s="1133"/>
      <c r="V782" s="1135"/>
      <c r="W782" s="1135"/>
    </row>
    <row r="783">
      <c r="A783" s="1133"/>
      <c r="B783" s="1133"/>
      <c r="C783" s="1133"/>
      <c r="D783" s="1133"/>
      <c r="E783" s="1133"/>
      <c r="F783" s="1133"/>
      <c r="G783" s="1133"/>
      <c r="H783" s="1133"/>
      <c r="I783" s="1133"/>
      <c r="J783" s="1133"/>
      <c r="K783" s="1133"/>
      <c r="L783" s="1133"/>
      <c r="M783" s="1133"/>
      <c r="N783" s="1133"/>
      <c r="O783" s="1133"/>
      <c r="P783" s="1133"/>
      <c r="Q783" s="1133"/>
      <c r="R783" s="1133"/>
      <c r="S783" s="1133"/>
      <c r="T783" s="1133"/>
      <c r="U783" s="1133"/>
      <c r="V783" s="1135"/>
      <c r="W783" s="1135"/>
    </row>
    <row r="784">
      <c r="A784" s="1133"/>
      <c r="B784" s="1133"/>
      <c r="C784" s="1133"/>
      <c r="D784" s="1133"/>
      <c r="E784" s="1133"/>
      <c r="F784" s="1133"/>
      <c r="G784" s="1133"/>
      <c r="H784" s="1133"/>
      <c r="I784" s="1133"/>
      <c r="J784" s="1133"/>
      <c r="K784" s="1133"/>
      <c r="L784" s="1133"/>
      <c r="M784" s="1133"/>
      <c r="N784" s="1133"/>
      <c r="O784" s="1133"/>
      <c r="P784" s="1133"/>
      <c r="Q784" s="1133"/>
      <c r="R784" s="1133"/>
      <c r="S784" s="1133"/>
      <c r="T784" s="1133"/>
      <c r="U784" s="1133"/>
      <c r="V784" s="1135"/>
      <c r="W784" s="1135"/>
    </row>
    <row r="785">
      <c r="A785" s="1133"/>
      <c r="B785" s="1133"/>
      <c r="C785" s="1133"/>
      <c r="D785" s="1133"/>
      <c r="E785" s="1133"/>
      <c r="F785" s="1133"/>
      <c r="G785" s="1133"/>
      <c r="H785" s="1133"/>
      <c r="I785" s="1133"/>
      <c r="J785" s="1133"/>
      <c r="K785" s="1133"/>
      <c r="L785" s="1133"/>
      <c r="M785" s="1133"/>
      <c r="N785" s="1133"/>
      <c r="O785" s="1133"/>
      <c r="P785" s="1133"/>
      <c r="Q785" s="1133"/>
      <c r="R785" s="1133"/>
      <c r="S785" s="1133"/>
      <c r="T785" s="1133"/>
      <c r="U785" s="1133"/>
      <c r="V785" s="1135"/>
      <c r="W785" s="1135"/>
    </row>
    <row r="786">
      <c r="A786" s="1133"/>
      <c r="B786" s="1133"/>
      <c r="C786" s="1133"/>
      <c r="D786" s="1133"/>
      <c r="E786" s="1133"/>
      <c r="F786" s="1133"/>
      <c r="G786" s="1133"/>
      <c r="H786" s="1133"/>
      <c r="I786" s="1133"/>
      <c r="J786" s="1133"/>
      <c r="K786" s="1133"/>
      <c r="L786" s="1133"/>
      <c r="M786" s="1133"/>
      <c r="N786" s="1133"/>
      <c r="O786" s="1133"/>
      <c r="P786" s="1133"/>
      <c r="Q786" s="1133"/>
      <c r="R786" s="1133"/>
      <c r="S786" s="1133"/>
      <c r="T786" s="1133"/>
      <c r="U786" s="1133"/>
      <c r="V786" s="1135"/>
      <c r="W786" s="1135"/>
    </row>
    <row r="787">
      <c r="A787" s="1133"/>
      <c r="B787" s="1133"/>
      <c r="C787" s="1133"/>
      <c r="D787" s="1133"/>
      <c r="E787" s="1133"/>
      <c r="F787" s="1133"/>
      <c r="G787" s="1133"/>
      <c r="H787" s="1133"/>
      <c r="I787" s="1133"/>
      <c r="J787" s="1133"/>
      <c r="K787" s="1133"/>
      <c r="L787" s="1133"/>
      <c r="M787" s="1133"/>
      <c r="N787" s="1133"/>
      <c r="O787" s="1133"/>
      <c r="P787" s="1133"/>
      <c r="Q787" s="1133"/>
      <c r="R787" s="1133"/>
      <c r="S787" s="1133"/>
      <c r="T787" s="1133"/>
      <c r="U787" s="1133"/>
      <c r="V787" s="1135"/>
      <c r="W787" s="1135"/>
    </row>
    <row r="788">
      <c r="A788" s="1133"/>
      <c r="B788" s="1133"/>
      <c r="C788" s="1133"/>
      <c r="D788" s="1133"/>
      <c r="E788" s="1133"/>
      <c r="F788" s="1133"/>
      <c r="G788" s="1133"/>
      <c r="H788" s="1133"/>
      <c r="I788" s="1133"/>
      <c r="J788" s="1133"/>
      <c r="K788" s="1133"/>
      <c r="L788" s="1133"/>
      <c r="M788" s="1133"/>
      <c r="N788" s="1133"/>
      <c r="O788" s="1133"/>
      <c r="P788" s="1133"/>
      <c r="Q788" s="1133"/>
      <c r="R788" s="1133"/>
      <c r="S788" s="1133"/>
      <c r="T788" s="1133"/>
      <c r="U788" s="1133"/>
      <c r="V788" s="1135"/>
      <c r="W788" s="1135"/>
    </row>
    <row r="789">
      <c r="A789" s="1133"/>
      <c r="B789" s="1133"/>
      <c r="C789" s="1133"/>
      <c r="D789" s="1133"/>
      <c r="E789" s="1133"/>
      <c r="F789" s="1133"/>
      <c r="G789" s="1133"/>
      <c r="H789" s="1133"/>
      <c r="I789" s="1133"/>
      <c r="J789" s="1133"/>
      <c r="K789" s="1133"/>
      <c r="L789" s="1133"/>
      <c r="M789" s="1133"/>
      <c r="N789" s="1133"/>
      <c r="O789" s="1133"/>
      <c r="P789" s="1133"/>
      <c r="Q789" s="1133"/>
      <c r="R789" s="1133"/>
      <c r="S789" s="1133"/>
      <c r="T789" s="1133"/>
      <c r="U789" s="1133"/>
      <c r="V789" s="1135"/>
      <c r="W789" s="1135"/>
    </row>
    <row r="790">
      <c r="A790" s="1133"/>
      <c r="B790" s="1133"/>
      <c r="C790" s="1133"/>
      <c r="D790" s="1133"/>
      <c r="E790" s="1133"/>
      <c r="F790" s="1133"/>
      <c r="G790" s="1133"/>
      <c r="H790" s="1133"/>
      <c r="I790" s="1133"/>
      <c r="J790" s="1133"/>
      <c r="K790" s="1133"/>
      <c r="L790" s="1133"/>
      <c r="M790" s="1133"/>
      <c r="N790" s="1133"/>
      <c r="O790" s="1133"/>
      <c r="P790" s="1133"/>
      <c r="Q790" s="1133"/>
      <c r="R790" s="1133"/>
      <c r="S790" s="1133"/>
      <c r="T790" s="1133"/>
      <c r="U790" s="1133"/>
      <c r="V790" s="1135"/>
      <c r="W790" s="1135"/>
    </row>
    <row r="791">
      <c r="A791" s="1133"/>
      <c r="B791" s="1133"/>
      <c r="C791" s="1133"/>
      <c r="D791" s="1133"/>
      <c r="E791" s="1133"/>
      <c r="F791" s="1133"/>
      <c r="G791" s="1133"/>
      <c r="H791" s="1133"/>
      <c r="I791" s="1133"/>
      <c r="J791" s="1133"/>
      <c r="K791" s="1133"/>
      <c r="L791" s="1133"/>
      <c r="M791" s="1133"/>
      <c r="N791" s="1133"/>
      <c r="O791" s="1133"/>
      <c r="P791" s="1133"/>
      <c r="Q791" s="1133"/>
      <c r="R791" s="1133"/>
      <c r="S791" s="1133"/>
      <c r="T791" s="1133"/>
      <c r="U791" s="1133"/>
      <c r="V791" s="1135"/>
      <c r="W791" s="1135"/>
    </row>
    <row r="792">
      <c r="A792" s="1133"/>
      <c r="B792" s="1133"/>
      <c r="C792" s="1133"/>
      <c r="D792" s="1133"/>
      <c r="E792" s="1133"/>
      <c r="F792" s="1133"/>
      <c r="G792" s="1133"/>
      <c r="H792" s="1133"/>
      <c r="I792" s="1133"/>
      <c r="J792" s="1133"/>
      <c r="K792" s="1133"/>
      <c r="L792" s="1133"/>
      <c r="M792" s="1133"/>
      <c r="N792" s="1133"/>
      <c r="O792" s="1133"/>
      <c r="P792" s="1133"/>
      <c r="Q792" s="1133"/>
      <c r="R792" s="1133"/>
      <c r="S792" s="1133"/>
      <c r="T792" s="1133"/>
      <c r="U792" s="1133"/>
      <c r="V792" s="1135"/>
      <c r="W792" s="1135"/>
    </row>
    <row r="793">
      <c r="A793" s="1133"/>
      <c r="B793" s="1133"/>
      <c r="C793" s="1133"/>
      <c r="D793" s="1133"/>
      <c r="E793" s="1133"/>
      <c r="F793" s="1133"/>
      <c r="G793" s="1133"/>
      <c r="H793" s="1133"/>
      <c r="I793" s="1133"/>
      <c r="J793" s="1133"/>
      <c r="K793" s="1133"/>
      <c r="L793" s="1133"/>
      <c r="M793" s="1133"/>
      <c r="N793" s="1133"/>
      <c r="O793" s="1133"/>
      <c r="P793" s="1133"/>
      <c r="Q793" s="1133"/>
      <c r="R793" s="1133"/>
      <c r="S793" s="1133"/>
      <c r="T793" s="1133"/>
      <c r="U793" s="1133"/>
      <c r="V793" s="1135"/>
      <c r="W793" s="1135"/>
    </row>
    <row r="794">
      <c r="A794" s="1133"/>
      <c r="B794" s="1133"/>
      <c r="C794" s="1133"/>
      <c r="D794" s="1133"/>
      <c r="E794" s="1133"/>
      <c r="F794" s="1133"/>
      <c r="G794" s="1133"/>
      <c r="H794" s="1133"/>
      <c r="I794" s="1133"/>
      <c r="J794" s="1133"/>
      <c r="K794" s="1133"/>
      <c r="L794" s="1133"/>
      <c r="M794" s="1133"/>
      <c r="N794" s="1133"/>
      <c r="O794" s="1133"/>
      <c r="P794" s="1133"/>
      <c r="Q794" s="1133"/>
      <c r="R794" s="1133"/>
      <c r="S794" s="1133"/>
      <c r="T794" s="1133"/>
      <c r="U794" s="1133"/>
      <c r="V794" s="1135"/>
      <c r="W794" s="1135"/>
    </row>
    <row r="795">
      <c r="A795" s="1133"/>
      <c r="B795" s="1133"/>
      <c r="C795" s="1133"/>
      <c r="D795" s="1133"/>
      <c r="E795" s="1133"/>
      <c r="F795" s="1133"/>
      <c r="G795" s="1133"/>
      <c r="H795" s="1133"/>
      <c r="I795" s="1133"/>
      <c r="J795" s="1133"/>
      <c r="K795" s="1133"/>
      <c r="L795" s="1133"/>
      <c r="M795" s="1133"/>
      <c r="N795" s="1133"/>
      <c r="O795" s="1133"/>
      <c r="P795" s="1133"/>
      <c r="Q795" s="1133"/>
      <c r="R795" s="1133"/>
      <c r="S795" s="1133"/>
      <c r="T795" s="1133"/>
      <c r="U795" s="1133"/>
      <c r="V795" s="1135"/>
      <c r="W795" s="1135"/>
    </row>
    <row r="796">
      <c r="A796" s="1133"/>
      <c r="B796" s="1133"/>
      <c r="C796" s="1133"/>
      <c r="D796" s="1133"/>
      <c r="E796" s="1133"/>
      <c r="F796" s="1133"/>
      <c r="G796" s="1133"/>
      <c r="H796" s="1133"/>
      <c r="I796" s="1133"/>
      <c r="J796" s="1133"/>
      <c r="K796" s="1133"/>
      <c r="L796" s="1133"/>
      <c r="M796" s="1133"/>
      <c r="N796" s="1133"/>
      <c r="O796" s="1133"/>
      <c r="P796" s="1133"/>
      <c r="Q796" s="1133"/>
      <c r="R796" s="1133"/>
      <c r="S796" s="1133"/>
      <c r="T796" s="1133"/>
      <c r="U796" s="1133"/>
      <c r="V796" s="1135"/>
      <c r="W796" s="1135"/>
    </row>
    <row r="797">
      <c r="A797" s="1133"/>
      <c r="B797" s="1133"/>
      <c r="C797" s="1133"/>
      <c r="D797" s="1133"/>
      <c r="E797" s="1133"/>
      <c r="F797" s="1133"/>
      <c r="G797" s="1133"/>
      <c r="H797" s="1133"/>
      <c r="I797" s="1133"/>
      <c r="J797" s="1133"/>
      <c r="K797" s="1133"/>
      <c r="L797" s="1133"/>
      <c r="M797" s="1133"/>
      <c r="N797" s="1133"/>
      <c r="O797" s="1133"/>
      <c r="P797" s="1133"/>
      <c r="Q797" s="1133"/>
      <c r="R797" s="1133"/>
      <c r="S797" s="1133"/>
      <c r="T797" s="1133"/>
      <c r="U797" s="1133"/>
      <c r="V797" s="1135"/>
      <c r="W797" s="1135"/>
    </row>
    <row r="798">
      <c r="A798" s="1133"/>
      <c r="B798" s="1133"/>
      <c r="C798" s="1133"/>
      <c r="D798" s="1133"/>
      <c r="E798" s="1133"/>
      <c r="F798" s="1133"/>
      <c r="G798" s="1133"/>
      <c r="H798" s="1133"/>
      <c r="I798" s="1133"/>
      <c r="J798" s="1133"/>
      <c r="K798" s="1133"/>
      <c r="L798" s="1133"/>
      <c r="M798" s="1133"/>
      <c r="N798" s="1133"/>
      <c r="O798" s="1133"/>
      <c r="P798" s="1133"/>
      <c r="Q798" s="1133"/>
      <c r="R798" s="1133"/>
      <c r="S798" s="1133"/>
      <c r="T798" s="1133"/>
      <c r="U798" s="1133"/>
      <c r="V798" s="1135"/>
      <c r="W798" s="1135"/>
    </row>
    <row r="799">
      <c r="A799" s="1133"/>
      <c r="B799" s="1133"/>
      <c r="C799" s="1133"/>
      <c r="D799" s="1133"/>
      <c r="E799" s="1133"/>
      <c r="F799" s="1133"/>
      <c r="G799" s="1133"/>
      <c r="H799" s="1133"/>
      <c r="I799" s="1133"/>
      <c r="J799" s="1133"/>
      <c r="K799" s="1133"/>
      <c r="L799" s="1133"/>
      <c r="M799" s="1133"/>
      <c r="N799" s="1133"/>
      <c r="O799" s="1133"/>
      <c r="P799" s="1133"/>
      <c r="Q799" s="1133"/>
      <c r="R799" s="1133"/>
      <c r="S799" s="1133"/>
      <c r="T799" s="1133"/>
      <c r="U799" s="1133"/>
      <c r="V799" s="1135"/>
      <c r="W799" s="1135"/>
    </row>
    <row r="800">
      <c r="A800" s="1133"/>
      <c r="B800" s="1133"/>
      <c r="C800" s="1133"/>
      <c r="D800" s="1133"/>
      <c r="E800" s="1133"/>
      <c r="F800" s="1133"/>
      <c r="G800" s="1133"/>
      <c r="H800" s="1133"/>
      <c r="I800" s="1133"/>
      <c r="J800" s="1133"/>
      <c r="K800" s="1133"/>
      <c r="L800" s="1133"/>
      <c r="M800" s="1133"/>
      <c r="N800" s="1133"/>
      <c r="O800" s="1133"/>
      <c r="P800" s="1133"/>
      <c r="Q800" s="1133"/>
      <c r="R800" s="1133"/>
      <c r="S800" s="1133"/>
      <c r="T800" s="1133"/>
      <c r="U800" s="1133"/>
      <c r="V800" s="1135"/>
      <c r="W800" s="1135"/>
    </row>
    <row r="801">
      <c r="A801" s="1133"/>
      <c r="B801" s="1133"/>
      <c r="C801" s="1133"/>
      <c r="D801" s="1133"/>
      <c r="E801" s="1133"/>
      <c r="F801" s="1133"/>
      <c r="G801" s="1133"/>
      <c r="H801" s="1133"/>
      <c r="I801" s="1133"/>
      <c r="J801" s="1133"/>
      <c r="K801" s="1133"/>
      <c r="L801" s="1133"/>
      <c r="M801" s="1133"/>
      <c r="N801" s="1133"/>
      <c r="O801" s="1133"/>
      <c r="P801" s="1133"/>
      <c r="Q801" s="1133"/>
      <c r="R801" s="1133"/>
      <c r="S801" s="1133"/>
      <c r="T801" s="1133"/>
      <c r="U801" s="1133"/>
      <c r="V801" s="1135"/>
      <c r="W801" s="1135"/>
    </row>
    <row r="802">
      <c r="A802" s="1133"/>
      <c r="B802" s="1133"/>
      <c r="C802" s="1133"/>
      <c r="D802" s="1133"/>
      <c r="E802" s="1133"/>
      <c r="F802" s="1133"/>
      <c r="G802" s="1133"/>
      <c r="H802" s="1133"/>
      <c r="I802" s="1133"/>
      <c r="J802" s="1133"/>
      <c r="K802" s="1133"/>
      <c r="L802" s="1133"/>
      <c r="M802" s="1133"/>
      <c r="N802" s="1133"/>
      <c r="O802" s="1133"/>
      <c r="P802" s="1133"/>
      <c r="Q802" s="1133"/>
      <c r="R802" s="1133"/>
      <c r="S802" s="1133"/>
      <c r="T802" s="1133"/>
      <c r="U802" s="1133"/>
      <c r="V802" s="1135"/>
      <c r="W802" s="1135"/>
    </row>
    <row r="803">
      <c r="A803" s="1133"/>
      <c r="B803" s="1133"/>
      <c r="C803" s="1133"/>
      <c r="D803" s="1133"/>
      <c r="E803" s="1133"/>
      <c r="F803" s="1133"/>
      <c r="G803" s="1133"/>
      <c r="H803" s="1133"/>
      <c r="I803" s="1133"/>
      <c r="J803" s="1133"/>
      <c r="K803" s="1133"/>
      <c r="L803" s="1133"/>
      <c r="M803" s="1133"/>
      <c r="N803" s="1133"/>
      <c r="O803" s="1133"/>
      <c r="P803" s="1133"/>
      <c r="Q803" s="1133"/>
      <c r="R803" s="1133"/>
      <c r="S803" s="1133"/>
      <c r="T803" s="1133"/>
      <c r="U803" s="1133"/>
      <c r="V803" s="1135"/>
      <c r="W803" s="1135"/>
    </row>
    <row r="804">
      <c r="A804" s="1133"/>
      <c r="B804" s="1133"/>
      <c r="C804" s="1133"/>
      <c r="D804" s="1133"/>
      <c r="E804" s="1133"/>
      <c r="F804" s="1133"/>
      <c r="G804" s="1133"/>
      <c r="H804" s="1133"/>
      <c r="I804" s="1133"/>
      <c r="J804" s="1133"/>
      <c r="K804" s="1133"/>
      <c r="L804" s="1133"/>
      <c r="M804" s="1133"/>
      <c r="N804" s="1133"/>
      <c r="O804" s="1133"/>
      <c r="P804" s="1133"/>
      <c r="Q804" s="1133"/>
      <c r="R804" s="1133"/>
      <c r="S804" s="1133"/>
      <c r="T804" s="1133"/>
      <c r="U804" s="1133"/>
      <c r="V804" s="1135"/>
      <c r="W804" s="1135"/>
    </row>
    <row r="805">
      <c r="A805" s="1133"/>
      <c r="B805" s="1133"/>
      <c r="C805" s="1133"/>
      <c r="D805" s="1133"/>
      <c r="E805" s="1133"/>
      <c r="F805" s="1133"/>
      <c r="G805" s="1133"/>
      <c r="H805" s="1133"/>
      <c r="I805" s="1133"/>
      <c r="J805" s="1133"/>
      <c r="K805" s="1133"/>
      <c r="L805" s="1133"/>
      <c r="M805" s="1133"/>
      <c r="N805" s="1133"/>
      <c r="O805" s="1133"/>
      <c r="P805" s="1133"/>
      <c r="Q805" s="1133"/>
      <c r="R805" s="1133"/>
      <c r="S805" s="1133"/>
      <c r="T805" s="1133"/>
      <c r="U805" s="1133"/>
      <c r="V805" s="1135"/>
      <c r="W805" s="1135"/>
    </row>
    <row r="806">
      <c r="A806" s="1133"/>
      <c r="B806" s="1133"/>
      <c r="C806" s="1133"/>
      <c r="D806" s="1133"/>
      <c r="E806" s="1133"/>
      <c r="F806" s="1133"/>
      <c r="G806" s="1133"/>
      <c r="H806" s="1133"/>
      <c r="I806" s="1133"/>
      <c r="J806" s="1133"/>
      <c r="K806" s="1133"/>
      <c r="L806" s="1133"/>
      <c r="M806" s="1133"/>
      <c r="N806" s="1133"/>
      <c r="O806" s="1133"/>
      <c r="P806" s="1133"/>
      <c r="Q806" s="1133"/>
      <c r="R806" s="1133"/>
      <c r="S806" s="1133"/>
      <c r="T806" s="1133"/>
      <c r="U806" s="1133"/>
      <c r="V806" s="1135"/>
      <c r="W806" s="1135"/>
    </row>
    <row r="807">
      <c r="A807" s="1133"/>
      <c r="B807" s="1133"/>
      <c r="C807" s="1133"/>
      <c r="D807" s="1133"/>
      <c r="E807" s="1133"/>
      <c r="F807" s="1133"/>
      <c r="G807" s="1133"/>
      <c r="H807" s="1133"/>
      <c r="I807" s="1133"/>
      <c r="J807" s="1133"/>
      <c r="K807" s="1133"/>
      <c r="L807" s="1133"/>
      <c r="M807" s="1133"/>
      <c r="N807" s="1133"/>
      <c r="O807" s="1133"/>
      <c r="P807" s="1133"/>
      <c r="Q807" s="1133"/>
      <c r="R807" s="1133"/>
      <c r="S807" s="1133"/>
      <c r="T807" s="1133"/>
      <c r="U807" s="1133"/>
      <c r="V807" s="1135"/>
      <c r="W807" s="1135"/>
    </row>
    <row r="808">
      <c r="A808" s="1133"/>
      <c r="B808" s="1133"/>
      <c r="C808" s="1133"/>
      <c r="D808" s="1133"/>
      <c r="E808" s="1133"/>
      <c r="F808" s="1133"/>
      <c r="G808" s="1133"/>
      <c r="H808" s="1133"/>
      <c r="I808" s="1133"/>
      <c r="J808" s="1133"/>
      <c r="K808" s="1133"/>
      <c r="L808" s="1133"/>
      <c r="M808" s="1133"/>
      <c r="N808" s="1133"/>
      <c r="O808" s="1133"/>
      <c r="P808" s="1133"/>
      <c r="Q808" s="1133"/>
      <c r="R808" s="1133"/>
      <c r="S808" s="1133"/>
      <c r="T808" s="1133"/>
      <c r="U808" s="1133"/>
      <c r="V808" s="1135"/>
      <c r="W808" s="1135"/>
    </row>
    <row r="809">
      <c r="A809" s="1133"/>
      <c r="B809" s="1133"/>
      <c r="C809" s="1133"/>
      <c r="D809" s="1133"/>
      <c r="E809" s="1133"/>
      <c r="F809" s="1133"/>
      <c r="G809" s="1133"/>
      <c r="H809" s="1133"/>
      <c r="I809" s="1133"/>
      <c r="J809" s="1133"/>
      <c r="K809" s="1133"/>
      <c r="L809" s="1133"/>
      <c r="M809" s="1133"/>
      <c r="N809" s="1133"/>
      <c r="O809" s="1133"/>
      <c r="P809" s="1133"/>
      <c r="Q809" s="1133"/>
      <c r="R809" s="1133"/>
      <c r="S809" s="1133"/>
      <c r="T809" s="1133"/>
      <c r="U809" s="1133"/>
      <c r="V809" s="1135"/>
      <c r="W809" s="1135"/>
    </row>
    <row r="810">
      <c r="A810" s="1133"/>
      <c r="B810" s="1133"/>
      <c r="C810" s="1133"/>
      <c r="D810" s="1133"/>
      <c r="E810" s="1133"/>
      <c r="F810" s="1133"/>
      <c r="G810" s="1133"/>
      <c r="H810" s="1133"/>
      <c r="I810" s="1133"/>
      <c r="J810" s="1133"/>
      <c r="K810" s="1133"/>
      <c r="L810" s="1133"/>
      <c r="M810" s="1133"/>
      <c r="N810" s="1133"/>
      <c r="O810" s="1133"/>
      <c r="P810" s="1133"/>
      <c r="Q810" s="1133"/>
      <c r="R810" s="1133"/>
      <c r="S810" s="1133"/>
      <c r="T810" s="1133"/>
      <c r="U810" s="1133"/>
      <c r="V810" s="1135"/>
      <c r="W810" s="1135"/>
    </row>
    <row r="811">
      <c r="A811" s="1133"/>
      <c r="B811" s="1133"/>
      <c r="C811" s="1133"/>
      <c r="D811" s="1133"/>
      <c r="E811" s="1133"/>
      <c r="F811" s="1133"/>
      <c r="G811" s="1133"/>
      <c r="H811" s="1133"/>
      <c r="I811" s="1133"/>
      <c r="J811" s="1133"/>
      <c r="K811" s="1133"/>
      <c r="L811" s="1133"/>
      <c r="M811" s="1133"/>
      <c r="N811" s="1133"/>
      <c r="O811" s="1133"/>
      <c r="P811" s="1133"/>
      <c r="Q811" s="1133"/>
      <c r="R811" s="1133"/>
      <c r="S811" s="1133"/>
      <c r="T811" s="1133"/>
      <c r="U811" s="1133"/>
      <c r="V811" s="1135"/>
      <c r="W811" s="1135"/>
    </row>
    <row r="812">
      <c r="A812" s="1133"/>
      <c r="B812" s="1133"/>
      <c r="C812" s="1133"/>
      <c r="D812" s="1133"/>
      <c r="E812" s="1133"/>
      <c r="F812" s="1133"/>
      <c r="G812" s="1133"/>
      <c r="H812" s="1133"/>
      <c r="I812" s="1133"/>
      <c r="J812" s="1133"/>
      <c r="K812" s="1133"/>
      <c r="L812" s="1133"/>
      <c r="M812" s="1133"/>
      <c r="N812" s="1133"/>
      <c r="O812" s="1133"/>
      <c r="P812" s="1133"/>
      <c r="Q812" s="1133"/>
      <c r="R812" s="1133"/>
      <c r="S812" s="1133"/>
      <c r="T812" s="1133"/>
      <c r="U812" s="1133"/>
      <c r="V812" s="1135"/>
      <c r="W812" s="1135"/>
    </row>
    <row r="813">
      <c r="A813" s="1133"/>
      <c r="B813" s="1133"/>
      <c r="C813" s="1133"/>
      <c r="D813" s="1133"/>
      <c r="E813" s="1133"/>
      <c r="F813" s="1133"/>
      <c r="G813" s="1133"/>
      <c r="H813" s="1133"/>
      <c r="I813" s="1133"/>
      <c r="J813" s="1133"/>
      <c r="K813" s="1133"/>
      <c r="L813" s="1133"/>
      <c r="M813" s="1133"/>
      <c r="N813" s="1133"/>
      <c r="O813" s="1133"/>
      <c r="P813" s="1133"/>
      <c r="Q813" s="1133"/>
      <c r="R813" s="1133"/>
      <c r="S813" s="1133"/>
      <c r="T813" s="1133"/>
      <c r="U813" s="1133"/>
      <c r="V813" s="1135"/>
      <c r="W813" s="1135"/>
    </row>
    <row r="814">
      <c r="A814" s="1133"/>
      <c r="B814" s="1133"/>
      <c r="C814" s="1133"/>
      <c r="D814" s="1133"/>
      <c r="E814" s="1133"/>
      <c r="F814" s="1133"/>
      <c r="G814" s="1133"/>
      <c r="H814" s="1133"/>
      <c r="I814" s="1133"/>
      <c r="J814" s="1133"/>
      <c r="K814" s="1133"/>
      <c r="L814" s="1133"/>
      <c r="M814" s="1133"/>
      <c r="N814" s="1133"/>
      <c r="O814" s="1133"/>
      <c r="P814" s="1133"/>
      <c r="Q814" s="1133"/>
      <c r="R814" s="1133"/>
      <c r="S814" s="1133"/>
      <c r="T814" s="1133"/>
      <c r="U814" s="1133"/>
      <c r="V814" s="1135"/>
      <c r="W814" s="1135"/>
    </row>
    <row r="815">
      <c r="A815" s="1133"/>
      <c r="B815" s="1133"/>
      <c r="C815" s="1133"/>
      <c r="D815" s="1133"/>
      <c r="E815" s="1133"/>
      <c r="F815" s="1133"/>
      <c r="G815" s="1133"/>
      <c r="H815" s="1133"/>
      <c r="I815" s="1133"/>
      <c r="J815" s="1133"/>
      <c r="K815" s="1133"/>
      <c r="L815" s="1133"/>
      <c r="M815" s="1133"/>
      <c r="N815" s="1133"/>
      <c r="O815" s="1133"/>
      <c r="P815" s="1133"/>
      <c r="Q815" s="1133"/>
      <c r="R815" s="1133"/>
      <c r="S815" s="1133"/>
      <c r="T815" s="1133"/>
      <c r="U815" s="1133"/>
      <c r="V815" s="1135"/>
      <c r="W815" s="1135"/>
    </row>
    <row r="816">
      <c r="A816" s="1133"/>
      <c r="B816" s="1133"/>
      <c r="C816" s="1133"/>
      <c r="D816" s="1133"/>
      <c r="E816" s="1133"/>
      <c r="F816" s="1133"/>
      <c r="G816" s="1133"/>
      <c r="H816" s="1133"/>
      <c r="I816" s="1133"/>
      <c r="J816" s="1133"/>
      <c r="K816" s="1133"/>
      <c r="L816" s="1133"/>
      <c r="M816" s="1133"/>
      <c r="N816" s="1133"/>
      <c r="O816" s="1133"/>
      <c r="P816" s="1133"/>
      <c r="Q816" s="1133"/>
      <c r="R816" s="1133"/>
      <c r="S816" s="1133"/>
      <c r="T816" s="1133"/>
      <c r="U816" s="1133"/>
      <c r="V816" s="1135"/>
      <c r="W816" s="1135"/>
    </row>
    <row r="817">
      <c r="A817" s="1133"/>
      <c r="B817" s="1133"/>
      <c r="C817" s="1133"/>
      <c r="D817" s="1133"/>
      <c r="E817" s="1133"/>
      <c r="F817" s="1133"/>
      <c r="G817" s="1133"/>
      <c r="H817" s="1133"/>
      <c r="I817" s="1133"/>
      <c r="J817" s="1133"/>
      <c r="K817" s="1133"/>
      <c r="L817" s="1133"/>
      <c r="M817" s="1133"/>
      <c r="N817" s="1133"/>
      <c r="O817" s="1133"/>
      <c r="P817" s="1133"/>
      <c r="Q817" s="1133"/>
      <c r="R817" s="1133"/>
      <c r="S817" s="1133"/>
      <c r="T817" s="1133"/>
      <c r="U817" s="1133"/>
      <c r="V817" s="1135"/>
      <c r="W817" s="1135"/>
    </row>
    <row r="818">
      <c r="A818" s="1133"/>
      <c r="B818" s="1133"/>
      <c r="C818" s="1133"/>
      <c r="D818" s="1133"/>
      <c r="E818" s="1133"/>
      <c r="F818" s="1133"/>
      <c r="G818" s="1133"/>
      <c r="H818" s="1133"/>
      <c r="I818" s="1133"/>
      <c r="J818" s="1133"/>
      <c r="K818" s="1133"/>
      <c r="L818" s="1133"/>
      <c r="M818" s="1133"/>
      <c r="N818" s="1133"/>
      <c r="O818" s="1133"/>
      <c r="P818" s="1133"/>
      <c r="Q818" s="1133"/>
      <c r="R818" s="1133"/>
      <c r="S818" s="1133"/>
      <c r="T818" s="1133"/>
      <c r="U818" s="1133"/>
      <c r="V818" s="1135"/>
      <c r="W818" s="1135"/>
    </row>
    <row r="819">
      <c r="A819" s="1133"/>
      <c r="B819" s="1133"/>
      <c r="C819" s="1133"/>
      <c r="D819" s="1133"/>
      <c r="E819" s="1133"/>
      <c r="F819" s="1133"/>
      <c r="G819" s="1133"/>
      <c r="H819" s="1133"/>
      <c r="I819" s="1133"/>
      <c r="J819" s="1133"/>
      <c r="K819" s="1133"/>
      <c r="L819" s="1133"/>
      <c r="M819" s="1133"/>
      <c r="N819" s="1133"/>
      <c r="O819" s="1133"/>
      <c r="P819" s="1133"/>
      <c r="Q819" s="1133"/>
      <c r="R819" s="1133"/>
      <c r="S819" s="1133"/>
      <c r="T819" s="1133"/>
      <c r="U819" s="1133"/>
      <c r="V819" s="1135"/>
      <c r="W819" s="1135"/>
    </row>
    <row r="820">
      <c r="A820" s="1133"/>
      <c r="B820" s="1133"/>
      <c r="C820" s="1133"/>
      <c r="D820" s="1133"/>
      <c r="E820" s="1133"/>
      <c r="F820" s="1133"/>
      <c r="G820" s="1133"/>
      <c r="H820" s="1133"/>
      <c r="I820" s="1133"/>
      <c r="J820" s="1133"/>
      <c r="K820" s="1133"/>
      <c r="L820" s="1133"/>
      <c r="M820" s="1133"/>
      <c r="N820" s="1133"/>
      <c r="O820" s="1133"/>
      <c r="P820" s="1133"/>
      <c r="Q820" s="1133"/>
      <c r="R820" s="1133"/>
      <c r="S820" s="1133"/>
      <c r="T820" s="1133"/>
      <c r="U820" s="1133"/>
      <c r="V820" s="1135"/>
      <c r="W820" s="1135"/>
    </row>
    <row r="821">
      <c r="A821" s="1133"/>
      <c r="B821" s="1133"/>
      <c r="C821" s="1133"/>
      <c r="D821" s="1133"/>
      <c r="E821" s="1133"/>
      <c r="F821" s="1133"/>
      <c r="G821" s="1133"/>
      <c r="H821" s="1133"/>
      <c r="I821" s="1133"/>
      <c r="J821" s="1133"/>
      <c r="K821" s="1133"/>
      <c r="L821" s="1133"/>
      <c r="M821" s="1133"/>
      <c r="N821" s="1133"/>
      <c r="O821" s="1133"/>
      <c r="P821" s="1133"/>
      <c r="Q821" s="1133"/>
      <c r="R821" s="1133"/>
      <c r="S821" s="1133"/>
      <c r="T821" s="1133"/>
      <c r="U821" s="1133"/>
      <c r="V821" s="1135"/>
      <c r="W821" s="1135"/>
    </row>
    <row r="822">
      <c r="A822" s="1133"/>
      <c r="B822" s="1133"/>
      <c r="C822" s="1133"/>
      <c r="D822" s="1133"/>
      <c r="E822" s="1133"/>
      <c r="F822" s="1133"/>
      <c r="G822" s="1133"/>
      <c r="H822" s="1133"/>
      <c r="I822" s="1133"/>
      <c r="J822" s="1133"/>
      <c r="K822" s="1133"/>
      <c r="L822" s="1133"/>
      <c r="M822" s="1133"/>
      <c r="N822" s="1133"/>
      <c r="O822" s="1133"/>
      <c r="P822" s="1133"/>
      <c r="Q822" s="1133"/>
      <c r="R822" s="1133"/>
      <c r="S822" s="1133"/>
      <c r="T822" s="1133"/>
      <c r="U822" s="1133"/>
      <c r="V822" s="1135"/>
      <c r="W822" s="1135"/>
    </row>
    <row r="823">
      <c r="A823" s="1133"/>
      <c r="B823" s="1133"/>
      <c r="C823" s="1133"/>
      <c r="D823" s="1133"/>
      <c r="E823" s="1133"/>
      <c r="F823" s="1133"/>
      <c r="G823" s="1133"/>
      <c r="H823" s="1133"/>
      <c r="I823" s="1133"/>
      <c r="J823" s="1133"/>
      <c r="K823" s="1133"/>
      <c r="L823" s="1133"/>
      <c r="M823" s="1133"/>
      <c r="N823" s="1133"/>
      <c r="O823" s="1133"/>
      <c r="P823" s="1133"/>
      <c r="Q823" s="1133"/>
      <c r="R823" s="1133"/>
      <c r="S823" s="1133"/>
      <c r="T823" s="1133"/>
      <c r="U823" s="1133"/>
      <c r="V823" s="1135"/>
      <c r="W823" s="1135"/>
    </row>
    <row r="824">
      <c r="A824" s="1133"/>
      <c r="B824" s="1133"/>
      <c r="C824" s="1133"/>
      <c r="D824" s="1133"/>
      <c r="E824" s="1133"/>
      <c r="F824" s="1133"/>
      <c r="G824" s="1133"/>
      <c r="H824" s="1133"/>
      <c r="I824" s="1133"/>
      <c r="J824" s="1133"/>
      <c r="K824" s="1133"/>
      <c r="L824" s="1133"/>
      <c r="M824" s="1133"/>
      <c r="N824" s="1133"/>
      <c r="O824" s="1133"/>
      <c r="P824" s="1133"/>
      <c r="Q824" s="1133"/>
      <c r="R824" s="1133"/>
      <c r="S824" s="1133"/>
      <c r="T824" s="1133"/>
      <c r="U824" s="1133"/>
      <c r="V824" s="1135"/>
      <c r="W824" s="1135"/>
    </row>
    <row r="825">
      <c r="A825" s="1133"/>
      <c r="B825" s="1133"/>
      <c r="C825" s="1133"/>
      <c r="D825" s="1133"/>
      <c r="E825" s="1133"/>
      <c r="F825" s="1133"/>
      <c r="G825" s="1133"/>
      <c r="H825" s="1133"/>
      <c r="I825" s="1133"/>
      <c r="J825" s="1133"/>
      <c r="K825" s="1133"/>
      <c r="L825" s="1133"/>
      <c r="M825" s="1133"/>
      <c r="N825" s="1133"/>
      <c r="O825" s="1133"/>
      <c r="P825" s="1133"/>
      <c r="Q825" s="1133"/>
      <c r="R825" s="1133"/>
      <c r="S825" s="1133"/>
      <c r="T825" s="1133"/>
      <c r="U825" s="1133"/>
      <c r="V825" s="1135"/>
      <c r="W825" s="1135"/>
    </row>
    <row r="826">
      <c r="A826" s="1133"/>
      <c r="B826" s="1133"/>
      <c r="C826" s="1133"/>
      <c r="D826" s="1133"/>
      <c r="E826" s="1133"/>
      <c r="F826" s="1133"/>
      <c r="G826" s="1133"/>
      <c r="H826" s="1133"/>
      <c r="I826" s="1133"/>
      <c r="J826" s="1133"/>
      <c r="K826" s="1133"/>
      <c r="L826" s="1133"/>
      <c r="M826" s="1133"/>
      <c r="N826" s="1133"/>
      <c r="O826" s="1133"/>
      <c r="P826" s="1133"/>
      <c r="Q826" s="1133"/>
      <c r="R826" s="1133"/>
      <c r="S826" s="1133"/>
      <c r="T826" s="1133"/>
      <c r="U826" s="1133"/>
      <c r="V826" s="1135"/>
      <c r="W826" s="1135"/>
    </row>
    <row r="827">
      <c r="A827" s="1133"/>
      <c r="B827" s="1133"/>
      <c r="C827" s="1133"/>
      <c r="D827" s="1133"/>
      <c r="E827" s="1133"/>
      <c r="F827" s="1133"/>
      <c r="G827" s="1133"/>
      <c r="H827" s="1133"/>
      <c r="I827" s="1133"/>
      <c r="J827" s="1133"/>
      <c r="K827" s="1133"/>
      <c r="L827" s="1133"/>
      <c r="M827" s="1133"/>
      <c r="N827" s="1133"/>
      <c r="O827" s="1133"/>
      <c r="P827" s="1133"/>
      <c r="Q827" s="1133"/>
      <c r="R827" s="1133"/>
      <c r="S827" s="1133"/>
      <c r="T827" s="1133"/>
      <c r="U827" s="1133"/>
      <c r="V827" s="1135"/>
      <c r="W827" s="1135"/>
    </row>
    <row r="828">
      <c r="A828" s="1133"/>
      <c r="B828" s="1133"/>
      <c r="C828" s="1133"/>
      <c r="D828" s="1133"/>
      <c r="E828" s="1133"/>
      <c r="F828" s="1133"/>
      <c r="G828" s="1133"/>
      <c r="H828" s="1133"/>
      <c r="I828" s="1133"/>
      <c r="J828" s="1133"/>
      <c r="K828" s="1133"/>
      <c r="L828" s="1133"/>
      <c r="M828" s="1133"/>
      <c r="N828" s="1133"/>
      <c r="O828" s="1133"/>
      <c r="P828" s="1133"/>
      <c r="Q828" s="1133"/>
      <c r="R828" s="1133"/>
      <c r="S828" s="1133"/>
      <c r="T828" s="1133"/>
      <c r="U828" s="1133"/>
      <c r="V828" s="1135"/>
      <c r="W828" s="1135"/>
    </row>
    <row r="829">
      <c r="A829" s="1133"/>
      <c r="B829" s="1133"/>
      <c r="C829" s="1133"/>
      <c r="D829" s="1133"/>
      <c r="E829" s="1133"/>
      <c r="F829" s="1133"/>
      <c r="G829" s="1133"/>
      <c r="H829" s="1133"/>
      <c r="I829" s="1133"/>
      <c r="J829" s="1133"/>
      <c r="K829" s="1133"/>
      <c r="L829" s="1133"/>
      <c r="M829" s="1133"/>
      <c r="N829" s="1133"/>
      <c r="O829" s="1133"/>
      <c r="P829" s="1133"/>
      <c r="Q829" s="1133"/>
      <c r="R829" s="1133"/>
      <c r="S829" s="1133"/>
      <c r="T829" s="1133"/>
      <c r="U829" s="1133"/>
      <c r="V829" s="1135"/>
      <c r="W829" s="1135"/>
    </row>
    <row r="830">
      <c r="A830" s="1133"/>
      <c r="B830" s="1133"/>
      <c r="C830" s="1133"/>
      <c r="D830" s="1133"/>
      <c r="E830" s="1133"/>
      <c r="F830" s="1133"/>
      <c r="G830" s="1133"/>
      <c r="H830" s="1133"/>
      <c r="I830" s="1133"/>
      <c r="J830" s="1133"/>
      <c r="K830" s="1133"/>
      <c r="L830" s="1133"/>
      <c r="M830" s="1133"/>
      <c r="N830" s="1133"/>
      <c r="O830" s="1133"/>
      <c r="P830" s="1133"/>
      <c r="Q830" s="1133"/>
      <c r="R830" s="1133"/>
      <c r="S830" s="1133"/>
      <c r="T830" s="1133"/>
      <c r="U830" s="1133"/>
      <c r="V830" s="1135"/>
      <c r="W830" s="1135"/>
    </row>
    <row r="831">
      <c r="A831" s="1133"/>
      <c r="B831" s="1133"/>
      <c r="C831" s="1133"/>
      <c r="D831" s="1133"/>
      <c r="E831" s="1133"/>
      <c r="F831" s="1133"/>
      <c r="G831" s="1133"/>
      <c r="H831" s="1133"/>
      <c r="I831" s="1133"/>
      <c r="J831" s="1133"/>
      <c r="K831" s="1133"/>
      <c r="L831" s="1133"/>
      <c r="M831" s="1133"/>
      <c r="N831" s="1133"/>
      <c r="O831" s="1133"/>
      <c r="P831" s="1133"/>
      <c r="Q831" s="1133"/>
      <c r="R831" s="1133"/>
      <c r="S831" s="1133"/>
      <c r="T831" s="1133"/>
      <c r="U831" s="1133"/>
      <c r="V831" s="1135"/>
      <c r="W831" s="1135"/>
    </row>
    <row r="832">
      <c r="A832" s="1133"/>
      <c r="B832" s="1133"/>
      <c r="C832" s="1133"/>
      <c r="D832" s="1133"/>
      <c r="E832" s="1133"/>
      <c r="F832" s="1133"/>
      <c r="G832" s="1133"/>
      <c r="H832" s="1133"/>
      <c r="I832" s="1133"/>
      <c r="J832" s="1133"/>
      <c r="K832" s="1133"/>
      <c r="L832" s="1133"/>
      <c r="M832" s="1133"/>
      <c r="N832" s="1133"/>
      <c r="O832" s="1133"/>
      <c r="P832" s="1133"/>
      <c r="Q832" s="1133"/>
      <c r="R832" s="1133"/>
      <c r="S832" s="1133"/>
      <c r="T832" s="1133"/>
      <c r="U832" s="1133"/>
      <c r="V832" s="1135"/>
      <c r="W832" s="1135"/>
    </row>
    <row r="833">
      <c r="A833" s="1133"/>
      <c r="B833" s="1133"/>
      <c r="C833" s="1133"/>
      <c r="D833" s="1133"/>
      <c r="E833" s="1133"/>
      <c r="F833" s="1133"/>
      <c r="G833" s="1133"/>
      <c r="H833" s="1133"/>
      <c r="I833" s="1133"/>
      <c r="J833" s="1133"/>
      <c r="K833" s="1133"/>
      <c r="L833" s="1133"/>
      <c r="M833" s="1133"/>
      <c r="N833" s="1133"/>
      <c r="O833" s="1133"/>
      <c r="P833" s="1133"/>
      <c r="Q833" s="1133"/>
      <c r="R833" s="1133"/>
      <c r="S833" s="1133"/>
      <c r="T833" s="1133"/>
      <c r="U833" s="1133"/>
      <c r="V833" s="1135"/>
      <c r="W833" s="1135"/>
    </row>
    <row r="834">
      <c r="A834" s="1133"/>
      <c r="B834" s="1133"/>
      <c r="C834" s="1133"/>
      <c r="D834" s="1133"/>
      <c r="E834" s="1133"/>
      <c r="F834" s="1133"/>
      <c r="G834" s="1133"/>
      <c r="H834" s="1133"/>
      <c r="I834" s="1133"/>
      <c r="J834" s="1133"/>
      <c r="K834" s="1133"/>
      <c r="L834" s="1133"/>
      <c r="M834" s="1133"/>
      <c r="N834" s="1133"/>
      <c r="O834" s="1133"/>
      <c r="P834" s="1133"/>
      <c r="Q834" s="1133"/>
      <c r="R834" s="1133"/>
      <c r="S834" s="1133"/>
      <c r="T834" s="1133"/>
      <c r="U834" s="1133"/>
      <c r="V834" s="1135"/>
      <c r="W834" s="1135"/>
    </row>
    <row r="835">
      <c r="A835" s="1133"/>
      <c r="B835" s="1133"/>
      <c r="C835" s="1133"/>
      <c r="D835" s="1133"/>
      <c r="E835" s="1133"/>
      <c r="F835" s="1133"/>
      <c r="G835" s="1133"/>
      <c r="H835" s="1133"/>
      <c r="I835" s="1133"/>
      <c r="J835" s="1133"/>
      <c r="K835" s="1133"/>
      <c r="L835" s="1133"/>
      <c r="M835" s="1133"/>
      <c r="N835" s="1133"/>
      <c r="O835" s="1133"/>
      <c r="P835" s="1133"/>
      <c r="Q835" s="1133"/>
      <c r="R835" s="1133"/>
      <c r="S835" s="1133"/>
      <c r="T835" s="1133"/>
      <c r="U835" s="1133"/>
      <c r="V835" s="1135"/>
      <c r="W835" s="1135"/>
    </row>
    <row r="836">
      <c r="A836" s="1133"/>
      <c r="B836" s="1133"/>
      <c r="C836" s="1133"/>
      <c r="D836" s="1133"/>
      <c r="E836" s="1133"/>
      <c r="F836" s="1133"/>
      <c r="G836" s="1133"/>
      <c r="H836" s="1133"/>
      <c r="I836" s="1133"/>
      <c r="J836" s="1133"/>
      <c r="K836" s="1133"/>
      <c r="L836" s="1133"/>
      <c r="M836" s="1133"/>
      <c r="N836" s="1133"/>
      <c r="O836" s="1133"/>
      <c r="P836" s="1133"/>
      <c r="Q836" s="1133"/>
      <c r="R836" s="1133"/>
      <c r="S836" s="1133"/>
      <c r="T836" s="1133"/>
      <c r="U836" s="1133"/>
      <c r="V836" s="1135"/>
      <c r="W836" s="1135"/>
    </row>
    <row r="837">
      <c r="A837" s="1133"/>
      <c r="B837" s="1133"/>
      <c r="C837" s="1133"/>
      <c r="D837" s="1133"/>
      <c r="E837" s="1133"/>
      <c r="F837" s="1133"/>
      <c r="G837" s="1133"/>
      <c r="H837" s="1133"/>
      <c r="I837" s="1133"/>
      <c r="J837" s="1133"/>
      <c r="K837" s="1133"/>
      <c r="L837" s="1133"/>
      <c r="M837" s="1133"/>
      <c r="N837" s="1133"/>
      <c r="O837" s="1133"/>
      <c r="P837" s="1133"/>
      <c r="Q837" s="1133"/>
      <c r="R837" s="1133"/>
      <c r="S837" s="1133"/>
      <c r="T837" s="1133"/>
      <c r="U837" s="1133"/>
      <c r="V837" s="1135"/>
      <c r="W837" s="1135"/>
    </row>
    <row r="838">
      <c r="A838" s="1133"/>
      <c r="B838" s="1133"/>
      <c r="C838" s="1133"/>
      <c r="D838" s="1133"/>
      <c r="E838" s="1133"/>
      <c r="F838" s="1133"/>
      <c r="G838" s="1133"/>
      <c r="H838" s="1133"/>
      <c r="I838" s="1133"/>
      <c r="J838" s="1133"/>
      <c r="K838" s="1133"/>
      <c r="L838" s="1133"/>
      <c r="M838" s="1133"/>
      <c r="N838" s="1133"/>
      <c r="O838" s="1133"/>
      <c r="P838" s="1133"/>
      <c r="Q838" s="1133"/>
      <c r="R838" s="1133"/>
      <c r="S838" s="1133"/>
      <c r="T838" s="1133"/>
      <c r="U838" s="1133"/>
      <c r="V838" s="1135"/>
      <c r="W838" s="1135"/>
    </row>
    <row r="839">
      <c r="A839" s="1133"/>
      <c r="B839" s="1133"/>
      <c r="C839" s="1133"/>
      <c r="D839" s="1133"/>
      <c r="E839" s="1133"/>
      <c r="F839" s="1133"/>
      <c r="G839" s="1133"/>
      <c r="H839" s="1133"/>
      <c r="I839" s="1133"/>
      <c r="J839" s="1133"/>
      <c r="K839" s="1133"/>
      <c r="L839" s="1133"/>
      <c r="M839" s="1133"/>
      <c r="N839" s="1133"/>
      <c r="O839" s="1133"/>
      <c r="P839" s="1133"/>
      <c r="Q839" s="1133"/>
      <c r="R839" s="1133"/>
      <c r="S839" s="1133"/>
      <c r="T839" s="1133"/>
      <c r="U839" s="1133"/>
      <c r="V839" s="1135"/>
      <c r="W839" s="1135"/>
    </row>
    <row r="840">
      <c r="A840" s="1133"/>
      <c r="B840" s="1133"/>
      <c r="C840" s="1133"/>
      <c r="D840" s="1133"/>
      <c r="E840" s="1133"/>
      <c r="F840" s="1133"/>
      <c r="G840" s="1133"/>
      <c r="H840" s="1133"/>
      <c r="I840" s="1133"/>
      <c r="J840" s="1133"/>
      <c r="K840" s="1133"/>
      <c r="L840" s="1133"/>
      <c r="M840" s="1133"/>
      <c r="N840" s="1133"/>
      <c r="O840" s="1133"/>
      <c r="P840" s="1133"/>
      <c r="Q840" s="1133"/>
      <c r="R840" s="1133"/>
      <c r="S840" s="1133"/>
      <c r="T840" s="1133"/>
      <c r="U840" s="1133"/>
      <c r="V840" s="1135"/>
      <c r="W840" s="1135"/>
    </row>
    <row r="841">
      <c r="A841" s="1133"/>
      <c r="B841" s="1133"/>
      <c r="C841" s="1133"/>
      <c r="D841" s="1133"/>
      <c r="E841" s="1133"/>
      <c r="F841" s="1133"/>
      <c r="G841" s="1133"/>
      <c r="H841" s="1133"/>
      <c r="I841" s="1133"/>
      <c r="J841" s="1133"/>
      <c r="K841" s="1133"/>
      <c r="L841" s="1133"/>
      <c r="M841" s="1133"/>
      <c r="N841" s="1133"/>
      <c r="O841" s="1133"/>
      <c r="P841" s="1133"/>
      <c r="Q841" s="1133"/>
      <c r="R841" s="1133"/>
      <c r="S841" s="1133"/>
      <c r="T841" s="1133"/>
      <c r="U841" s="1133"/>
      <c r="V841" s="1135"/>
      <c r="W841" s="1135"/>
    </row>
    <row r="842">
      <c r="A842" s="1133"/>
      <c r="B842" s="1133"/>
      <c r="C842" s="1133"/>
      <c r="D842" s="1133"/>
      <c r="E842" s="1133"/>
      <c r="F842" s="1133"/>
      <c r="G842" s="1133"/>
      <c r="H842" s="1133"/>
      <c r="I842" s="1133"/>
      <c r="J842" s="1133"/>
      <c r="K842" s="1133"/>
      <c r="L842" s="1133"/>
      <c r="M842" s="1133"/>
      <c r="N842" s="1133"/>
      <c r="O842" s="1133"/>
      <c r="P842" s="1133"/>
      <c r="Q842" s="1133"/>
      <c r="R842" s="1133"/>
      <c r="S842" s="1133"/>
      <c r="T842" s="1133"/>
      <c r="U842" s="1133"/>
      <c r="V842" s="1135"/>
      <c r="W842" s="1135"/>
    </row>
    <row r="843">
      <c r="A843" s="1133"/>
      <c r="B843" s="1133"/>
      <c r="C843" s="1133"/>
      <c r="D843" s="1133"/>
      <c r="E843" s="1133"/>
      <c r="F843" s="1133"/>
      <c r="G843" s="1133"/>
      <c r="H843" s="1133"/>
      <c r="I843" s="1133"/>
      <c r="J843" s="1133"/>
      <c r="K843" s="1133"/>
      <c r="L843" s="1133"/>
      <c r="M843" s="1133"/>
      <c r="N843" s="1133"/>
      <c r="O843" s="1133"/>
      <c r="P843" s="1133"/>
      <c r="Q843" s="1133"/>
      <c r="R843" s="1133"/>
      <c r="S843" s="1133"/>
      <c r="T843" s="1133"/>
      <c r="U843" s="1133"/>
      <c r="V843" s="1135"/>
      <c r="W843" s="1135"/>
    </row>
    <row r="844">
      <c r="A844" s="1133"/>
      <c r="B844" s="1133"/>
      <c r="C844" s="1133"/>
      <c r="D844" s="1133"/>
      <c r="E844" s="1133"/>
      <c r="F844" s="1133"/>
      <c r="G844" s="1133"/>
      <c r="H844" s="1133"/>
      <c r="I844" s="1133"/>
      <c r="J844" s="1133"/>
      <c r="K844" s="1133"/>
      <c r="L844" s="1133"/>
      <c r="M844" s="1133"/>
      <c r="N844" s="1133"/>
      <c r="O844" s="1133"/>
      <c r="P844" s="1133"/>
      <c r="Q844" s="1133"/>
      <c r="R844" s="1133"/>
      <c r="S844" s="1133"/>
      <c r="T844" s="1133"/>
      <c r="U844" s="1133"/>
      <c r="V844" s="1135"/>
      <c r="W844" s="1135"/>
    </row>
    <row r="845">
      <c r="A845" s="1133"/>
      <c r="B845" s="1133"/>
      <c r="C845" s="1133"/>
      <c r="D845" s="1133"/>
      <c r="E845" s="1133"/>
      <c r="F845" s="1133"/>
      <c r="G845" s="1133"/>
      <c r="H845" s="1133"/>
      <c r="I845" s="1133"/>
      <c r="J845" s="1133"/>
      <c r="K845" s="1133"/>
      <c r="L845" s="1133"/>
      <c r="M845" s="1133"/>
      <c r="N845" s="1133"/>
      <c r="O845" s="1133"/>
      <c r="P845" s="1133"/>
      <c r="Q845" s="1133"/>
      <c r="R845" s="1133"/>
      <c r="S845" s="1133"/>
      <c r="T845" s="1133"/>
      <c r="U845" s="1133"/>
      <c r="V845" s="1135"/>
      <c r="W845" s="1135"/>
    </row>
    <row r="846">
      <c r="A846" s="1133"/>
      <c r="B846" s="1133"/>
      <c r="C846" s="1133"/>
      <c r="D846" s="1133"/>
      <c r="E846" s="1133"/>
      <c r="F846" s="1133"/>
      <c r="G846" s="1133"/>
      <c r="H846" s="1133"/>
      <c r="I846" s="1133"/>
      <c r="J846" s="1133"/>
      <c r="K846" s="1133"/>
      <c r="L846" s="1133"/>
      <c r="M846" s="1133"/>
      <c r="N846" s="1133"/>
      <c r="O846" s="1133"/>
      <c r="P846" s="1133"/>
      <c r="Q846" s="1133"/>
      <c r="R846" s="1133"/>
      <c r="S846" s="1133"/>
      <c r="T846" s="1133"/>
      <c r="U846" s="1133"/>
      <c r="V846" s="1135"/>
      <c r="W846" s="1135"/>
    </row>
    <row r="847">
      <c r="A847" s="1133"/>
      <c r="B847" s="1133"/>
      <c r="C847" s="1133"/>
      <c r="D847" s="1133"/>
      <c r="E847" s="1133"/>
      <c r="F847" s="1133"/>
      <c r="G847" s="1133"/>
      <c r="H847" s="1133"/>
      <c r="I847" s="1133"/>
      <c r="J847" s="1133"/>
      <c r="K847" s="1133"/>
      <c r="L847" s="1133"/>
      <c r="M847" s="1133"/>
      <c r="N847" s="1133"/>
      <c r="O847" s="1133"/>
      <c r="P847" s="1133"/>
      <c r="Q847" s="1133"/>
      <c r="R847" s="1133"/>
      <c r="S847" s="1133"/>
      <c r="T847" s="1133"/>
      <c r="U847" s="1133"/>
      <c r="V847" s="1135"/>
      <c r="W847" s="1135"/>
    </row>
    <row r="848">
      <c r="A848" s="1133"/>
      <c r="B848" s="1133"/>
      <c r="C848" s="1133"/>
      <c r="D848" s="1133"/>
      <c r="E848" s="1133"/>
      <c r="F848" s="1133"/>
      <c r="G848" s="1133"/>
      <c r="H848" s="1133"/>
      <c r="I848" s="1133"/>
      <c r="J848" s="1133"/>
      <c r="K848" s="1133"/>
      <c r="L848" s="1133"/>
      <c r="M848" s="1133"/>
      <c r="N848" s="1133"/>
      <c r="O848" s="1133"/>
      <c r="P848" s="1133"/>
      <c r="Q848" s="1133"/>
      <c r="R848" s="1133"/>
      <c r="S848" s="1133"/>
      <c r="T848" s="1133"/>
      <c r="U848" s="1133"/>
      <c r="V848" s="1135"/>
      <c r="W848" s="1135"/>
    </row>
    <row r="849">
      <c r="A849" s="1133"/>
      <c r="B849" s="1133"/>
      <c r="C849" s="1133"/>
      <c r="D849" s="1133"/>
      <c r="E849" s="1133"/>
      <c r="F849" s="1133"/>
      <c r="G849" s="1133"/>
      <c r="H849" s="1133"/>
      <c r="I849" s="1133"/>
      <c r="J849" s="1133"/>
      <c r="K849" s="1133"/>
      <c r="L849" s="1133"/>
      <c r="M849" s="1133"/>
      <c r="N849" s="1133"/>
      <c r="O849" s="1133"/>
      <c r="P849" s="1133"/>
      <c r="Q849" s="1133"/>
      <c r="R849" s="1133"/>
      <c r="S849" s="1133"/>
      <c r="T849" s="1133"/>
      <c r="U849" s="1133"/>
      <c r="V849" s="1135"/>
      <c r="W849" s="1135"/>
    </row>
    <row r="850">
      <c r="A850" s="1133"/>
      <c r="B850" s="1133"/>
      <c r="C850" s="1133"/>
      <c r="D850" s="1133"/>
      <c r="E850" s="1133"/>
      <c r="F850" s="1133"/>
      <c r="G850" s="1133"/>
      <c r="H850" s="1133"/>
      <c r="I850" s="1133"/>
      <c r="J850" s="1133"/>
      <c r="K850" s="1133"/>
      <c r="L850" s="1133"/>
      <c r="M850" s="1133"/>
      <c r="N850" s="1133"/>
      <c r="O850" s="1133"/>
      <c r="P850" s="1133"/>
      <c r="Q850" s="1133"/>
      <c r="R850" s="1133"/>
      <c r="S850" s="1133"/>
      <c r="T850" s="1133"/>
      <c r="U850" s="1133"/>
      <c r="V850" s="1135"/>
      <c r="W850" s="1135"/>
    </row>
    <row r="851">
      <c r="A851" s="1133"/>
      <c r="B851" s="1133"/>
      <c r="C851" s="1133"/>
      <c r="D851" s="1133"/>
      <c r="E851" s="1133"/>
      <c r="F851" s="1133"/>
      <c r="G851" s="1133"/>
      <c r="H851" s="1133"/>
      <c r="I851" s="1133"/>
      <c r="J851" s="1133"/>
      <c r="K851" s="1133"/>
      <c r="L851" s="1133"/>
      <c r="M851" s="1133"/>
      <c r="N851" s="1133"/>
      <c r="O851" s="1133"/>
      <c r="P851" s="1133"/>
      <c r="Q851" s="1133"/>
      <c r="R851" s="1133"/>
      <c r="S851" s="1133"/>
      <c r="T851" s="1133"/>
      <c r="U851" s="1133"/>
      <c r="V851" s="1135"/>
      <c r="W851" s="1135"/>
    </row>
    <row r="852">
      <c r="A852" s="1133"/>
      <c r="B852" s="1133"/>
      <c r="C852" s="1133"/>
      <c r="D852" s="1133"/>
      <c r="E852" s="1133"/>
      <c r="F852" s="1133"/>
      <c r="G852" s="1133"/>
      <c r="H852" s="1133"/>
      <c r="I852" s="1133"/>
      <c r="J852" s="1133"/>
      <c r="K852" s="1133"/>
      <c r="L852" s="1133"/>
      <c r="M852" s="1133"/>
      <c r="N852" s="1133"/>
      <c r="O852" s="1133"/>
      <c r="P852" s="1133"/>
      <c r="Q852" s="1133"/>
      <c r="R852" s="1133"/>
      <c r="S852" s="1133"/>
      <c r="T852" s="1133"/>
      <c r="U852" s="1133"/>
      <c r="V852" s="1135"/>
      <c r="W852" s="1135"/>
    </row>
    <row r="853">
      <c r="A853" s="1133"/>
      <c r="B853" s="1133"/>
      <c r="C853" s="1133"/>
      <c r="D853" s="1133"/>
      <c r="E853" s="1133"/>
      <c r="F853" s="1133"/>
      <c r="G853" s="1133"/>
      <c r="H853" s="1133"/>
      <c r="I853" s="1133"/>
      <c r="J853" s="1133"/>
      <c r="K853" s="1133"/>
      <c r="L853" s="1133"/>
      <c r="M853" s="1133"/>
      <c r="N853" s="1133"/>
      <c r="O853" s="1133"/>
      <c r="P853" s="1133"/>
      <c r="Q853" s="1133"/>
      <c r="R853" s="1133"/>
      <c r="S853" s="1133"/>
      <c r="T853" s="1133"/>
      <c r="U853" s="1133"/>
      <c r="V853" s="1135"/>
      <c r="W853" s="1135"/>
    </row>
    <row r="854">
      <c r="A854" s="1133"/>
      <c r="B854" s="1133"/>
      <c r="C854" s="1133"/>
      <c r="D854" s="1133"/>
      <c r="E854" s="1133"/>
      <c r="F854" s="1133"/>
      <c r="G854" s="1133"/>
      <c r="H854" s="1133"/>
      <c r="I854" s="1133"/>
      <c r="J854" s="1133"/>
      <c r="K854" s="1133"/>
      <c r="L854" s="1133"/>
      <c r="M854" s="1133"/>
      <c r="N854" s="1133"/>
      <c r="O854" s="1133"/>
      <c r="P854" s="1133"/>
      <c r="Q854" s="1133"/>
      <c r="R854" s="1133"/>
      <c r="S854" s="1133"/>
      <c r="T854" s="1133"/>
      <c r="U854" s="1133"/>
      <c r="V854" s="1135"/>
      <c r="W854" s="1135"/>
    </row>
    <row r="855">
      <c r="A855" s="1133"/>
      <c r="B855" s="1133"/>
      <c r="C855" s="1133"/>
      <c r="D855" s="1133"/>
      <c r="E855" s="1133"/>
      <c r="F855" s="1133"/>
      <c r="G855" s="1133"/>
      <c r="H855" s="1133"/>
      <c r="I855" s="1133"/>
      <c r="J855" s="1133"/>
      <c r="K855" s="1133"/>
      <c r="L855" s="1133"/>
      <c r="M855" s="1133"/>
      <c r="N855" s="1133"/>
      <c r="O855" s="1133"/>
      <c r="P855" s="1133"/>
      <c r="Q855" s="1133"/>
      <c r="R855" s="1133"/>
      <c r="S855" s="1133"/>
      <c r="T855" s="1133"/>
      <c r="U855" s="1133"/>
      <c r="V855" s="1135"/>
      <c r="W855" s="1135"/>
    </row>
    <row r="856">
      <c r="A856" s="1133"/>
      <c r="B856" s="1133"/>
      <c r="C856" s="1133"/>
      <c r="D856" s="1133"/>
      <c r="E856" s="1133"/>
      <c r="F856" s="1133"/>
      <c r="G856" s="1133"/>
      <c r="H856" s="1133"/>
      <c r="I856" s="1133"/>
      <c r="J856" s="1133"/>
      <c r="K856" s="1133"/>
      <c r="L856" s="1133"/>
      <c r="M856" s="1133"/>
      <c r="N856" s="1133"/>
      <c r="O856" s="1133"/>
      <c r="P856" s="1133"/>
      <c r="Q856" s="1133"/>
      <c r="R856" s="1133"/>
      <c r="S856" s="1133"/>
      <c r="T856" s="1133"/>
      <c r="U856" s="1133"/>
      <c r="V856" s="1135"/>
      <c r="W856" s="1135"/>
    </row>
    <row r="857">
      <c r="A857" s="1133"/>
      <c r="B857" s="1133"/>
      <c r="C857" s="1133"/>
      <c r="D857" s="1133"/>
      <c r="E857" s="1133"/>
      <c r="F857" s="1133"/>
      <c r="G857" s="1133"/>
      <c r="H857" s="1133"/>
      <c r="I857" s="1133"/>
      <c r="J857" s="1133"/>
      <c r="K857" s="1133"/>
      <c r="L857" s="1133"/>
      <c r="M857" s="1133"/>
      <c r="N857" s="1133"/>
      <c r="O857" s="1133"/>
      <c r="P857" s="1133"/>
      <c r="Q857" s="1133"/>
      <c r="R857" s="1133"/>
      <c r="S857" s="1133"/>
      <c r="T857" s="1133"/>
      <c r="U857" s="1133"/>
      <c r="V857" s="1135"/>
      <c r="W857" s="1135"/>
    </row>
    <row r="858">
      <c r="A858" s="1133"/>
      <c r="B858" s="1133"/>
      <c r="C858" s="1133"/>
      <c r="D858" s="1133"/>
      <c r="E858" s="1133"/>
      <c r="F858" s="1133"/>
      <c r="G858" s="1133"/>
      <c r="H858" s="1133"/>
      <c r="I858" s="1133"/>
      <c r="J858" s="1133"/>
      <c r="K858" s="1133"/>
      <c r="L858" s="1133"/>
      <c r="M858" s="1133"/>
      <c r="N858" s="1133"/>
      <c r="O858" s="1133"/>
      <c r="P858" s="1133"/>
      <c r="Q858" s="1133"/>
      <c r="R858" s="1133"/>
      <c r="S858" s="1133"/>
      <c r="T858" s="1133"/>
      <c r="U858" s="1133"/>
      <c r="V858" s="1135"/>
      <c r="W858" s="1135"/>
    </row>
    <row r="859">
      <c r="A859" s="1133"/>
      <c r="B859" s="1133"/>
      <c r="C859" s="1133"/>
      <c r="D859" s="1133"/>
      <c r="E859" s="1133"/>
      <c r="F859" s="1133"/>
      <c r="G859" s="1133"/>
      <c r="H859" s="1133"/>
      <c r="I859" s="1133"/>
      <c r="J859" s="1133"/>
      <c r="K859" s="1133"/>
      <c r="L859" s="1133"/>
      <c r="M859" s="1133"/>
      <c r="N859" s="1133"/>
      <c r="O859" s="1133"/>
      <c r="P859" s="1133"/>
      <c r="Q859" s="1133"/>
      <c r="R859" s="1133"/>
      <c r="S859" s="1133"/>
      <c r="T859" s="1133"/>
      <c r="U859" s="1133"/>
      <c r="V859" s="1135"/>
      <c r="W859" s="1135"/>
    </row>
    <row r="860">
      <c r="A860" s="1133"/>
      <c r="B860" s="1133"/>
      <c r="C860" s="1133"/>
      <c r="D860" s="1133"/>
      <c r="E860" s="1133"/>
      <c r="F860" s="1133"/>
      <c r="G860" s="1133"/>
      <c r="H860" s="1133"/>
      <c r="I860" s="1133"/>
      <c r="J860" s="1133"/>
      <c r="K860" s="1133"/>
      <c r="L860" s="1133"/>
      <c r="M860" s="1133"/>
      <c r="N860" s="1133"/>
      <c r="O860" s="1133"/>
      <c r="P860" s="1133"/>
      <c r="Q860" s="1133"/>
      <c r="R860" s="1133"/>
      <c r="S860" s="1133"/>
      <c r="T860" s="1133"/>
      <c r="U860" s="1133"/>
      <c r="V860" s="1135"/>
      <c r="W860" s="1135"/>
    </row>
    <row r="861">
      <c r="A861" s="1133"/>
      <c r="B861" s="1133"/>
      <c r="C861" s="1133"/>
      <c r="D861" s="1133"/>
      <c r="E861" s="1133"/>
      <c r="F861" s="1133"/>
      <c r="G861" s="1133"/>
      <c r="H861" s="1133"/>
      <c r="I861" s="1133"/>
      <c r="J861" s="1133"/>
      <c r="K861" s="1133"/>
      <c r="L861" s="1133"/>
      <c r="M861" s="1133"/>
      <c r="N861" s="1133"/>
      <c r="O861" s="1133"/>
      <c r="P861" s="1133"/>
      <c r="Q861" s="1133"/>
      <c r="R861" s="1133"/>
      <c r="S861" s="1133"/>
      <c r="T861" s="1133"/>
      <c r="U861" s="1133"/>
      <c r="V861" s="1135"/>
      <c r="W861" s="1135"/>
    </row>
    <row r="862">
      <c r="A862" s="1133"/>
      <c r="B862" s="1133"/>
      <c r="C862" s="1133"/>
      <c r="D862" s="1133"/>
      <c r="E862" s="1133"/>
      <c r="F862" s="1133"/>
      <c r="G862" s="1133"/>
      <c r="H862" s="1133"/>
      <c r="I862" s="1133"/>
      <c r="J862" s="1133"/>
      <c r="K862" s="1133"/>
      <c r="L862" s="1133"/>
      <c r="M862" s="1133"/>
      <c r="N862" s="1133"/>
      <c r="O862" s="1133"/>
      <c r="P862" s="1133"/>
      <c r="Q862" s="1133"/>
      <c r="R862" s="1133"/>
      <c r="S862" s="1133"/>
      <c r="T862" s="1133"/>
      <c r="U862" s="1133"/>
      <c r="V862" s="1135"/>
      <c r="W862" s="1135"/>
    </row>
    <row r="863">
      <c r="A863" s="1133"/>
      <c r="B863" s="1133"/>
      <c r="C863" s="1133"/>
      <c r="D863" s="1133"/>
      <c r="E863" s="1133"/>
      <c r="F863" s="1133"/>
      <c r="G863" s="1133"/>
      <c r="H863" s="1133"/>
      <c r="I863" s="1133"/>
      <c r="J863" s="1133"/>
      <c r="K863" s="1133"/>
      <c r="L863" s="1133"/>
      <c r="M863" s="1133"/>
      <c r="N863" s="1133"/>
      <c r="O863" s="1133"/>
      <c r="P863" s="1133"/>
      <c r="Q863" s="1133"/>
      <c r="R863" s="1133"/>
      <c r="S863" s="1133"/>
      <c r="T863" s="1133"/>
      <c r="U863" s="1133"/>
      <c r="V863" s="1135"/>
      <c r="W863" s="1135"/>
    </row>
    <row r="864">
      <c r="A864" s="1133"/>
      <c r="B864" s="1133"/>
      <c r="C864" s="1133"/>
      <c r="D864" s="1133"/>
      <c r="E864" s="1133"/>
      <c r="F864" s="1133"/>
      <c r="G864" s="1133"/>
      <c r="H864" s="1133"/>
      <c r="I864" s="1133"/>
      <c r="J864" s="1133"/>
      <c r="K864" s="1133"/>
      <c r="L864" s="1133"/>
      <c r="M864" s="1133"/>
      <c r="N864" s="1133"/>
      <c r="O864" s="1133"/>
      <c r="P864" s="1133"/>
      <c r="Q864" s="1133"/>
      <c r="R864" s="1133"/>
      <c r="S864" s="1133"/>
      <c r="T864" s="1133"/>
      <c r="U864" s="1133"/>
      <c r="V864" s="1135"/>
      <c r="W864" s="1135"/>
    </row>
    <row r="865">
      <c r="A865" s="1133"/>
      <c r="B865" s="1133"/>
      <c r="C865" s="1133"/>
      <c r="D865" s="1133"/>
      <c r="E865" s="1133"/>
      <c r="F865" s="1133"/>
      <c r="G865" s="1133"/>
      <c r="H865" s="1133"/>
      <c r="I865" s="1133"/>
      <c r="J865" s="1133"/>
      <c r="K865" s="1133"/>
      <c r="L865" s="1133"/>
      <c r="M865" s="1133"/>
      <c r="N865" s="1133"/>
      <c r="O865" s="1133"/>
      <c r="P865" s="1133"/>
      <c r="Q865" s="1133"/>
      <c r="R865" s="1133"/>
      <c r="S865" s="1133"/>
      <c r="T865" s="1133"/>
      <c r="U865" s="1133"/>
      <c r="V865" s="1135"/>
      <c r="W865" s="1135"/>
    </row>
    <row r="866">
      <c r="A866" s="1133"/>
      <c r="B866" s="1133"/>
      <c r="C866" s="1133"/>
      <c r="D866" s="1133"/>
      <c r="E866" s="1133"/>
      <c r="F866" s="1133"/>
      <c r="G866" s="1133"/>
      <c r="H866" s="1133"/>
      <c r="I866" s="1133"/>
      <c r="J866" s="1133"/>
      <c r="K866" s="1133"/>
      <c r="L866" s="1133"/>
      <c r="M866" s="1133"/>
      <c r="N866" s="1133"/>
      <c r="O866" s="1133"/>
      <c r="P866" s="1133"/>
      <c r="Q866" s="1133"/>
      <c r="R866" s="1133"/>
      <c r="S866" s="1133"/>
      <c r="T866" s="1133"/>
      <c r="U866" s="1133"/>
      <c r="V866" s="1135"/>
      <c r="W866" s="1135"/>
    </row>
    <row r="867">
      <c r="A867" s="1133"/>
      <c r="B867" s="1133"/>
      <c r="C867" s="1133"/>
      <c r="D867" s="1133"/>
      <c r="E867" s="1133"/>
      <c r="F867" s="1133"/>
      <c r="G867" s="1133"/>
      <c r="H867" s="1133"/>
      <c r="I867" s="1133"/>
      <c r="J867" s="1133"/>
      <c r="K867" s="1133"/>
      <c r="L867" s="1133"/>
      <c r="M867" s="1133"/>
      <c r="N867" s="1133"/>
      <c r="O867" s="1133"/>
      <c r="P867" s="1133"/>
      <c r="Q867" s="1133"/>
      <c r="R867" s="1133"/>
      <c r="S867" s="1133"/>
      <c r="T867" s="1133"/>
      <c r="U867" s="1133"/>
      <c r="V867" s="1135"/>
      <c r="W867" s="1135"/>
    </row>
    <row r="868">
      <c r="A868" s="1133"/>
      <c r="B868" s="1133"/>
      <c r="C868" s="1133"/>
      <c r="D868" s="1133"/>
      <c r="E868" s="1133"/>
      <c r="F868" s="1133"/>
      <c r="G868" s="1133"/>
      <c r="H868" s="1133"/>
      <c r="I868" s="1133"/>
      <c r="J868" s="1133"/>
      <c r="K868" s="1133"/>
      <c r="L868" s="1133"/>
      <c r="M868" s="1133"/>
      <c r="N868" s="1133"/>
      <c r="O868" s="1133"/>
      <c r="P868" s="1133"/>
      <c r="Q868" s="1133"/>
      <c r="R868" s="1133"/>
      <c r="S868" s="1133"/>
      <c r="T868" s="1133"/>
      <c r="U868" s="1133"/>
      <c r="V868" s="1135"/>
      <c r="W868" s="1135"/>
    </row>
    <row r="869">
      <c r="A869" s="1133"/>
      <c r="B869" s="1133"/>
      <c r="C869" s="1133"/>
      <c r="D869" s="1133"/>
      <c r="E869" s="1133"/>
      <c r="F869" s="1133"/>
      <c r="G869" s="1133"/>
      <c r="H869" s="1133"/>
      <c r="I869" s="1133"/>
      <c r="J869" s="1133"/>
      <c r="K869" s="1133"/>
      <c r="L869" s="1133"/>
      <c r="M869" s="1133"/>
      <c r="N869" s="1133"/>
      <c r="O869" s="1133"/>
      <c r="P869" s="1133"/>
      <c r="Q869" s="1133"/>
      <c r="R869" s="1133"/>
      <c r="S869" s="1133"/>
      <c r="T869" s="1133"/>
      <c r="U869" s="1133"/>
      <c r="V869" s="1135"/>
      <c r="W869" s="1135"/>
    </row>
    <row r="870">
      <c r="A870" s="1133"/>
      <c r="B870" s="1133"/>
      <c r="C870" s="1133"/>
      <c r="D870" s="1133"/>
      <c r="E870" s="1133"/>
      <c r="F870" s="1133"/>
      <c r="G870" s="1133"/>
      <c r="H870" s="1133"/>
      <c r="I870" s="1133"/>
      <c r="J870" s="1133"/>
      <c r="K870" s="1133"/>
      <c r="L870" s="1133"/>
      <c r="M870" s="1133"/>
      <c r="N870" s="1133"/>
      <c r="O870" s="1133"/>
      <c r="P870" s="1133"/>
      <c r="Q870" s="1133"/>
      <c r="R870" s="1133"/>
      <c r="S870" s="1133"/>
      <c r="T870" s="1133"/>
      <c r="U870" s="1133"/>
      <c r="V870" s="1135"/>
      <c r="W870" s="1135"/>
    </row>
    <row r="871">
      <c r="A871" s="1133"/>
      <c r="B871" s="1133"/>
      <c r="C871" s="1133"/>
      <c r="D871" s="1133"/>
      <c r="E871" s="1133"/>
      <c r="F871" s="1133"/>
      <c r="G871" s="1133"/>
      <c r="H871" s="1133"/>
      <c r="I871" s="1133"/>
      <c r="J871" s="1133"/>
      <c r="K871" s="1133"/>
      <c r="L871" s="1133"/>
      <c r="M871" s="1133"/>
      <c r="N871" s="1133"/>
      <c r="O871" s="1133"/>
      <c r="P871" s="1133"/>
      <c r="Q871" s="1133"/>
      <c r="R871" s="1133"/>
      <c r="S871" s="1133"/>
      <c r="T871" s="1133"/>
      <c r="U871" s="1133"/>
      <c r="V871" s="1135"/>
      <c r="W871" s="1135"/>
    </row>
    <row r="872">
      <c r="A872" s="1133"/>
      <c r="B872" s="1133"/>
      <c r="C872" s="1133"/>
      <c r="D872" s="1133"/>
      <c r="E872" s="1133"/>
      <c r="F872" s="1133"/>
      <c r="G872" s="1133"/>
      <c r="H872" s="1133"/>
      <c r="I872" s="1133"/>
      <c r="J872" s="1133"/>
      <c r="K872" s="1133"/>
      <c r="L872" s="1133"/>
      <c r="M872" s="1133"/>
      <c r="N872" s="1133"/>
      <c r="O872" s="1133"/>
      <c r="P872" s="1133"/>
      <c r="Q872" s="1133"/>
      <c r="R872" s="1133"/>
      <c r="S872" s="1133"/>
      <c r="T872" s="1133"/>
      <c r="U872" s="1133"/>
      <c r="V872" s="1135"/>
      <c r="W872" s="1135"/>
    </row>
    <row r="873">
      <c r="A873" s="1133"/>
      <c r="B873" s="1133"/>
      <c r="C873" s="1133"/>
      <c r="D873" s="1133"/>
      <c r="E873" s="1133"/>
      <c r="F873" s="1133"/>
      <c r="G873" s="1133"/>
      <c r="H873" s="1133"/>
      <c r="I873" s="1133"/>
      <c r="J873" s="1133"/>
      <c r="K873" s="1133"/>
      <c r="L873" s="1133"/>
      <c r="M873" s="1133"/>
      <c r="N873" s="1133"/>
      <c r="O873" s="1133"/>
      <c r="P873" s="1133"/>
      <c r="Q873" s="1133"/>
      <c r="R873" s="1133"/>
      <c r="S873" s="1133"/>
      <c r="T873" s="1133"/>
      <c r="U873" s="1133"/>
      <c r="V873" s="1135"/>
      <c r="W873" s="1135"/>
    </row>
    <row r="874">
      <c r="A874" s="1133"/>
      <c r="B874" s="1133"/>
      <c r="C874" s="1133"/>
      <c r="D874" s="1133"/>
      <c r="E874" s="1133"/>
      <c r="F874" s="1133"/>
      <c r="G874" s="1133"/>
      <c r="H874" s="1133"/>
      <c r="I874" s="1133"/>
      <c r="J874" s="1133"/>
      <c r="K874" s="1133"/>
      <c r="L874" s="1133"/>
      <c r="M874" s="1133"/>
      <c r="N874" s="1133"/>
      <c r="O874" s="1133"/>
      <c r="P874" s="1133"/>
      <c r="Q874" s="1133"/>
      <c r="R874" s="1133"/>
      <c r="S874" s="1133"/>
      <c r="T874" s="1133"/>
      <c r="U874" s="1133"/>
      <c r="V874" s="1135"/>
      <c r="W874" s="1135"/>
    </row>
    <row r="875">
      <c r="A875" s="1133"/>
      <c r="B875" s="1133"/>
      <c r="C875" s="1133"/>
      <c r="D875" s="1133"/>
      <c r="E875" s="1133"/>
      <c r="F875" s="1133"/>
      <c r="G875" s="1133"/>
      <c r="H875" s="1133"/>
      <c r="I875" s="1133"/>
      <c r="J875" s="1133"/>
      <c r="K875" s="1133"/>
      <c r="L875" s="1133"/>
      <c r="M875" s="1133"/>
      <c r="N875" s="1133"/>
      <c r="O875" s="1133"/>
      <c r="P875" s="1133"/>
      <c r="Q875" s="1133"/>
      <c r="R875" s="1133"/>
      <c r="S875" s="1133"/>
      <c r="T875" s="1133"/>
      <c r="U875" s="1133"/>
      <c r="V875" s="1135"/>
      <c r="W875" s="1135"/>
    </row>
    <row r="876">
      <c r="A876" s="1133"/>
      <c r="B876" s="1133"/>
      <c r="C876" s="1133"/>
      <c r="D876" s="1133"/>
      <c r="E876" s="1133"/>
      <c r="F876" s="1133"/>
      <c r="G876" s="1133"/>
      <c r="H876" s="1133"/>
      <c r="I876" s="1133"/>
      <c r="J876" s="1133"/>
      <c r="K876" s="1133"/>
      <c r="L876" s="1133"/>
      <c r="M876" s="1133"/>
      <c r="N876" s="1133"/>
      <c r="O876" s="1133"/>
      <c r="P876" s="1133"/>
      <c r="Q876" s="1133"/>
      <c r="R876" s="1133"/>
      <c r="S876" s="1133"/>
      <c r="T876" s="1133"/>
      <c r="U876" s="1133"/>
      <c r="V876" s="1135"/>
      <c r="W876" s="1135"/>
    </row>
    <row r="877">
      <c r="A877" s="1133"/>
      <c r="B877" s="1133"/>
      <c r="C877" s="1133"/>
      <c r="D877" s="1133"/>
      <c r="E877" s="1133"/>
      <c r="F877" s="1133"/>
      <c r="G877" s="1133"/>
      <c r="H877" s="1133"/>
      <c r="I877" s="1133"/>
      <c r="J877" s="1133"/>
      <c r="K877" s="1133"/>
      <c r="L877" s="1133"/>
      <c r="M877" s="1133"/>
      <c r="N877" s="1133"/>
      <c r="O877" s="1133"/>
      <c r="P877" s="1133"/>
      <c r="Q877" s="1133"/>
      <c r="R877" s="1133"/>
      <c r="S877" s="1133"/>
      <c r="T877" s="1133"/>
      <c r="U877" s="1133"/>
      <c r="V877" s="1135"/>
      <c r="W877" s="1135"/>
    </row>
    <row r="878">
      <c r="A878" s="1133"/>
      <c r="B878" s="1133"/>
      <c r="C878" s="1133"/>
      <c r="D878" s="1133"/>
      <c r="E878" s="1133"/>
      <c r="F878" s="1133"/>
      <c r="G878" s="1133"/>
      <c r="H878" s="1133"/>
      <c r="I878" s="1133"/>
      <c r="J878" s="1133"/>
      <c r="K878" s="1133"/>
      <c r="L878" s="1133"/>
      <c r="M878" s="1133"/>
      <c r="N878" s="1133"/>
      <c r="O878" s="1133"/>
      <c r="P878" s="1133"/>
      <c r="Q878" s="1133"/>
      <c r="R878" s="1133"/>
      <c r="S878" s="1133"/>
      <c r="T878" s="1133"/>
      <c r="U878" s="1133"/>
      <c r="V878" s="1135"/>
      <c r="W878" s="1135"/>
    </row>
    <row r="879">
      <c r="A879" s="1133"/>
      <c r="B879" s="1133"/>
      <c r="C879" s="1133"/>
      <c r="D879" s="1133"/>
      <c r="E879" s="1133"/>
      <c r="F879" s="1133"/>
      <c r="G879" s="1133"/>
      <c r="H879" s="1133"/>
      <c r="I879" s="1133"/>
      <c r="J879" s="1133"/>
      <c r="K879" s="1133"/>
      <c r="L879" s="1133"/>
      <c r="M879" s="1133"/>
      <c r="N879" s="1133"/>
      <c r="O879" s="1133"/>
      <c r="P879" s="1133"/>
      <c r="Q879" s="1133"/>
      <c r="R879" s="1133"/>
      <c r="S879" s="1133"/>
      <c r="T879" s="1133"/>
      <c r="U879" s="1133"/>
      <c r="V879" s="1135"/>
      <c r="W879" s="1135"/>
    </row>
    <row r="880">
      <c r="A880" s="1133"/>
      <c r="B880" s="1133"/>
      <c r="C880" s="1133"/>
      <c r="D880" s="1133"/>
      <c r="E880" s="1133"/>
      <c r="F880" s="1133"/>
      <c r="G880" s="1133"/>
      <c r="H880" s="1133"/>
      <c r="I880" s="1133"/>
      <c r="J880" s="1133"/>
      <c r="K880" s="1133"/>
      <c r="L880" s="1133"/>
      <c r="M880" s="1133"/>
      <c r="N880" s="1133"/>
      <c r="O880" s="1133"/>
      <c r="P880" s="1133"/>
      <c r="Q880" s="1133"/>
      <c r="R880" s="1133"/>
      <c r="S880" s="1133"/>
      <c r="T880" s="1133"/>
      <c r="U880" s="1133"/>
      <c r="V880" s="1135"/>
      <c r="W880" s="1135"/>
    </row>
    <row r="881">
      <c r="A881" s="1133"/>
      <c r="B881" s="1133"/>
      <c r="C881" s="1133"/>
      <c r="D881" s="1133"/>
      <c r="E881" s="1133"/>
      <c r="F881" s="1133"/>
      <c r="G881" s="1133"/>
      <c r="H881" s="1133"/>
      <c r="I881" s="1133"/>
      <c r="J881" s="1133"/>
      <c r="K881" s="1133"/>
      <c r="L881" s="1133"/>
      <c r="M881" s="1133"/>
      <c r="N881" s="1133"/>
      <c r="O881" s="1133"/>
      <c r="P881" s="1133"/>
      <c r="Q881" s="1133"/>
      <c r="R881" s="1133"/>
      <c r="S881" s="1133"/>
      <c r="T881" s="1133"/>
      <c r="U881" s="1133"/>
      <c r="V881" s="1135"/>
      <c r="W881" s="1135"/>
    </row>
    <row r="882">
      <c r="A882" s="1133"/>
      <c r="B882" s="1133"/>
      <c r="C882" s="1133"/>
      <c r="D882" s="1133"/>
      <c r="E882" s="1133"/>
      <c r="F882" s="1133"/>
      <c r="G882" s="1133"/>
      <c r="H882" s="1133"/>
      <c r="I882" s="1133"/>
      <c r="J882" s="1133"/>
      <c r="K882" s="1133"/>
      <c r="L882" s="1133"/>
      <c r="M882" s="1133"/>
      <c r="N882" s="1133"/>
      <c r="O882" s="1133"/>
      <c r="P882" s="1133"/>
      <c r="Q882" s="1133"/>
      <c r="R882" s="1133"/>
      <c r="S882" s="1133"/>
      <c r="T882" s="1133"/>
      <c r="U882" s="1133"/>
      <c r="V882" s="1135"/>
      <c r="W882" s="1135"/>
    </row>
    <row r="883">
      <c r="A883" s="1133"/>
      <c r="B883" s="1133"/>
      <c r="C883" s="1133"/>
      <c r="D883" s="1133"/>
      <c r="E883" s="1133"/>
      <c r="F883" s="1133"/>
      <c r="G883" s="1133"/>
      <c r="H883" s="1133"/>
      <c r="I883" s="1133"/>
      <c r="J883" s="1133"/>
      <c r="K883" s="1133"/>
      <c r="L883" s="1133"/>
      <c r="M883" s="1133"/>
      <c r="N883" s="1133"/>
      <c r="O883" s="1133"/>
      <c r="P883" s="1133"/>
      <c r="Q883" s="1133"/>
      <c r="R883" s="1133"/>
      <c r="S883" s="1133"/>
      <c r="T883" s="1133"/>
      <c r="U883" s="1133"/>
      <c r="V883" s="1135"/>
      <c r="W883" s="1135"/>
    </row>
    <row r="884">
      <c r="A884" s="1133"/>
      <c r="B884" s="1133"/>
      <c r="C884" s="1133"/>
      <c r="D884" s="1133"/>
      <c r="E884" s="1133"/>
      <c r="F884" s="1133"/>
      <c r="G884" s="1133"/>
      <c r="H884" s="1133"/>
      <c r="I884" s="1133"/>
      <c r="J884" s="1133"/>
      <c r="K884" s="1133"/>
      <c r="L884" s="1133"/>
      <c r="M884" s="1133"/>
      <c r="N884" s="1133"/>
      <c r="O884" s="1133"/>
      <c r="P884" s="1133"/>
      <c r="Q884" s="1133"/>
      <c r="R884" s="1133"/>
      <c r="S884" s="1133"/>
      <c r="T884" s="1133"/>
      <c r="U884" s="1133"/>
      <c r="V884" s="1135"/>
      <c r="W884" s="1135"/>
    </row>
    <row r="885">
      <c r="A885" s="1133"/>
      <c r="B885" s="1133"/>
      <c r="C885" s="1133"/>
      <c r="D885" s="1133"/>
      <c r="E885" s="1133"/>
      <c r="F885" s="1133"/>
      <c r="G885" s="1133"/>
      <c r="H885" s="1133"/>
      <c r="I885" s="1133"/>
      <c r="J885" s="1133"/>
      <c r="K885" s="1133"/>
      <c r="L885" s="1133"/>
      <c r="M885" s="1133"/>
      <c r="N885" s="1133"/>
      <c r="O885" s="1133"/>
      <c r="P885" s="1133"/>
      <c r="Q885" s="1133"/>
      <c r="R885" s="1133"/>
      <c r="S885" s="1133"/>
      <c r="T885" s="1133"/>
      <c r="U885" s="1133"/>
      <c r="V885" s="1135"/>
      <c r="W885" s="1135"/>
    </row>
    <row r="886">
      <c r="A886" s="1133"/>
      <c r="B886" s="1133"/>
      <c r="C886" s="1133"/>
      <c r="D886" s="1133"/>
      <c r="E886" s="1133"/>
      <c r="F886" s="1133"/>
      <c r="G886" s="1133"/>
      <c r="H886" s="1133"/>
      <c r="I886" s="1133"/>
      <c r="J886" s="1133"/>
      <c r="K886" s="1133"/>
      <c r="L886" s="1133"/>
      <c r="M886" s="1133"/>
      <c r="N886" s="1133"/>
      <c r="O886" s="1133"/>
      <c r="P886" s="1133"/>
      <c r="Q886" s="1133"/>
      <c r="R886" s="1133"/>
      <c r="S886" s="1133"/>
      <c r="T886" s="1133"/>
      <c r="U886" s="1133"/>
      <c r="V886" s="1135"/>
      <c r="W886" s="1135"/>
    </row>
    <row r="887">
      <c r="A887" s="1133"/>
      <c r="B887" s="1133"/>
      <c r="C887" s="1133"/>
      <c r="D887" s="1133"/>
      <c r="E887" s="1133"/>
      <c r="F887" s="1133"/>
      <c r="G887" s="1133"/>
      <c r="H887" s="1133"/>
      <c r="I887" s="1133"/>
      <c r="J887" s="1133"/>
      <c r="K887" s="1133"/>
      <c r="L887" s="1133"/>
      <c r="M887" s="1133"/>
      <c r="N887" s="1133"/>
      <c r="O887" s="1133"/>
      <c r="P887" s="1133"/>
      <c r="Q887" s="1133"/>
      <c r="R887" s="1133"/>
      <c r="S887" s="1133"/>
      <c r="T887" s="1133"/>
      <c r="U887" s="1133"/>
      <c r="V887" s="1135"/>
      <c r="W887" s="1135"/>
    </row>
    <row r="888">
      <c r="A888" s="1133"/>
      <c r="B888" s="1133"/>
      <c r="C888" s="1133"/>
      <c r="D888" s="1133"/>
      <c r="E888" s="1133"/>
      <c r="F888" s="1133"/>
      <c r="G888" s="1133"/>
      <c r="H888" s="1133"/>
      <c r="I888" s="1133"/>
      <c r="J888" s="1133"/>
      <c r="K888" s="1133"/>
      <c r="L888" s="1133"/>
      <c r="M888" s="1133"/>
      <c r="N888" s="1133"/>
      <c r="O888" s="1133"/>
      <c r="P888" s="1133"/>
      <c r="Q888" s="1133"/>
      <c r="R888" s="1133"/>
      <c r="S888" s="1133"/>
      <c r="T888" s="1133"/>
      <c r="U888" s="1133"/>
      <c r="V888" s="1135"/>
      <c r="W888" s="1135"/>
    </row>
    <row r="889">
      <c r="A889" s="1133"/>
      <c r="B889" s="1133"/>
      <c r="C889" s="1133"/>
      <c r="D889" s="1133"/>
      <c r="E889" s="1133"/>
      <c r="F889" s="1133"/>
      <c r="G889" s="1133"/>
      <c r="H889" s="1133"/>
      <c r="I889" s="1133"/>
      <c r="J889" s="1133"/>
      <c r="K889" s="1133"/>
      <c r="L889" s="1133"/>
      <c r="M889" s="1133"/>
      <c r="N889" s="1133"/>
      <c r="O889" s="1133"/>
      <c r="P889" s="1133"/>
      <c r="Q889" s="1133"/>
      <c r="R889" s="1133"/>
      <c r="S889" s="1133"/>
      <c r="T889" s="1133"/>
      <c r="U889" s="1133"/>
      <c r="V889" s="1135"/>
      <c r="W889" s="1135"/>
    </row>
    <row r="890">
      <c r="A890" s="1133"/>
      <c r="B890" s="1133"/>
      <c r="C890" s="1133"/>
      <c r="D890" s="1133"/>
      <c r="E890" s="1133"/>
      <c r="F890" s="1133"/>
      <c r="G890" s="1133"/>
      <c r="H890" s="1133"/>
      <c r="I890" s="1133"/>
      <c r="J890" s="1133"/>
      <c r="K890" s="1133"/>
      <c r="L890" s="1133"/>
      <c r="M890" s="1133"/>
      <c r="N890" s="1133"/>
      <c r="O890" s="1133"/>
      <c r="P890" s="1133"/>
      <c r="Q890" s="1133"/>
      <c r="R890" s="1133"/>
      <c r="S890" s="1133"/>
      <c r="T890" s="1133"/>
      <c r="U890" s="1133"/>
      <c r="V890" s="1135"/>
      <c r="W890" s="1135"/>
    </row>
    <row r="891">
      <c r="A891" s="1133"/>
      <c r="B891" s="1133"/>
      <c r="C891" s="1133"/>
      <c r="D891" s="1133"/>
      <c r="E891" s="1133"/>
      <c r="F891" s="1133"/>
      <c r="G891" s="1133"/>
      <c r="H891" s="1133"/>
      <c r="I891" s="1133"/>
      <c r="J891" s="1133"/>
      <c r="K891" s="1133"/>
      <c r="L891" s="1133"/>
      <c r="M891" s="1133"/>
      <c r="N891" s="1133"/>
      <c r="O891" s="1133"/>
      <c r="P891" s="1133"/>
      <c r="Q891" s="1133"/>
      <c r="R891" s="1133"/>
      <c r="S891" s="1133"/>
      <c r="T891" s="1133"/>
      <c r="U891" s="1133"/>
      <c r="V891" s="1135"/>
      <c r="W891" s="1135"/>
    </row>
    <row r="892">
      <c r="A892" s="1133"/>
      <c r="B892" s="1133"/>
      <c r="C892" s="1133"/>
      <c r="D892" s="1133"/>
      <c r="E892" s="1133"/>
      <c r="F892" s="1133"/>
      <c r="G892" s="1133"/>
      <c r="H892" s="1133"/>
      <c r="I892" s="1133"/>
      <c r="J892" s="1133"/>
      <c r="K892" s="1133"/>
      <c r="L892" s="1133"/>
      <c r="M892" s="1133"/>
      <c r="N892" s="1133"/>
      <c r="O892" s="1133"/>
      <c r="P892" s="1133"/>
      <c r="Q892" s="1133"/>
      <c r="R892" s="1133"/>
      <c r="S892" s="1133"/>
      <c r="T892" s="1133"/>
      <c r="U892" s="1133"/>
      <c r="V892" s="1135"/>
      <c r="W892" s="1135"/>
    </row>
    <row r="893">
      <c r="A893" s="1133"/>
      <c r="B893" s="1133"/>
      <c r="C893" s="1133"/>
      <c r="D893" s="1133"/>
      <c r="E893" s="1133"/>
      <c r="F893" s="1133"/>
      <c r="G893" s="1133"/>
      <c r="H893" s="1133"/>
      <c r="I893" s="1133"/>
      <c r="J893" s="1133"/>
      <c r="K893" s="1133"/>
      <c r="L893" s="1133"/>
      <c r="M893" s="1133"/>
      <c r="N893" s="1133"/>
      <c r="O893" s="1133"/>
      <c r="P893" s="1133"/>
      <c r="Q893" s="1133"/>
      <c r="R893" s="1133"/>
      <c r="S893" s="1133"/>
      <c r="T893" s="1133"/>
      <c r="U893" s="1133"/>
      <c r="V893" s="1135"/>
      <c r="W893" s="1135"/>
    </row>
    <row r="894">
      <c r="A894" s="1133"/>
      <c r="B894" s="1133"/>
      <c r="C894" s="1133"/>
      <c r="D894" s="1133"/>
      <c r="E894" s="1133"/>
      <c r="F894" s="1133"/>
      <c r="G894" s="1133"/>
      <c r="H894" s="1133"/>
      <c r="I894" s="1133"/>
      <c r="J894" s="1133"/>
      <c r="K894" s="1133"/>
      <c r="L894" s="1133"/>
      <c r="M894" s="1133"/>
      <c r="N894" s="1133"/>
      <c r="O894" s="1133"/>
      <c r="P894" s="1133"/>
      <c r="Q894" s="1133"/>
      <c r="R894" s="1133"/>
      <c r="S894" s="1133"/>
      <c r="T894" s="1133"/>
      <c r="U894" s="1133"/>
      <c r="V894" s="1135"/>
      <c r="W894" s="1135"/>
    </row>
    <row r="895">
      <c r="A895" s="1133"/>
      <c r="B895" s="1133"/>
      <c r="C895" s="1133"/>
      <c r="D895" s="1133"/>
      <c r="E895" s="1133"/>
      <c r="F895" s="1133"/>
      <c r="G895" s="1133"/>
      <c r="H895" s="1133"/>
      <c r="I895" s="1133"/>
      <c r="J895" s="1133"/>
      <c r="K895" s="1133"/>
      <c r="L895" s="1133"/>
      <c r="M895" s="1133"/>
      <c r="N895" s="1133"/>
      <c r="O895" s="1133"/>
      <c r="P895" s="1133"/>
      <c r="Q895" s="1133"/>
      <c r="R895" s="1133"/>
      <c r="S895" s="1133"/>
      <c r="T895" s="1133"/>
      <c r="U895" s="1133"/>
      <c r="V895" s="1135"/>
      <c r="W895" s="1135"/>
    </row>
    <row r="896">
      <c r="A896" s="1133"/>
      <c r="B896" s="1133"/>
      <c r="C896" s="1133"/>
      <c r="D896" s="1133"/>
      <c r="E896" s="1133"/>
      <c r="F896" s="1133"/>
      <c r="G896" s="1133"/>
      <c r="H896" s="1133"/>
      <c r="I896" s="1133"/>
      <c r="J896" s="1133"/>
      <c r="K896" s="1133"/>
      <c r="L896" s="1133"/>
      <c r="M896" s="1133"/>
      <c r="N896" s="1133"/>
      <c r="O896" s="1133"/>
      <c r="P896" s="1133"/>
      <c r="Q896" s="1133"/>
      <c r="R896" s="1133"/>
      <c r="S896" s="1133"/>
      <c r="T896" s="1133"/>
      <c r="U896" s="1133"/>
      <c r="V896" s="1135"/>
      <c r="W896" s="1135"/>
    </row>
    <row r="897">
      <c r="A897" s="1133"/>
      <c r="B897" s="1133"/>
      <c r="C897" s="1133"/>
      <c r="D897" s="1133"/>
      <c r="E897" s="1133"/>
      <c r="F897" s="1133"/>
      <c r="G897" s="1133"/>
      <c r="H897" s="1133"/>
      <c r="I897" s="1133"/>
      <c r="J897" s="1133"/>
      <c r="K897" s="1133"/>
      <c r="L897" s="1133"/>
      <c r="M897" s="1133"/>
      <c r="N897" s="1133"/>
      <c r="O897" s="1133"/>
      <c r="P897" s="1133"/>
      <c r="Q897" s="1133"/>
      <c r="R897" s="1133"/>
      <c r="S897" s="1133"/>
      <c r="T897" s="1133"/>
      <c r="U897" s="1133"/>
      <c r="V897" s="1135"/>
      <c r="W897" s="1135"/>
    </row>
    <row r="898">
      <c r="A898" s="1133"/>
      <c r="B898" s="1133"/>
      <c r="C898" s="1133"/>
      <c r="D898" s="1133"/>
      <c r="E898" s="1133"/>
      <c r="F898" s="1133"/>
      <c r="G898" s="1133"/>
      <c r="H898" s="1133"/>
      <c r="I898" s="1133"/>
      <c r="J898" s="1133"/>
      <c r="K898" s="1133"/>
      <c r="L898" s="1133"/>
      <c r="M898" s="1133"/>
      <c r="N898" s="1133"/>
      <c r="O898" s="1133"/>
      <c r="P898" s="1133"/>
      <c r="Q898" s="1133"/>
      <c r="R898" s="1133"/>
      <c r="S898" s="1133"/>
      <c r="T898" s="1133"/>
      <c r="U898" s="1133"/>
      <c r="V898" s="1135"/>
      <c r="W898" s="1135"/>
    </row>
    <row r="899">
      <c r="A899" s="1133"/>
      <c r="B899" s="1133"/>
      <c r="C899" s="1133"/>
      <c r="D899" s="1133"/>
      <c r="E899" s="1133"/>
      <c r="F899" s="1133"/>
      <c r="G899" s="1133"/>
      <c r="H899" s="1133"/>
      <c r="I899" s="1133"/>
      <c r="J899" s="1133"/>
      <c r="K899" s="1133"/>
      <c r="L899" s="1133"/>
      <c r="M899" s="1133"/>
      <c r="N899" s="1133"/>
      <c r="O899" s="1133"/>
      <c r="P899" s="1133"/>
      <c r="Q899" s="1133"/>
      <c r="R899" s="1133"/>
      <c r="S899" s="1133"/>
      <c r="T899" s="1133"/>
      <c r="U899" s="1133"/>
      <c r="V899" s="1135"/>
      <c r="W899" s="1135"/>
    </row>
    <row r="900">
      <c r="A900" s="1133"/>
      <c r="B900" s="1133"/>
      <c r="C900" s="1133"/>
      <c r="D900" s="1133"/>
      <c r="E900" s="1133"/>
      <c r="F900" s="1133"/>
      <c r="G900" s="1133"/>
      <c r="H900" s="1133"/>
      <c r="I900" s="1133"/>
      <c r="J900" s="1133"/>
      <c r="K900" s="1133"/>
      <c r="L900" s="1133"/>
      <c r="M900" s="1133"/>
      <c r="N900" s="1133"/>
      <c r="O900" s="1133"/>
      <c r="P900" s="1133"/>
      <c r="Q900" s="1133"/>
      <c r="R900" s="1133"/>
      <c r="S900" s="1133"/>
      <c r="T900" s="1133"/>
      <c r="U900" s="1133"/>
      <c r="V900" s="1135"/>
      <c r="W900" s="1135"/>
    </row>
    <row r="901">
      <c r="A901" s="1133"/>
      <c r="B901" s="1133"/>
      <c r="C901" s="1133"/>
      <c r="D901" s="1133"/>
      <c r="E901" s="1133"/>
      <c r="F901" s="1133"/>
      <c r="G901" s="1133"/>
      <c r="H901" s="1133"/>
      <c r="I901" s="1133"/>
      <c r="J901" s="1133"/>
      <c r="K901" s="1133"/>
      <c r="L901" s="1133"/>
      <c r="M901" s="1133"/>
      <c r="N901" s="1133"/>
      <c r="O901" s="1133"/>
      <c r="P901" s="1133"/>
      <c r="Q901" s="1133"/>
      <c r="R901" s="1133"/>
      <c r="S901" s="1133"/>
      <c r="T901" s="1133"/>
      <c r="U901" s="1133"/>
      <c r="V901" s="1135"/>
      <c r="W901" s="1135"/>
    </row>
    <row r="902">
      <c r="A902" s="1133"/>
      <c r="B902" s="1133"/>
      <c r="C902" s="1133"/>
      <c r="D902" s="1133"/>
      <c r="E902" s="1133"/>
      <c r="F902" s="1133"/>
      <c r="G902" s="1133"/>
      <c r="H902" s="1133"/>
      <c r="I902" s="1133"/>
      <c r="J902" s="1133"/>
      <c r="K902" s="1133"/>
      <c r="L902" s="1133"/>
      <c r="M902" s="1133"/>
      <c r="N902" s="1133"/>
      <c r="O902" s="1133"/>
      <c r="P902" s="1133"/>
      <c r="Q902" s="1133"/>
      <c r="R902" s="1133"/>
      <c r="S902" s="1133"/>
      <c r="T902" s="1133"/>
      <c r="U902" s="1133"/>
      <c r="V902" s="1135"/>
      <c r="W902" s="1135"/>
    </row>
    <row r="903">
      <c r="A903" s="1133"/>
      <c r="B903" s="1133"/>
      <c r="C903" s="1133"/>
      <c r="D903" s="1133"/>
      <c r="E903" s="1133"/>
      <c r="F903" s="1133"/>
      <c r="G903" s="1133"/>
      <c r="H903" s="1133"/>
      <c r="I903" s="1133"/>
      <c r="J903" s="1133"/>
      <c r="K903" s="1133"/>
      <c r="L903" s="1133"/>
      <c r="M903" s="1133"/>
      <c r="N903" s="1133"/>
      <c r="O903" s="1133"/>
      <c r="P903" s="1133"/>
      <c r="Q903" s="1133"/>
      <c r="R903" s="1133"/>
      <c r="S903" s="1133"/>
      <c r="T903" s="1133"/>
      <c r="U903" s="1133"/>
      <c r="V903" s="1135"/>
      <c r="W903" s="1135"/>
    </row>
    <row r="904">
      <c r="A904" s="1133"/>
      <c r="B904" s="1133"/>
      <c r="C904" s="1133"/>
      <c r="D904" s="1133"/>
      <c r="E904" s="1133"/>
      <c r="F904" s="1133"/>
      <c r="G904" s="1133"/>
      <c r="H904" s="1133"/>
      <c r="I904" s="1133"/>
      <c r="J904" s="1133"/>
      <c r="K904" s="1133"/>
      <c r="L904" s="1133"/>
      <c r="M904" s="1133"/>
      <c r="N904" s="1133"/>
      <c r="O904" s="1133"/>
      <c r="P904" s="1133"/>
      <c r="Q904" s="1133"/>
      <c r="R904" s="1133"/>
      <c r="S904" s="1133"/>
      <c r="T904" s="1133"/>
      <c r="U904" s="1133"/>
      <c r="V904" s="1135"/>
      <c r="W904" s="1135"/>
    </row>
    <row r="905">
      <c r="A905" s="1133"/>
      <c r="B905" s="1133"/>
      <c r="C905" s="1133"/>
      <c r="D905" s="1133"/>
      <c r="E905" s="1133"/>
      <c r="F905" s="1133"/>
      <c r="G905" s="1133"/>
      <c r="H905" s="1133"/>
      <c r="I905" s="1133"/>
      <c r="J905" s="1133"/>
      <c r="K905" s="1133"/>
      <c r="L905" s="1133"/>
      <c r="M905" s="1133"/>
      <c r="N905" s="1133"/>
      <c r="O905" s="1133"/>
      <c r="P905" s="1133"/>
      <c r="Q905" s="1133"/>
      <c r="R905" s="1133"/>
      <c r="S905" s="1133"/>
      <c r="T905" s="1133"/>
      <c r="U905" s="1133"/>
      <c r="V905" s="1135"/>
      <c r="W905" s="1135"/>
    </row>
    <row r="906">
      <c r="A906" s="1133"/>
      <c r="B906" s="1133"/>
      <c r="C906" s="1133"/>
      <c r="D906" s="1133"/>
      <c r="E906" s="1133"/>
      <c r="F906" s="1133"/>
      <c r="G906" s="1133"/>
      <c r="H906" s="1133"/>
      <c r="I906" s="1133"/>
      <c r="J906" s="1133"/>
      <c r="K906" s="1133"/>
      <c r="L906" s="1133"/>
      <c r="M906" s="1133"/>
      <c r="N906" s="1133"/>
      <c r="O906" s="1133"/>
      <c r="P906" s="1133"/>
      <c r="Q906" s="1133"/>
      <c r="R906" s="1133"/>
      <c r="S906" s="1133"/>
      <c r="T906" s="1133"/>
      <c r="U906" s="1133"/>
      <c r="V906" s="1135"/>
      <c r="W906" s="1135"/>
    </row>
    <row r="907">
      <c r="A907" s="1133"/>
      <c r="B907" s="1133"/>
      <c r="C907" s="1133"/>
      <c r="D907" s="1133"/>
      <c r="E907" s="1133"/>
      <c r="F907" s="1133"/>
      <c r="G907" s="1133"/>
      <c r="H907" s="1133"/>
      <c r="I907" s="1133"/>
      <c r="J907" s="1133"/>
      <c r="K907" s="1133"/>
      <c r="L907" s="1133"/>
      <c r="M907" s="1133"/>
      <c r="N907" s="1133"/>
      <c r="O907" s="1133"/>
      <c r="P907" s="1133"/>
      <c r="Q907" s="1133"/>
      <c r="R907" s="1133"/>
      <c r="S907" s="1133"/>
      <c r="T907" s="1133"/>
      <c r="U907" s="1133"/>
      <c r="V907" s="1135"/>
      <c r="W907" s="1135"/>
    </row>
    <row r="908">
      <c r="A908" s="1133"/>
      <c r="B908" s="1133"/>
      <c r="C908" s="1133"/>
      <c r="D908" s="1133"/>
      <c r="E908" s="1133"/>
      <c r="F908" s="1133"/>
      <c r="G908" s="1133"/>
      <c r="H908" s="1133"/>
      <c r="I908" s="1133"/>
      <c r="J908" s="1133"/>
      <c r="K908" s="1133"/>
      <c r="L908" s="1133"/>
      <c r="M908" s="1133"/>
      <c r="N908" s="1133"/>
      <c r="O908" s="1133"/>
      <c r="P908" s="1133"/>
      <c r="Q908" s="1133"/>
      <c r="R908" s="1133"/>
      <c r="S908" s="1133"/>
      <c r="T908" s="1133"/>
      <c r="U908" s="1133"/>
      <c r="V908" s="1135"/>
      <c r="W908" s="1135"/>
    </row>
    <row r="909">
      <c r="A909" s="1133"/>
      <c r="B909" s="1133"/>
      <c r="C909" s="1133"/>
      <c r="D909" s="1133"/>
      <c r="E909" s="1133"/>
      <c r="F909" s="1133"/>
      <c r="G909" s="1133"/>
      <c r="H909" s="1133"/>
      <c r="I909" s="1133"/>
      <c r="J909" s="1133"/>
      <c r="K909" s="1133"/>
      <c r="L909" s="1133"/>
      <c r="M909" s="1133"/>
      <c r="N909" s="1133"/>
      <c r="O909" s="1133"/>
      <c r="P909" s="1133"/>
      <c r="Q909" s="1133"/>
      <c r="R909" s="1133"/>
      <c r="S909" s="1133"/>
      <c r="T909" s="1133"/>
      <c r="U909" s="1133"/>
      <c r="V909" s="1135"/>
      <c r="W909" s="1135"/>
    </row>
    <row r="910">
      <c r="A910" s="1133"/>
      <c r="B910" s="1133"/>
      <c r="C910" s="1133"/>
      <c r="D910" s="1133"/>
      <c r="E910" s="1133"/>
      <c r="F910" s="1133"/>
      <c r="G910" s="1133"/>
      <c r="H910" s="1133"/>
      <c r="I910" s="1133"/>
      <c r="J910" s="1133"/>
      <c r="K910" s="1133"/>
      <c r="L910" s="1133"/>
      <c r="M910" s="1133"/>
      <c r="N910" s="1133"/>
      <c r="O910" s="1133"/>
      <c r="P910" s="1133"/>
      <c r="Q910" s="1133"/>
      <c r="R910" s="1133"/>
      <c r="S910" s="1133"/>
      <c r="T910" s="1133"/>
      <c r="U910" s="1133"/>
      <c r="V910" s="1135"/>
      <c r="W910" s="1135"/>
    </row>
    <row r="911">
      <c r="A911" s="1133"/>
      <c r="B911" s="1133"/>
      <c r="C911" s="1133"/>
      <c r="D911" s="1133"/>
      <c r="E911" s="1133"/>
      <c r="F911" s="1133"/>
      <c r="G911" s="1133"/>
      <c r="H911" s="1133"/>
      <c r="I911" s="1133"/>
      <c r="J911" s="1133"/>
      <c r="K911" s="1133"/>
      <c r="L911" s="1133"/>
      <c r="M911" s="1133"/>
      <c r="N911" s="1133"/>
      <c r="O911" s="1133"/>
      <c r="P911" s="1133"/>
      <c r="Q911" s="1133"/>
      <c r="R911" s="1133"/>
      <c r="S911" s="1133"/>
      <c r="T911" s="1133"/>
      <c r="U911" s="1133"/>
      <c r="V911" s="1135"/>
      <c r="W911" s="1135"/>
    </row>
    <row r="912">
      <c r="A912" s="1133"/>
      <c r="B912" s="1133"/>
      <c r="C912" s="1133"/>
      <c r="D912" s="1133"/>
      <c r="E912" s="1133"/>
      <c r="F912" s="1133"/>
      <c r="G912" s="1133"/>
      <c r="H912" s="1133"/>
      <c r="I912" s="1133"/>
      <c r="J912" s="1133"/>
      <c r="K912" s="1133"/>
      <c r="L912" s="1133"/>
      <c r="M912" s="1133"/>
      <c r="N912" s="1133"/>
      <c r="O912" s="1133"/>
      <c r="P912" s="1133"/>
      <c r="Q912" s="1133"/>
      <c r="R912" s="1133"/>
      <c r="S912" s="1133"/>
      <c r="T912" s="1133"/>
      <c r="U912" s="1133"/>
      <c r="V912" s="1135"/>
      <c r="W912" s="1135"/>
    </row>
    <row r="913">
      <c r="A913" s="1133"/>
      <c r="B913" s="1133"/>
      <c r="C913" s="1133"/>
      <c r="D913" s="1133"/>
      <c r="E913" s="1133"/>
      <c r="F913" s="1133"/>
      <c r="G913" s="1133"/>
      <c r="H913" s="1133"/>
      <c r="I913" s="1133"/>
      <c r="J913" s="1133"/>
      <c r="K913" s="1133"/>
      <c r="L913" s="1133"/>
      <c r="M913" s="1133"/>
      <c r="N913" s="1133"/>
      <c r="O913" s="1133"/>
      <c r="P913" s="1133"/>
      <c r="Q913" s="1133"/>
      <c r="R913" s="1133"/>
      <c r="S913" s="1133"/>
      <c r="T913" s="1133"/>
      <c r="U913" s="1133"/>
      <c r="V913" s="1135"/>
      <c r="W913" s="1135"/>
    </row>
    <row r="914">
      <c r="A914" s="1133"/>
      <c r="B914" s="1133"/>
      <c r="C914" s="1133"/>
      <c r="D914" s="1133"/>
      <c r="E914" s="1133"/>
      <c r="F914" s="1133"/>
      <c r="G914" s="1133"/>
      <c r="H914" s="1133"/>
      <c r="I914" s="1133"/>
      <c r="J914" s="1133"/>
      <c r="K914" s="1133"/>
      <c r="L914" s="1133"/>
      <c r="M914" s="1133"/>
      <c r="N914" s="1133"/>
      <c r="O914" s="1133"/>
      <c r="P914" s="1133"/>
      <c r="Q914" s="1133"/>
      <c r="R914" s="1133"/>
      <c r="S914" s="1133"/>
      <c r="T914" s="1133"/>
      <c r="U914" s="1133"/>
      <c r="V914" s="1135"/>
      <c r="W914" s="1135"/>
    </row>
    <row r="915">
      <c r="A915" s="1133"/>
      <c r="B915" s="1133"/>
      <c r="C915" s="1133"/>
      <c r="D915" s="1133"/>
      <c r="E915" s="1133"/>
      <c r="F915" s="1133"/>
      <c r="G915" s="1133"/>
      <c r="H915" s="1133"/>
      <c r="I915" s="1133"/>
      <c r="J915" s="1133"/>
      <c r="K915" s="1133"/>
      <c r="L915" s="1133"/>
      <c r="M915" s="1133"/>
      <c r="N915" s="1133"/>
      <c r="O915" s="1133"/>
      <c r="P915" s="1133"/>
      <c r="Q915" s="1133"/>
      <c r="R915" s="1133"/>
      <c r="S915" s="1133"/>
      <c r="T915" s="1133"/>
      <c r="U915" s="1133"/>
      <c r="V915" s="1135"/>
      <c r="W915" s="1135"/>
    </row>
    <row r="916">
      <c r="A916" s="1133"/>
      <c r="B916" s="1133"/>
      <c r="C916" s="1133"/>
      <c r="D916" s="1133"/>
      <c r="E916" s="1133"/>
      <c r="F916" s="1133"/>
      <c r="G916" s="1133"/>
      <c r="H916" s="1133"/>
      <c r="I916" s="1133"/>
      <c r="J916" s="1133"/>
      <c r="K916" s="1133"/>
      <c r="L916" s="1133"/>
      <c r="M916" s="1133"/>
      <c r="N916" s="1133"/>
      <c r="O916" s="1133"/>
      <c r="P916" s="1133"/>
      <c r="Q916" s="1133"/>
      <c r="R916" s="1133"/>
      <c r="S916" s="1133"/>
      <c r="T916" s="1133"/>
      <c r="U916" s="1133"/>
      <c r="V916" s="1135"/>
      <c r="W916" s="1135"/>
    </row>
    <row r="917">
      <c r="A917" s="1133"/>
      <c r="B917" s="1133"/>
      <c r="C917" s="1133"/>
      <c r="D917" s="1133"/>
      <c r="E917" s="1133"/>
      <c r="F917" s="1133"/>
      <c r="G917" s="1133"/>
      <c r="H917" s="1133"/>
      <c r="I917" s="1133"/>
      <c r="J917" s="1133"/>
      <c r="K917" s="1133"/>
      <c r="L917" s="1133"/>
      <c r="M917" s="1133"/>
      <c r="N917" s="1133"/>
      <c r="O917" s="1133"/>
      <c r="P917" s="1133"/>
      <c r="Q917" s="1133"/>
      <c r="R917" s="1133"/>
      <c r="S917" s="1133"/>
      <c r="T917" s="1133"/>
      <c r="U917" s="1133"/>
      <c r="V917" s="1135"/>
      <c r="W917" s="1135"/>
    </row>
    <row r="918">
      <c r="A918" s="1133"/>
      <c r="B918" s="1133"/>
      <c r="C918" s="1133"/>
      <c r="D918" s="1133"/>
      <c r="E918" s="1133"/>
      <c r="F918" s="1133"/>
      <c r="G918" s="1133"/>
      <c r="H918" s="1133"/>
      <c r="I918" s="1133"/>
      <c r="J918" s="1133"/>
      <c r="K918" s="1133"/>
      <c r="L918" s="1133"/>
      <c r="M918" s="1133"/>
      <c r="N918" s="1133"/>
      <c r="O918" s="1133"/>
      <c r="P918" s="1133"/>
      <c r="Q918" s="1133"/>
      <c r="R918" s="1133"/>
      <c r="S918" s="1133"/>
      <c r="T918" s="1133"/>
      <c r="U918" s="1133"/>
      <c r="V918" s="1135"/>
      <c r="W918" s="1135"/>
    </row>
    <row r="919">
      <c r="A919" s="1133"/>
      <c r="B919" s="1133"/>
      <c r="C919" s="1133"/>
      <c r="D919" s="1133"/>
      <c r="E919" s="1133"/>
      <c r="F919" s="1133"/>
      <c r="G919" s="1133"/>
      <c r="H919" s="1133"/>
      <c r="I919" s="1133"/>
      <c r="J919" s="1133"/>
      <c r="K919" s="1133"/>
      <c r="L919" s="1133"/>
      <c r="M919" s="1133"/>
      <c r="N919" s="1133"/>
      <c r="O919" s="1133"/>
      <c r="P919" s="1133"/>
      <c r="Q919" s="1133"/>
      <c r="R919" s="1133"/>
      <c r="S919" s="1133"/>
      <c r="T919" s="1133"/>
      <c r="U919" s="1133"/>
      <c r="V919" s="1135"/>
      <c r="W919" s="1135"/>
    </row>
    <row r="920">
      <c r="A920" s="1133"/>
      <c r="B920" s="1133"/>
      <c r="C920" s="1133"/>
      <c r="D920" s="1133"/>
      <c r="E920" s="1133"/>
      <c r="F920" s="1133"/>
      <c r="G920" s="1133"/>
      <c r="H920" s="1133"/>
      <c r="I920" s="1133"/>
      <c r="J920" s="1133"/>
      <c r="K920" s="1133"/>
      <c r="L920" s="1133"/>
      <c r="M920" s="1133"/>
      <c r="N920" s="1133"/>
      <c r="O920" s="1133"/>
      <c r="P920" s="1133"/>
      <c r="Q920" s="1133"/>
      <c r="R920" s="1133"/>
      <c r="S920" s="1133"/>
      <c r="T920" s="1133"/>
      <c r="U920" s="1133"/>
      <c r="V920" s="1135"/>
      <c r="W920" s="1135"/>
    </row>
    <row r="921">
      <c r="A921" s="1133"/>
      <c r="B921" s="1133"/>
      <c r="C921" s="1133"/>
      <c r="D921" s="1133"/>
      <c r="E921" s="1133"/>
      <c r="F921" s="1133"/>
      <c r="G921" s="1133"/>
      <c r="H921" s="1133"/>
      <c r="I921" s="1133"/>
      <c r="J921" s="1133"/>
      <c r="K921" s="1133"/>
      <c r="L921" s="1133"/>
      <c r="M921" s="1133"/>
      <c r="N921" s="1133"/>
      <c r="O921" s="1133"/>
      <c r="P921" s="1133"/>
      <c r="Q921" s="1133"/>
      <c r="R921" s="1133"/>
      <c r="S921" s="1133"/>
      <c r="T921" s="1133"/>
      <c r="U921" s="1133"/>
      <c r="V921" s="1135"/>
      <c r="W921" s="1135"/>
    </row>
    <row r="922">
      <c r="A922" s="1133"/>
      <c r="B922" s="1133"/>
      <c r="C922" s="1133"/>
      <c r="D922" s="1133"/>
      <c r="E922" s="1133"/>
      <c r="F922" s="1133"/>
      <c r="G922" s="1133"/>
      <c r="H922" s="1133"/>
      <c r="I922" s="1133"/>
      <c r="J922" s="1133"/>
      <c r="K922" s="1133"/>
      <c r="L922" s="1133"/>
      <c r="M922" s="1133"/>
      <c r="N922" s="1133"/>
      <c r="O922" s="1133"/>
      <c r="P922" s="1133"/>
      <c r="Q922" s="1133"/>
      <c r="R922" s="1133"/>
      <c r="S922" s="1133"/>
      <c r="T922" s="1133"/>
      <c r="U922" s="1133"/>
      <c r="V922" s="1135"/>
      <c r="W922" s="1135"/>
    </row>
    <row r="923">
      <c r="A923" s="1133"/>
      <c r="B923" s="1133"/>
      <c r="C923" s="1133"/>
      <c r="D923" s="1133"/>
      <c r="E923" s="1133"/>
      <c r="F923" s="1133"/>
      <c r="G923" s="1133"/>
      <c r="H923" s="1133"/>
      <c r="I923" s="1133"/>
      <c r="J923" s="1133"/>
      <c r="K923" s="1133"/>
      <c r="L923" s="1133"/>
      <c r="M923" s="1133"/>
      <c r="N923" s="1133"/>
      <c r="O923" s="1133"/>
      <c r="P923" s="1133"/>
      <c r="Q923" s="1133"/>
      <c r="R923" s="1133"/>
      <c r="S923" s="1133"/>
      <c r="T923" s="1133"/>
      <c r="U923" s="1133"/>
      <c r="V923" s="1135"/>
      <c r="W923" s="1135"/>
    </row>
    <row r="924">
      <c r="A924" s="1133"/>
      <c r="B924" s="1133"/>
      <c r="C924" s="1133"/>
      <c r="D924" s="1133"/>
      <c r="E924" s="1133"/>
      <c r="F924" s="1133"/>
      <c r="G924" s="1133"/>
      <c r="H924" s="1133"/>
      <c r="I924" s="1133"/>
      <c r="J924" s="1133"/>
      <c r="K924" s="1133"/>
      <c r="L924" s="1133"/>
      <c r="M924" s="1133"/>
      <c r="N924" s="1133"/>
      <c r="O924" s="1133"/>
      <c r="P924" s="1133"/>
      <c r="Q924" s="1133"/>
      <c r="R924" s="1133"/>
      <c r="S924" s="1133"/>
      <c r="T924" s="1133"/>
      <c r="U924" s="1133"/>
      <c r="V924" s="1135"/>
      <c r="W924" s="1135"/>
    </row>
    <row r="925">
      <c r="A925" s="1133"/>
      <c r="B925" s="1133"/>
      <c r="C925" s="1133"/>
      <c r="D925" s="1133"/>
      <c r="E925" s="1133"/>
      <c r="F925" s="1133"/>
      <c r="G925" s="1133"/>
      <c r="H925" s="1133"/>
      <c r="I925" s="1133"/>
      <c r="J925" s="1133"/>
      <c r="K925" s="1133"/>
      <c r="L925" s="1133"/>
      <c r="M925" s="1133"/>
      <c r="N925" s="1133"/>
      <c r="O925" s="1133"/>
      <c r="P925" s="1133"/>
      <c r="Q925" s="1133"/>
      <c r="R925" s="1133"/>
      <c r="S925" s="1133"/>
      <c r="T925" s="1133"/>
      <c r="U925" s="1133"/>
      <c r="V925" s="1135"/>
      <c r="W925" s="1135"/>
    </row>
    <row r="926">
      <c r="A926" s="1133"/>
      <c r="B926" s="1133"/>
      <c r="C926" s="1133"/>
      <c r="D926" s="1133"/>
      <c r="E926" s="1133"/>
      <c r="F926" s="1133"/>
      <c r="G926" s="1133"/>
      <c r="H926" s="1133"/>
      <c r="I926" s="1133"/>
      <c r="J926" s="1133"/>
      <c r="K926" s="1133"/>
      <c r="L926" s="1133"/>
      <c r="M926" s="1133"/>
      <c r="N926" s="1133"/>
      <c r="O926" s="1133"/>
      <c r="P926" s="1133"/>
      <c r="Q926" s="1133"/>
      <c r="R926" s="1133"/>
      <c r="S926" s="1133"/>
      <c r="T926" s="1133"/>
      <c r="U926" s="1133"/>
      <c r="V926" s="1135"/>
      <c r="W926" s="1135"/>
    </row>
    <row r="927">
      <c r="A927" s="1133"/>
      <c r="B927" s="1133"/>
      <c r="C927" s="1133"/>
      <c r="D927" s="1133"/>
      <c r="E927" s="1133"/>
      <c r="F927" s="1133"/>
      <c r="G927" s="1133"/>
      <c r="H927" s="1133"/>
      <c r="I927" s="1133"/>
      <c r="J927" s="1133"/>
      <c r="K927" s="1133"/>
      <c r="L927" s="1133"/>
      <c r="M927" s="1133"/>
      <c r="N927" s="1133"/>
      <c r="O927" s="1133"/>
      <c r="P927" s="1133"/>
      <c r="Q927" s="1133"/>
      <c r="R927" s="1133"/>
      <c r="S927" s="1133"/>
      <c r="T927" s="1133"/>
      <c r="U927" s="1133"/>
      <c r="V927" s="1135"/>
      <c r="W927" s="1135"/>
    </row>
    <row r="928">
      <c r="A928" s="1133"/>
      <c r="B928" s="1133"/>
      <c r="C928" s="1133"/>
      <c r="D928" s="1133"/>
      <c r="E928" s="1133"/>
      <c r="F928" s="1133"/>
      <c r="G928" s="1133"/>
      <c r="H928" s="1133"/>
      <c r="I928" s="1133"/>
      <c r="J928" s="1133"/>
      <c r="K928" s="1133"/>
      <c r="L928" s="1133"/>
      <c r="M928" s="1133"/>
      <c r="N928" s="1133"/>
      <c r="O928" s="1133"/>
      <c r="P928" s="1133"/>
      <c r="Q928" s="1133"/>
      <c r="R928" s="1133"/>
      <c r="S928" s="1133"/>
      <c r="T928" s="1133"/>
      <c r="U928" s="1133"/>
      <c r="V928" s="1135"/>
      <c r="W928" s="1135"/>
    </row>
    <row r="929">
      <c r="A929" s="1133"/>
      <c r="B929" s="1133"/>
      <c r="C929" s="1133"/>
      <c r="D929" s="1133"/>
      <c r="E929" s="1133"/>
      <c r="F929" s="1133"/>
      <c r="G929" s="1133"/>
      <c r="H929" s="1133"/>
      <c r="I929" s="1133"/>
      <c r="J929" s="1133"/>
      <c r="K929" s="1133"/>
      <c r="L929" s="1133"/>
      <c r="M929" s="1133"/>
      <c r="N929" s="1133"/>
      <c r="O929" s="1133"/>
      <c r="P929" s="1133"/>
      <c r="Q929" s="1133"/>
      <c r="R929" s="1133"/>
      <c r="S929" s="1133"/>
      <c r="T929" s="1133"/>
      <c r="U929" s="1133"/>
      <c r="V929" s="1135"/>
      <c r="W929" s="1135"/>
    </row>
    <row r="930">
      <c r="A930" s="1133"/>
      <c r="B930" s="1133"/>
      <c r="C930" s="1133"/>
      <c r="D930" s="1133"/>
      <c r="E930" s="1133"/>
      <c r="F930" s="1133"/>
      <c r="G930" s="1133"/>
      <c r="H930" s="1133"/>
      <c r="I930" s="1133"/>
      <c r="J930" s="1133"/>
      <c r="K930" s="1133"/>
      <c r="L930" s="1133"/>
      <c r="M930" s="1133"/>
      <c r="N930" s="1133"/>
      <c r="O930" s="1133"/>
      <c r="P930" s="1133"/>
      <c r="Q930" s="1133"/>
      <c r="R930" s="1133"/>
      <c r="S930" s="1133"/>
      <c r="T930" s="1133"/>
      <c r="U930" s="1133"/>
      <c r="V930" s="1135"/>
      <c r="W930" s="1135"/>
    </row>
    <row r="931">
      <c r="A931" s="1133"/>
      <c r="B931" s="1133"/>
      <c r="C931" s="1133"/>
      <c r="D931" s="1133"/>
      <c r="E931" s="1133"/>
      <c r="F931" s="1133"/>
      <c r="G931" s="1133"/>
      <c r="H931" s="1133"/>
      <c r="I931" s="1133"/>
      <c r="J931" s="1133"/>
      <c r="K931" s="1133"/>
      <c r="L931" s="1133"/>
      <c r="M931" s="1133"/>
      <c r="N931" s="1133"/>
      <c r="O931" s="1133"/>
      <c r="P931" s="1133"/>
      <c r="Q931" s="1133"/>
      <c r="R931" s="1133"/>
      <c r="S931" s="1133"/>
      <c r="T931" s="1133"/>
      <c r="U931" s="1133"/>
      <c r="V931" s="1135"/>
      <c r="W931" s="1135"/>
    </row>
    <row r="932">
      <c r="A932" s="1133"/>
      <c r="B932" s="1133"/>
      <c r="C932" s="1133"/>
      <c r="D932" s="1133"/>
      <c r="E932" s="1133"/>
      <c r="F932" s="1133"/>
      <c r="G932" s="1133"/>
      <c r="H932" s="1133"/>
      <c r="I932" s="1133"/>
      <c r="J932" s="1133"/>
      <c r="K932" s="1133"/>
      <c r="L932" s="1133"/>
      <c r="M932" s="1133"/>
      <c r="N932" s="1133"/>
      <c r="O932" s="1133"/>
      <c r="P932" s="1133"/>
      <c r="Q932" s="1133"/>
      <c r="R932" s="1133"/>
      <c r="S932" s="1133"/>
      <c r="T932" s="1133"/>
      <c r="U932" s="1133"/>
      <c r="V932" s="1135"/>
      <c r="W932" s="1135"/>
    </row>
    <row r="933">
      <c r="A933" s="1133"/>
      <c r="B933" s="1133"/>
      <c r="C933" s="1133"/>
      <c r="D933" s="1133"/>
      <c r="E933" s="1133"/>
      <c r="F933" s="1133"/>
      <c r="G933" s="1133"/>
      <c r="H933" s="1133"/>
      <c r="I933" s="1133"/>
      <c r="J933" s="1133"/>
      <c r="K933" s="1133"/>
      <c r="L933" s="1133"/>
      <c r="M933" s="1133"/>
      <c r="N933" s="1133"/>
      <c r="O933" s="1133"/>
      <c r="P933" s="1133"/>
      <c r="Q933" s="1133"/>
      <c r="R933" s="1133"/>
      <c r="S933" s="1133"/>
      <c r="T933" s="1133"/>
      <c r="U933" s="1133"/>
      <c r="V933" s="1135"/>
      <c r="W933" s="1135"/>
    </row>
    <row r="934">
      <c r="A934" s="1133"/>
      <c r="B934" s="1133"/>
      <c r="C934" s="1133"/>
      <c r="D934" s="1133"/>
      <c r="E934" s="1133"/>
      <c r="F934" s="1133"/>
      <c r="G934" s="1133"/>
      <c r="H934" s="1133"/>
      <c r="I934" s="1133"/>
      <c r="J934" s="1133"/>
      <c r="K934" s="1133"/>
      <c r="L934" s="1133"/>
      <c r="M934" s="1133"/>
      <c r="N934" s="1133"/>
      <c r="O934" s="1133"/>
      <c r="P934" s="1133"/>
      <c r="Q934" s="1133"/>
      <c r="R934" s="1133"/>
      <c r="S934" s="1133"/>
      <c r="T934" s="1133"/>
      <c r="U934" s="1133"/>
      <c r="V934" s="1135"/>
      <c r="W934" s="1135"/>
    </row>
    <row r="935">
      <c r="A935" s="1133"/>
      <c r="B935" s="1133"/>
      <c r="C935" s="1133"/>
      <c r="D935" s="1133"/>
      <c r="E935" s="1133"/>
      <c r="F935" s="1133"/>
      <c r="G935" s="1133"/>
      <c r="H935" s="1133"/>
      <c r="I935" s="1133"/>
      <c r="J935" s="1133"/>
      <c r="K935" s="1133"/>
      <c r="L935" s="1133"/>
      <c r="M935" s="1133"/>
      <c r="N935" s="1133"/>
      <c r="O935" s="1133"/>
      <c r="P935" s="1133"/>
      <c r="Q935" s="1133"/>
      <c r="R935" s="1133"/>
      <c r="S935" s="1133"/>
      <c r="T935" s="1133"/>
      <c r="U935" s="1133"/>
      <c r="V935" s="1135"/>
      <c r="W935" s="1135"/>
    </row>
    <row r="936">
      <c r="A936" s="1133"/>
      <c r="B936" s="1133"/>
      <c r="C936" s="1133"/>
      <c r="D936" s="1133"/>
      <c r="E936" s="1133"/>
      <c r="F936" s="1133"/>
      <c r="G936" s="1133"/>
      <c r="H936" s="1133"/>
      <c r="I936" s="1133"/>
      <c r="J936" s="1133"/>
      <c r="K936" s="1133"/>
      <c r="L936" s="1133"/>
      <c r="M936" s="1133"/>
      <c r="N936" s="1133"/>
      <c r="O936" s="1133"/>
      <c r="P936" s="1133"/>
      <c r="Q936" s="1133"/>
      <c r="R936" s="1133"/>
      <c r="S936" s="1133"/>
      <c r="T936" s="1133"/>
      <c r="U936" s="1133"/>
      <c r="V936" s="1135"/>
      <c r="W936" s="1135"/>
    </row>
    <row r="937">
      <c r="A937" s="1133"/>
      <c r="B937" s="1133"/>
      <c r="C937" s="1133"/>
      <c r="D937" s="1133"/>
      <c r="E937" s="1133"/>
      <c r="F937" s="1133"/>
      <c r="G937" s="1133"/>
      <c r="H937" s="1133"/>
      <c r="I937" s="1133"/>
      <c r="J937" s="1133"/>
      <c r="K937" s="1133"/>
      <c r="L937" s="1133"/>
      <c r="M937" s="1133"/>
      <c r="N937" s="1133"/>
      <c r="O937" s="1133"/>
      <c r="P937" s="1133"/>
      <c r="Q937" s="1133"/>
      <c r="R937" s="1133"/>
      <c r="S937" s="1133"/>
      <c r="T937" s="1133"/>
      <c r="U937" s="1133"/>
      <c r="V937" s="1135"/>
      <c r="W937" s="1135"/>
    </row>
    <row r="938">
      <c r="A938" s="1133"/>
      <c r="B938" s="1133"/>
      <c r="C938" s="1133"/>
      <c r="D938" s="1133"/>
      <c r="E938" s="1133"/>
      <c r="F938" s="1133"/>
      <c r="G938" s="1133"/>
      <c r="H938" s="1133"/>
      <c r="I938" s="1133"/>
      <c r="J938" s="1133"/>
      <c r="K938" s="1133"/>
      <c r="L938" s="1133"/>
      <c r="M938" s="1133"/>
      <c r="N938" s="1133"/>
      <c r="O938" s="1133"/>
      <c r="P938" s="1133"/>
      <c r="Q938" s="1133"/>
      <c r="R938" s="1133"/>
      <c r="S938" s="1133"/>
      <c r="T938" s="1133"/>
      <c r="U938" s="1133"/>
      <c r="V938" s="1135"/>
      <c r="W938" s="1135"/>
    </row>
    <row r="939">
      <c r="A939" s="1133"/>
      <c r="B939" s="1133"/>
      <c r="C939" s="1133"/>
      <c r="D939" s="1133"/>
      <c r="E939" s="1133"/>
      <c r="F939" s="1133"/>
      <c r="G939" s="1133"/>
      <c r="H939" s="1133"/>
      <c r="I939" s="1133"/>
      <c r="J939" s="1133"/>
      <c r="K939" s="1133"/>
      <c r="L939" s="1133"/>
      <c r="M939" s="1133"/>
      <c r="N939" s="1133"/>
      <c r="O939" s="1133"/>
      <c r="P939" s="1133"/>
      <c r="Q939" s="1133"/>
      <c r="R939" s="1133"/>
      <c r="S939" s="1133"/>
      <c r="T939" s="1133"/>
      <c r="U939" s="1133"/>
      <c r="V939" s="1135"/>
      <c r="W939" s="1135"/>
    </row>
    <row r="940">
      <c r="A940" s="1133"/>
      <c r="B940" s="1133"/>
      <c r="C940" s="1133"/>
      <c r="D940" s="1133"/>
      <c r="E940" s="1133"/>
      <c r="F940" s="1133"/>
      <c r="G940" s="1133"/>
      <c r="H940" s="1133"/>
      <c r="I940" s="1133"/>
      <c r="J940" s="1133"/>
      <c r="K940" s="1133"/>
      <c r="L940" s="1133"/>
      <c r="M940" s="1133"/>
      <c r="N940" s="1133"/>
      <c r="O940" s="1133"/>
      <c r="P940" s="1133"/>
      <c r="Q940" s="1133"/>
      <c r="R940" s="1133"/>
      <c r="S940" s="1133"/>
      <c r="T940" s="1133"/>
      <c r="U940" s="1133"/>
      <c r="V940" s="1135"/>
      <c r="W940" s="1135"/>
    </row>
    <row r="941">
      <c r="A941" s="1133"/>
      <c r="B941" s="1133"/>
      <c r="C941" s="1133"/>
      <c r="D941" s="1133"/>
      <c r="E941" s="1133"/>
      <c r="F941" s="1133"/>
      <c r="G941" s="1133"/>
      <c r="H941" s="1133"/>
      <c r="I941" s="1133"/>
      <c r="J941" s="1133"/>
      <c r="K941" s="1133"/>
      <c r="L941" s="1133"/>
      <c r="M941" s="1133"/>
      <c r="N941" s="1133"/>
      <c r="O941" s="1133"/>
      <c r="P941" s="1133"/>
      <c r="Q941" s="1133"/>
      <c r="R941" s="1133"/>
      <c r="S941" s="1133"/>
      <c r="T941" s="1133"/>
      <c r="U941" s="1133"/>
      <c r="V941" s="1135"/>
      <c r="W941" s="1135"/>
    </row>
    <row r="942">
      <c r="A942" s="1133"/>
      <c r="B942" s="1133"/>
      <c r="C942" s="1133"/>
      <c r="D942" s="1133"/>
      <c r="E942" s="1133"/>
      <c r="F942" s="1133"/>
      <c r="G942" s="1133"/>
      <c r="H942" s="1133"/>
      <c r="I942" s="1133"/>
      <c r="J942" s="1133"/>
      <c r="K942" s="1133"/>
      <c r="L942" s="1133"/>
      <c r="M942" s="1133"/>
      <c r="N942" s="1133"/>
      <c r="O942" s="1133"/>
      <c r="P942" s="1133"/>
      <c r="Q942" s="1133"/>
      <c r="R942" s="1133"/>
      <c r="S942" s="1133"/>
      <c r="T942" s="1133"/>
      <c r="U942" s="1133"/>
      <c r="V942" s="1135"/>
      <c r="W942" s="1135"/>
    </row>
    <row r="943">
      <c r="A943" s="1133"/>
      <c r="B943" s="1133"/>
      <c r="C943" s="1133"/>
      <c r="D943" s="1133"/>
      <c r="E943" s="1133"/>
      <c r="F943" s="1133"/>
      <c r="G943" s="1133"/>
      <c r="H943" s="1133"/>
      <c r="I943" s="1133"/>
      <c r="J943" s="1133"/>
      <c r="K943" s="1133"/>
      <c r="L943" s="1133"/>
      <c r="M943" s="1133"/>
      <c r="N943" s="1133"/>
      <c r="O943" s="1133"/>
      <c r="P943" s="1133"/>
      <c r="Q943" s="1133"/>
      <c r="R943" s="1133"/>
      <c r="S943" s="1133"/>
      <c r="T943" s="1133"/>
      <c r="U943" s="1133"/>
      <c r="V943" s="1135"/>
      <c r="W943" s="1135"/>
    </row>
    <row r="944">
      <c r="A944" s="1133"/>
      <c r="B944" s="1133"/>
      <c r="C944" s="1133"/>
      <c r="D944" s="1133"/>
      <c r="E944" s="1133"/>
      <c r="F944" s="1133"/>
      <c r="G944" s="1133"/>
      <c r="H944" s="1133"/>
      <c r="I944" s="1133"/>
      <c r="J944" s="1133"/>
      <c r="K944" s="1133"/>
      <c r="L944" s="1133"/>
      <c r="M944" s="1133"/>
      <c r="N944" s="1133"/>
      <c r="O944" s="1133"/>
      <c r="P944" s="1133"/>
      <c r="Q944" s="1133"/>
      <c r="R944" s="1133"/>
      <c r="S944" s="1133"/>
      <c r="T944" s="1133"/>
      <c r="U944" s="1133"/>
      <c r="V944" s="1135"/>
      <c r="W944" s="1135"/>
    </row>
    <row r="945">
      <c r="A945" s="1133"/>
      <c r="B945" s="1133"/>
      <c r="C945" s="1133"/>
      <c r="D945" s="1133"/>
      <c r="E945" s="1133"/>
      <c r="F945" s="1133"/>
      <c r="G945" s="1133"/>
      <c r="H945" s="1133"/>
      <c r="I945" s="1133"/>
      <c r="J945" s="1133"/>
      <c r="K945" s="1133"/>
      <c r="L945" s="1133"/>
      <c r="M945" s="1133"/>
      <c r="N945" s="1133"/>
      <c r="O945" s="1133"/>
      <c r="P945" s="1133"/>
      <c r="Q945" s="1133"/>
      <c r="R945" s="1133"/>
      <c r="S945" s="1133"/>
      <c r="T945" s="1133"/>
      <c r="U945" s="1133"/>
      <c r="V945" s="1135"/>
      <c r="W945" s="1135"/>
    </row>
    <row r="946">
      <c r="A946" s="1133"/>
      <c r="B946" s="1133"/>
      <c r="C946" s="1133"/>
      <c r="D946" s="1133"/>
      <c r="E946" s="1133"/>
      <c r="F946" s="1133"/>
      <c r="G946" s="1133"/>
      <c r="H946" s="1133"/>
      <c r="I946" s="1133"/>
      <c r="J946" s="1133"/>
      <c r="K946" s="1133"/>
      <c r="L946" s="1133"/>
      <c r="M946" s="1133"/>
      <c r="N946" s="1133"/>
      <c r="O946" s="1133"/>
      <c r="P946" s="1133"/>
      <c r="Q946" s="1133"/>
      <c r="R946" s="1133"/>
      <c r="S946" s="1133"/>
      <c r="T946" s="1133"/>
      <c r="U946" s="1133"/>
      <c r="V946" s="1135"/>
      <c r="W946" s="1135"/>
    </row>
    <row r="947">
      <c r="A947" s="1133"/>
      <c r="B947" s="1133"/>
      <c r="C947" s="1133"/>
      <c r="D947" s="1133"/>
      <c r="E947" s="1133"/>
      <c r="F947" s="1133"/>
      <c r="G947" s="1133"/>
      <c r="H947" s="1133"/>
      <c r="I947" s="1133"/>
      <c r="J947" s="1133"/>
      <c r="K947" s="1133"/>
      <c r="L947" s="1133"/>
      <c r="M947" s="1133"/>
      <c r="N947" s="1133"/>
      <c r="O947" s="1133"/>
      <c r="P947" s="1133"/>
      <c r="Q947" s="1133"/>
      <c r="R947" s="1133"/>
      <c r="S947" s="1133"/>
      <c r="T947" s="1133"/>
      <c r="U947" s="1133"/>
      <c r="V947" s="1135"/>
      <c r="W947" s="1135"/>
    </row>
    <row r="948">
      <c r="A948" s="1133"/>
      <c r="B948" s="1133"/>
      <c r="C948" s="1133"/>
      <c r="D948" s="1133"/>
      <c r="E948" s="1133"/>
      <c r="F948" s="1133"/>
      <c r="G948" s="1133"/>
      <c r="H948" s="1133"/>
      <c r="I948" s="1133"/>
      <c r="J948" s="1133"/>
      <c r="K948" s="1133"/>
      <c r="L948" s="1133"/>
      <c r="M948" s="1133"/>
      <c r="N948" s="1133"/>
      <c r="O948" s="1133"/>
      <c r="P948" s="1133"/>
      <c r="Q948" s="1133"/>
      <c r="R948" s="1133"/>
      <c r="S948" s="1133"/>
      <c r="T948" s="1133"/>
      <c r="U948" s="1133"/>
      <c r="V948" s="1135"/>
      <c r="W948" s="1135"/>
    </row>
    <row r="949">
      <c r="A949" s="1133"/>
      <c r="B949" s="1133"/>
      <c r="C949" s="1133"/>
      <c r="D949" s="1133"/>
      <c r="E949" s="1133"/>
      <c r="F949" s="1133"/>
      <c r="G949" s="1133"/>
      <c r="H949" s="1133"/>
      <c r="I949" s="1133"/>
      <c r="J949" s="1133"/>
      <c r="K949" s="1133"/>
      <c r="L949" s="1133"/>
      <c r="M949" s="1133"/>
      <c r="N949" s="1133"/>
      <c r="O949" s="1133"/>
      <c r="P949" s="1133"/>
      <c r="Q949" s="1133"/>
      <c r="R949" s="1133"/>
      <c r="S949" s="1133"/>
      <c r="T949" s="1133"/>
      <c r="U949" s="1133"/>
      <c r="V949" s="1135"/>
      <c r="W949" s="1135"/>
    </row>
    <row r="950">
      <c r="A950" s="1133"/>
      <c r="B950" s="1133"/>
      <c r="C950" s="1133"/>
      <c r="D950" s="1133"/>
      <c r="E950" s="1133"/>
      <c r="F950" s="1133"/>
      <c r="G950" s="1133"/>
      <c r="H950" s="1133"/>
      <c r="I950" s="1133"/>
      <c r="J950" s="1133"/>
      <c r="K950" s="1133"/>
      <c r="L950" s="1133"/>
      <c r="M950" s="1133"/>
      <c r="N950" s="1133"/>
      <c r="O950" s="1133"/>
      <c r="P950" s="1133"/>
      <c r="Q950" s="1133"/>
      <c r="R950" s="1133"/>
      <c r="S950" s="1133"/>
      <c r="T950" s="1133"/>
      <c r="U950" s="1133"/>
      <c r="V950" s="1135"/>
      <c r="W950" s="1135"/>
    </row>
    <row r="951">
      <c r="A951" s="1133"/>
      <c r="B951" s="1133"/>
      <c r="C951" s="1133"/>
      <c r="D951" s="1133"/>
      <c r="E951" s="1133"/>
      <c r="F951" s="1133"/>
      <c r="G951" s="1133"/>
      <c r="H951" s="1133"/>
      <c r="I951" s="1133"/>
      <c r="J951" s="1133"/>
      <c r="K951" s="1133"/>
      <c r="L951" s="1133"/>
      <c r="M951" s="1133"/>
      <c r="N951" s="1133"/>
      <c r="O951" s="1133"/>
      <c r="P951" s="1133"/>
      <c r="Q951" s="1133"/>
      <c r="R951" s="1133"/>
      <c r="S951" s="1133"/>
      <c r="T951" s="1133"/>
      <c r="U951" s="1133"/>
      <c r="V951" s="1135"/>
      <c r="W951" s="1135"/>
    </row>
    <row r="952">
      <c r="A952" s="1133"/>
      <c r="B952" s="1133"/>
      <c r="C952" s="1133"/>
      <c r="D952" s="1133"/>
      <c r="E952" s="1133"/>
      <c r="F952" s="1133"/>
      <c r="G952" s="1133"/>
      <c r="H952" s="1133"/>
      <c r="I952" s="1133"/>
      <c r="J952" s="1133"/>
      <c r="K952" s="1133"/>
      <c r="L952" s="1133"/>
      <c r="M952" s="1133"/>
      <c r="N952" s="1133"/>
      <c r="O952" s="1133"/>
      <c r="P952" s="1133"/>
      <c r="Q952" s="1133"/>
      <c r="R952" s="1133"/>
      <c r="S952" s="1133"/>
      <c r="T952" s="1133"/>
      <c r="U952" s="1133"/>
      <c r="V952" s="1135"/>
      <c r="W952" s="1135"/>
    </row>
    <row r="953">
      <c r="A953" s="1133"/>
      <c r="B953" s="1133"/>
      <c r="C953" s="1133"/>
      <c r="D953" s="1133"/>
      <c r="E953" s="1133"/>
      <c r="F953" s="1133"/>
      <c r="G953" s="1133"/>
      <c r="H953" s="1133"/>
      <c r="I953" s="1133"/>
      <c r="J953" s="1133"/>
      <c r="K953" s="1133"/>
      <c r="L953" s="1133"/>
      <c r="M953" s="1133"/>
      <c r="N953" s="1133"/>
      <c r="O953" s="1133"/>
      <c r="P953" s="1133"/>
      <c r="Q953" s="1133"/>
      <c r="R953" s="1133"/>
      <c r="S953" s="1133"/>
      <c r="T953" s="1133"/>
      <c r="U953" s="1133"/>
      <c r="V953" s="1135"/>
      <c r="W953" s="1135"/>
    </row>
    <row r="954">
      <c r="A954" s="1133"/>
      <c r="B954" s="1133"/>
      <c r="C954" s="1133"/>
      <c r="D954" s="1133"/>
      <c r="E954" s="1133"/>
      <c r="F954" s="1133"/>
      <c r="G954" s="1133"/>
      <c r="H954" s="1133"/>
      <c r="I954" s="1133"/>
      <c r="J954" s="1133"/>
      <c r="K954" s="1133"/>
      <c r="L954" s="1133"/>
      <c r="M954" s="1133"/>
      <c r="N954" s="1133"/>
      <c r="O954" s="1133"/>
      <c r="P954" s="1133"/>
      <c r="Q954" s="1133"/>
      <c r="R954" s="1133"/>
      <c r="S954" s="1133"/>
      <c r="T954" s="1133"/>
      <c r="U954" s="1133"/>
      <c r="V954" s="1135"/>
      <c r="W954" s="1135"/>
    </row>
    <row r="955">
      <c r="A955" s="1133"/>
      <c r="B955" s="1133"/>
      <c r="C955" s="1133"/>
      <c r="D955" s="1133"/>
      <c r="E955" s="1133"/>
      <c r="F955" s="1133"/>
      <c r="G955" s="1133"/>
      <c r="H955" s="1133"/>
      <c r="I955" s="1133"/>
      <c r="J955" s="1133"/>
      <c r="K955" s="1133"/>
      <c r="L955" s="1133"/>
      <c r="M955" s="1133"/>
      <c r="N955" s="1133"/>
      <c r="O955" s="1133"/>
      <c r="P955" s="1133"/>
      <c r="Q955" s="1133"/>
      <c r="R955" s="1133"/>
      <c r="S955" s="1133"/>
      <c r="T955" s="1133"/>
      <c r="U955" s="1133"/>
      <c r="V955" s="1135"/>
      <c r="W955" s="1135"/>
    </row>
    <row r="956">
      <c r="A956" s="1133"/>
      <c r="B956" s="1133"/>
      <c r="C956" s="1133"/>
      <c r="D956" s="1133"/>
      <c r="E956" s="1133"/>
      <c r="F956" s="1133"/>
      <c r="G956" s="1133"/>
      <c r="H956" s="1133"/>
      <c r="I956" s="1133"/>
      <c r="J956" s="1133"/>
      <c r="K956" s="1133"/>
      <c r="L956" s="1133"/>
      <c r="M956" s="1133"/>
      <c r="N956" s="1133"/>
      <c r="O956" s="1133"/>
      <c r="P956" s="1133"/>
      <c r="Q956" s="1133"/>
      <c r="R956" s="1133"/>
      <c r="S956" s="1133"/>
      <c r="T956" s="1133"/>
      <c r="U956" s="1133"/>
      <c r="V956" s="1135"/>
      <c r="W956" s="1135"/>
    </row>
    <row r="957">
      <c r="A957" s="1133"/>
      <c r="B957" s="1133"/>
      <c r="C957" s="1133"/>
      <c r="D957" s="1133"/>
      <c r="E957" s="1133"/>
      <c r="F957" s="1133"/>
      <c r="G957" s="1133"/>
      <c r="H957" s="1133"/>
      <c r="I957" s="1133"/>
      <c r="J957" s="1133"/>
      <c r="K957" s="1133"/>
      <c r="L957" s="1133"/>
      <c r="M957" s="1133"/>
      <c r="N957" s="1133"/>
      <c r="O957" s="1133"/>
      <c r="P957" s="1133"/>
      <c r="Q957" s="1133"/>
      <c r="R957" s="1133"/>
      <c r="S957" s="1133"/>
      <c r="T957" s="1133"/>
      <c r="U957" s="1133"/>
      <c r="V957" s="1135"/>
      <c r="W957" s="1135"/>
    </row>
    <row r="958">
      <c r="A958" s="1133"/>
      <c r="B958" s="1133"/>
      <c r="C958" s="1133"/>
      <c r="D958" s="1133"/>
      <c r="E958" s="1133"/>
      <c r="F958" s="1133"/>
      <c r="G958" s="1133"/>
      <c r="H958" s="1133"/>
      <c r="I958" s="1133"/>
      <c r="J958" s="1133"/>
      <c r="K958" s="1133"/>
      <c r="L958" s="1133"/>
      <c r="M958" s="1133"/>
      <c r="N958" s="1133"/>
      <c r="O958" s="1133"/>
      <c r="P958" s="1133"/>
      <c r="Q958" s="1133"/>
      <c r="R958" s="1133"/>
      <c r="S958" s="1133"/>
      <c r="T958" s="1133"/>
      <c r="U958" s="1133"/>
      <c r="V958" s="1135"/>
      <c r="W958" s="113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0" t="s">
        <v>1017</v>
      </c>
      <c r="C2" s="1161"/>
      <c r="D2" s="1161"/>
      <c r="E2" s="1161"/>
      <c r="F2" s="1161"/>
      <c r="G2" s="1161"/>
      <c r="H2" s="1161"/>
      <c r="I2" s="1161"/>
      <c r="J2" s="1161"/>
      <c r="K2" s="1161"/>
      <c r="L2" s="1161"/>
      <c r="M2" s="1162"/>
      <c r="N2" s="1163"/>
      <c r="O2" s="1163"/>
      <c r="P2" s="1164"/>
      <c r="Q2" s="1164"/>
      <c r="R2" s="1164"/>
      <c r="S2" s="1164"/>
      <c r="T2" s="1164"/>
      <c r="U2" s="1164"/>
      <c r="V2" s="1164"/>
      <c r="W2" s="1164"/>
      <c r="X2" s="1164"/>
      <c r="Y2" s="1164"/>
      <c r="Z2" s="1164"/>
      <c r="AA2" s="1164"/>
      <c r="AB2" s="1164"/>
      <c r="AC2" s="1164"/>
      <c r="AD2" s="1164"/>
      <c r="AE2" s="1164"/>
      <c r="AF2" s="1164"/>
      <c r="AG2" s="1164"/>
      <c r="AH2" s="1164"/>
      <c r="AI2" s="1164"/>
      <c r="AJ2" s="1164"/>
      <c r="AK2" s="1164"/>
      <c r="AL2" s="1164"/>
      <c r="AM2" s="1164"/>
      <c r="AN2" s="1165"/>
      <c r="AO2" s="1165"/>
      <c r="AP2" s="1165"/>
      <c r="AQ2" s="1165"/>
      <c r="AR2" s="1165"/>
      <c r="AS2" s="1165"/>
      <c r="AT2" s="1165"/>
      <c r="AU2" s="1165"/>
    </row>
    <row r="3">
      <c r="B3" s="1166" t="s">
        <v>1018</v>
      </c>
      <c r="C3" s="1167"/>
      <c r="D3" s="1167"/>
      <c r="E3" s="1167"/>
      <c r="F3" s="1167"/>
      <c r="G3" s="616"/>
      <c r="H3" s="1168" t="s">
        <v>1019</v>
      </c>
      <c r="I3" s="1167"/>
      <c r="J3" s="1167"/>
      <c r="K3" s="1167"/>
      <c r="L3" s="1167"/>
      <c r="M3" s="1169"/>
      <c r="N3" s="1163"/>
      <c r="O3" s="1163"/>
      <c r="P3" s="1164"/>
      <c r="Q3" s="1164"/>
      <c r="R3" s="1164"/>
      <c r="S3" s="1164"/>
      <c r="T3" s="1164"/>
      <c r="U3" s="1164"/>
      <c r="V3" s="1164"/>
      <c r="W3" s="1164"/>
      <c r="X3" s="1164"/>
      <c r="Y3" s="1164"/>
      <c r="Z3" s="1164"/>
      <c r="AA3" s="1164"/>
      <c r="AB3" s="1164"/>
      <c r="AC3" s="1164"/>
      <c r="AD3" s="1164"/>
      <c r="AE3" s="1164"/>
      <c r="AF3" s="1164"/>
      <c r="AG3" s="1164"/>
      <c r="AH3" s="1164"/>
      <c r="AI3" s="1164"/>
      <c r="AJ3" s="1164"/>
      <c r="AK3" s="1164"/>
      <c r="AL3" s="1164"/>
      <c r="AM3" s="1164"/>
      <c r="AN3" s="1165"/>
      <c r="AO3" s="1165"/>
      <c r="AP3" s="1165"/>
      <c r="AQ3" s="1165"/>
      <c r="AR3" s="1165"/>
      <c r="AS3" s="1165"/>
      <c r="AT3" s="1165"/>
      <c r="AU3" s="1165"/>
    </row>
    <row r="4">
      <c r="B4" s="1170"/>
      <c r="C4" s="1171" t="s">
        <v>432</v>
      </c>
      <c r="D4" s="1171" t="s">
        <v>538</v>
      </c>
      <c r="E4" s="1172" t="s">
        <v>35</v>
      </c>
      <c r="F4" s="1171" t="s">
        <v>1020</v>
      </c>
      <c r="G4" s="1171" t="s">
        <v>1021</v>
      </c>
      <c r="H4" s="1173"/>
      <c r="I4" s="1174" t="s">
        <v>432</v>
      </c>
      <c r="J4" s="1174" t="s">
        <v>538</v>
      </c>
      <c r="K4" s="1175" t="s">
        <v>35</v>
      </c>
      <c r="L4" s="1174" t="s">
        <v>1020</v>
      </c>
      <c r="M4" s="1176" t="s">
        <v>1021</v>
      </c>
      <c r="N4" s="1163"/>
      <c r="O4" s="1163"/>
      <c r="P4" s="1164"/>
      <c r="Q4" s="1164"/>
      <c r="R4" s="1164"/>
      <c r="S4" s="1164"/>
      <c r="T4" s="1164"/>
      <c r="U4" s="1164"/>
      <c r="V4" s="1164"/>
      <c r="W4" s="1164"/>
      <c r="X4" s="1164"/>
      <c r="Y4" s="1164"/>
      <c r="Z4" s="1164"/>
      <c r="AA4" s="1164"/>
      <c r="AB4" s="1164"/>
      <c r="AC4" s="1164"/>
      <c r="AD4" s="1164"/>
      <c r="AE4" s="1164"/>
      <c r="AF4" s="1164"/>
      <c r="AG4" s="1164"/>
      <c r="AH4" s="1164"/>
      <c r="AI4" s="1164"/>
      <c r="AJ4" s="1164"/>
      <c r="AK4" s="1164"/>
      <c r="AL4" s="1164"/>
      <c r="AM4" s="1164"/>
      <c r="AN4" s="1165"/>
      <c r="AO4" s="1165"/>
      <c r="AP4" s="1165"/>
      <c r="AQ4" s="1165"/>
      <c r="AR4" s="1165"/>
      <c r="AS4" s="1165"/>
      <c r="AT4" s="1165"/>
      <c r="AU4" s="1165"/>
    </row>
    <row r="5">
      <c r="B5" s="1177" t="s">
        <v>52</v>
      </c>
      <c r="C5" s="1178">
        <v>4403.0</v>
      </c>
      <c r="D5" s="1178">
        <v>5.0</v>
      </c>
      <c r="E5" s="1179">
        <v>0.0011</v>
      </c>
      <c r="F5" s="1180"/>
      <c r="G5" s="1181"/>
      <c r="H5" s="1182" t="s">
        <v>52</v>
      </c>
      <c r="I5" s="1183">
        <f>'🔵クレーム'!V10</f>
        <v>4408</v>
      </c>
      <c r="J5" s="1183">
        <f>'🔵クレーム'!T10</f>
        <v>7</v>
      </c>
      <c r="K5" s="1184">
        <f>'🔵クレーム'!X10</f>
        <v>0.001588021779</v>
      </c>
      <c r="L5" s="1185">
        <f>O28</f>
        <v>1</v>
      </c>
      <c r="M5" s="1186">
        <f t="shared" ref="M5:M6" si="1">L5/I5</f>
        <v>0.0002268602541</v>
      </c>
      <c r="N5" s="1163"/>
      <c r="O5" s="1163"/>
      <c r="P5" s="1164"/>
      <c r="Q5" s="1164"/>
      <c r="R5" s="1164"/>
      <c r="S5" s="1164"/>
      <c r="T5" s="1164"/>
      <c r="U5" s="1164"/>
      <c r="V5" s="1164"/>
      <c r="W5" s="1164"/>
      <c r="X5" s="1164"/>
      <c r="Y5" s="1164"/>
      <c r="Z5" s="1164"/>
      <c r="AA5" s="1164"/>
      <c r="AB5" s="1164"/>
      <c r="AC5" s="1164"/>
      <c r="AD5" s="1164"/>
      <c r="AE5" s="1164"/>
      <c r="AF5" s="1164"/>
      <c r="AG5" s="1164"/>
      <c r="AH5" s="1164"/>
      <c r="AI5" s="1164"/>
      <c r="AJ5" s="1164"/>
      <c r="AK5" s="1164"/>
      <c r="AL5" s="1164"/>
      <c r="AM5" s="1164"/>
      <c r="AN5" s="1165"/>
      <c r="AO5" s="1165"/>
      <c r="AP5" s="1165"/>
      <c r="AQ5" s="1165"/>
      <c r="AR5" s="1165"/>
      <c r="AS5" s="1165"/>
      <c r="AT5" s="1165"/>
      <c r="AU5" s="1165"/>
    </row>
    <row r="6">
      <c r="B6" s="1187" t="s">
        <v>34</v>
      </c>
      <c r="C6" s="1178">
        <v>4855.0</v>
      </c>
      <c r="D6" s="1178">
        <v>11.0</v>
      </c>
      <c r="E6" s="1179">
        <v>0.0023</v>
      </c>
      <c r="F6" s="1180"/>
      <c r="G6" s="1181"/>
      <c r="H6" s="1188" t="s">
        <v>34</v>
      </c>
      <c r="I6" s="1183">
        <f>'🔵クレーム'!V11</f>
        <v>4976</v>
      </c>
      <c r="J6" s="1183">
        <f>'🔵クレーム'!T11</f>
        <v>5</v>
      </c>
      <c r="K6" s="1184">
        <f>'🔵クレーム'!X11</f>
        <v>0.001004823151</v>
      </c>
      <c r="L6" s="1185">
        <f>P28</f>
        <v>1</v>
      </c>
      <c r="M6" s="1186">
        <f t="shared" si="1"/>
        <v>0.0002009646302</v>
      </c>
      <c r="N6" s="1163"/>
      <c r="O6" s="1163"/>
      <c r="P6" s="1164"/>
      <c r="Q6" s="1164"/>
      <c r="R6" s="1164"/>
      <c r="S6" s="1164"/>
      <c r="T6" s="1164"/>
      <c r="U6" s="1164"/>
      <c r="V6" s="1164"/>
      <c r="W6" s="1164"/>
      <c r="X6" s="1164"/>
      <c r="Y6" s="1164"/>
      <c r="Z6" s="1164"/>
      <c r="AA6" s="1164"/>
      <c r="AB6" s="1164"/>
      <c r="AC6" s="1164"/>
      <c r="AD6" s="1164"/>
      <c r="AE6" s="1164"/>
      <c r="AF6" s="1164"/>
      <c r="AG6" s="1164"/>
      <c r="AH6" s="1164"/>
      <c r="AI6" s="1164"/>
      <c r="AJ6" s="1164"/>
      <c r="AK6" s="1164"/>
      <c r="AL6" s="1164"/>
      <c r="AM6" s="1164"/>
      <c r="AN6" s="1165"/>
      <c r="AO6" s="1165"/>
      <c r="AP6" s="1165"/>
      <c r="AQ6" s="1165"/>
      <c r="AR6" s="1165"/>
      <c r="AS6" s="1165"/>
      <c r="AT6" s="1165"/>
      <c r="AU6" s="1165"/>
    </row>
    <row r="7">
      <c r="B7" s="1187" t="s">
        <v>55</v>
      </c>
      <c r="C7" s="1178">
        <v>4833.0</v>
      </c>
      <c r="D7" s="1178">
        <v>2.0</v>
      </c>
      <c r="E7" s="1179">
        <v>4.0E-4</v>
      </c>
      <c r="F7" s="1180"/>
      <c r="G7" s="1181"/>
      <c r="H7" s="1188" t="s">
        <v>55</v>
      </c>
      <c r="I7" s="1183">
        <f>'🔵クレーム'!V12</f>
        <v>160</v>
      </c>
      <c r="J7" s="1183">
        <f>'🔵クレーム'!T12</f>
        <v>0</v>
      </c>
      <c r="K7" s="1184">
        <f>'🔵クレーム'!X12</f>
        <v>0</v>
      </c>
      <c r="L7" s="1189">
        <f>Q28</f>
        <v>0</v>
      </c>
      <c r="M7" s="1186">
        <f>iferror(L7/I7,"")</f>
        <v>0</v>
      </c>
      <c r="N7" s="1163"/>
      <c r="O7" s="1163"/>
      <c r="P7" s="1164"/>
      <c r="Q7" s="1164"/>
      <c r="R7" s="1164"/>
      <c r="S7" s="1164"/>
      <c r="T7" s="1164"/>
      <c r="U7" s="1164"/>
      <c r="V7" s="1164"/>
      <c r="W7" s="1164"/>
      <c r="X7" s="1164"/>
      <c r="Y7" s="1164"/>
      <c r="Z7" s="1164"/>
      <c r="AA7" s="1164"/>
      <c r="AB7" s="1164"/>
      <c r="AC7" s="1164"/>
      <c r="AD7" s="1164"/>
      <c r="AE7" s="1164"/>
      <c r="AF7" s="1164"/>
      <c r="AG7" s="1164"/>
      <c r="AH7" s="1164"/>
      <c r="AI7" s="1164"/>
      <c r="AJ7" s="1164"/>
      <c r="AK7" s="1164"/>
      <c r="AL7" s="1164"/>
      <c r="AM7" s="1164"/>
      <c r="AN7" s="1165"/>
      <c r="AO7" s="1165"/>
      <c r="AP7" s="1165"/>
      <c r="AQ7" s="1165"/>
      <c r="AR7" s="1165"/>
      <c r="AS7" s="1165"/>
      <c r="AT7" s="1165"/>
      <c r="AU7" s="1165"/>
    </row>
    <row r="8">
      <c r="B8" s="1187" t="s">
        <v>57</v>
      </c>
      <c r="C8" s="1178">
        <v>4860.0</v>
      </c>
      <c r="D8" s="1178">
        <v>4.0</v>
      </c>
      <c r="E8" s="1179">
        <v>8.0E-4</v>
      </c>
      <c r="F8" s="1180"/>
      <c r="G8" s="1181"/>
      <c r="H8" s="1188" t="s">
        <v>57</v>
      </c>
      <c r="I8" s="1183" t="str">
        <f>'🔵クレーム'!V13</f>
        <v/>
      </c>
      <c r="J8" s="1183">
        <f>'🔵クレーム'!T13</f>
        <v>0</v>
      </c>
      <c r="K8" s="1184" t="str">
        <f>'🔵クレーム'!X13</f>
        <v/>
      </c>
      <c r="L8" s="1185">
        <f>R28</f>
        <v>0</v>
      </c>
      <c r="M8" s="1186" t="str">
        <f t="shared" ref="M8:M16" si="2">iferror("",L8/I8)</f>
        <v/>
      </c>
      <c r="N8" s="1163"/>
      <c r="O8" s="1163"/>
      <c r="P8" s="1164"/>
      <c r="Q8" s="1164"/>
      <c r="R8" s="1164"/>
      <c r="S8" s="1164"/>
      <c r="T8" s="1164"/>
      <c r="U8" s="1164"/>
      <c r="V8" s="1164"/>
      <c r="W8" s="1164"/>
      <c r="X8" s="1164"/>
      <c r="Y8" s="1164"/>
      <c r="Z8" s="1164"/>
      <c r="AA8" s="1164"/>
      <c r="AB8" s="1164"/>
      <c r="AC8" s="1164"/>
      <c r="AD8" s="1164"/>
      <c r="AE8" s="1164"/>
      <c r="AF8" s="1164"/>
      <c r="AG8" s="1164"/>
      <c r="AH8" s="1164"/>
      <c r="AI8" s="1164"/>
      <c r="AJ8" s="1164"/>
      <c r="AK8" s="1164"/>
      <c r="AL8" s="1164"/>
      <c r="AM8" s="1164"/>
      <c r="AN8" s="1165"/>
      <c r="AO8" s="1165"/>
      <c r="AP8" s="1165"/>
      <c r="AQ8" s="1165"/>
      <c r="AR8" s="1165"/>
      <c r="AS8" s="1165"/>
      <c r="AT8" s="1165"/>
      <c r="AU8" s="1165"/>
    </row>
    <row r="9">
      <c r="B9" s="1187" t="s">
        <v>59</v>
      </c>
      <c r="C9" s="1178">
        <v>4687.0</v>
      </c>
      <c r="D9" s="1178">
        <v>6.0</v>
      </c>
      <c r="E9" s="1179">
        <v>0.0013</v>
      </c>
      <c r="F9" s="1180"/>
      <c r="G9" s="1181"/>
      <c r="H9" s="1188" t="s">
        <v>59</v>
      </c>
      <c r="I9" s="1183" t="str">
        <f>'🔵クレーム'!V14</f>
        <v/>
      </c>
      <c r="J9" s="1183">
        <f>'🔵クレーム'!T14</f>
        <v>0</v>
      </c>
      <c r="K9" s="1184" t="str">
        <f>'🔵クレーム'!X14</f>
        <v/>
      </c>
      <c r="L9" s="1185">
        <f>S28</f>
        <v>0</v>
      </c>
      <c r="M9" s="1186" t="str">
        <f t="shared" si="2"/>
        <v/>
      </c>
      <c r="N9" s="1163"/>
      <c r="O9" s="1163"/>
      <c r="P9" s="1164"/>
      <c r="Q9" s="1164"/>
      <c r="R9" s="1164"/>
      <c r="S9" s="1164"/>
      <c r="T9" s="1164"/>
      <c r="U9" s="1164"/>
      <c r="V9" s="1164"/>
      <c r="W9" s="1164"/>
      <c r="X9" s="1164"/>
      <c r="Y9" s="1164"/>
      <c r="Z9" s="1164"/>
      <c r="AA9" s="1164"/>
      <c r="AB9" s="1164"/>
      <c r="AC9" s="1164"/>
      <c r="AD9" s="1164"/>
      <c r="AE9" s="1164"/>
      <c r="AF9" s="1164"/>
      <c r="AG9" s="1164"/>
      <c r="AH9" s="1164"/>
      <c r="AI9" s="1164"/>
      <c r="AJ9" s="1164"/>
      <c r="AK9" s="1164"/>
      <c r="AL9" s="1164"/>
      <c r="AM9" s="1164"/>
      <c r="AN9" s="1165"/>
      <c r="AO9" s="1165"/>
      <c r="AP9" s="1165"/>
      <c r="AQ9" s="1165"/>
      <c r="AR9" s="1165"/>
      <c r="AS9" s="1165"/>
      <c r="AT9" s="1165"/>
      <c r="AU9" s="1165"/>
    </row>
    <row r="10">
      <c r="B10" s="1187" t="s">
        <v>61</v>
      </c>
      <c r="C10" s="1178">
        <v>4770.0</v>
      </c>
      <c r="D10" s="1178">
        <v>5.0</v>
      </c>
      <c r="E10" s="1179">
        <v>0.001</v>
      </c>
      <c r="F10" s="1180"/>
      <c r="G10" s="1181"/>
      <c r="H10" s="1188" t="s">
        <v>61</v>
      </c>
      <c r="I10" s="1183" t="str">
        <f>'🔵クレーム'!V15</f>
        <v/>
      </c>
      <c r="J10" s="1183">
        <f>'🔵クレーム'!T15</f>
        <v>0</v>
      </c>
      <c r="K10" s="1184" t="str">
        <f>'🔵クレーム'!X15</f>
        <v/>
      </c>
      <c r="L10" s="1185">
        <f>T28</f>
        <v>0</v>
      </c>
      <c r="M10" s="1186" t="str">
        <f t="shared" si="2"/>
        <v/>
      </c>
      <c r="N10" s="1163"/>
      <c r="O10" s="1163"/>
      <c r="P10" s="1164"/>
      <c r="Q10" s="1164"/>
      <c r="R10" s="1164"/>
      <c r="S10" s="1164"/>
      <c r="T10" s="1164"/>
      <c r="U10" s="1164"/>
      <c r="V10" s="1164"/>
      <c r="W10" s="1164"/>
      <c r="X10" s="1164"/>
      <c r="Y10" s="1164"/>
      <c r="Z10" s="1164"/>
      <c r="AA10" s="1164"/>
      <c r="AB10" s="1164"/>
      <c r="AC10" s="1164"/>
      <c r="AD10" s="1164"/>
      <c r="AE10" s="1164"/>
      <c r="AF10" s="1164"/>
      <c r="AG10" s="1164"/>
      <c r="AH10" s="1164"/>
      <c r="AI10" s="1164"/>
      <c r="AJ10" s="1164"/>
      <c r="AK10" s="1164"/>
      <c r="AL10" s="1164"/>
      <c r="AM10" s="1164"/>
      <c r="AN10" s="1165"/>
      <c r="AO10" s="1165"/>
      <c r="AP10" s="1165"/>
      <c r="AQ10" s="1165"/>
      <c r="AR10" s="1165"/>
      <c r="AS10" s="1165"/>
      <c r="AT10" s="1165"/>
      <c r="AU10" s="1165"/>
    </row>
    <row r="11">
      <c r="B11" s="1187" t="s">
        <v>63</v>
      </c>
      <c r="C11" s="1178">
        <v>4991.0</v>
      </c>
      <c r="D11" s="1178">
        <v>7.0</v>
      </c>
      <c r="E11" s="1179">
        <v>0.0014</v>
      </c>
      <c r="F11" s="1190">
        <v>5.0</v>
      </c>
      <c r="G11" s="1191">
        <v>0.001</v>
      </c>
      <c r="H11" s="1188" t="s">
        <v>63</v>
      </c>
      <c r="I11" s="1183" t="str">
        <f>'🔵クレーム'!V16</f>
        <v/>
      </c>
      <c r="J11" s="1183">
        <f>'🔵クレーム'!T16</f>
        <v>0</v>
      </c>
      <c r="K11" s="1184" t="str">
        <f>'🔵クレーム'!X16</f>
        <v/>
      </c>
      <c r="L11" s="1185">
        <f>U28</f>
        <v>0</v>
      </c>
      <c r="M11" s="1186" t="str">
        <f t="shared" si="2"/>
        <v/>
      </c>
      <c r="N11" s="1163"/>
      <c r="O11" s="1163"/>
      <c r="P11" s="1164"/>
      <c r="Q11" s="1164"/>
      <c r="R11" s="1164"/>
      <c r="S11" s="1164"/>
      <c r="T11" s="1164"/>
      <c r="U11" s="1164"/>
      <c r="V11" s="1164"/>
      <c r="W11" s="1164"/>
      <c r="X11" s="1164"/>
      <c r="Y11" s="1164"/>
      <c r="Z11" s="1164"/>
      <c r="AA11" s="1164"/>
      <c r="AB11" s="1164"/>
      <c r="AC11" s="1164"/>
      <c r="AD11" s="1164"/>
      <c r="AE11" s="1164"/>
      <c r="AF11" s="1164"/>
      <c r="AG11" s="1164"/>
      <c r="AH11" s="1164"/>
      <c r="AI11" s="1164"/>
      <c r="AJ11" s="1164"/>
      <c r="AK11" s="1164"/>
      <c r="AL11" s="1164"/>
      <c r="AM11" s="1164"/>
      <c r="AN11" s="1165"/>
      <c r="AO11" s="1165"/>
      <c r="AP11" s="1165"/>
      <c r="AQ11" s="1165"/>
      <c r="AR11" s="1165"/>
      <c r="AS11" s="1165"/>
      <c r="AT11" s="1165"/>
      <c r="AU11" s="1165"/>
    </row>
    <row r="12">
      <c r="B12" s="1187" t="s">
        <v>65</v>
      </c>
      <c r="C12" s="1178">
        <v>4811.0</v>
      </c>
      <c r="D12" s="1178">
        <v>5.0</v>
      </c>
      <c r="E12" s="1179">
        <v>0.001</v>
      </c>
      <c r="F12" s="1190">
        <v>1.0</v>
      </c>
      <c r="G12" s="1191">
        <v>2.0E-4</v>
      </c>
      <c r="H12" s="1188" t="s">
        <v>65</v>
      </c>
      <c r="I12" s="1183" t="str">
        <f>'🔵クレーム'!V17</f>
        <v/>
      </c>
      <c r="J12" s="1183">
        <f>'🔵クレーム'!T17</f>
        <v>0</v>
      </c>
      <c r="K12" s="1184" t="str">
        <f>'🔵クレーム'!X17</f>
        <v/>
      </c>
      <c r="L12" s="1185">
        <f>V28</f>
        <v>0</v>
      </c>
      <c r="M12" s="1186" t="str">
        <f t="shared" si="2"/>
        <v/>
      </c>
      <c r="N12" s="1163"/>
      <c r="O12" s="1163"/>
      <c r="P12" s="1164"/>
      <c r="Q12" s="1164"/>
      <c r="R12" s="1164"/>
      <c r="S12" s="1164"/>
      <c r="T12" s="1164"/>
      <c r="U12" s="1164"/>
      <c r="V12" s="1164"/>
      <c r="W12" s="1164"/>
      <c r="X12" s="1164"/>
      <c r="Y12" s="1164"/>
      <c r="Z12" s="1164"/>
      <c r="AA12" s="1164"/>
      <c r="AB12" s="1164"/>
      <c r="AC12" s="1164"/>
      <c r="AD12" s="1164"/>
      <c r="AE12" s="1164"/>
      <c r="AF12" s="1164"/>
      <c r="AG12" s="1164"/>
      <c r="AH12" s="1164"/>
      <c r="AI12" s="1164"/>
      <c r="AJ12" s="1164"/>
      <c r="AK12" s="1164"/>
      <c r="AL12" s="1164"/>
      <c r="AM12" s="1164"/>
      <c r="AN12" s="1165"/>
      <c r="AO12" s="1165"/>
      <c r="AP12" s="1165"/>
      <c r="AQ12" s="1165"/>
      <c r="AR12" s="1165"/>
      <c r="AS12" s="1165"/>
      <c r="AT12" s="1165"/>
      <c r="AU12" s="1165"/>
    </row>
    <row r="13">
      <c r="B13" s="1187" t="s">
        <v>67</v>
      </c>
      <c r="C13" s="1178">
        <v>4914.0</v>
      </c>
      <c r="D13" s="1178">
        <v>5.0</v>
      </c>
      <c r="E13" s="1179">
        <v>0.001</v>
      </c>
      <c r="F13" s="1190">
        <v>7.0</v>
      </c>
      <c r="G13" s="1191">
        <v>0.0014</v>
      </c>
      <c r="H13" s="1188" t="s">
        <v>67</v>
      </c>
      <c r="I13" s="1183" t="str">
        <f>'🔵クレーム'!V18</f>
        <v/>
      </c>
      <c r="J13" s="1183">
        <f>'🔵クレーム'!T18</f>
        <v>0</v>
      </c>
      <c r="K13" s="1184" t="str">
        <f>'🔵クレーム'!X18</f>
        <v/>
      </c>
      <c r="L13" s="1185">
        <f>W28</f>
        <v>0</v>
      </c>
      <c r="M13" s="1186" t="str">
        <f t="shared" si="2"/>
        <v/>
      </c>
      <c r="N13" s="1163"/>
      <c r="O13" s="1163"/>
      <c r="P13" s="1164"/>
      <c r="Q13" s="1164"/>
      <c r="R13" s="1164"/>
      <c r="S13" s="1164"/>
      <c r="T13" s="1164"/>
      <c r="U13" s="1164"/>
      <c r="V13" s="1164"/>
      <c r="W13" s="1164"/>
      <c r="X13" s="1164"/>
      <c r="Y13" s="1164"/>
      <c r="Z13" s="1164"/>
      <c r="AA13" s="1164"/>
      <c r="AB13" s="1164"/>
      <c r="AC13" s="1164"/>
      <c r="AD13" s="1164"/>
      <c r="AE13" s="1164"/>
      <c r="AF13" s="1164"/>
      <c r="AG13" s="1164"/>
      <c r="AH13" s="1164"/>
      <c r="AI13" s="1164"/>
      <c r="AJ13" s="1164"/>
      <c r="AK13" s="1164"/>
      <c r="AL13" s="1164"/>
      <c r="AM13" s="1164"/>
      <c r="AN13" s="1165"/>
      <c r="AO13" s="1165"/>
      <c r="AP13" s="1165"/>
      <c r="AQ13" s="1165"/>
      <c r="AR13" s="1165"/>
      <c r="AS13" s="1165"/>
      <c r="AT13" s="1165"/>
      <c r="AU13" s="1165"/>
    </row>
    <row r="14">
      <c r="B14" s="1187" t="s">
        <v>69</v>
      </c>
      <c r="C14" s="1178">
        <v>4820.0</v>
      </c>
      <c r="D14" s="1178">
        <v>5.0</v>
      </c>
      <c r="E14" s="1179">
        <v>0.001</v>
      </c>
      <c r="F14" s="1190">
        <v>0.0</v>
      </c>
      <c r="G14" s="1191">
        <v>0.0</v>
      </c>
      <c r="H14" s="1188" t="s">
        <v>69</v>
      </c>
      <c r="I14" s="1183" t="str">
        <f>'🔵クレーム'!V19</f>
        <v/>
      </c>
      <c r="J14" s="1183">
        <f>'🔵クレーム'!T19</f>
        <v>0</v>
      </c>
      <c r="K14" s="1184" t="str">
        <f>'🔵クレーム'!X19</f>
        <v/>
      </c>
      <c r="L14" s="1185">
        <f>X28</f>
        <v>0</v>
      </c>
      <c r="M14" s="1186" t="str">
        <f t="shared" si="2"/>
        <v/>
      </c>
      <c r="N14" s="1163"/>
      <c r="O14" s="1163"/>
      <c r="P14" s="1164"/>
      <c r="Q14" s="1164"/>
      <c r="R14" s="1164"/>
      <c r="S14" s="1164"/>
      <c r="T14" s="1164"/>
      <c r="U14" s="1164"/>
      <c r="V14" s="1164"/>
      <c r="W14" s="1164"/>
      <c r="X14" s="1164"/>
      <c r="Y14" s="1164"/>
      <c r="Z14" s="1164"/>
      <c r="AA14" s="1164"/>
      <c r="AB14" s="1164"/>
      <c r="AC14" s="1164"/>
      <c r="AD14" s="1164"/>
      <c r="AE14" s="1164"/>
      <c r="AF14" s="1164"/>
      <c r="AG14" s="1164"/>
      <c r="AH14" s="1164"/>
      <c r="AI14" s="1164"/>
      <c r="AJ14" s="1164"/>
      <c r="AK14" s="1164"/>
      <c r="AL14" s="1164"/>
      <c r="AM14" s="1164"/>
      <c r="AN14" s="1165"/>
      <c r="AO14" s="1165"/>
      <c r="AP14" s="1165"/>
      <c r="AQ14" s="1165"/>
      <c r="AR14" s="1165"/>
      <c r="AS14" s="1165"/>
      <c r="AT14" s="1165"/>
      <c r="AU14" s="1165"/>
    </row>
    <row r="15">
      <c r="B15" s="1187" t="s">
        <v>71</v>
      </c>
      <c r="C15" s="1178">
        <v>4844.0</v>
      </c>
      <c r="D15" s="1178">
        <v>7.0</v>
      </c>
      <c r="E15" s="1179">
        <v>0.0014</v>
      </c>
      <c r="F15" s="1190">
        <v>4.0</v>
      </c>
      <c r="G15" s="1191">
        <v>8.0E-4</v>
      </c>
      <c r="H15" s="1188" t="s">
        <v>71</v>
      </c>
      <c r="I15" s="1183" t="str">
        <f>'🔵クレーム'!V20</f>
        <v/>
      </c>
      <c r="J15" s="1183">
        <f>'🔵クレーム'!T20</f>
        <v>0</v>
      </c>
      <c r="K15" s="1184" t="str">
        <f>'🔵クレーム'!X20</f>
        <v/>
      </c>
      <c r="L15" s="1185">
        <f>Y28</f>
        <v>0</v>
      </c>
      <c r="M15" s="1186" t="str">
        <f t="shared" si="2"/>
        <v/>
      </c>
      <c r="N15" s="1192" t="str">
        <f>IFERROR(__xludf.DUMMYFUNCTION("IMPORTRANGE(""https://docs.google.com/spreadsheets/d/1IwmJzWSnyLND6OifLqCCPKpZ1Ef6H2apOiA6Z_NYTZM/edit?gid=424013977#gid=424013977"",""口コミまとめ!B78:AA91"")"),"")</f>
        <v/>
      </c>
      <c r="O15" s="1193" t="str">
        <f>IFERROR(__xludf.DUMMYFUNCTION("""COMPUTED_VALUE"""),"2月")</f>
        <v>2月</v>
      </c>
      <c r="P15" s="1194" t="str">
        <f>IFERROR(__xludf.DUMMYFUNCTION("""COMPUTED_VALUE"""),"3月")</f>
        <v>3月</v>
      </c>
      <c r="Q15" s="1195" t="str">
        <f>IFERROR(__xludf.DUMMYFUNCTION("""COMPUTED_VALUE"""),"4月")</f>
        <v>4月</v>
      </c>
      <c r="R15" s="1194" t="str">
        <f>IFERROR(__xludf.DUMMYFUNCTION("""COMPUTED_VALUE"""),"5月")</f>
        <v>5月</v>
      </c>
      <c r="S15" s="1195" t="str">
        <f>IFERROR(__xludf.DUMMYFUNCTION("""COMPUTED_VALUE"""),"6月")</f>
        <v>6月</v>
      </c>
      <c r="T15" s="1194" t="str">
        <f>IFERROR(__xludf.DUMMYFUNCTION("""COMPUTED_VALUE"""),"7月")</f>
        <v>7月</v>
      </c>
      <c r="U15" s="1195" t="str">
        <f>IFERROR(__xludf.DUMMYFUNCTION("""COMPUTED_VALUE"""),"8月")</f>
        <v>8月</v>
      </c>
      <c r="V15" s="1194" t="str">
        <f>IFERROR(__xludf.DUMMYFUNCTION("""COMPUTED_VALUE"""),"9月")</f>
        <v>9月</v>
      </c>
      <c r="W15" s="1195" t="str">
        <f>IFERROR(__xludf.DUMMYFUNCTION("""COMPUTED_VALUE"""),"10月")</f>
        <v>10月</v>
      </c>
      <c r="X15" s="1194" t="str">
        <f>IFERROR(__xludf.DUMMYFUNCTION("""COMPUTED_VALUE"""),"11月")</f>
        <v>11月</v>
      </c>
      <c r="Y15" s="1195" t="str">
        <f>IFERROR(__xludf.DUMMYFUNCTION("""COMPUTED_VALUE"""),"12月")</f>
        <v>12月</v>
      </c>
      <c r="Z15" s="1194" t="str">
        <f>IFERROR(__xludf.DUMMYFUNCTION("""COMPUTED_VALUE"""),"1月")</f>
        <v>1月</v>
      </c>
      <c r="AA15" s="1196" t="str">
        <f>IFERROR(__xludf.DUMMYFUNCTION("""COMPUTED_VALUE"""),"合計")</f>
        <v>合計</v>
      </c>
      <c r="AB15" s="1162"/>
      <c r="AC15" s="1195"/>
      <c r="AD15" s="1194"/>
      <c r="AE15" s="1162"/>
      <c r="AF15" s="1194"/>
      <c r="AG15" s="1162"/>
      <c r="AH15" s="1194"/>
      <c r="AI15" s="1162"/>
      <c r="AJ15" s="1194"/>
      <c r="AK15" s="1162"/>
      <c r="AL15" s="1194"/>
      <c r="AM15" s="1162"/>
      <c r="AN15" s="1165"/>
      <c r="AO15" s="1165"/>
      <c r="AP15" s="1165"/>
      <c r="AQ15" s="1165"/>
      <c r="AR15" s="1165"/>
      <c r="AS15" s="1165"/>
      <c r="AT15" s="1165"/>
      <c r="AU15" s="1165"/>
    </row>
    <row r="16">
      <c r="B16" s="1197" t="s">
        <v>73</v>
      </c>
      <c r="C16" s="1178">
        <v>4350.0</v>
      </c>
      <c r="D16" s="1178">
        <v>13.0</v>
      </c>
      <c r="E16" s="1179">
        <v>0.003</v>
      </c>
      <c r="F16" s="1190">
        <v>4.0</v>
      </c>
      <c r="G16" s="1191">
        <v>9.0E-4</v>
      </c>
      <c r="H16" s="1198" t="s">
        <v>73</v>
      </c>
      <c r="I16" s="1183" t="str">
        <f>'🔵クレーム'!V21</f>
        <v/>
      </c>
      <c r="J16" s="1183">
        <f>'🔵クレーム'!T21</f>
        <v>0</v>
      </c>
      <c r="K16" s="1184" t="str">
        <f>'🔵クレーム'!X21</f>
        <v/>
      </c>
      <c r="L16" s="1185">
        <f>Z28</f>
        <v>0</v>
      </c>
      <c r="M16" s="1186" t="str">
        <f t="shared" si="2"/>
        <v/>
      </c>
      <c r="N16" s="1199" t="str">
        <f>IFERROR(__xludf.DUMMYFUNCTION("""COMPUTED_VALUE"""),"内容")</f>
        <v>内容</v>
      </c>
      <c r="O16" s="1200" t="str">
        <f>IFERROR(__xludf.DUMMYFUNCTION("""COMPUTED_VALUE"""),"件数")</f>
        <v>件数</v>
      </c>
      <c r="P16" s="1201" t="str">
        <f>IFERROR(__xludf.DUMMYFUNCTION("""COMPUTED_VALUE"""),"件数")</f>
        <v>件数</v>
      </c>
      <c r="Q16" s="1200" t="str">
        <f>IFERROR(__xludf.DUMMYFUNCTION("""COMPUTED_VALUE"""),"件数")</f>
        <v>件数</v>
      </c>
      <c r="R16" s="1201" t="str">
        <f>IFERROR(__xludf.DUMMYFUNCTION("""COMPUTED_VALUE"""),"件数")</f>
        <v>件数</v>
      </c>
      <c r="S16" s="1200" t="str">
        <f>IFERROR(__xludf.DUMMYFUNCTION("""COMPUTED_VALUE"""),"件数")</f>
        <v>件数</v>
      </c>
      <c r="T16" s="1201" t="str">
        <f>IFERROR(__xludf.DUMMYFUNCTION("""COMPUTED_VALUE"""),"件数")</f>
        <v>件数</v>
      </c>
      <c r="U16" s="1200" t="str">
        <f>IFERROR(__xludf.DUMMYFUNCTION("""COMPUTED_VALUE"""),"件数")</f>
        <v>件数</v>
      </c>
      <c r="V16" s="1201" t="str">
        <f>IFERROR(__xludf.DUMMYFUNCTION("""COMPUTED_VALUE"""),"件数")</f>
        <v>件数</v>
      </c>
      <c r="W16" s="1200" t="str">
        <f>IFERROR(__xludf.DUMMYFUNCTION("""COMPUTED_VALUE"""),"件数")</f>
        <v>件数</v>
      </c>
      <c r="X16" s="1201" t="str">
        <f>IFERROR(__xludf.DUMMYFUNCTION("""COMPUTED_VALUE"""),"件数")</f>
        <v>件数</v>
      </c>
      <c r="Y16" s="1200" t="str">
        <f>IFERROR(__xludf.DUMMYFUNCTION("""COMPUTED_VALUE"""),"件数")</f>
        <v>件数</v>
      </c>
      <c r="Z16" s="1201" t="str">
        <f>IFERROR(__xludf.DUMMYFUNCTION("""COMPUTED_VALUE"""),"件数")</f>
        <v>件数</v>
      </c>
      <c r="AA16" s="1200" t="str">
        <f>IFERROR(__xludf.DUMMYFUNCTION("""COMPUTED_VALUE"""),"内容")</f>
        <v>内容</v>
      </c>
      <c r="AB16" s="1201" t="str">
        <f>IFERROR(__xludf.DUMMYFUNCTION("""COMPUTED_VALUE"""),"件数")</f>
        <v>件数</v>
      </c>
      <c r="AC16" s="1200"/>
      <c r="AD16" s="1201"/>
      <c r="AE16" s="1200"/>
      <c r="AF16" s="1201"/>
      <c r="AG16" s="1200"/>
      <c r="AH16" s="1201"/>
      <c r="AI16" s="1200"/>
      <c r="AJ16" s="1201"/>
      <c r="AK16" s="1200"/>
      <c r="AL16" s="1201"/>
      <c r="AM16" s="1200"/>
      <c r="AN16" s="1165"/>
      <c r="AO16" s="1165"/>
      <c r="AP16" s="1165"/>
      <c r="AQ16" s="1165"/>
      <c r="AR16" s="1165"/>
      <c r="AS16" s="1165"/>
      <c r="AT16" s="1165"/>
      <c r="AU16" s="1165"/>
    </row>
    <row r="17">
      <c r="B17" s="1202" t="s">
        <v>1022</v>
      </c>
      <c r="C17" s="1203">
        <f t="shared" ref="C17:D17" si="3">SUM(C4:C16)</f>
        <v>57138</v>
      </c>
      <c r="D17" s="1203">
        <f t="shared" si="3"/>
        <v>75</v>
      </c>
      <c r="E17" s="1204">
        <f>D17/C17</f>
        <v>0.001312611572</v>
      </c>
      <c r="F17" s="1203">
        <f>SUM(F5:F16)</f>
        <v>21</v>
      </c>
      <c r="G17" s="1205">
        <f>F17/C17</f>
        <v>0.0003675312402</v>
      </c>
      <c r="H17" s="1206" t="s">
        <v>1022</v>
      </c>
      <c r="I17" s="1207">
        <f t="shared" ref="I17:J17" si="4">SUM(I5:I16)</f>
        <v>9544</v>
      </c>
      <c r="J17" s="1207">
        <f t="shared" si="4"/>
        <v>12</v>
      </c>
      <c r="K17" s="1208">
        <f>J17/I17</f>
        <v>0.001257334451</v>
      </c>
      <c r="L17" s="1207">
        <f>SUM(L5:L16)</f>
        <v>2</v>
      </c>
      <c r="M17" s="1209">
        <f>L17/I17</f>
        <v>0.0002095557418</v>
      </c>
      <c r="N17" s="1210" t="str">
        <f>IFERROR(__xludf.DUMMYFUNCTION("""COMPUTED_VALUE"""),"セット漏れ")</f>
        <v>セット漏れ</v>
      </c>
      <c r="O17" s="1211">
        <f>IFERROR(__xludf.DUMMYFUNCTION("""COMPUTED_VALUE"""),0.0)</f>
        <v>0</v>
      </c>
      <c r="P17" s="1212">
        <f>IFERROR(__xludf.DUMMYFUNCTION("""COMPUTED_VALUE"""),0.0)</f>
        <v>0</v>
      </c>
      <c r="Q17" s="1211">
        <f>IFERROR(__xludf.DUMMYFUNCTION("""COMPUTED_VALUE"""),0.0)</f>
        <v>0</v>
      </c>
      <c r="R17" s="1212">
        <f>IFERROR(__xludf.DUMMYFUNCTION("""COMPUTED_VALUE"""),0.0)</f>
        <v>0</v>
      </c>
      <c r="S17" s="1211">
        <f>IFERROR(__xludf.DUMMYFUNCTION("""COMPUTED_VALUE"""),0.0)</f>
        <v>0</v>
      </c>
      <c r="T17" s="1212">
        <f>IFERROR(__xludf.DUMMYFUNCTION("""COMPUTED_VALUE"""),0.0)</f>
        <v>0</v>
      </c>
      <c r="U17" s="1211">
        <f>IFERROR(__xludf.DUMMYFUNCTION("""COMPUTED_VALUE"""),0.0)</f>
        <v>0</v>
      </c>
      <c r="V17" s="1212">
        <f>IFERROR(__xludf.DUMMYFUNCTION("""COMPUTED_VALUE"""),0.0)</f>
        <v>0</v>
      </c>
      <c r="W17" s="1211">
        <f>IFERROR(__xludf.DUMMYFUNCTION("""COMPUTED_VALUE"""),0.0)</f>
        <v>0</v>
      </c>
      <c r="X17" s="1212">
        <f>IFERROR(__xludf.DUMMYFUNCTION("""COMPUTED_VALUE"""),0.0)</f>
        <v>0</v>
      </c>
      <c r="Y17" s="1211">
        <f>IFERROR(__xludf.DUMMYFUNCTION("""COMPUTED_VALUE"""),0.0)</f>
        <v>0</v>
      </c>
      <c r="Z17" s="1213">
        <f>IFERROR(__xludf.DUMMYFUNCTION("""COMPUTED_VALUE"""),0.0)</f>
        <v>0</v>
      </c>
      <c r="AA17" s="1211" t="str">
        <f>IFERROR(__xludf.DUMMYFUNCTION("""COMPUTED_VALUE"""),"セット漏れ")</f>
        <v>セット漏れ</v>
      </c>
      <c r="AB17" s="1212">
        <f>IFERROR(__xludf.DUMMYFUNCTION("""COMPUTED_VALUE"""),0.0)</f>
        <v>0</v>
      </c>
      <c r="AC17" s="1211"/>
      <c r="AD17" s="1212"/>
      <c r="AE17" s="1211"/>
      <c r="AF17" s="1212"/>
      <c r="AG17" s="1211"/>
      <c r="AH17" s="1212"/>
      <c r="AI17" s="1211"/>
      <c r="AJ17" s="1212"/>
      <c r="AK17" s="1211"/>
      <c r="AL17" s="1212"/>
      <c r="AM17" s="1214"/>
      <c r="AN17" s="1165"/>
      <c r="AO17" s="1165"/>
      <c r="AP17" s="1165"/>
      <c r="AQ17" s="1165"/>
      <c r="AR17" s="1165"/>
      <c r="AS17" s="1165"/>
      <c r="AT17" s="1165"/>
      <c r="AU17" s="1165"/>
    </row>
    <row r="18">
      <c r="B18" s="1215"/>
      <c r="H18" s="1216"/>
      <c r="I18" s="1216"/>
      <c r="J18" s="1216"/>
      <c r="K18" s="1216"/>
      <c r="L18" s="1216"/>
      <c r="M18" s="1217"/>
      <c r="N18" s="1210" t="str">
        <f>IFERROR(__xludf.DUMMYFUNCTION("""COMPUTED_VALUE"""),"残置")</f>
        <v>残置</v>
      </c>
      <c r="O18" s="1211">
        <f>IFERROR(__xludf.DUMMYFUNCTION("""COMPUTED_VALUE"""),0.0)</f>
        <v>0</v>
      </c>
      <c r="P18" s="1212">
        <f>IFERROR(__xludf.DUMMYFUNCTION("""COMPUTED_VALUE"""),0.0)</f>
        <v>0</v>
      </c>
      <c r="Q18" s="1211">
        <f>IFERROR(__xludf.DUMMYFUNCTION("""COMPUTED_VALUE"""),0.0)</f>
        <v>0</v>
      </c>
      <c r="R18" s="1212">
        <f>IFERROR(__xludf.DUMMYFUNCTION("""COMPUTED_VALUE"""),0.0)</f>
        <v>0</v>
      </c>
      <c r="S18" s="1211">
        <f>IFERROR(__xludf.DUMMYFUNCTION("""COMPUTED_VALUE"""),0.0)</f>
        <v>0</v>
      </c>
      <c r="T18" s="1212">
        <f>IFERROR(__xludf.DUMMYFUNCTION("""COMPUTED_VALUE"""),0.0)</f>
        <v>0</v>
      </c>
      <c r="U18" s="1211">
        <f>IFERROR(__xludf.DUMMYFUNCTION("""COMPUTED_VALUE"""),0.0)</f>
        <v>0</v>
      </c>
      <c r="V18" s="1212">
        <f>IFERROR(__xludf.DUMMYFUNCTION("""COMPUTED_VALUE"""),0.0)</f>
        <v>0</v>
      </c>
      <c r="W18" s="1211">
        <f>IFERROR(__xludf.DUMMYFUNCTION("""COMPUTED_VALUE"""),0.0)</f>
        <v>0</v>
      </c>
      <c r="X18" s="1212">
        <f>IFERROR(__xludf.DUMMYFUNCTION("""COMPUTED_VALUE"""),0.0)</f>
        <v>0</v>
      </c>
      <c r="Y18" s="1211">
        <f>IFERROR(__xludf.DUMMYFUNCTION("""COMPUTED_VALUE"""),0.0)</f>
        <v>0</v>
      </c>
      <c r="Z18" s="1213">
        <f>IFERROR(__xludf.DUMMYFUNCTION("""COMPUTED_VALUE"""),0.0)</f>
        <v>0</v>
      </c>
      <c r="AA18" s="1214" t="str">
        <f>IFERROR(__xludf.DUMMYFUNCTION("""COMPUTED_VALUE"""),"残置")</f>
        <v>残置</v>
      </c>
      <c r="AB18" s="1212">
        <f>IFERROR(__xludf.DUMMYFUNCTION("""COMPUTED_VALUE"""),0.0)</f>
        <v>0</v>
      </c>
      <c r="AC18" s="1214"/>
      <c r="AD18" s="1212"/>
      <c r="AE18" s="1214"/>
      <c r="AF18" s="1212"/>
      <c r="AG18" s="1214"/>
      <c r="AH18" s="1212"/>
      <c r="AI18" s="1214"/>
      <c r="AJ18" s="1212"/>
      <c r="AK18" s="1214"/>
      <c r="AL18" s="1212"/>
      <c r="AM18" s="1214"/>
      <c r="AN18" s="1165"/>
      <c r="AO18" s="1165"/>
      <c r="AP18" s="1165"/>
      <c r="AQ18" s="1165"/>
      <c r="AR18" s="1165"/>
      <c r="AS18" s="1165"/>
      <c r="AT18" s="1165"/>
      <c r="AU18" s="1165"/>
    </row>
    <row r="19">
      <c r="B19" s="1215"/>
      <c r="H19" s="1216"/>
      <c r="I19" s="1216"/>
      <c r="J19" s="1216"/>
      <c r="K19" s="1216"/>
      <c r="L19" s="1216"/>
      <c r="M19" s="1217"/>
      <c r="N19" s="1210" t="str">
        <f>IFERROR(__xludf.DUMMYFUNCTION("""COMPUTED_VALUE"""),"髪の毛")</f>
        <v>髪の毛</v>
      </c>
      <c r="O19" s="1211">
        <f>IFERROR(__xludf.DUMMYFUNCTION("""COMPUTED_VALUE"""),0.0)</f>
        <v>0</v>
      </c>
      <c r="P19" s="1212">
        <f>IFERROR(__xludf.DUMMYFUNCTION("""COMPUTED_VALUE"""),0.0)</f>
        <v>0</v>
      </c>
      <c r="Q19" s="1211">
        <f>IFERROR(__xludf.DUMMYFUNCTION("""COMPUTED_VALUE"""),0.0)</f>
        <v>0</v>
      </c>
      <c r="R19" s="1212">
        <f>IFERROR(__xludf.DUMMYFUNCTION("""COMPUTED_VALUE"""),0.0)</f>
        <v>0</v>
      </c>
      <c r="S19" s="1211">
        <f>IFERROR(__xludf.DUMMYFUNCTION("""COMPUTED_VALUE"""),0.0)</f>
        <v>0</v>
      </c>
      <c r="T19" s="1212">
        <f>IFERROR(__xludf.DUMMYFUNCTION("""COMPUTED_VALUE"""),0.0)</f>
        <v>0</v>
      </c>
      <c r="U19" s="1211">
        <f>IFERROR(__xludf.DUMMYFUNCTION("""COMPUTED_VALUE"""),0.0)</f>
        <v>0</v>
      </c>
      <c r="V19" s="1212">
        <f>IFERROR(__xludf.DUMMYFUNCTION("""COMPUTED_VALUE"""),0.0)</f>
        <v>0</v>
      </c>
      <c r="W19" s="1211">
        <f>IFERROR(__xludf.DUMMYFUNCTION("""COMPUTED_VALUE"""),0.0)</f>
        <v>0</v>
      </c>
      <c r="X19" s="1212">
        <f>IFERROR(__xludf.DUMMYFUNCTION("""COMPUTED_VALUE"""),0.0)</f>
        <v>0</v>
      </c>
      <c r="Y19" s="1211">
        <f>IFERROR(__xludf.DUMMYFUNCTION("""COMPUTED_VALUE"""),0.0)</f>
        <v>0</v>
      </c>
      <c r="Z19" s="1213">
        <f>IFERROR(__xludf.DUMMYFUNCTION("""COMPUTED_VALUE"""),0.0)</f>
        <v>0</v>
      </c>
      <c r="AA19" s="1214" t="str">
        <f>IFERROR(__xludf.DUMMYFUNCTION("""COMPUTED_VALUE"""),"髪の毛")</f>
        <v>髪の毛</v>
      </c>
      <c r="AB19" s="1212">
        <f>IFERROR(__xludf.DUMMYFUNCTION("""COMPUTED_VALUE"""),0.0)</f>
        <v>0</v>
      </c>
      <c r="AC19" s="1214"/>
      <c r="AD19" s="1212"/>
      <c r="AE19" s="1214"/>
      <c r="AF19" s="1212"/>
      <c r="AG19" s="1214"/>
      <c r="AH19" s="1212"/>
      <c r="AI19" s="1214"/>
      <c r="AJ19" s="1212"/>
      <c r="AK19" s="1214"/>
      <c r="AL19" s="1212"/>
      <c r="AM19" s="1214"/>
      <c r="AN19" s="1165"/>
      <c r="AO19" s="1165"/>
      <c r="AP19" s="1165"/>
      <c r="AQ19" s="1165"/>
      <c r="AR19" s="1165"/>
      <c r="AS19" s="1165"/>
      <c r="AT19" s="1165"/>
      <c r="AU19" s="1165"/>
    </row>
    <row r="20">
      <c r="B20" s="1215"/>
      <c r="H20" s="1216"/>
      <c r="I20" s="1216"/>
      <c r="J20" s="1216"/>
      <c r="K20" s="1216"/>
      <c r="L20" s="1216"/>
      <c r="M20" s="1217"/>
      <c r="N20" s="1210" t="str">
        <f>IFERROR(__xludf.DUMMYFUNCTION("""COMPUTED_VALUE"""),"汚れ")</f>
        <v>汚れ</v>
      </c>
      <c r="O20" s="1211">
        <f>IFERROR(__xludf.DUMMYFUNCTION("""COMPUTED_VALUE"""),0.0)</f>
        <v>0</v>
      </c>
      <c r="P20" s="1212">
        <f>IFERROR(__xludf.DUMMYFUNCTION("""COMPUTED_VALUE"""),0.0)</f>
        <v>0</v>
      </c>
      <c r="Q20" s="1211">
        <f>IFERROR(__xludf.DUMMYFUNCTION("""COMPUTED_VALUE"""),0.0)</f>
        <v>0</v>
      </c>
      <c r="R20" s="1212">
        <f>IFERROR(__xludf.DUMMYFUNCTION("""COMPUTED_VALUE"""),0.0)</f>
        <v>0</v>
      </c>
      <c r="S20" s="1211">
        <f>IFERROR(__xludf.DUMMYFUNCTION("""COMPUTED_VALUE"""),0.0)</f>
        <v>0</v>
      </c>
      <c r="T20" s="1212">
        <f>IFERROR(__xludf.DUMMYFUNCTION("""COMPUTED_VALUE"""),0.0)</f>
        <v>0</v>
      </c>
      <c r="U20" s="1211">
        <f>IFERROR(__xludf.DUMMYFUNCTION("""COMPUTED_VALUE"""),0.0)</f>
        <v>0</v>
      </c>
      <c r="V20" s="1212">
        <f>IFERROR(__xludf.DUMMYFUNCTION("""COMPUTED_VALUE"""),0.0)</f>
        <v>0</v>
      </c>
      <c r="W20" s="1211">
        <f>IFERROR(__xludf.DUMMYFUNCTION("""COMPUTED_VALUE"""),0.0)</f>
        <v>0</v>
      </c>
      <c r="X20" s="1212">
        <f>IFERROR(__xludf.DUMMYFUNCTION("""COMPUTED_VALUE"""),0.0)</f>
        <v>0</v>
      </c>
      <c r="Y20" s="1211">
        <f>IFERROR(__xludf.DUMMYFUNCTION("""COMPUTED_VALUE"""),0.0)</f>
        <v>0</v>
      </c>
      <c r="Z20" s="1213">
        <f>IFERROR(__xludf.DUMMYFUNCTION("""COMPUTED_VALUE"""),0.0)</f>
        <v>0</v>
      </c>
      <c r="AA20" s="1214" t="str">
        <f>IFERROR(__xludf.DUMMYFUNCTION("""COMPUTED_VALUE"""),"汚れ")</f>
        <v>汚れ</v>
      </c>
      <c r="AB20" s="1212">
        <f>IFERROR(__xludf.DUMMYFUNCTION("""COMPUTED_VALUE"""),0.0)</f>
        <v>0</v>
      </c>
      <c r="AC20" s="1214"/>
      <c r="AD20" s="1212"/>
      <c r="AE20" s="1214"/>
      <c r="AF20" s="1212"/>
      <c r="AG20" s="1214"/>
      <c r="AH20" s="1212"/>
      <c r="AI20" s="1214"/>
      <c r="AJ20" s="1212"/>
      <c r="AK20" s="1214"/>
      <c r="AL20" s="1212"/>
      <c r="AM20" s="1214"/>
      <c r="AN20" s="1165"/>
      <c r="AO20" s="1165"/>
      <c r="AP20" s="1165"/>
      <c r="AQ20" s="1165"/>
      <c r="AR20" s="1165"/>
      <c r="AS20" s="1165"/>
      <c r="AT20" s="1165"/>
      <c r="AU20" s="1165"/>
    </row>
    <row r="21">
      <c r="B21" s="1215"/>
      <c r="H21" s="1216"/>
      <c r="I21" s="1216"/>
      <c r="J21" s="1216"/>
      <c r="K21" s="1216"/>
      <c r="L21" s="1216"/>
      <c r="M21" s="1217"/>
      <c r="N21" s="1210" t="str">
        <f>IFERROR(__xludf.DUMMYFUNCTION("""COMPUTED_VALUE"""),"清掃不備")</f>
        <v>清掃不備</v>
      </c>
      <c r="O21" s="1211">
        <f>IFERROR(__xludf.DUMMYFUNCTION("""COMPUTED_VALUE"""),0.0)</f>
        <v>0</v>
      </c>
      <c r="P21" s="1212">
        <f>IFERROR(__xludf.DUMMYFUNCTION("""COMPUTED_VALUE"""),0.0)</f>
        <v>0</v>
      </c>
      <c r="Q21" s="1211">
        <f>IFERROR(__xludf.DUMMYFUNCTION("""COMPUTED_VALUE"""),0.0)</f>
        <v>0</v>
      </c>
      <c r="R21" s="1212">
        <f>IFERROR(__xludf.DUMMYFUNCTION("""COMPUTED_VALUE"""),0.0)</f>
        <v>0</v>
      </c>
      <c r="S21" s="1211">
        <f>IFERROR(__xludf.DUMMYFUNCTION("""COMPUTED_VALUE"""),0.0)</f>
        <v>0</v>
      </c>
      <c r="T21" s="1212">
        <f>IFERROR(__xludf.DUMMYFUNCTION("""COMPUTED_VALUE"""),0.0)</f>
        <v>0</v>
      </c>
      <c r="U21" s="1211">
        <f>IFERROR(__xludf.DUMMYFUNCTION("""COMPUTED_VALUE"""),0.0)</f>
        <v>0</v>
      </c>
      <c r="V21" s="1212">
        <f>IFERROR(__xludf.DUMMYFUNCTION("""COMPUTED_VALUE"""),0.0)</f>
        <v>0</v>
      </c>
      <c r="W21" s="1211">
        <f>IFERROR(__xludf.DUMMYFUNCTION("""COMPUTED_VALUE"""),0.0)</f>
        <v>0</v>
      </c>
      <c r="X21" s="1212">
        <f>IFERROR(__xludf.DUMMYFUNCTION("""COMPUTED_VALUE"""),0.0)</f>
        <v>0</v>
      </c>
      <c r="Y21" s="1211">
        <f>IFERROR(__xludf.DUMMYFUNCTION("""COMPUTED_VALUE"""),0.0)</f>
        <v>0</v>
      </c>
      <c r="Z21" s="1213">
        <f>IFERROR(__xludf.DUMMYFUNCTION("""COMPUTED_VALUE"""),0.0)</f>
        <v>0</v>
      </c>
      <c r="AA21" s="1214" t="str">
        <f>IFERROR(__xludf.DUMMYFUNCTION("""COMPUTED_VALUE"""),"清掃不備")</f>
        <v>清掃不備</v>
      </c>
      <c r="AB21" s="1212">
        <f>IFERROR(__xludf.DUMMYFUNCTION("""COMPUTED_VALUE"""),0.0)</f>
        <v>0</v>
      </c>
      <c r="AC21" s="1214"/>
      <c r="AD21" s="1212"/>
      <c r="AE21" s="1214"/>
      <c r="AF21" s="1212"/>
      <c r="AG21" s="1214"/>
      <c r="AH21" s="1212"/>
      <c r="AI21" s="1214"/>
      <c r="AJ21" s="1212"/>
      <c r="AK21" s="1214"/>
      <c r="AL21" s="1212"/>
      <c r="AM21" s="1214"/>
      <c r="AN21" s="1165"/>
      <c r="AO21" s="1165"/>
      <c r="AP21" s="1165"/>
      <c r="AQ21" s="1165"/>
      <c r="AR21" s="1165"/>
      <c r="AS21" s="1165"/>
      <c r="AT21" s="1165"/>
      <c r="AU21" s="1165"/>
    </row>
    <row r="22">
      <c r="B22" s="1215"/>
      <c r="H22" s="1216"/>
      <c r="I22" s="1216"/>
      <c r="J22" s="1216"/>
      <c r="K22" s="1216"/>
      <c r="L22" s="1216"/>
      <c r="M22" s="1217"/>
      <c r="N22" s="1210" t="str">
        <f>IFERROR(__xludf.DUMMYFUNCTION("""COMPUTED_VALUE"""),"手配ミス")</f>
        <v>手配ミス</v>
      </c>
      <c r="O22" s="1211">
        <f>IFERROR(__xludf.DUMMYFUNCTION("""COMPUTED_VALUE"""),0.0)</f>
        <v>0</v>
      </c>
      <c r="P22" s="1212">
        <f>IFERROR(__xludf.DUMMYFUNCTION("""COMPUTED_VALUE"""),0.0)</f>
        <v>0</v>
      </c>
      <c r="Q22" s="1211">
        <f>IFERROR(__xludf.DUMMYFUNCTION("""COMPUTED_VALUE"""),0.0)</f>
        <v>0</v>
      </c>
      <c r="R22" s="1212">
        <f>IFERROR(__xludf.DUMMYFUNCTION("""COMPUTED_VALUE"""),0.0)</f>
        <v>0</v>
      </c>
      <c r="S22" s="1211">
        <f>IFERROR(__xludf.DUMMYFUNCTION("""COMPUTED_VALUE"""),0.0)</f>
        <v>0</v>
      </c>
      <c r="T22" s="1212">
        <f>IFERROR(__xludf.DUMMYFUNCTION("""COMPUTED_VALUE"""),0.0)</f>
        <v>0</v>
      </c>
      <c r="U22" s="1211">
        <f>IFERROR(__xludf.DUMMYFUNCTION("""COMPUTED_VALUE"""),0.0)</f>
        <v>0</v>
      </c>
      <c r="V22" s="1212">
        <f>IFERROR(__xludf.DUMMYFUNCTION("""COMPUTED_VALUE"""),0.0)</f>
        <v>0</v>
      </c>
      <c r="W22" s="1211">
        <f>IFERROR(__xludf.DUMMYFUNCTION("""COMPUTED_VALUE"""),0.0)</f>
        <v>0</v>
      </c>
      <c r="X22" s="1212">
        <f>IFERROR(__xludf.DUMMYFUNCTION("""COMPUTED_VALUE"""),0.0)</f>
        <v>0</v>
      </c>
      <c r="Y22" s="1211">
        <f>IFERROR(__xludf.DUMMYFUNCTION("""COMPUTED_VALUE"""),0.0)</f>
        <v>0</v>
      </c>
      <c r="Z22" s="1213">
        <f>IFERROR(__xludf.DUMMYFUNCTION("""COMPUTED_VALUE"""),0.0)</f>
        <v>0</v>
      </c>
      <c r="AA22" s="1214" t="str">
        <f>IFERROR(__xludf.DUMMYFUNCTION("""COMPUTED_VALUE"""),"手配ミス")</f>
        <v>手配ミス</v>
      </c>
      <c r="AB22" s="1212">
        <f>IFERROR(__xludf.DUMMYFUNCTION("""COMPUTED_VALUE"""),0.0)</f>
        <v>0</v>
      </c>
      <c r="AC22" s="1214"/>
      <c r="AD22" s="1212"/>
      <c r="AE22" s="1214"/>
      <c r="AF22" s="1212"/>
      <c r="AG22" s="1214"/>
      <c r="AH22" s="1212"/>
      <c r="AI22" s="1214"/>
      <c r="AJ22" s="1212"/>
      <c r="AK22" s="1214"/>
      <c r="AL22" s="1212"/>
      <c r="AM22" s="1214"/>
      <c r="AN22" s="1165"/>
      <c r="AO22" s="1165"/>
      <c r="AP22" s="1165"/>
      <c r="AQ22" s="1165"/>
      <c r="AR22" s="1165"/>
      <c r="AS22" s="1165"/>
      <c r="AT22" s="1165"/>
      <c r="AU22" s="1165"/>
    </row>
    <row r="23">
      <c r="B23" s="1215"/>
      <c r="H23" s="1216"/>
      <c r="I23" s="1216"/>
      <c r="J23" s="1216"/>
      <c r="K23" s="1216"/>
      <c r="L23" s="1216"/>
      <c r="M23" s="1217"/>
      <c r="N23" s="1210" t="str">
        <f>IFERROR(__xludf.DUMMYFUNCTION("""COMPUTED_VALUE"""),"臭い")</f>
        <v>臭い</v>
      </c>
      <c r="O23" s="1211">
        <f>IFERROR(__xludf.DUMMYFUNCTION("""COMPUTED_VALUE"""),0.0)</f>
        <v>0</v>
      </c>
      <c r="P23" s="1212">
        <f>IFERROR(__xludf.DUMMYFUNCTION("""COMPUTED_VALUE"""),1.0)</f>
        <v>1</v>
      </c>
      <c r="Q23" s="1211">
        <f>IFERROR(__xludf.DUMMYFUNCTION("""COMPUTED_VALUE"""),0.0)</f>
        <v>0</v>
      </c>
      <c r="R23" s="1212">
        <f>IFERROR(__xludf.DUMMYFUNCTION("""COMPUTED_VALUE"""),0.0)</f>
        <v>0</v>
      </c>
      <c r="S23" s="1211">
        <f>IFERROR(__xludf.DUMMYFUNCTION("""COMPUTED_VALUE"""),0.0)</f>
        <v>0</v>
      </c>
      <c r="T23" s="1212">
        <f>IFERROR(__xludf.DUMMYFUNCTION("""COMPUTED_VALUE"""),0.0)</f>
        <v>0</v>
      </c>
      <c r="U23" s="1211">
        <f>IFERROR(__xludf.DUMMYFUNCTION("""COMPUTED_VALUE"""),0.0)</f>
        <v>0</v>
      </c>
      <c r="V23" s="1212">
        <f>IFERROR(__xludf.DUMMYFUNCTION("""COMPUTED_VALUE"""),0.0)</f>
        <v>0</v>
      </c>
      <c r="W23" s="1211">
        <f>IFERROR(__xludf.DUMMYFUNCTION("""COMPUTED_VALUE"""),0.0)</f>
        <v>0</v>
      </c>
      <c r="X23" s="1212">
        <f>IFERROR(__xludf.DUMMYFUNCTION("""COMPUTED_VALUE"""),0.0)</f>
        <v>0</v>
      </c>
      <c r="Y23" s="1211">
        <f>IFERROR(__xludf.DUMMYFUNCTION("""COMPUTED_VALUE"""),0.0)</f>
        <v>0</v>
      </c>
      <c r="Z23" s="1213">
        <f>IFERROR(__xludf.DUMMYFUNCTION("""COMPUTED_VALUE"""),0.0)</f>
        <v>0</v>
      </c>
      <c r="AA23" s="1214" t="str">
        <f>IFERROR(__xludf.DUMMYFUNCTION("""COMPUTED_VALUE"""),"臭い")</f>
        <v>臭い</v>
      </c>
      <c r="AB23" s="1212">
        <f>IFERROR(__xludf.DUMMYFUNCTION("""COMPUTED_VALUE"""),1.0)</f>
        <v>1</v>
      </c>
      <c r="AC23" s="1214"/>
      <c r="AD23" s="1212"/>
      <c r="AE23" s="1214"/>
      <c r="AF23" s="1212"/>
      <c r="AG23" s="1214"/>
      <c r="AH23" s="1212"/>
      <c r="AI23" s="1214"/>
      <c r="AJ23" s="1212"/>
      <c r="AK23" s="1214"/>
      <c r="AL23" s="1212"/>
      <c r="AM23" s="1214"/>
      <c r="AN23" s="1165"/>
      <c r="AO23" s="1165"/>
      <c r="AP23" s="1165"/>
      <c r="AQ23" s="1165"/>
      <c r="AR23" s="1165"/>
      <c r="AS23" s="1165"/>
      <c r="AT23" s="1165"/>
      <c r="AU23" s="1165"/>
    </row>
    <row r="24">
      <c r="B24" s="1215"/>
      <c r="H24" s="1216"/>
      <c r="I24" s="1216"/>
      <c r="J24" s="1216"/>
      <c r="K24" s="1216"/>
      <c r="L24" s="1216"/>
      <c r="M24" s="1217"/>
      <c r="N24" s="1210" t="str">
        <f>IFERROR(__xludf.DUMMYFUNCTION("""COMPUTED_VALUE"""),"ホコリ")</f>
        <v>ホコリ</v>
      </c>
      <c r="O24" s="1211">
        <f>IFERROR(__xludf.DUMMYFUNCTION("""COMPUTED_VALUE"""),1.0)</f>
        <v>1</v>
      </c>
      <c r="P24" s="1212">
        <f>IFERROR(__xludf.DUMMYFUNCTION("""COMPUTED_VALUE"""),0.0)</f>
        <v>0</v>
      </c>
      <c r="Q24" s="1211">
        <f>IFERROR(__xludf.DUMMYFUNCTION("""COMPUTED_VALUE"""),0.0)</f>
        <v>0</v>
      </c>
      <c r="R24" s="1212">
        <f>IFERROR(__xludf.DUMMYFUNCTION("""COMPUTED_VALUE"""),0.0)</f>
        <v>0</v>
      </c>
      <c r="S24" s="1211">
        <f>IFERROR(__xludf.DUMMYFUNCTION("""COMPUTED_VALUE"""),0.0)</f>
        <v>0</v>
      </c>
      <c r="T24" s="1212">
        <f>IFERROR(__xludf.DUMMYFUNCTION("""COMPUTED_VALUE"""),0.0)</f>
        <v>0</v>
      </c>
      <c r="U24" s="1211">
        <f>IFERROR(__xludf.DUMMYFUNCTION("""COMPUTED_VALUE"""),0.0)</f>
        <v>0</v>
      </c>
      <c r="V24" s="1212">
        <f>IFERROR(__xludf.DUMMYFUNCTION("""COMPUTED_VALUE"""),0.0)</f>
        <v>0</v>
      </c>
      <c r="W24" s="1211">
        <f>IFERROR(__xludf.DUMMYFUNCTION("""COMPUTED_VALUE"""),0.0)</f>
        <v>0</v>
      </c>
      <c r="X24" s="1212">
        <f>IFERROR(__xludf.DUMMYFUNCTION("""COMPUTED_VALUE"""),0.0)</f>
        <v>0</v>
      </c>
      <c r="Y24" s="1211">
        <f>IFERROR(__xludf.DUMMYFUNCTION("""COMPUTED_VALUE"""),0.0)</f>
        <v>0</v>
      </c>
      <c r="Z24" s="1213">
        <f>IFERROR(__xludf.DUMMYFUNCTION("""COMPUTED_VALUE"""),0.0)</f>
        <v>0</v>
      </c>
      <c r="AA24" s="1214" t="str">
        <f>IFERROR(__xludf.DUMMYFUNCTION("""COMPUTED_VALUE"""),"ホコリ")</f>
        <v>ホコリ</v>
      </c>
      <c r="AB24" s="1212">
        <f>IFERROR(__xludf.DUMMYFUNCTION("""COMPUTED_VALUE"""),1.0)</f>
        <v>1</v>
      </c>
      <c r="AC24" s="1214"/>
      <c r="AD24" s="1212"/>
      <c r="AE24" s="1214"/>
      <c r="AF24" s="1212"/>
      <c r="AG24" s="1214"/>
      <c r="AH24" s="1212"/>
      <c r="AI24" s="1214"/>
      <c r="AJ24" s="1212"/>
      <c r="AK24" s="1214"/>
      <c r="AL24" s="1212"/>
      <c r="AM24" s="1214"/>
      <c r="AN24" s="1165"/>
      <c r="AO24" s="1165"/>
      <c r="AP24" s="1165"/>
      <c r="AQ24" s="1165"/>
      <c r="AR24" s="1165"/>
      <c r="AS24" s="1165"/>
      <c r="AT24" s="1165"/>
      <c r="AU24" s="1165"/>
    </row>
    <row r="25">
      <c r="B25" s="1215"/>
      <c r="H25" s="1216"/>
      <c r="I25" s="1216"/>
      <c r="J25" s="1216"/>
      <c r="K25" s="1216"/>
      <c r="L25" s="1216"/>
      <c r="M25" s="1217"/>
      <c r="N25" s="1210" t="str">
        <f>IFERROR(__xludf.DUMMYFUNCTION("""COMPUTED_VALUE"""),"カビ")</f>
        <v>カビ</v>
      </c>
      <c r="O25" s="1211">
        <f>IFERROR(__xludf.DUMMYFUNCTION("""COMPUTED_VALUE"""),0.0)</f>
        <v>0</v>
      </c>
      <c r="P25" s="1212">
        <f>IFERROR(__xludf.DUMMYFUNCTION("""COMPUTED_VALUE"""),0.0)</f>
        <v>0</v>
      </c>
      <c r="Q25" s="1211">
        <f>IFERROR(__xludf.DUMMYFUNCTION("""COMPUTED_VALUE"""),0.0)</f>
        <v>0</v>
      </c>
      <c r="R25" s="1212">
        <f>IFERROR(__xludf.DUMMYFUNCTION("""COMPUTED_VALUE"""),0.0)</f>
        <v>0</v>
      </c>
      <c r="S25" s="1211">
        <f>IFERROR(__xludf.DUMMYFUNCTION("""COMPUTED_VALUE"""),0.0)</f>
        <v>0</v>
      </c>
      <c r="T25" s="1212">
        <f>IFERROR(__xludf.DUMMYFUNCTION("""COMPUTED_VALUE"""),0.0)</f>
        <v>0</v>
      </c>
      <c r="U25" s="1211">
        <f>IFERROR(__xludf.DUMMYFUNCTION("""COMPUTED_VALUE"""),0.0)</f>
        <v>0</v>
      </c>
      <c r="V25" s="1212">
        <f>IFERROR(__xludf.DUMMYFUNCTION("""COMPUTED_VALUE"""),0.0)</f>
        <v>0</v>
      </c>
      <c r="W25" s="1211">
        <f>IFERROR(__xludf.DUMMYFUNCTION("""COMPUTED_VALUE"""),0.0)</f>
        <v>0</v>
      </c>
      <c r="X25" s="1212">
        <f>IFERROR(__xludf.DUMMYFUNCTION("""COMPUTED_VALUE"""),0.0)</f>
        <v>0</v>
      </c>
      <c r="Y25" s="1211">
        <f>IFERROR(__xludf.DUMMYFUNCTION("""COMPUTED_VALUE"""),0.0)</f>
        <v>0</v>
      </c>
      <c r="Z25" s="1213">
        <f>IFERROR(__xludf.DUMMYFUNCTION("""COMPUTED_VALUE"""),0.0)</f>
        <v>0</v>
      </c>
      <c r="AA25" s="1214" t="str">
        <f>IFERROR(__xludf.DUMMYFUNCTION("""COMPUTED_VALUE"""),"カビ")</f>
        <v>カビ</v>
      </c>
      <c r="AB25" s="1212">
        <f>IFERROR(__xludf.DUMMYFUNCTION("""COMPUTED_VALUE"""),0.0)</f>
        <v>0</v>
      </c>
      <c r="AC25" s="1214"/>
      <c r="AD25" s="1212"/>
      <c r="AE25" s="1214"/>
      <c r="AF25" s="1212"/>
      <c r="AG25" s="1214"/>
      <c r="AH25" s="1212"/>
      <c r="AI25" s="1214"/>
      <c r="AJ25" s="1212"/>
      <c r="AK25" s="1214"/>
      <c r="AL25" s="1212"/>
      <c r="AM25" s="1214"/>
      <c r="AN25" s="1165"/>
      <c r="AO25" s="1165"/>
      <c r="AP25" s="1165"/>
      <c r="AQ25" s="1165"/>
      <c r="AR25" s="1165"/>
      <c r="AS25" s="1165"/>
      <c r="AT25" s="1165"/>
      <c r="AU25" s="1165"/>
    </row>
    <row r="26">
      <c r="B26" s="1215"/>
      <c r="H26" s="1216"/>
      <c r="I26" s="1216"/>
      <c r="J26" s="1216"/>
      <c r="K26" s="1216"/>
      <c r="L26" s="1216"/>
      <c r="M26" s="1217"/>
      <c r="N26" s="1210" t="str">
        <f>IFERROR(__xludf.DUMMYFUNCTION("""COMPUTED_VALUE"""),"害虫")</f>
        <v>害虫</v>
      </c>
      <c r="O26" s="1211">
        <f>IFERROR(__xludf.DUMMYFUNCTION("""COMPUTED_VALUE"""),0.0)</f>
        <v>0</v>
      </c>
      <c r="P26" s="1212">
        <f>IFERROR(__xludf.DUMMYFUNCTION("""COMPUTED_VALUE"""),0.0)</f>
        <v>0</v>
      </c>
      <c r="Q26" s="1211">
        <f>IFERROR(__xludf.DUMMYFUNCTION("""COMPUTED_VALUE"""),0.0)</f>
        <v>0</v>
      </c>
      <c r="R26" s="1212">
        <f>IFERROR(__xludf.DUMMYFUNCTION("""COMPUTED_VALUE"""),0.0)</f>
        <v>0</v>
      </c>
      <c r="S26" s="1211">
        <f>IFERROR(__xludf.DUMMYFUNCTION("""COMPUTED_VALUE"""),0.0)</f>
        <v>0</v>
      </c>
      <c r="T26" s="1212">
        <f>IFERROR(__xludf.DUMMYFUNCTION("""COMPUTED_VALUE"""),0.0)</f>
        <v>0</v>
      </c>
      <c r="U26" s="1211">
        <f>IFERROR(__xludf.DUMMYFUNCTION("""COMPUTED_VALUE"""),0.0)</f>
        <v>0</v>
      </c>
      <c r="V26" s="1212">
        <f>IFERROR(__xludf.DUMMYFUNCTION("""COMPUTED_VALUE"""),0.0)</f>
        <v>0</v>
      </c>
      <c r="W26" s="1211">
        <f>IFERROR(__xludf.DUMMYFUNCTION("""COMPUTED_VALUE"""),0.0)</f>
        <v>0</v>
      </c>
      <c r="X26" s="1212">
        <f>IFERROR(__xludf.DUMMYFUNCTION("""COMPUTED_VALUE"""),0.0)</f>
        <v>0</v>
      </c>
      <c r="Y26" s="1211">
        <f>IFERROR(__xludf.DUMMYFUNCTION("""COMPUTED_VALUE"""),0.0)</f>
        <v>0</v>
      </c>
      <c r="Z26" s="1213">
        <f>IFERROR(__xludf.DUMMYFUNCTION("""COMPUTED_VALUE"""),0.0)</f>
        <v>0</v>
      </c>
      <c r="AA26" s="1214" t="str">
        <f>IFERROR(__xludf.DUMMYFUNCTION("""COMPUTED_VALUE"""),"害虫")</f>
        <v>害虫</v>
      </c>
      <c r="AB26" s="1212">
        <f>IFERROR(__xludf.DUMMYFUNCTION("""COMPUTED_VALUE"""),0.0)</f>
        <v>0</v>
      </c>
      <c r="AC26" s="1214"/>
      <c r="AD26" s="1212"/>
      <c r="AE26" s="1214"/>
      <c r="AF26" s="1212"/>
      <c r="AG26" s="1214"/>
      <c r="AH26" s="1212"/>
      <c r="AI26" s="1214"/>
      <c r="AJ26" s="1212"/>
      <c r="AK26" s="1214"/>
      <c r="AL26" s="1212"/>
      <c r="AM26" s="1214"/>
      <c r="AN26" s="1165"/>
      <c r="AO26" s="1165"/>
      <c r="AP26" s="1165"/>
      <c r="AQ26" s="1165"/>
      <c r="AR26" s="1165"/>
      <c r="AS26" s="1165"/>
      <c r="AT26" s="1165"/>
      <c r="AU26" s="1165"/>
    </row>
    <row r="27">
      <c r="B27" s="1215"/>
      <c r="H27" s="1216"/>
      <c r="I27" s="1216"/>
      <c r="J27" s="1216"/>
      <c r="K27" s="1216"/>
      <c r="L27" s="1216"/>
      <c r="M27" s="1217"/>
      <c r="N27" s="1218" t="str">
        <f>IFERROR(__xludf.DUMMYFUNCTION("""COMPUTED_VALUE"""),"その他")</f>
        <v>その他</v>
      </c>
      <c r="O27" s="1211">
        <f>IFERROR(__xludf.DUMMYFUNCTION("""COMPUTED_VALUE"""),0.0)</f>
        <v>0</v>
      </c>
      <c r="P27" s="1219">
        <f>IFERROR(__xludf.DUMMYFUNCTION("""COMPUTED_VALUE"""),0.0)</f>
        <v>0</v>
      </c>
      <c r="Q27" s="1211">
        <f>IFERROR(__xludf.DUMMYFUNCTION("""COMPUTED_VALUE"""),0.0)</f>
        <v>0</v>
      </c>
      <c r="R27" s="1219">
        <f>IFERROR(__xludf.DUMMYFUNCTION("""COMPUTED_VALUE"""),0.0)</f>
        <v>0</v>
      </c>
      <c r="S27" s="1211">
        <f>IFERROR(__xludf.DUMMYFUNCTION("""COMPUTED_VALUE"""),0.0)</f>
        <v>0</v>
      </c>
      <c r="T27" s="1219">
        <f>IFERROR(__xludf.DUMMYFUNCTION("""COMPUTED_VALUE"""),0.0)</f>
        <v>0</v>
      </c>
      <c r="U27" s="1211">
        <f>IFERROR(__xludf.DUMMYFUNCTION("""COMPUTED_VALUE"""),0.0)</f>
        <v>0</v>
      </c>
      <c r="V27" s="1219">
        <f>IFERROR(__xludf.DUMMYFUNCTION("""COMPUTED_VALUE"""),0.0)</f>
        <v>0</v>
      </c>
      <c r="W27" s="1211">
        <f>IFERROR(__xludf.DUMMYFUNCTION("""COMPUTED_VALUE"""),0.0)</f>
        <v>0</v>
      </c>
      <c r="X27" s="1219">
        <f>IFERROR(__xludf.DUMMYFUNCTION("""COMPUTED_VALUE"""),0.0)</f>
        <v>0</v>
      </c>
      <c r="Y27" s="1211">
        <f>IFERROR(__xludf.DUMMYFUNCTION("""COMPUTED_VALUE"""),0.0)</f>
        <v>0</v>
      </c>
      <c r="Z27" s="1220">
        <f>IFERROR(__xludf.DUMMYFUNCTION("""COMPUTED_VALUE"""),0.0)</f>
        <v>0</v>
      </c>
      <c r="AA27" s="1221" t="str">
        <f>IFERROR(__xludf.DUMMYFUNCTION("""COMPUTED_VALUE"""),"その他")</f>
        <v>その他</v>
      </c>
      <c r="AB27" s="1219">
        <f>IFERROR(__xludf.DUMMYFUNCTION("""COMPUTED_VALUE"""),0.0)</f>
        <v>0</v>
      </c>
      <c r="AC27" s="1221"/>
      <c r="AD27" s="1219"/>
      <c r="AE27" s="1221"/>
      <c r="AF27" s="1219"/>
      <c r="AG27" s="1221"/>
      <c r="AH27" s="1219"/>
      <c r="AI27" s="1221"/>
      <c r="AJ27" s="1219"/>
      <c r="AK27" s="1221"/>
      <c r="AL27" s="1219"/>
      <c r="AM27" s="1214"/>
      <c r="AN27" s="1165"/>
      <c r="AO27" s="1165"/>
      <c r="AP27" s="1165"/>
      <c r="AQ27" s="1165"/>
      <c r="AR27" s="1165"/>
      <c r="AS27" s="1165"/>
      <c r="AT27" s="1165"/>
      <c r="AU27" s="1165"/>
    </row>
    <row r="28">
      <c r="B28" s="1215"/>
      <c r="H28" s="1216"/>
      <c r="I28" s="1216"/>
      <c r="J28" s="1216"/>
      <c r="K28" s="1216"/>
      <c r="L28" s="1216"/>
      <c r="M28" s="1217"/>
      <c r="N28" s="1222" t="str">
        <f>IFERROR(__xludf.DUMMYFUNCTION("""COMPUTED_VALUE"""),"合計")</f>
        <v>合計</v>
      </c>
      <c r="O28" s="1223">
        <f>IFERROR(__xludf.DUMMYFUNCTION("""COMPUTED_VALUE"""),1.0)</f>
        <v>1</v>
      </c>
      <c r="P28" s="1222">
        <f>IFERROR(__xludf.DUMMYFUNCTION("""COMPUTED_VALUE"""),1.0)</f>
        <v>1</v>
      </c>
      <c r="Q28" s="1223">
        <f>IFERROR(__xludf.DUMMYFUNCTION("""COMPUTED_VALUE"""),0.0)</f>
        <v>0</v>
      </c>
      <c r="R28" s="1222">
        <f>IFERROR(__xludf.DUMMYFUNCTION("""COMPUTED_VALUE"""),0.0)</f>
        <v>0</v>
      </c>
      <c r="S28" s="1223">
        <f>IFERROR(__xludf.DUMMYFUNCTION("""COMPUTED_VALUE"""),0.0)</f>
        <v>0</v>
      </c>
      <c r="T28" s="1222">
        <f>IFERROR(__xludf.DUMMYFUNCTION("""COMPUTED_VALUE"""),0.0)</f>
        <v>0</v>
      </c>
      <c r="U28" s="1223">
        <f>IFERROR(__xludf.DUMMYFUNCTION("""COMPUTED_VALUE"""),0.0)</f>
        <v>0</v>
      </c>
      <c r="V28" s="1222">
        <f>IFERROR(__xludf.DUMMYFUNCTION("""COMPUTED_VALUE"""),0.0)</f>
        <v>0</v>
      </c>
      <c r="W28" s="1223">
        <f>IFERROR(__xludf.DUMMYFUNCTION("""COMPUTED_VALUE"""),0.0)</f>
        <v>0</v>
      </c>
      <c r="X28" s="1222">
        <f>IFERROR(__xludf.DUMMYFUNCTION("""COMPUTED_VALUE"""),0.0)</f>
        <v>0</v>
      </c>
      <c r="Y28" s="1223">
        <f>IFERROR(__xludf.DUMMYFUNCTION("""COMPUTED_VALUE"""),0.0)</f>
        <v>0</v>
      </c>
      <c r="Z28" s="1222">
        <f>IFERROR(__xludf.DUMMYFUNCTION("""COMPUTED_VALUE"""),0.0)</f>
        <v>0</v>
      </c>
      <c r="AA28" s="1223" t="str">
        <f>IFERROR(__xludf.DUMMYFUNCTION("""COMPUTED_VALUE"""),"総合計")</f>
        <v>総合計</v>
      </c>
      <c r="AB28" s="1222">
        <f>IFERROR(__xludf.DUMMYFUNCTION("""COMPUTED_VALUE"""),2.0)</f>
        <v>2</v>
      </c>
      <c r="AC28" s="1223"/>
      <c r="AD28" s="1222"/>
      <c r="AE28" s="1223"/>
      <c r="AF28" s="1222"/>
      <c r="AG28" s="1223"/>
      <c r="AH28" s="1222"/>
      <c r="AI28" s="1223"/>
      <c r="AJ28" s="1222"/>
      <c r="AK28" s="1223"/>
      <c r="AL28" s="1222"/>
      <c r="AM28" s="1224"/>
      <c r="AN28" s="1165"/>
      <c r="AO28" s="1165"/>
      <c r="AP28" s="1165"/>
      <c r="AQ28" s="1165"/>
      <c r="AR28" s="1165"/>
      <c r="AS28" s="1165"/>
      <c r="AT28" s="1165"/>
      <c r="AU28" s="1165"/>
    </row>
    <row r="29">
      <c r="B29" s="1215"/>
      <c r="H29" s="1216"/>
      <c r="I29" s="1216"/>
      <c r="J29" s="1216"/>
      <c r="K29" s="1216"/>
      <c r="L29" s="1216"/>
      <c r="M29" s="1217"/>
      <c r="N29" s="1165"/>
      <c r="O29" s="1165"/>
      <c r="P29" s="1165"/>
      <c r="Q29" s="1165"/>
      <c r="R29" s="1165"/>
      <c r="S29" s="1165"/>
      <c r="T29" s="1165"/>
      <c r="U29" s="1165"/>
      <c r="V29" s="1165"/>
      <c r="W29" s="1165"/>
      <c r="X29" s="1165"/>
      <c r="Y29" s="1165"/>
      <c r="Z29" s="1165"/>
      <c r="AA29" s="1165"/>
      <c r="AB29" s="1165"/>
      <c r="AC29" s="1165"/>
      <c r="AD29" s="1165"/>
      <c r="AE29" s="1165"/>
      <c r="AF29" s="1165"/>
      <c r="AG29" s="1165"/>
      <c r="AH29" s="1165"/>
      <c r="AI29" s="1165"/>
      <c r="AJ29" s="1165"/>
      <c r="AK29" s="1165"/>
      <c r="AL29" s="1165"/>
      <c r="AM29" s="1165"/>
      <c r="AN29" s="1165"/>
      <c r="AO29" s="1165"/>
      <c r="AP29" s="1165"/>
      <c r="AQ29" s="1165"/>
      <c r="AR29" s="1165"/>
      <c r="AS29" s="1165"/>
      <c r="AT29" s="1165"/>
      <c r="AU29" s="1165"/>
    </row>
    <row r="30">
      <c r="B30" s="1215"/>
      <c r="H30" s="1216"/>
      <c r="I30" s="1216"/>
      <c r="J30" s="1216"/>
      <c r="K30" s="1216"/>
      <c r="L30" s="1216"/>
      <c r="M30" s="1217"/>
      <c r="N30" s="1165"/>
      <c r="O30" s="1165"/>
      <c r="P30" s="1165"/>
      <c r="Q30" s="1165"/>
      <c r="R30" s="1165"/>
      <c r="S30" s="1165"/>
      <c r="T30" s="1165"/>
      <c r="U30" s="1165"/>
      <c r="V30" s="1165"/>
      <c r="W30" s="1165"/>
      <c r="X30" s="1165"/>
      <c r="Y30" s="1165"/>
      <c r="Z30" s="1165"/>
      <c r="AA30" s="1165"/>
      <c r="AB30" s="1165"/>
      <c r="AC30" s="1165"/>
      <c r="AD30" s="1165"/>
      <c r="AE30" s="1165"/>
      <c r="AF30" s="1165"/>
      <c r="AG30" s="1165"/>
      <c r="AH30" s="1165"/>
      <c r="AI30" s="1165"/>
      <c r="AJ30" s="1165"/>
      <c r="AK30" s="1165"/>
      <c r="AL30" s="1165"/>
      <c r="AM30" s="1165"/>
      <c r="AN30" s="1165"/>
      <c r="AO30" s="1165"/>
      <c r="AP30" s="1165"/>
      <c r="AQ30" s="1165"/>
      <c r="AR30" s="1165"/>
      <c r="AS30" s="1165"/>
      <c r="AT30" s="1165"/>
      <c r="AU30" s="1165"/>
    </row>
    <row r="31">
      <c r="B31" s="1215"/>
      <c r="M31" s="1225"/>
    </row>
    <row r="32">
      <c r="B32" s="1226"/>
      <c r="C32" s="1227"/>
      <c r="D32" s="1227"/>
      <c r="E32" s="1227"/>
      <c r="F32" s="1227"/>
      <c r="G32" s="1227"/>
      <c r="H32" s="1227"/>
      <c r="I32" s="1227"/>
      <c r="J32" s="1227"/>
      <c r="K32" s="1227"/>
      <c r="L32" s="1227"/>
      <c r="M32" s="1228"/>
    </row>
    <row r="33">
      <c r="B33" s="17"/>
      <c r="C33" s="17"/>
      <c r="D33" s="17"/>
      <c r="E33" s="17"/>
      <c r="F33" s="17"/>
      <c r="G33" s="17"/>
      <c r="H33" s="17"/>
      <c r="I33" s="17"/>
      <c r="J33" s="17" t="s">
        <v>998</v>
      </c>
      <c r="K33" s="17"/>
      <c r="L33" s="17"/>
    </row>
    <row r="34">
      <c r="B34" s="1229" t="s">
        <v>1023</v>
      </c>
      <c r="C34" s="1161"/>
      <c r="D34" s="1161"/>
      <c r="E34" s="1161"/>
      <c r="F34" s="1161"/>
      <c r="G34" s="1161"/>
      <c r="H34" s="1161"/>
      <c r="I34" s="1161"/>
      <c r="J34" s="1161"/>
      <c r="K34" s="1161"/>
      <c r="L34" s="1161"/>
      <c r="M34" s="1162"/>
      <c r="O34" s="1123"/>
      <c r="P34" s="1123"/>
      <c r="Q34" s="1123"/>
      <c r="S34" s="1123"/>
      <c r="T34" s="1123"/>
      <c r="U34" s="1123"/>
    </row>
    <row r="35">
      <c r="B35" s="1230" t="s">
        <v>1024</v>
      </c>
      <c r="D35" s="1231"/>
      <c r="M35" s="1232"/>
      <c r="O35" s="1123"/>
      <c r="P35" s="1123"/>
      <c r="Q35" s="1123"/>
      <c r="S35" s="1123"/>
      <c r="T35" s="1123"/>
      <c r="U35" s="1123"/>
    </row>
    <row r="36">
      <c r="B36" s="1233" t="s">
        <v>1025</v>
      </c>
      <c r="C36" s="1162"/>
      <c r="D36" s="1233" t="s">
        <v>1026</v>
      </c>
      <c r="E36" s="1162"/>
      <c r="F36" s="1233" t="s">
        <v>1027</v>
      </c>
      <c r="G36" s="1161"/>
      <c r="H36" s="1233" t="s">
        <v>1028</v>
      </c>
      <c r="I36" s="1161"/>
      <c r="J36" s="1162"/>
      <c r="K36" s="1233" t="s">
        <v>1029</v>
      </c>
      <c r="L36" s="1161"/>
      <c r="M36" s="1162"/>
      <c r="O36" s="1123" t="s">
        <v>81</v>
      </c>
      <c r="P36" s="1123" t="s">
        <v>82</v>
      </c>
      <c r="Q36" s="1123" t="s">
        <v>1030</v>
      </c>
      <c r="S36" s="1123" t="s">
        <v>89</v>
      </c>
      <c r="T36" s="1123" t="s">
        <v>90</v>
      </c>
      <c r="U36" s="1123" t="s">
        <v>92</v>
      </c>
      <c r="W36" s="1123" t="s">
        <v>81</v>
      </c>
      <c r="X36" s="1123" t="s">
        <v>82</v>
      </c>
      <c r="Y36" s="1123" t="s">
        <v>1030</v>
      </c>
      <c r="AA36" s="1123" t="s">
        <v>89</v>
      </c>
      <c r="AB36" s="1123" t="s">
        <v>90</v>
      </c>
      <c r="AC36" s="1123" t="s">
        <v>92</v>
      </c>
    </row>
    <row r="37">
      <c r="B37" s="1234"/>
      <c r="C37" s="1235"/>
      <c r="D37" s="1234"/>
      <c r="E37" s="1235"/>
      <c r="F37" s="1234"/>
      <c r="G37" s="1236"/>
      <c r="H37" s="1234"/>
      <c r="I37" s="1236"/>
      <c r="J37" s="1235"/>
      <c r="K37" s="1234"/>
      <c r="L37" s="1236"/>
      <c r="M37" s="1235"/>
      <c r="N37" s="1123" t="s">
        <v>1031</v>
      </c>
      <c r="O37" s="286" t="s">
        <v>52</v>
      </c>
      <c r="P37" s="286" t="s">
        <v>1032</v>
      </c>
      <c r="Q37" s="286" t="s">
        <v>40</v>
      </c>
      <c r="R37" s="1237"/>
      <c r="S37" s="286" t="s">
        <v>1033</v>
      </c>
      <c r="T37" s="286" t="s">
        <v>113</v>
      </c>
      <c r="U37" s="1238" t="s">
        <v>1034</v>
      </c>
      <c r="V37" s="1123" t="s">
        <v>1024</v>
      </c>
      <c r="W37" s="1237" t="str">
        <f>'🔵クレーム'!C28</f>
        <v>2月</v>
      </c>
      <c r="X37" s="1237" t="str">
        <f>'🔵クレーム'!D28</f>
        <v>6日</v>
      </c>
      <c r="Y37" s="286" t="str">
        <f>'🔵クレーム'!I28</f>
        <v>残置</v>
      </c>
      <c r="Z37" s="1237" t="str">
        <f>'🔵クレーム'!J28</f>
        <v/>
      </c>
      <c r="AA37" s="1237" t="str">
        <f>'🔵クレーム'!K28</f>
        <v>福永</v>
      </c>
      <c r="AB37" s="1237" t="str">
        <f>'🔵クレーム'!L28</f>
        <v>－</v>
      </c>
      <c r="AC37" s="1239"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0" t="s">
        <v>90</v>
      </c>
      <c r="C38" s="1241" t="s">
        <v>1035</v>
      </c>
      <c r="D38" s="1241" t="s">
        <v>89</v>
      </c>
      <c r="E38" s="1241" t="s">
        <v>1035</v>
      </c>
      <c r="F38" s="1242" t="s">
        <v>1030</v>
      </c>
      <c r="G38" s="1242" t="s">
        <v>1035</v>
      </c>
      <c r="H38" s="1241" t="s">
        <v>1030</v>
      </c>
      <c r="I38" s="1243" t="s">
        <v>1035</v>
      </c>
      <c r="J38" s="1244" t="s">
        <v>1036</v>
      </c>
      <c r="K38" s="1245"/>
      <c r="L38" s="1246" t="s">
        <v>1035</v>
      </c>
      <c r="M38" s="1247" t="s">
        <v>1036</v>
      </c>
      <c r="O38" s="286" t="s">
        <v>52</v>
      </c>
      <c r="P38" s="286" t="s">
        <v>1037</v>
      </c>
      <c r="Q38" s="286" t="s">
        <v>39</v>
      </c>
      <c r="R38" s="1237"/>
      <c r="S38" s="286" t="s">
        <v>171</v>
      </c>
      <c r="T38" s="286" t="s">
        <v>1038</v>
      </c>
      <c r="U38" s="1238" t="s">
        <v>1039</v>
      </c>
      <c r="W38" s="1237" t="str">
        <f>'🔵クレーム'!C29</f>
        <v>2月</v>
      </c>
      <c r="X38" s="1237" t="str">
        <f>'🔵クレーム'!D29</f>
        <v>7日</v>
      </c>
      <c r="Y38" s="286" t="str">
        <f>'🔵クレーム'!I29</f>
        <v>セット漏れ</v>
      </c>
      <c r="Z38" s="1237" t="str">
        <f>'🔵クレーム'!J29</f>
        <v/>
      </c>
      <c r="AA38" s="1237" t="str">
        <f>'🔵クレーム'!K29</f>
        <v>アラム</v>
      </c>
      <c r="AB38" s="1237" t="str">
        <f>'🔵クレーム'!L29</f>
        <v>サンタ</v>
      </c>
      <c r="AC38" s="1239" t="str">
        <f>'🔵クレーム'!N29</f>
        <v>トイレットペーパーいれてない、フェイスタオルに血があった</v>
      </c>
      <c r="AE38" s="24" t="str">
        <f>IFERROR(__xludf.DUMMYFUNCTION("""COMPUTED_VALUE"""),"－")</f>
        <v>－</v>
      </c>
    </row>
    <row r="39">
      <c r="B39" s="1248" t="str">
        <f>IFERROR(__xludf.DUMMYFUNCTION("IFERROR(
  QUERY(
    {
      IF($B$35=""R7"",$T$37:$T1038,$AB$37:$AB1038),
      IF($B$35=""R7"",$T$37:$T1038,$AB$37:$AB1038)
    },
    ""select Col1, count(Col2)
     where Col1 is not null and Col1 &lt;&gt; ''
     group by Col1
     order by count(Col2) de"&amp;"sc, Col1 asc
     label Col1 '', count(Col2) ''"",
    0
  ),
  """"
)"),"カトリ")</f>
        <v>カトリ</v>
      </c>
      <c r="C39" s="1249">
        <f>IFERROR(__xludf.DUMMYFUNCTION("""COMPUTED_VALUE"""),2.0)</f>
        <v>2</v>
      </c>
      <c r="D39" s="1250" t="str">
        <f>IFERROR(__xludf.DUMMYFUNCTION("IFERROR(
  QUERY(
    {
      IF($B$35=""R7"",$S$37:$S1038,$AA$37:$AA1038),
      IF($B$35=""R7"",$S$37:$S1038,$AA$37:$AA1038)
    },
    ""select Col1, count(Col2)
     where Col1 is not null and Col1 &lt;&gt; ''
     group by Col1
     order by count(Col2) de"&amp;"sc, Col1 asc
     label Col1 '', count(Col2) ''"",
    0
  ),
  """"
)"),"メイ")</f>
        <v>メイ</v>
      </c>
      <c r="E39" s="1251">
        <f>IFERROR(__xludf.DUMMYFUNCTION("""COMPUTED_VALUE"""),5.0)</f>
        <v>5</v>
      </c>
      <c r="F39" s="125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3">
        <f>IFERROR(__xludf.DUMMYFUNCTION("""COMPUTED_VALUE"""),6.0)</f>
        <v>6</v>
      </c>
      <c r="H39" s="125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5">
        <f>IFERROR(__xludf.DUMMYFUNCTION("""COMPUTED_VALUE"""),6.0)</f>
        <v>6</v>
      </c>
      <c r="J39" s="1256">
        <f t="array" ref="J39:J1038">IF(H39:H1038="","", I39:I1038 / SUM(I39:I1038))</f>
        <v>0.5</v>
      </c>
      <c r="K39" s="1257" t="s">
        <v>40</v>
      </c>
      <c r="L39" s="1258">
        <f t="shared" ref="L39:L50" si="5">AB17</f>
        <v>0</v>
      </c>
      <c r="M39" s="1259">
        <f t="shared" ref="M39:M50" si="6">iferror(L39/$L$50,"")</f>
        <v>0</v>
      </c>
      <c r="O39" s="286" t="s">
        <v>52</v>
      </c>
      <c r="P39" s="286" t="s">
        <v>1037</v>
      </c>
      <c r="Q39" s="286" t="s">
        <v>40</v>
      </c>
      <c r="R39" s="1237"/>
      <c r="S39" s="286" t="s">
        <v>171</v>
      </c>
      <c r="T39" s="286" t="s">
        <v>466</v>
      </c>
      <c r="U39" s="1238" t="s">
        <v>1040</v>
      </c>
      <c r="W39" s="1237" t="str">
        <f>'🔵クレーム'!C30</f>
        <v>2月</v>
      </c>
      <c r="X39" s="1237" t="str">
        <f>'🔵クレーム'!D30</f>
        <v>8日</v>
      </c>
      <c r="Y39" s="286" t="str">
        <f>'🔵クレーム'!I30</f>
        <v>セット漏れ</v>
      </c>
      <c r="Z39" s="1237" t="str">
        <f>'🔵クレーム'!J30</f>
        <v/>
      </c>
      <c r="AA39" s="1237" t="str">
        <f>'🔵クレーム'!K30</f>
        <v>シャキラ</v>
      </c>
      <c r="AB39" s="1237" t="str">
        <f>'🔵クレーム'!L30</f>
        <v>ビケス</v>
      </c>
      <c r="AC39" s="1239"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7" t="str">
        <f>IFERROR(__xludf.DUMMYFUNCTION("""COMPUTED_VALUE"""),"サンタ")</f>
        <v>サンタ</v>
      </c>
      <c r="C40" s="1260">
        <f>IFERROR(__xludf.DUMMYFUNCTION("""COMPUTED_VALUE"""),2.0)</f>
        <v>2</v>
      </c>
      <c r="D40" s="1261" t="str">
        <f>IFERROR(__xludf.DUMMYFUNCTION("""COMPUTED_VALUE"""),"シャキラ")</f>
        <v>シャキラ</v>
      </c>
      <c r="E40" s="1262">
        <f>IFERROR(__xludf.DUMMYFUNCTION("""COMPUTED_VALUE"""),2.0)</f>
        <v>2</v>
      </c>
      <c r="F40" s="1261" t="str">
        <f>IFERROR(__xludf.DUMMYFUNCTION("""COMPUTED_VALUE"""),"その他")</f>
        <v>その他</v>
      </c>
      <c r="G40" s="1260">
        <f>IFERROR(__xludf.DUMMYFUNCTION("""COMPUTED_VALUE"""),2.0)</f>
        <v>2</v>
      </c>
      <c r="H40" s="1263" t="str">
        <f>IFERROR(__xludf.DUMMYFUNCTION("""COMPUTED_VALUE"""),"その他")</f>
        <v>その他</v>
      </c>
      <c r="I40" s="1258">
        <f>IFERROR(__xludf.DUMMYFUNCTION("""COMPUTED_VALUE"""),2.0)</f>
        <v>2</v>
      </c>
      <c r="J40" s="1264">
        <v>0.16666666666666666</v>
      </c>
      <c r="K40" s="1257" t="s">
        <v>39</v>
      </c>
      <c r="L40" s="1258">
        <f t="shared" si="5"/>
        <v>0</v>
      </c>
      <c r="M40" s="1259">
        <f t="shared" si="6"/>
        <v>0</v>
      </c>
      <c r="O40" s="286" t="s">
        <v>52</v>
      </c>
      <c r="P40" s="286" t="s">
        <v>170</v>
      </c>
      <c r="Q40" s="286" t="s">
        <v>41</v>
      </c>
      <c r="R40" s="1237"/>
      <c r="S40" s="286" t="s">
        <v>450</v>
      </c>
      <c r="T40" s="286" t="s">
        <v>1041</v>
      </c>
      <c r="U40" s="1238" t="s">
        <v>1042</v>
      </c>
      <c r="W40" s="1237" t="str">
        <f>'🔵クレーム'!C31</f>
        <v>2月</v>
      </c>
      <c r="X40" s="1237" t="str">
        <f>'🔵クレーム'!D31</f>
        <v>8日</v>
      </c>
      <c r="Y40" s="286" t="str">
        <f>'🔵クレーム'!I31</f>
        <v>清掃不備</v>
      </c>
      <c r="Z40" s="1237" t="str">
        <f>'🔵クレーム'!J31</f>
        <v/>
      </c>
      <c r="AA40" s="1237" t="str">
        <f>'🔵クレーム'!K31</f>
        <v>シャキラ</v>
      </c>
      <c r="AB40" s="1237" t="str">
        <f>'🔵クレーム'!L31</f>
        <v>カトリ</v>
      </c>
      <c r="AC40" s="1239" t="str">
        <f>'🔵クレーム'!N31</f>
        <v>シャンプー2本あり，ボディーソープがなかった</v>
      </c>
      <c r="AE40" s="24" t="str">
        <f>IFERROR(__xludf.DUMMYFUNCTION("""COMPUTED_VALUE"""),"`大沼")</f>
        <v>`大沼</v>
      </c>
      <c r="AF40" s="24" t="str">
        <f>IFERROR(__xludf.DUMMYFUNCTION("""COMPUTED_VALUE"""),"その他")</f>
        <v>その他</v>
      </c>
      <c r="AG40" s="24">
        <f>IFERROR(__xludf.DUMMYFUNCTION("""COMPUTED_VALUE"""),2.0)</f>
        <v>2</v>
      </c>
      <c r="AH40" s="24">
        <f>IFERROR(__xludf.DUMMYFUNCTION("""COMPUTED_VALUE"""),0.16666666666666666)</f>
        <v>0.1666666667</v>
      </c>
      <c r="AK40" s="1265"/>
      <c r="AL40" s="1265"/>
      <c r="AM40" s="1266"/>
    </row>
    <row r="41">
      <c r="B41" s="1257" t="str">
        <f>IFERROR(__xludf.DUMMYFUNCTION("""COMPUTED_VALUE"""),"メイ")</f>
        <v>メイ</v>
      </c>
      <c r="C41" s="1260">
        <f>IFERROR(__xludf.DUMMYFUNCTION("""COMPUTED_VALUE"""),2.0)</f>
        <v>2</v>
      </c>
      <c r="D41" s="1261" t="str">
        <f>IFERROR(__xludf.DUMMYFUNCTION("""COMPUTED_VALUE"""),"アラム")</f>
        <v>アラム</v>
      </c>
      <c r="E41" s="1262">
        <f>IFERROR(__xludf.DUMMYFUNCTION("""COMPUTED_VALUE"""),1.0)</f>
        <v>1</v>
      </c>
      <c r="F41" s="1261" t="str">
        <f>IFERROR(__xludf.DUMMYFUNCTION("""COMPUTED_VALUE"""),"清掃不備")</f>
        <v>清掃不備</v>
      </c>
      <c r="G41" s="1260">
        <f>IFERROR(__xludf.DUMMYFUNCTION("""COMPUTED_VALUE"""),2.0)</f>
        <v>2</v>
      </c>
      <c r="H41" s="1263" t="str">
        <f>IFERROR(__xludf.DUMMYFUNCTION("""COMPUTED_VALUE"""),"清掃不備")</f>
        <v>清掃不備</v>
      </c>
      <c r="I41" s="1258">
        <f>IFERROR(__xludf.DUMMYFUNCTION("""COMPUTED_VALUE"""),2.0)</f>
        <v>2</v>
      </c>
      <c r="J41" s="1264">
        <v>0.16666666666666666</v>
      </c>
      <c r="K41" s="1257" t="s">
        <v>38</v>
      </c>
      <c r="L41" s="1258">
        <f t="shared" si="5"/>
        <v>0</v>
      </c>
      <c r="M41" s="1259">
        <f t="shared" si="6"/>
        <v>0</v>
      </c>
      <c r="O41" s="286" t="s">
        <v>52</v>
      </c>
      <c r="P41" s="286" t="s">
        <v>1043</v>
      </c>
      <c r="Q41" s="286" t="s">
        <v>40</v>
      </c>
      <c r="R41" s="1237"/>
      <c r="S41" s="286" t="s">
        <v>1033</v>
      </c>
      <c r="T41" s="286" t="s">
        <v>1044</v>
      </c>
      <c r="U41" s="1238" t="s">
        <v>1045</v>
      </c>
      <c r="W41" s="1237" t="str">
        <f>'🔵クレーム'!C32</f>
        <v>2月</v>
      </c>
      <c r="X41" s="1237" t="str">
        <f>'🔵クレーム'!D32</f>
        <v>19日</v>
      </c>
      <c r="Y41" s="286" t="str">
        <f>'🔵クレーム'!I32</f>
        <v>髪の毛</v>
      </c>
      <c r="Z41" s="1237" t="str">
        <f>'🔵クレーム'!J32</f>
        <v/>
      </c>
      <c r="AA41" s="1237" t="str">
        <f>'🔵クレーム'!K32</f>
        <v>宇佐美</v>
      </c>
      <c r="AB41" s="1237" t="str">
        <f>'🔵クレーム'!L32</f>
        <v>ー</v>
      </c>
      <c r="AC41" s="1239" t="str">
        <f>'🔵クレーム'!N32</f>
        <v>タオルセットドア掛けDDの際に髪の毛混入</v>
      </c>
      <c r="AE41" s="24" t="str">
        <f>IFERROR(__xludf.DUMMYFUNCTION("""COMPUTED_VALUE"""),"ー")</f>
        <v>ー</v>
      </c>
      <c r="AF41" s="24" t="str">
        <f>IFERROR(__xludf.DUMMYFUNCTION("""COMPUTED_VALUE"""),"清掃不備")</f>
        <v>清掃不備</v>
      </c>
      <c r="AG41" s="24">
        <f>IFERROR(__xludf.DUMMYFUNCTION("""COMPUTED_VALUE"""),2.0)</f>
        <v>2</v>
      </c>
      <c r="AH41" s="24">
        <f>IFERROR(__xludf.DUMMYFUNCTION("""COMPUTED_VALUE"""),0.16666666666666666)</f>
        <v>0.1666666667</v>
      </c>
      <c r="AK41" s="1265"/>
      <c r="AL41" s="1265"/>
      <c r="AM41" s="1266"/>
    </row>
    <row r="42">
      <c r="B42" s="1257" t="str">
        <f>IFERROR(__xludf.DUMMYFUNCTION("""COMPUTED_VALUE"""),"ギミレ")</f>
        <v>ギミレ</v>
      </c>
      <c r="C42" s="1260">
        <f>IFERROR(__xludf.DUMMYFUNCTION("""COMPUTED_VALUE"""),1.0)</f>
        <v>1</v>
      </c>
      <c r="D42" s="1261" t="str">
        <f>IFERROR(__xludf.DUMMYFUNCTION("""COMPUTED_VALUE"""),"佐藤")</f>
        <v>佐藤</v>
      </c>
      <c r="E42" s="1262">
        <f>IFERROR(__xludf.DUMMYFUNCTION("""COMPUTED_VALUE"""),1.0)</f>
        <v>1</v>
      </c>
      <c r="F42" s="1261" t="str">
        <f>IFERROR(__xludf.DUMMYFUNCTION("""COMPUTED_VALUE"""),"残置")</f>
        <v>残置</v>
      </c>
      <c r="G42" s="1260">
        <f>IFERROR(__xludf.DUMMYFUNCTION("""COMPUTED_VALUE"""),1.0)</f>
        <v>1</v>
      </c>
      <c r="H42" s="1263" t="str">
        <f>IFERROR(__xludf.DUMMYFUNCTION("""COMPUTED_VALUE"""),"残置")</f>
        <v>残置</v>
      </c>
      <c r="I42" s="1258">
        <f>IFERROR(__xludf.DUMMYFUNCTION("""COMPUTED_VALUE"""),1.0)</f>
        <v>1</v>
      </c>
      <c r="J42" s="1264">
        <v>0.08333333333333333</v>
      </c>
      <c r="K42" s="1257" t="s">
        <v>41</v>
      </c>
      <c r="L42" s="1258">
        <f t="shared" si="5"/>
        <v>0</v>
      </c>
      <c r="M42" s="1259">
        <f t="shared" si="6"/>
        <v>0</v>
      </c>
      <c r="O42" s="286" t="s">
        <v>34</v>
      </c>
      <c r="P42" s="286" t="s">
        <v>1046</v>
      </c>
      <c r="Q42" s="286" t="s">
        <v>42</v>
      </c>
      <c r="R42" s="1237"/>
      <c r="S42" s="286" t="s">
        <v>1047</v>
      </c>
      <c r="T42" s="286" t="s">
        <v>135</v>
      </c>
      <c r="U42" s="1238" t="s">
        <v>1048</v>
      </c>
      <c r="W42" s="1237" t="str">
        <f>'🔵クレーム'!C33</f>
        <v>2月</v>
      </c>
      <c r="X42" s="1237" t="str">
        <f>'🔵クレーム'!D33</f>
        <v>23日</v>
      </c>
      <c r="Y42" s="286" t="str">
        <f>'🔵クレーム'!I33</f>
        <v>その他</v>
      </c>
      <c r="Z42" s="1237" t="str">
        <f>'🔵クレーム'!J33</f>
        <v/>
      </c>
      <c r="AA42" s="1237" t="str">
        <f>'🔵クレーム'!K33</f>
        <v>メイ</v>
      </c>
      <c r="AB42" s="1237" t="str">
        <f>'🔵クレーム'!L33</f>
        <v/>
      </c>
      <c r="AC42" s="1239" t="str">
        <f>'🔵クレーム'!N33</f>
        <v>シューシャインペーパーがドアに挟まっていた。</v>
      </c>
      <c r="AE42" s="24" t="str">
        <f>IFERROR(__xludf.DUMMYFUNCTION("""COMPUTED_VALUE"""),"アラム")</f>
        <v>アラム</v>
      </c>
      <c r="AF42" s="24" t="str">
        <f>IFERROR(__xludf.DUMMYFUNCTION("""COMPUTED_VALUE"""),"残置")</f>
        <v>残置</v>
      </c>
      <c r="AG42" s="24">
        <f>IFERROR(__xludf.DUMMYFUNCTION("""COMPUTED_VALUE"""),1.0)</f>
        <v>1</v>
      </c>
      <c r="AH42" s="24">
        <f>IFERROR(__xludf.DUMMYFUNCTION("""COMPUTED_VALUE"""),0.08333333333333333)</f>
        <v>0.08333333333</v>
      </c>
      <c r="AK42" s="1265"/>
      <c r="AL42" s="1265"/>
      <c r="AM42" s="1266"/>
    </row>
    <row r="43">
      <c r="B43" s="1257" t="str">
        <f>IFERROR(__xludf.DUMMYFUNCTION("""COMPUTED_VALUE"""),"ビケス")</f>
        <v>ビケス</v>
      </c>
      <c r="C43" s="1260">
        <f>IFERROR(__xludf.DUMMYFUNCTION("""COMPUTED_VALUE"""),1.0)</f>
        <v>1</v>
      </c>
      <c r="D43" s="1261" t="str">
        <f>IFERROR(__xludf.DUMMYFUNCTION("""COMPUTED_VALUE"""),"宇佐美")</f>
        <v>宇佐美</v>
      </c>
      <c r="E43" s="1262">
        <f>IFERROR(__xludf.DUMMYFUNCTION("""COMPUTED_VALUE"""),1.0)</f>
        <v>1</v>
      </c>
      <c r="F43" s="1261" t="str">
        <f>IFERROR(__xludf.DUMMYFUNCTION("""COMPUTED_VALUE"""),"髪の毛")</f>
        <v>髪の毛</v>
      </c>
      <c r="G43" s="1260">
        <f>IFERROR(__xludf.DUMMYFUNCTION("""COMPUTED_VALUE"""),1.0)</f>
        <v>1</v>
      </c>
      <c r="H43" s="1263" t="str">
        <f>IFERROR(__xludf.DUMMYFUNCTION("""COMPUTED_VALUE"""),"髪の毛")</f>
        <v>髪の毛</v>
      </c>
      <c r="I43" s="1258">
        <f>IFERROR(__xludf.DUMMYFUNCTION("""COMPUTED_VALUE"""),1.0)</f>
        <v>1</v>
      </c>
      <c r="J43" s="1264">
        <v>0.08333333333333333</v>
      </c>
      <c r="K43" s="1257" t="s">
        <v>43</v>
      </c>
      <c r="L43" s="1258">
        <f t="shared" si="5"/>
        <v>0</v>
      </c>
      <c r="M43" s="1259">
        <f t="shared" si="6"/>
        <v>0</v>
      </c>
      <c r="O43" s="286" t="s">
        <v>34</v>
      </c>
      <c r="P43" s="286" t="s">
        <v>1049</v>
      </c>
      <c r="Q43" s="286" t="s">
        <v>30</v>
      </c>
      <c r="R43" s="1237"/>
      <c r="S43" s="286" t="s">
        <v>449</v>
      </c>
      <c r="T43" s="286" t="s">
        <v>466</v>
      </c>
      <c r="U43" s="1238" t="s">
        <v>1050</v>
      </c>
      <c r="W43" s="1237" t="str">
        <f>'🔵クレーム'!C34</f>
        <v>2月</v>
      </c>
      <c r="X43" s="1237" t="str">
        <f>'🔵クレーム'!D34</f>
        <v>23日</v>
      </c>
      <c r="Y43" s="286" t="str">
        <f>'🔵クレーム'!I34</f>
        <v>その他</v>
      </c>
      <c r="Z43" s="1237" t="str">
        <f>'🔵クレーム'!J34</f>
        <v/>
      </c>
      <c r="AA43" s="1237" t="str">
        <f>'🔵クレーム'!K34</f>
        <v>メイ</v>
      </c>
      <c r="AB43" s="1237" t="str">
        <f>'🔵クレーム'!L34</f>
        <v>メイ</v>
      </c>
      <c r="AC43" s="1239"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IFERROR(__xludf.DUMMYFUNCTION("""COMPUTED_VALUE"""),0.08333333333333333)</f>
        <v>0.08333333333</v>
      </c>
      <c r="AK43" s="1265"/>
      <c r="AL43" s="1265"/>
      <c r="AM43" s="1266"/>
    </row>
    <row r="44">
      <c r="B44" s="1257" t="str">
        <f>IFERROR(__xludf.DUMMYFUNCTION("""COMPUTED_VALUE"""),"ランジュ")</f>
        <v>ランジュ</v>
      </c>
      <c r="C44" s="1260">
        <f>IFERROR(__xludf.DUMMYFUNCTION("""COMPUTED_VALUE"""),1.0)</f>
        <v>1</v>
      </c>
      <c r="D44" s="1261" t="str">
        <f>IFERROR(__xludf.DUMMYFUNCTION("""COMPUTED_VALUE"""),"福永")</f>
        <v>福永</v>
      </c>
      <c r="E44" s="1262">
        <f>IFERROR(__xludf.DUMMYFUNCTION("""COMPUTED_VALUE"""),1.0)</f>
        <v>1</v>
      </c>
      <c r="F44" s="1261"/>
      <c r="G44" s="1260"/>
      <c r="H44" s="1263"/>
      <c r="I44" s="1258"/>
      <c r="J44" s="1264" t="s">
        <v>998</v>
      </c>
      <c r="K44" s="1257" t="s">
        <v>42</v>
      </c>
      <c r="L44" s="1258">
        <f t="shared" si="5"/>
        <v>0</v>
      </c>
      <c r="M44" s="1259">
        <f t="shared" si="6"/>
        <v>0</v>
      </c>
      <c r="O44" s="286" t="s">
        <v>34</v>
      </c>
      <c r="P44" s="286" t="s">
        <v>1032</v>
      </c>
      <c r="Q44" s="286" t="s">
        <v>39</v>
      </c>
      <c r="R44" s="1237"/>
      <c r="S44" s="286" t="s">
        <v>450</v>
      </c>
      <c r="T44" s="286" t="s">
        <v>1051</v>
      </c>
      <c r="U44" s="1238" t="s">
        <v>1052</v>
      </c>
      <c r="W44" s="1237" t="str">
        <f>'🔵クレーム'!C35</f>
        <v>3月</v>
      </c>
      <c r="X44" s="1237" t="str">
        <f>'🔵クレーム'!D35</f>
        <v>10日</v>
      </c>
      <c r="Y44" s="286" t="str">
        <f>'🔵クレーム'!I35</f>
        <v>セット漏れ</v>
      </c>
      <c r="Z44" s="1237" t="str">
        <f>'🔵クレーム'!J35</f>
        <v/>
      </c>
      <c r="AA44" s="1237" t="str">
        <f>'🔵クレーム'!K35</f>
        <v>メイ</v>
      </c>
      <c r="AB44" s="1237" t="str">
        <f>'🔵クレーム'!L35</f>
        <v>メイ</v>
      </c>
      <c r="AC44" s="1239" t="str">
        <f>'🔵クレーム'!N35</f>
        <v>フルステイスリッパセット漏れ</v>
      </c>
      <c r="AE44" s="24" t="str">
        <f>IFERROR(__xludf.DUMMYFUNCTION("""COMPUTED_VALUE"""),"オウ")</f>
        <v>オウ</v>
      </c>
      <c r="AK44" s="1265"/>
      <c r="AL44" s="1265"/>
      <c r="AM44" s="1266"/>
    </row>
    <row r="45">
      <c r="B45" s="1257" t="str">
        <f>IFERROR(__xludf.DUMMYFUNCTION("""COMPUTED_VALUE"""),"ー")</f>
        <v>ー</v>
      </c>
      <c r="C45" s="1260">
        <f>IFERROR(__xludf.DUMMYFUNCTION("""COMPUTED_VALUE"""),1.0)</f>
        <v>1</v>
      </c>
      <c r="D45" s="1261"/>
      <c r="E45" s="1262"/>
      <c r="F45" s="1261"/>
      <c r="G45" s="1260"/>
      <c r="H45" s="1263"/>
      <c r="I45" s="1258"/>
      <c r="J45" s="1264" t="s">
        <v>998</v>
      </c>
      <c r="K45" s="1257" t="s">
        <v>1053</v>
      </c>
      <c r="L45" s="1258">
        <f t="shared" si="5"/>
        <v>1</v>
      </c>
      <c r="M45" s="1259">
        <f t="shared" si="6"/>
        <v>0.5</v>
      </c>
      <c r="O45" s="286" t="s">
        <v>34</v>
      </c>
      <c r="P45" s="286" t="s">
        <v>1032</v>
      </c>
      <c r="Q45" s="286" t="s">
        <v>40</v>
      </c>
      <c r="R45" s="1237"/>
      <c r="S45" s="286" t="s">
        <v>450</v>
      </c>
      <c r="T45" s="286" t="s">
        <v>1054</v>
      </c>
      <c r="U45" s="1238" t="s">
        <v>1055</v>
      </c>
      <c r="W45" s="1237" t="str">
        <f>'🔵クレーム'!C36</f>
        <v>3月</v>
      </c>
      <c r="X45" s="1237" t="str">
        <f>'🔵クレーム'!D36</f>
        <v>11日</v>
      </c>
      <c r="Y45" s="286" t="str">
        <f>'🔵クレーム'!I36</f>
        <v>清掃不備</v>
      </c>
      <c r="Z45" s="1237" t="str">
        <f>'🔵クレーム'!J36</f>
        <v/>
      </c>
      <c r="AA45" s="1237" t="str">
        <f>'🔵クレーム'!K36</f>
        <v/>
      </c>
      <c r="AB45" s="1237" t="str">
        <f>'🔵クレーム'!L36</f>
        <v>ギミレ</v>
      </c>
      <c r="AC45" s="1239" t="str">
        <f>'🔵クレーム'!N36</f>
        <v>エコ清掃タオル乱雑設置、ゴミ未回収</v>
      </c>
      <c r="AE45" s="24" t="str">
        <f>IFERROR(__xludf.DUMMYFUNCTION("""COMPUTED_VALUE"""),"カブィンダ")</f>
        <v>カブィンダ</v>
      </c>
      <c r="AK45" s="1265"/>
      <c r="AL45" s="1265"/>
      <c r="AM45" s="1266"/>
    </row>
    <row r="46">
      <c r="B46" s="1257" t="str">
        <f>IFERROR(__xludf.DUMMYFUNCTION("""COMPUTED_VALUE"""),"－")</f>
        <v>－</v>
      </c>
      <c r="C46" s="1260">
        <f>IFERROR(__xludf.DUMMYFUNCTION("""COMPUTED_VALUE"""),1.0)</f>
        <v>1</v>
      </c>
      <c r="D46" s="1261"/>
      <c r="E46" s="1262"/>
      <c r="F46" s="1261"/>
      <c r="G46" s="1260"/>
      <c r="H46" s="1263"/>
      <c r="I46" s="1258"/>
      <c r="J46" s="1264" t="s">
        <v>998</v>
      </c>
      <c r="K46" s="1257" t="s">
        <v>1056</v>
      </c>
      <c r="L46" s="1258">
        <f t="shared" si="5"/>
        <v>1</v>
      </c>
      <c r="M46" s="1259">
        <f t="shared" si="6"/>
        <v>0.5</v>
      </c>
      <c r="O46" s="286" t="s">
        <v>34</v>
      </c>
      <c r="P46" s="286" t="s">
        <v>1032</v>
      </c>
      <c r="Q46" s="286" t="s">
        <v>40</v>
      </c>
      <c r="R46" s="1237"/>
      <c r="S46" s="286" t="s">
        <v>1047</v>
      </c>
      <c r="T46" s="286" t="s">
        <v>1057</v>
      </c>
      <c r="U46" s="1238" t="s">
        <v>1058</v>
      </c>
      <c r="W46" s="1237" t="str">
        <f>'🔵クレーム'!C37</f>
        <v>3月</v>
      </c>
      <c r="X46" s="1237" t="str">
        <f>'🔵クレーム'!D37</f>
        <v>14日</v>
      </c>
      <c r="Y46" s="286" t="str">
        <f>'🔵クレーム'!I37</f>
        <v>セット漏れ</v>
      </c>
      <c r="Z46" s="1237" t="str">
        <f>'🔵クレーム'!J37</f>
        <v/>
      </c>
      <c r="AA46" s="1237" t="str">
        <f>'🔵クレーム'!K37</f>
        <v>メイ</v>
      </c>
      <c r="AB46" s="1237" t="str">
        <f>'🔵クレーム'!L37</f>
        <v>ランジュ</v>
      </c>
      <c r="AC46" s="1239" t="str">
        <f>'🔵クレーム'!N37</f>
        <v>灰皿のセット漏れ</v>
      </c>
      <c r="AE46" s="24" t="str">
        <f>IFERROR(__xludf.DUMMYFUNCTION("""COMPUTED_VALUE"""),"カマラ")</f>
        <v>カマラ</v>
      </c>
      <c r="AK46" s="1265"/>
      <c r="AL46" s="1265"/>
      <c r="AM46" s="1266"/>
    </row>
    <row r="47">
      <c r="B47" s="1257"/>
      <c r="C47" s="1260"/>
      <c r="D47" s="1261"/>
      <c r="E47" s="1262"/>
      <c r="F47" s="1267"/>
      <c r="G47" s="1268"/>
      <c r="H47" s="1263"/>
      <c r="I47" s="1258"/>
      <c r="J47" s="1264" t="s">
        <v>998</v>
      </c>
      <c r="K47" s="1257" t="s">
        <v>1059</v>
      </c>
      <c r="L47" s="1258">
        <f t="shared" si="5"/>
        <v>0</v>
      </c>
      <c r="M47" s="1259">
        <f t="shared" si="6"/>
        <v>0</v>
      </c>
      <c r="O47" s="286" t="s">
        <v>34</v>
      </c>
      <c r="P47" s="286" t="s">
        <v>1032</v>
      </c>
      <c r="Q47" s="286" t="s">
        <v>39</v>
      </c>
      <c r="R47" s="1237"/>
      <c r="S47" s="286" t="s">
        <v>1047</v>
      </c>
      <c r="T47" s="286" t="s">
        <v>1057</v>
      </c>
      <c r="U47" s="1238" t="s">
        <v>1060</v>
      </c>
      <c r="W47" s="1237" t="str">
        <f>'🔵クレーム'!C38</f>
        <v>3月</v>
      </c>
      <c r="X47" s="1237" t="str">
        <f>'🔵クレーム'!D38</f>
        <v>18日</v>
      </c>
      <c r="Y47" s="286" t="str">
        <f>'🔵クレーム'!I38</f>
        <v>セット漏れ</v>
      </c>
      <c r="Z47" s="1237" t="str">
        <f>'🔵クレーム'!J38</f>
        <v/>
      </c>
      <c r="AA47" s="1237" t="str">
        <f>'🔵クレーム'!K38</f>
        <v>佐藤</v>
      </c>
      <c r="AB47" s="1237" t="str">
        <f>'🔵クレーム'!L38</f>
        <v>サンタ</v>
      </c>
      <c r="AC47" s="1239" t="str">
        <f>'🔵クレーム'!N38</f>
        <v>シャンプー、コンディショナーのセット漏れ</v>
      </c>
      <c r="AE47" s="24" t="str">
        <f>IFERROR(__xludf.DUMMYFUNCTION("""COMPUTED_VALUE"""),"ガヤン")</f>
        <v>ガヤン</v>
      </c>
      <c r="AK47" s="1265"/>
      <c r="AL47" s="1265"/>
      <c r="AM47" s="1266"/>
    </row>
    <row r="48">
      <c r="B48" s="1257"/>
      <c r="C48" s="1260"/>
      <c r="D48" s="1261"/>
      <c r="E48" s="1262"/>
      <c r="F48" s="1267"/>
      <c r="G48" s="1268"/>
      <c r="H48" s="1263"/>
      <c r="I48" s="1258"/>
      <c r="J48" s="1264" t="s">
        <v>998</v>
      </c>
      <c r="K48" s="1257" t="s">
        <v>1061</v>
      </c>
      <c r="L48" s="1258">
        <f t="shared" si="5"/>
        <v>0</v>
      </c>
      <c r="M48" s="1259">
        <f t="shared" si="6"/>
        <v>0</v>
      </c>
      <c r="O48" s="286" t="s">
        <v>34</v>
      </c>
      <c r="P48" s="286" t="s">
        <v>176</v>
      </c>
      <c r="Q48" s="286" t="s">
        <v>42</v>
      </c>
      <c r="R48" s="1237"/>
      <c r="S48" s="286" t="s">
        <v>171</v>
      </c>
      <c r="T48" s="286" t="s">
        <v>1062</v>
      </c>
      <c r="U48" s="1238" t="s">
        <v>1063</v>
      </c>
      <c r="W48" s="1237" t="str">
        <f>'🔵クレーム'!C39</f>
        <v>3月</v>
      </c>
      <c r="X48" s="1237" t="str">
        <f>'🔵クレーム'!D39</f>
        <v>21日</v>
      </c>
      <c r="Y48" s="286" t="str">
        <f>'🔵クレーム'!I39</f>
        <v>セット漏れ</v>
      </c>
      <c r="Z48" s="1237" t="str">
        <f>'🔵クレーム'!J39</f>
        <v/>
      </c>
      <c r="AA48" s="1237" t="str">
        <f>'🔵クレーム'!K39</f>
        <v>メイ</v>
      </c>
      <c r="AB48" s="1237" t="str">
        <f>'🔵クレーム'!L39</f>
        <v>カトリ</v>
      </c>
      <c r="AC48" s="1239" t="str">
        <f>'🔵クレーム'!N39</f>
        <v>タオルセット１の未手配</v>
      </c>
      <c r="AE48" s="24" t="str">
        <f>IFERROR(__xludf.DUMMYFUNCTION("""COMPUTED_VALUE"""),"ガルセス")</f>
        <v>ガルセス</v>
      </c>
      <c r="AK48" s="1265"/>
      <c r="AL48" s="1265"/>
      <c r="AM48" s="1266"/>
    </row>
    <row r="49">
      <c r="B49" s="1257"/>
      <c r="C49" s="1260"/>
      <c r="D49" s="1261"/>
      <c r="E49" s="1262"/>
      <c r="F49" s="1267"/>
      <c r="G49" s="1268"/>
      <c r="H49" s="1263"/>
      <c r="I49" s="1258"/>
      <c r="J49" s="1264" t="s">
        <v>998</v>
      </c>
      <c r="K49" s="1257" t="s">
        <v>30</v>
      </c>
      <c r="L49" s="1258">
        <f t="shared" si="5"/>
        <v>0</v>
      </c>
      <c r="M49" s="1259">
        <f t="shared" si="6"/>
        <v>0</v>
      </c>
      <c r="O49" s="286" t="s">
        <v>34</v>
      </c>
      <c r="P49" s="286" t="s">
        <v>140</v>
      </c>
      <c r="Q49" s="286" t="s">
        <v>42</v>
      </c>
      <c r="R49" s="1237"/>
      <c r="S49" s="286" t="s">
        <v>1064</v>
      </c>
      <c r="T49" s="286" t="s">
        <v>103</v>
      </c>
      <c r="U49" s="1238" t="s">
        <v>1065</v>
      </c>
      <c r="W49" s="1237" t="str">
        <f>'🔵クレーム'!C40</f>
        <v/>
      </c>
      <c r="X49" s="1237" t="str">
        <f>'🔵クレーム'!D40</f>
        <v/>
      </c>
      <c r="Y49" s="286" t="str">
        <f>'🔵クレーム'!I40</f>
        <v/>
      </c>
      <c r="Z49" s="1237" t="str">
        <f>'🔵クレーム'!J40</f>
        <v/>
      </c>
      <c r="AA49" s="1237" t="str">
        <f>'🔵クレーム'!K40</f>
        <v/>
      </c>
      <c r="AB49" s="1237" t="str">
        <f>'🔵クレーム'!L40</f>
        <v/>
      </c>
      <c r="AC49" s="1239" t="str">
        <f>'🔵クレーム'!N40</f>
        <v/>
      </c>
      <c r="AE49" s="24" t="str">
        <f>IFERROR(__xludf.DUMMYFUNCTION("""COMPUTED_VALUE"""),"カン")</f>
        <v>カン</v>
      </c>
      <c r="AK49" s="1265"/>
      <c r="AL49" s="1265"/>
      <c r="AM49" s="1266"/>
    </row>
    <row r="50" collapsed="1">
      <c r="B50" s="1257"/>
      <c r="C50" s="1260"/>
      <c r="D50" s="1261"/>
      <c r="E50" s="1262"/>
      <c r="F50" s="1267"/>
      <c r="G50" s="1268"/>
      <c r="H50" s="1263"/>
      <c r="I50" s="1258"/>
      <c r="J50" s="1264" t="s">
        <v>998</v>
      </c>
      <c r="K50" s="1269" t="s">
        <v>344</v>
      </c>
      <c r="L50" s="1270">
        <f t="shared" si="5"/>
        <v>2</v>
      </c>
      <c r="M50" s="1271">
        <f t="shared" si="6"/>
        <v>1</v>
      </c>
      <c r="O50" s="286" t="s">
        <v>34</v>
      </c>
      <c r="P50" s="286" t="s">
        <v>1066</v>
      </c>
      <c r="Q50" s="286" t="s">
        <v>30</v>
      </c>
      <c r="R50" s="1237"/>
      <c r="S50" s="286" t="s">
        <v>103</v>
      </c>
      <c r="T50" s="286" t="s">
        <v>468</v>
      </c>
      <c r="U50" s="1238" t="s">
        <v>1067</v>
      </c>
      <c r="W50" s="1237" t="str">
        <f>'🔵クレーム'!C41</f>
        <v/>
      </c>
      <c r="X50" s="1237" t="str">
        <f>'🔵クレーム'!D41</f>
        <v/>
      </c>
      <c r="Y50" s="286" t="str">
        <f>'🔵クレーム'!I41</f>
        <v/>
      </c>
      <c r="Z50" s="1237" t="str">
        <f>'🔵クレーム'!J41</f>
        <v/>
      </c>
      <c r="AA50" s="1237" t="str">
        <f>'🔵クレーム'!K41</f>
        <v/>
      </c>
      <c r="AB50" s="1237" t="str">
        <f>'🔵クレーム'!L41</f>
        <v/>
      </c>
      <c r="AC50" s="1239" t="str">
        <f>'🔵クレーム'!N41</f>
        <v/>
      </c>
      <c r="AE50" s="24" t="str">
        <f>IFERROR(__xludf.DUMMYFUNCTION("""COMPUTED_VALUE"""),"ゴマ")</f>
        <v>ゴマ</v>
      </c>
      <c r="AK50" s="1265"/>
      <c r="AL50" s="1265"/>
      <c r="AM50" s="1266"/>
    </row>
    <row r="51" hidden="1" outlineLevel="1">
      <c r="B51" s="1257"/>
      <c r="C51" s="1260"/>
      <c r="D51" s="1261"/>
      <c r="E51" s="1262"/>
      <c r="F51" s="1267"/>
      <c r="G51" s="1268"/>
      <c r="H51" s="1263"/>
      <c r="I51" s="1258"/>
      <c r="J51" s="1272" t="s">
        <v>998</v>
      </c>
      <c r="K51" s="1231"/>
      <c r="O51" s="286" t="s">
        <v>34</v>
      </c>
      <c r="P51" s="286" t="s">
        <v>1066</v>
      </c>
      <c r="Q51" s="286" t="s">
        <v>42</v>
      </c>
      <c r="R51" s="1237"/>
      <c r="S51" s="286" t="s">
        <v>1064</v>
      </c>
      <c r="T51" s="286" t="s">
        <v>1051</v>
      </c>
      <c r="U51" s="1238" t="s">
        <v>1068</v>
      </c>
      <c r="W51" s="1237" t="str">
        <f>'🔵クレーム'!C42</f>
        <v/>
      </c>
      <c r="X51" s="1237" t="str">
        <f>'🔵クレーム'!D42</f>
        <v/>
      </c>
      <c r="Y51" s="286" t="str">
        <f>'🔵クレーム'!I42</f>
        <v/>
      </c>
      <c r="Z51" s="1237" t="str">
        <f>'🔵クレーム'!J42</f>
        <v/>
      </c>
      <c r="AA51" s="1237" t="str">
        <f>'🔵クレーム'!K42</f>
        <v/>
      </c>
      <c r="AB51" s="1237" t="str">
        <f>'🔵クレーム'!L42</f>
        <v/>
      </c>
      <c r="AC51" s="1239" t="str">
        <f>'🔵クレーム'!N42</f>
        <v/>
      </c>
      <c r="AE51" s="24" t="str">
        <f>IFERROR(__xludf.DUMMYFUNCTION("""COMPUTED_VALUE"""),"サビタ")</f>
        <v>サビタ</v>
      </c>
      <c r="AK51" s="1265"/>
      <c r="AL51" s="1265"/>
      <c r="AM51" s="1266"/>
    </row>
    <row r="52" hidden="1" outlineLevel="1">
      <c r="B52" s="1257"/>
      <c r="C52" s="1260"/>
      <c r="D52" s="1261"/>
      <c r="E52" s="1262"/>
      <c r="F52" s="1267"/>
      <c r="G52" s="1268"/>
      <c r="H52" s="1263"/>
      <c r="I52" s="1258"/>
      <c r="J52" s="1272" t="s">
        <v>998</v>
      </c>
      <c r="O52" s="286" t="s">
        <v>34</v>
      </c>
      <c r="P52" s="286" t="s">
        <v>1069</v>
      </c>
      <c r="Q52" s="286" t="s">
        <v>43</v>
      </c>
      <c r="R52" s="1237"/>
      <c r="S52" s="286" t="s">
        <v>450</v>
      </c>
      <c r="T52" s="286" t="s">
        <v>1070</v>
      </c>
      <c r="U52" s="1238" t="s">
        <v>1071</v>
      </c>
      <c r="W52" s="1237" t="str">
        <f>'🔵クレーム'!C43</f>
        <v/>
      </c>
      <c r="X52" s="1237" t="str">
        <f>'🔵クレーム'!D43</f>
        <v/>
      </c>
      <c r="Y52" s="286" t="str">
        <f>'🔵クレーム'!I43</f>
        <v/>
      </c>
      <c r="Z52" s="1237" t="str">
        <f>'🔵クレーム'!J43</f>
        <v/>
      </c>
      <c r="AA52" s="1237" t="str">
        <f>'🔵クレーム'!K43</f>
        <v/>
      </c>
      <c r="AB52" s="1237" t="str">
        <f>'🔵クレーム'!L43</f>
        <v/>
      </c>
      <c r="AC52" s="1239" t="str">
        <f>'🔵クレーム'!N43</f>
        <v/>
      </c>
      <c r="AE52" s="24" t="str">
        <f>IFERROR(__xludf.DUMMYFUNCTION("""COMPUTED_VALUE"""),"サンタ")</f>
        <v>サンタ</v>
      </c>
      <c r="AK52" s="1265"/>
    </row>
    <row r="53" hidden="1" outlineLevel="1">
      <c r="B53" s="1257"/>
      <c r="C53" s="1260"/>
      <c r="D53" s="1261"/>
      <c r="E53" s="1262"/>
      <c r="F53" s="1267"/>
      <c r="G53" s="1268"/>
      <c r="H53" s="1263"/>
      <c r="I53" s="1258"/>
      <c r="J53" s="1272" t="s">
        <v>998</v>
      </c>
      <c r="O53" s="286" t="s">
        <v>55</v>
      </c>
      <c r="P53" s="286" t="s">
        <v>1072</v>
      </c>
      <c r="Q53" s="286" t="s">
        <v>40</v>
      </c>
      <c r="R53" s="1237"/>
      <c r="S53" s="286" t="s">
        <v>1033</v>
      </c>
      <c r="T53" s="286" t="s">
        <v>468</v>
      </c>
      <c r="U53" s="1238" t="s">
        <v>1073</v>
      </c>
      <c r="W53" s="1237" t="str">
        <f>'🔵クレーム'!C44</f>
        <v/>
      </c>
      <c r="X53" s="1237" t="str">
        <f>'🔵クレーム'!D44</f>
        <v/>
      </c>
      <c r="Y53" s="286" t="str">
        <f>'🔵クレーム'!I44</f>
        <v/>
      </c>
      <c r="Z53" s="1237" t="str">
        <f>'🔵クレーム'!J44</f>
        <v/>
      </c>
      <c r="AA53" s="1237" t="str">
        <f>'🔵クレーム'!K44</f>
        <v/>
      </c>
      <c r="AB53" s="1237" t="str">
        <f>'🔵クレーム'!L44</f>
        <v/>
      </c>
      <c r="AC53" s="1239" t="str">
        <f>'🔵クレーム'!N44</f>
        <v/>
      </c>
      <c r="AE53" s="24" t="str">
        <f>IFERROR(__xludf.DUMMYFUNCTION("""COMPUTED_VALUE"""),"シタ")</f>
        <v>シタ</v>
      </c>
    </row>
    <row r="54" hidden="1" outlineLevel="1">
      <c r="B54" s="1257"/>
      <c r="C54" s="1260"/>
      <c r="D54" s="1261"/>
      <c r="E54" s="1262"/>
      <c r="F54" s="1267"/>
      <c r="G54" s="1268"/>
      <c r="H54" s="1263"/>
      <c r="I54" s="1258"/>
      <c r="J54" s="1272" t="s">
        <v>998</v>
      </c>
      <c r="O54" s="286" t="s">
        <v>55</v>
      </c>
      <c r="P54" s="286" t="s">
        <v>1037</v>
      </c>
      <c r="Q54" s="286" t="s">
        <v>42</v>
      </c>
      <c r="R54" s="1237"/>
      <c r="S54" s="286" t="s">
        <v>1064</v>
      </c>
      <c r="T54" s="286" t="s">
        <v>1070</v>
      </c>
      <c r="U54" s="1238" t="s">
        <v>1074</v>
      </c>
      <c r="W54" s="1237" t="str">
        <f>'🔵クレーム'!C45</f>
        <v/>
      </c>
      <c r="X54" s="1237" t="str">
        <f>'🔵クレーム'!D45</f>
        <v/>
      </c>
      <c r="Y54" s="286" t="str">
        <f>'🔵クレーム'!I45</f>
        <v/>
      </c>
      <c r="Z54" s="1237" t="str">
        <f>'🔵クレーム'!J45</f>
        <v/>
      </c>
      <c r="AA54" s="1237" t="str">
        <f>'🔵クレーム'!K45</f>
        <v/>
      </c>
      <c r="AB54" s="1237" t="str">
        <f>'🔵クレーム'!L45</f>
        <v/>
      </c>
      <c r="AC54" s="1239" t="str">
        <f>'🔵クレーム'!N45</f>
        <v/>
      </c>
      <c r="AE54" s="24" t="str">
        <f>IFERROR(__xludf.DUMMYFUNCTION("""COMPUTED_VALUE"""),"シャキラ")</f>
        <v>シャキラ</v>
      </c>
    </row>
    <row r="55" hidden="1" outlineLevel="1">
      <c r="B55" s="1257"/>
      <c r="C55" s="1260"/>
      <c r="D55" s="1267"/>
      <c r="E55" s="1273"/>
      <c r="F55" s="1267"/>
      <c r="G55" s="1268"/>
      <c r="H55" s="1263"/>
      <c r="I55" s="1258"/>
      <c r="J55" s="1272" t="s">
        <v>998</v>
      </c>
      <c r="O55" s="286" t="s">
        <v>57</v>
      </c>
      <c r="P55" s="286" t="s">
        <v>1049</v>
      </c>
      <c r="Q55" s="286" t="s">
        <v>39</v>
      </c>
      <c r="R55" s="1237"/>
      <c r="S55" s="286" t="s">
        <v>450</v>
      </c>
      <c r="T55" s="286" t="s">
        <v>1075</v>
      </c>
      <c r="U55" s="1238" t="s">
        <v>1076</v>
      </c>
      <c r="W55" s="1237" t="str">
        <f>'🔵クレーム'!C46</f>
        <v/>
      </c>
      <c r="X55" s="1237" t="str">
        <f>'🔵クレーム'!D46</f>
        <v/>
      </c>
      <c r="Y55" s="286" t="str">
        <f>'🔵クレーム'!I46</f>
        <v/>
      </c>
      <c r="Z55" s="1237" t="str">
        <f>'🔵クレーム'!J46</f>
        <v/>
      </c>
      <c r="AA55" s="1237" t="str">
        <f>'🔵クレーム'!K46</f>
        <v/>
      </c>
      <c r="AB55" s="1237" t="str">
        <f>'🔵クレーム'!L46</f>
        <v/>
      </c>
      <c r="AC55" s="1239" t="str">
        <f>'🔵クレーム'!N46</f>
        <v/>
      </c>
      <c r="AE55" s="24" t="str">
        <f>IFERROR(__xludf.DUMMYFUNCTION("""COMPUTED_VALUE"""),"シャミカ")</f>
        <v>シャミカ</v>
      </c>
    </row>
    <row r="56" hidden="1" outlineLevel="1">
      <c r="B56" s="1257"/>
      <c r="C56" s="1260"/>
      <c r="D56" s="1267"/>
      <c r="E56" s="1273"/>
      <c r="F56" s="1267"/>
      <c r="G56" s="1268"/>
      <c r="H56" s="1263"/>
      <c r="I56" s="1258"/>
      <c r="J56" s="1272" t="s">
        <v>998</v>
      </c>
      <c r="O56" s="286" t="s">
        <v>57</v>
      </c>
      <c r="P56" s="286" t="s">
        <v>1049</v>
      </c>
      <c r="Q56" s="286" t="s">
        <v>38</v>
      </c>
      <c r="R56" s="1237"/>
      <c r="S56" s="286" t="s">
        <v>1064</v>
      </c>
      <c r="T56" s="286" t="s">
        <v>751</v>
      </c>
      <c r="U56" s="1238" t="s">
        <v>1077</v>
      </c>
      <c r="W56" s="1237" t="str">
        <f>'🔵クレーム'!C47</f>
        <v/>
      </c>
      <c r="X56" s="1237" t="str">
        <f>'🔵クレーム'!D47</f>
        <v/>
      </c>
      <c r="Y56" s="286" t="str">
        <f>'🔵クレーム'!I47</f>
        <v/>
      </c>
      <c r="Z56" s="1237" t="str">
        <f>'🔵クレーム'!J47</f>
        <v/>
      </c>
      <c r="AA56" s="1237" t="str">
        <f>'🔵クレーム'!K47</f>
        <v/>
      </c>
      <c r="AB56" s="1237" t="str">
        <f>'🔵クレーム'!L47</f>
        <v/>
      </c>
      <c r="AC56" s="1239" t="str">
        <f>'🔵クレーム'!N47</f>
        <v/>
      </c>
      <c r="AE56" s="24" t="str">
        <f>IFERROR(__xludf.DUMMYFUNCTION("""COMPUTED_VALUE"""),"タラ")</f>
        <v>タラ</v>
      </c>
    </row>
    <row r="57" hidden="1" outlineLevel="1">
      <c r="B57" s="1257"/>
      <c r="C57" s="1260"/>
      <c r="D57" s="1267"/>
      <c r="E57" s="1273"/>
      <c r="F57" s="1267"/>
      <c r="G57" s="1268"/>
      <c r="H57" s="1263"/>
      <c r="I57" s="1258"/>
      <c r="J57" s="1272" t="s">
        <v>998</v>
      </c>
      <c r="O57" s="286" t="s">
        <v>57</v>
      </c>
      <c r="P57" s="286" t="s">
        <v>151</v>
      </c>
      <c r="Q57" s="286" t="s">
        <v>43</v>
      </c>
      <c r="R57" s="1237"/>
      <c r="S57" s="286" t="s">
        <v>1047</v>
      </c>
      <c r="T57" s="286" t="s">
        <v>751</v>
      </c>
      <c r="U57" s="1238" t="s">
        <v>1078</v>
      </c>
      <c r="W57" s="1237" t="str">
        <f>'🔵クレーム'!C48</f>
        <v/>
      </c>
      <c r="X57" s="1237" t="str">
        <f>'🔵クレーム'!D48</f>
        <v/>
      </c>
      <c r="Y57" s="286" t="str">
        <f>'🔵クレーム'!I48</f>
        <v/>
      </c>
      <c r="Z57" s="1237" t="str">
        <f>'🔵クレーム'!J48</f>
        <v/>
      </c>
      <c r="AA57" s="1237" t="str">
        <f>'🔵クレーム'!K48</f>
        <v/>
      </c>
      <c r="AB57" s="1237" t="str">
        <f>'🔵クレーム'!L48</f>
        <v/>
      </c>
      <c r="AC57" s="1239" t="str">
        <f>'🔵クレーム'!N48</f>
        <v/>
      </c>
      <c r="AE57" s="24" t="str">
        <f>IFERROR(__xludf.DUMMYFUNCTION("""COMPUTED_VALUE"""),"タン")</f>
        <v>タン</v>
      </c>
    </row>
    <row r="58" hidden="1" outlineLevel="1">
      <c r="B58" s="1257"/>
      <c r="C58" s="1260"/>
      <c r="D58" s="1267"/>
      <c r="E58" s="1273"/>
      <c r="F58" s="1267"/>
      <c r="G58" s="1268"/>
      <c r="H58" s="1263"/>
      <c r="I58" s="1258"/>
      <c r="J58" s="1272" t="s">
        <v>998</v>
      </c>
      <c r="O58" s="286" t="s">
        <v>57</v>
      </c>
      <c r="P58" s="286" t="s">
        <v>170</v>
      </c>
      <c r="Q58" s="286" t="s">
        <v>40</v>
      </c>
      <c r="R58" s="1237"/>
      <c r="S58" s="286" t="s">
        <v>1033</v>
      </c>
      <c r="T58" s="286" t="s">
        <v>1079</v>
      </c>
      <c r="U58" s="1238" t="s">
        <v>1080</v>
      </c>
      <c r="W58" s="1237" t="str">
        <f>'🔵クレーム'!C49</f>
        <v/>
      </c>
      <c r="X58" s="1237" t="str">
        <f>'🔵クレーム'!D49</f>
        <v/>
      </c>
      <c r="Y58" s="286" t="str">
        <f>'🔵クレーム'!I49</f>
        <v/>
      </c>
      <c r="Z58" s="1237" t="str">
        <f>'🔵クレーム'!J49</f>
        <v/>
      </c>
      <c r="AA58" s="1237" t="str">
        <f>'🔵クレーム'!K49</f>
        <v/>
      </c>
      <c r="AB58" s="1237" t="str">
        <f>'🔵クレーム'!L49</f>
        <v/>
      </c>
      <c r="AC58" s="1239" t="str">
        <f>'🔵クレーム'!N49</f>
        <v/>
      </c>
      <c r="AE58" s="24" t="str">
        <f>IFERROR(__xludf.DUMMYFUNCTION("""COMPUTED_VALUE"""),"ティラク")</f>
        <v>ティラク</v>
      </c>
    </row>
    <row r="59" hidden="1" outlineLevel="1">
      <c r="B59" s="1257"/>
      <c r="C59" s="1260"/>
      <c r="D59" s="1267"/>
      <c r="E59" s="1273"/>
      <c r="F59" s="1267"/>
      <c r="G59" s="1268"/>
      <c r="H59" s="1263"/>
      <c r="I59" s="1258"/>
      <c r="J59" s="1272" t="s">
        <v>998</v>
      </c>
      <c r="O59" s="286" t="s">
        <v>59</v>
      </c>
      <c r="P59" s="286" t="s">
        <v>1037</v>
      </c>
      <c r="Q59" s="286" t="s">
        <v>42</v>
      </c>
      <c r="R59" s="1237"/>
      <c r="S59" s="286" t="s">
        <v>520</v>
      </c>
      <c r="T59" s="286" t="s">
        <v>103</v>
      </c>
      <c r="U59" s="1238" t="s">
        <v>1081</v>
      </c>
      <c r="W59" s="1237" t="str">
        <f>'🔵クレーム'!C50</f>
        <v/>
      </c>
      <c r="X59" s="1237" t="str">
        <f>'🔵クレーム'!D50</f>
        <v/>
      </c>
      <c r="Y59" s="286" t="str">
        <f>'🔵クレーム'!I50</f>
        <v/>
      </c>
      <c r="Z59" s="1237" t="str">
        <f>'🔵クレーム'!J50</f>
        <v/>
      </c>
      <c r="AA59" s="1237" t="str">
        <f>'🔵クレーム'!K50</f>
        <v/>
      </c>
      <c r="AB59" s="1237" t="str">
        <f>'🔵クレーム'!L50</f>
        <v/>
      </c>
      <c r="AC59" s="1239" t="str">
        <f>'🔵クレーム'!N50</f>
        <v/>
      </c>
      <c r="AE59" s="24" t="str">
        <f>IFERROR(__xludf.DUMMYFUNCTION("""COMPUTED_VALUE"""),"バニヤ")</f>
        <v>バニヤ</v>
      </c>
    </row>
    <row r="60" hidden="1" outlineLevel="1">
      <c r="B60" s="1257"/>
      <c r="C60" s="1260"/>
      <c r="D60" s="1267"/>
      <c r="E60" s="1273"/>
      <c r="F60" s="1267"/>
      <c r="G60" s="1268"/>
      <c r="H60" s="1263"/>
      <c r="I60" s="1258"/>
      <c r="J60" s="1272" t="s">
        <v>998</v>
      </c>
      <c r="O60" s="286" t="s">
        <v>59</v>
      </c>
      <c r="P60" s="286" t="s">
        <v>1037</v>
      </c>
      <c r="Q60" s="286" t="s">
        <v>43</v>
      </c>
      <c r="R60" s="1237"/>
      <c r="S60" s="286" t="s">
        <v>103</v>
      </c>
      <c r="T60" s="286" t="s">
        <v>478</v>
      </c>
      <c r="U60" s="1238" t="s">
        <v>1082</v>
      </c>
      <c r="W60" s="1237" t="str">
        <f>'🔵クレーム'!C51</f>
        <v/>
      </c>
      <c r="X60" s="1237" t="str">
        <f>'🔵クレーム'!D51</f>
        <v/>
      </c>
      <c r="Y60" s="286" t="str">
        <f>'🔵クレーム'!I51</f>
        <v/>
      </c>
      <c r="Z60" s="1237" t="str">
        <f>'🔵クレーム'!J51</f>
        <v/>
      </c>
      <c r="AA60" s="1237" t="str">
        <f>'🔵クレーム'!K51</f>
        <v/>
      </c>
      <c r="AB60" s="1237" t="str">
        <f>'🔵クレーム'!L51</f>
        <v/>
      </c>
      <c r="AC60" s="1239" t="str">
        <f>'🔵クレーム'!N51</f>
        <v/>
      </c>
      <c r="AE60" s="24" t="str">
        <f>IFERROR(__xludf.DUMMYFUNCTION("""COMPUTED_VALUE"""),"バンダリ")</f>
        <v>バンダリ</v>
      </c>
    </row>
    <row r="61" hidden="1" outlineLevel="1">
      <c r="B61" s="1257"/>
      <c r="C61" s="1260"/>
      <c r="D61" s="1267"/>
      <c r="E61" s="1273"/>
      <c r="F61" s="1267"/>
      <c r="G61" s="1268"/>
      <c r="H61" s="1263"/>
      <c r="I61" s="1258"/>
      <c r="J61" s="1272" t="s">
        <v>998</v>
      </c>
      <c r="O61" s="286" t="s">
        <v>59</v>
      </c>
      <c r="P61" s="286" t="s">
        <v>1083</v>
      </c>
      <c r="Q61" s="286" t="s">
        <v>42</v>
      </c>
      <c r="R61" s="1237"/>
      <c r="S61" s="286" t="s">
        <v>1033</v>
      </c>
      <c r="T61" s="286" t="s">
        <v>103</v>
      </c>
      <c r="U61" s="1238" t="s">
        <v>1084</v>
      </c>
      <c r="W61" s="1237" t="str">
        <f>'🔵クレーム'!C52</f>
        <v/>
      </c>
      <c r="X61" s="1237" t="str">
        <f>'🔵クレーム'!D52</f>
        <v/>
      </c>
      <c r="Y61" s="286" t="str">
        <f>'🔵クレーム'!I52</f>
        <v/>
      </c>
      <c r="Z61" s="1237" t="str">
        <f>'🔵クレーム'!J52</f>
        <v/>
      </c>
      <c r="AA61" s="1237" t="str">
        <f>'🔵クレーム'!K52</f>
        <v/>
      </c>
      <c r="AB61" s="1237" t="str">
        <f>'🔵クレーム'!L52</f>
        <v/>
      </c>
      <c r="AC61" s="1239" t="str">
        <f>'🔵クレーム'!N52</f>
        <v/>
      </c>
      <c r="AE61" s="24" t="str">
        <f>IFERROR(__xludf.DUMMYFUNCTION("""COMPUTED_VALUE"""),"ビケス")</f>
        <v>ビケス</v>
      </c>
    </row>
    <row r="62" hidden="1" outlineLevel="1">
      <c r="B62" s="1257"/>
      <c r="C62" s="1260"/>
      <c r="D62" s="1267"/>
      <c r="E62" s="1273"/>
      <c r="F62" s="1267"/>
      <c r="G62" s="1268"/>
      <c r="H62" s="1263"/>
      <c r="I62" s="1258"/>
      <c r="J62" s="1272" t="s">
        <v>998</v>
      </c>
      <c r="O62" s="286" t="s">
        <v>59</v>
      </c>
      <c r="P62" s="286" t="s">
        <v>1085</v>
      </c>
      <c r="Q62" s="286" t="s">
        <v>43</v>
      </c>
      <c r="R62" s="1237"/>
      <c r="S62" s="286" t="s">
        <v>1086</v>
      </c>
      <c r="T62" s="286" t="s">
        <v>611</v>
      </c>
      <c r="U62" s="1238" t="s">
        <v>1087</v>
      </c>
      <c r="W62" s="1237" t="str">
        <f>'🔵クレーム'!C53</f>
        <v/>
      </c>
      <c r="X62" s="1237" t="str">
        <f>'🔵クレーム'!D53</f>
        <v/>
      </c>
      <c r="Y62" s="286" t="str">
        <f>'🔵クレーム'!I53</f>
        <v/>
      </c>
      <c r="Z62" s="1237" t="str">
        <f>'🔵クレーム'!J53</f>
        <v/>
      </c>
      <c r="AA62" s="1237" t="str">
        <f>'🔵クレーム'!K53</f>
        <v/>
      </c>
      <c r="AB62" s="1237" t="str">
        <f>'🔵クレーム'!L53</f>
        <v/>
      </c>
      <c r="AC62" s="1239" t="str">
        <f>'🔵クレーム'!N53</f>
        <v/>
      </c>
      <c r="AE62" s="24" t="str">
        <f>IFERROR(__xludf.DUMMYFUNCTION("""COMPUTED_VALUE"""),"ブラトキ")</f>
        <v>ブラトキ</v>
      </c>
    </row>
    <row r="63" hidden="1" outlineLevel="1">
      <c r="B63" s="1257"/>
      <c r="C63" s="1260"/>
      <c r="D63" s="1267"/>
      <c r="E63" s="1273"/>
      <c r="F63" s="1267"/>
      <c r="G63" s="1268"/>
      <c r="H63" s="1263"/>
      <c r="I63" s="1258"/>
      <c r="J63" s="1272" t="s">
        <v>998</v>
      </c>
      <c r="O63" s="286" t="s">
        <v>59</v>
      </c>
      <c r="P63" s="286" t="s">
        <v>1088</v>
      </c>
      <c r="Q63" s="286" t="s">
        <v>40</v>
      </c>
      <c r="R63" s="1237"/>
      <c r="S63" s="286" t="s">
        <v>1086</v>
      </c>
      <c r="T63" s="286" t="s">
        <v>611</v>
      </c>
      <c r="U63" s="1238" t="s">
        <v>1089</v>
      </c>
      <c r="W63" s="1237" t="str">
        <f>'🔵クレーム'!C54</f>
        <v/>
      </c>
      <c r="X63" s="1237" t="str">
        <f>'🔵クレーム'!D54</f>
        <v/>
      </c>
      <c r="Y63" s="286" t="str">
        <f>'🔵クレーム'!I54</f>
        <v/>
      </c>
      <c r="Z63" s="1237" t="str">
        <f>'🔵クレーム'!J54</f>
        <v/>
      </c>
      <c r="AA63" s="1237" t="str">
        <f>'🔵クレーム'!K54</f>
        <v/>
      </c>
      <c r="AB63" s="1237" t="str">
        <f>'🔵クレーム'!L54</f>
        <v/>
      </c>
      <c r="AC63" s="1239" t="str">
        <f>'🔵クレーム'!N54</f>
        <v/>
      </c>
      <c r="AE63" s="24" t="str">
        <f>IFERROR(__xludf.DUMMYFUNCTION("""COMPUTED_VALUE"""),"プラミラ")</f>
        <v>プラミラ</v>
      </c>
    </row>
    <row r="64" hidden="1" outlineLevel="1">
      <c r="B64" s="1257"/>
      <c r="C64" s="1260"/>
      <c r="D64" s="1267"/>
      <c r="E64" s="1273"/>
      <c r="F64" s="1267"/>
      <c r="G64" s="1268"/>
      <c r="H64" s="1263"/>
      <c r="I64" s="1258"/>
      <c r="J64" s="1272" t="s">
        <v>998</v>
      </c>
      <c r="O64" s="286" t="s">
        <v>59</v>
      </c>
      <c r="P64" s="286" t="s">
        <v>1088</v>
      </c>
      <c r="Q64" s="286" t="s">
        <v>39</v>
      </c>
      <c r="R64" s="1237"/>
      <c r="S64" s="286" t="s">
        <v>171</v>
      </c>
      <c r="T64" s="286" t="s">
        <v>748</v>
      </c>
      <c r="U64" s="1238" t="s">
        <v>1090</v>
      </c>
      <c r="W64" s="1237" t="str">
        <f>'🔵クレーム'!C55</f>
        <v/>
      </c>
      <c r="X64" s="1237" t="str">
        <f>'🔵クレーム'!D55</f>
        <v/>
      </c>
      <c r="Y64" s="286" t="str">
        <f>'🔵クレーム'!I55</f>
        <v/>
      </c>
      <c r="Z64" s="1237" t="str">
        <f>'🔵クレーム'!J55</f>
        <v/>
      </c>
      <c r="AA64" s="1237" t="str">
        <f>'🔵クレーム'!K55</f>
        <v/>
      </c>
      <c r="AB64" s="1237" t="str">
        <f>'🔵クレーム'!L55</f>
        <v/>
      </c>
      <c r="AC64" s="1239" t="str">
        <f>'🔵クレーム'!N55</f>
        <v/>
      </c>
      <c r="AE64" s="24" t="str">
        <f>IFERROR(__xludf.DUMMYFUNCTION("""COMPUTED_VALUE"""),"メイ")</f>
        <v>メイ</v>
      </c>
    </row>
    <row r="65" hidden="1" outlineLevel="1">
      <c r="B65" s="1257"/>
      <c r="C65" s="1260"/>
      <c r="D65" s="1267"/>
      <c r="E65" s="1273"/>
      <c r="F65" s="1267"/>
      <c r="G65" s="1268"/>
      <c r="H65" s="1263"/>
      <c r="I65" s="1258"/>
      <c r="J65" s="1272" t="s">
        <v>998</v>
      </c>
      <c r="O65" s="286" t="s">
        <v>61</v>
      </c>
      <c r="P65" s="286" t="s">
        <v>1046</v>
      </c>
      <c r="Q65" s="286" t="s">
        <v>43</v>
      </c>
      <c r="R65" s="1237"/>
      <c r="S65" s="286" t="s">
        <v>1033</v>
      </c>
      <c r="T65" s="286" t="s">
        <v>748</v>
      </c>
      <c r="U65" s="1238" t="s">
        <v>1091</v>
      </c>
      <c r="W65" s="1237" t="str">
        <f>'🔵クレーム'!C56</f>
        <v/>
      </c>
      <c r="X65" s="1237" t="str">
        <f>'🔵クレーム'!D56</f>
        <v/>
      </c>
      <c r="Y65" s="286" t="str">
        <f>'🔵クレーム'!I56</f>
        <v/>
      </c>
      <c r="Z65" s="1237" t="str">
        <f>'🔵クレーム'!J56</f>
        <v/>
      </c>
      <c r="AA65" s="1237" t="str">
        <f>'🔵クレーム'!K56</f>
        <v/>
      </c>
      <c r="AB65" s="1237" t="str">
        <f>'🔵クレーム'!L56</f>
        <v/>
      </c>
      <c r="AC65" s="1239" t="str">
        <f>'🔵クレーム'!N56</f>
        <v/>
      </c>
      <c r="AE65" s="24" t="str">
        <f>IFERROR(__xludf.DUMMYFUNCTION("""COMPUTED_VALUE"""),"ルサル")</f>
        <v>ルサル</v>
      </c>
    </row>
    <row r="66" hidden="1" outlineLevel="1">
      <c r="B66" s="1257"/>
      <c r="C66" s="1260"/>
      <c r="D66" s="1267"/>
      <c r="E66" s="1273"/>
      <c r="F66" s="1267"/>
      <c r="G66" s="1268"/>
      <c r="H66" s="1263"/>
      <c r="I66" s="1258"/>
      <c r="J66" s="1272" t="s">
        <v>998</v>
      </c>
      <c r="O66" s="286" t="s">
        <v>61</v>
      </c>
      <c r="P66" s="286" t="s">
        <v>1046</v>
      </c>
      <c r="Q66" s="286" t="s">
        <v>40</v>
      </c>
      <c r="R66" s="1237"/>
      <c r="S66" s="286" t="s">
        <v>446</v>
      </c>
      <c r="T66" s="286" t="s">
        <v>749</v>
      </c>
      <c r="U66" s="1238" t="s">
        <v>1092</v>
      </c>
      <c r="W66" s="1237" t="str">
        <f>'🔵クレーム'!C57</f>
        <v/>
      </c>
      <c r="X66" s="1237" t="str">
        <f>'🔵クレーム'!D57</f>
        <v/>
      </c>
      <c r="Y66" s="286" t="str">
        <f>'🔵クレーム'!I57</f>
        <v/>
      </c>
      <c r="Z66" s="1237" t="str">
        <f>'🔵クレーム'!J57</f>
        <v/>
      </c>
      <c r="AA66" s="1237" t="str">
        <f>'🔵クレーム'!K57</f>
        <v/>
      </c>
      <c r="AB66" s="1237" t="str">
        <f>'🔵クレーム'!L57</f>
        <v/>
      </c>
      <c r="AC66" s="1239" t="str">
        <f>'🔵クレーム'!N57</f>
        <v/>
      </c>
      <c r="AE66" s="24" t="str">
        <f>IFERROR(__xludf.DUMMYFUNCTION("""COMPUTED_VALUE"""),"ルパ")</f>
        <v>ルパ</v>
      </c>
    </row>
    <row r="67" hidden="1" outlineLevel="1">
      <c r="B67" s="1257"/>
      <c r="C67" s="1260"/>
      <c r="D67" s="1267"/>
      <c r="E67" s="1273"/>
      <c r="F67" s="1267"/>
      <c r="G67" s="1268"/>
      <c r="H67" s="1263"/>
      <c r="I67" s="1258"/>
      <c r="J67" s="1272" t="s">
        <v>998</v>
      </c>
      <c r="O67" s="286" t="s">
        <v>61</v>
      </c>
      <c r="P67" s="286" t="s">
        <v>164</v>
      </c>
      <c r="Q67" s="286" t="s">
        <v>40</v>
      </c>
      <c r="R67" s="1237"/>
      <c r="S67" s="286" t="s">
        <v>450</v>
      </c>
      <c r="T67" s="286" t="s">
        <v>113</v>
      </c>
      <c r="U67" s="1238" t="s">
        <v>1093</v>
      </c>
      <c r="W67" s="1237" t="str">
        <f>'🔵クレーム'!C58</f>
        <v/>
      </c>
      <c r="X67" s="1237" t="str">
        <f>'🔵クレーム'!D58</f>
        <v/>
      </c>
      <c r="Y67" s="286" t="str">
        <f>'🔵クレーム'!I58</f>
        <v/>
      </c>
      <c r="Z67" s="1237" t="str">
        <f>'🔵クレーム'!J58</f>
        <v/>
      </c>
      <c r="AA67" s="1237" t="str">
        <f>'🔵クレーム'!K58</f>
        <v/>
      </c>
      <c r="AB67" s="1237" t="str">
        <f>'🔵クレーム'!L58</f>
        <v/>
      </c>
      <c r="AC67" s="1239" t="str">
        <f>'🔵クレーム'!N58</f>
        <v/>
      </c>
      <c r="AE67" s="24" t="str">
        <f>IFERROR(__xludf.DUMMYFUNCTION("""COMPUTED_VALUE"""),"宇佐見")</f>
        <v>宇佐見</v>
      </c>
    </row>
    <row r="68" hidden="1" outlineLevel="1">
      <c r="B68" s="1274"/>
      <c r="C68" s="1268"/>
      <c r="D68" s="1267"/>
      <c r="E68" s="1273"/>
      <c r="F68" s="1267"/>
      <c r="G68" s="1268"/>
      <c r="H68" s="1263"/>
      <c r="I68" s="1258"/>
      <c r="J68" s="1272" t="s">
        <v>998</v>
      </c>
      <c r="O68" s="286" t="s">
        <v>61</v>
      </c>
      <c r="P68" s="286" t="s">
        <v>1085</v>
      </c>
      <c r="Q68" s="286" t="s">
        <v>41</v>
      </c>
      <c r="R68" s="1237"/>
      <c r="S68" s="286" t="s">
        <v>171</v>
      </c>
      <c r="T68" s="286" t="s">
        <v>1094</v>
      </c>
      <c r="U68" s="1238" t="s">
        <v>1095</v>
      </c>
      <c r="W68" s="1237" t="str">
        <f>'🔵クレーム'!C59</f>
        <v/>
      </c>
      <c r="X68" s="1237" t="str">
        <f>'🔵クレーム'!D59</f>
        <v/>
      </c>
      <c r="Y68" s="286" t="str">
        <f>'🔵クレーム'!I59</f>
        <v/>
      </c>
      <c r="Z68" s="1237" t="str">
        <f>'🔵クレーム'!J59</f>
        <v/>
      </c>
      <c r="AA68" s="1237" t="str">
        <f>'🔵クレーム'!K59</f>
        <v/>
      </c>
      <c r="AB68" s="1237" t="str">
        <f>'🔵クレーム'!L59</f>
        <v/>
      </c>
      <c r="AC68" s="1239" t="str">
        <f>'🔵クレーム'!N59</f>
        <v/>
      </c>
      <c r="AE68" s="24" t="str">
        <f>IFERROR(__xludf.DUMMYFUNCTION("""COMPUTED_VALUE"""),"佐藤")</f>
        <v>佐藤</v>
      </c>
    </row>
    <row r="69" hidden="1" outlineLevel="1">
      <c r="B69" s="1257"/>
      <c r="C69" s="1260"/>
      <c r="D69" s="1261"/>
      <c r="E69" s="1262"/>
      <c r="F69" s="1267"/>
      <c r="G69" s="1268"/>
      <c r="H69" s="1263"/>
      <c r="I69" s="1258"/>
      <c r="J69" s="1272" t="s">
        <v>998</v>
      </c>
      <c r="O69" s="286" t="s">
        <v>61</v>
      </c>
      <c r="P69" s="286" t="s">
        <v>1096</v>
      </c>
      <c r="Q69" s="286" t="s">
        <v>40</v>
      </c>
      <c r="R69" s="1237"/>
      <c r="S69" s="286" t="s">
        <v>1033</v>
      </c>
      <c r="T69" s="286" t="s">
        <v>749</v>
      </c>
      <c r="U69" s="1238" t="s">
        <v>1097</v>
      </c>
      <c r="W69" s="1237" t="str">
        <f>'🔵クレーム'!C60</f>
        <v/>
      </c>
      <c r="X69" s="1237" t="str">
        <f>'🔵クレーム'!D60</f>
        <v/>
      </c>
      <c r="Y69" s="286" t="str">
        <f>'🔵クレーム'!I60</f>
        <v/>
      </c>
      <c r="Z69" s="1237" t="str">
        <f>'🔵クレーム'!J60</f>
        <v/>
      </c>
      <c r="AA69" s="1237" t="str">
        <f>'🔵クレーム'!K60</f>
        <v/>
      </c>
      <c r="AB69" s="1237" t="str">
        <f>'🔵クレーム'!L60</f>
        <v/>
      </c>
      <c r="AC69" s="1239" t="str">
        <f>'🔵クレーム'!N60</f>
        <v/>
      </c>
      <c r="AE69" s="24" t="str">
        <f>IFERROR(__xludf.DUMMYFUNCTION("""COMPUTED_VALUE"""),"笹田")</f>
        <v>笹田</v>
      </c>
    </row>
    <row r="70" hidden="1" outlineLevel="1">
      <c r="B70" s="1257"/>
      <c r="C70" s="1260"/>
      <c r="D70" s="1261"/>
      <c r="E70" s="1262"/>
      <c r="F70" s="1267"/>
      <c r="G70" s="1268"/>
      <c r="H70" s="1263"/>
      <c r="I70" s="1258"/>
      <c r="J70" s="1272" t="s">
        <v>998</v>
      </c>
      <c r="O70" s="286" t="s">
        <v>63</v>
      </c>
      <c r="P70" s="286" t="s">
        <v>109</v>
      </c>
      <c r="Q70" s="286" t="s">
        <v>28</v>
      </c>
      <c r="R70" s="1237"/>
      <c r="S70" s="286"/>
      <c r="T70" s="286"/>
      <c r="U70" s="1238" t="s">
        <v>1098</v>
      </c>
      <c r="W70" s="1237" t="str">
        <f>'🔵クレーム'!C61</f>
        <v/>
      </c>
      <c r="X70" s="1237" t="str">
        <f>'🔵クレーム'!D61</f>
        <v/>
      </c>
      <c r="Y70" s="286" t="str">
        <f>'🔵クレーム'!I61</f>
        <v/>
      </c>
      <c r="Z70" s="1237" t="str">
        <f>'🔵クレーム'!J61</f>
        <v/>
      </c>
      <c r="AA70" s="1237" t="str">
        <f>'🔵クレーム'!K61</f>
        <v/>
      </c>
      <c r="AB70" s="1237" t="str">
        <f>'🔵クレーム'!L61</f>
        <v/>
      </c>
      <c r="AC70" s="1239" t="str">
        <f>'🔵クレーム'!N61</f>
        <v/>
      </c>
      <c r="AE70" s="24" t="str">
        <f>IFERROR(__xludf.DUMMYFUNCTION("""COMPUTED_VALUE"""),"小沼")</f>
        <v>小沼</v>
      </c>
    </row>
    <row r="71" hidden="1" outlineLevel="1">
      <c r="B71" s="1257"/>
      <c r="C71" s="1260"/>
      <c r="D71" s="1261"/>
      <c r="E71" s="1262"/>
      <c r="F71" s="1267"/>
      <c r="G71" s="1268"/>
      <c r="H71" s="1263"/>
      <c r="I71" s="1258"/>
      <c r="J71" s="1272" t="s">
        <v>998</v>
      </c>
      <c r="O71" s="286" t="s">
        <v>63</v>
      </c>
      <c r="P71" s="286" t="s">
        <v>1099</v>
      </c>
      <c r="Q71" s="286" t="s">
        <v>43</v>
      </c>
      <c r="R71" s="1237"/>
      <c r="S71" s="286" t="s">
        <v>1033</v>
      </c>
      <c r="T71" s="286" t="s">
        <v>120</v>
      </c>
      <c r="U71" s="1238" t="s">
        <v>1100</v>
      </c>
      <c r="W71" s="1237" t="str">
        <f>'🔵クレーム'!C62</f>
        <v/>
      </c>
      <c r="X71" s="1237" t="str">
        <f>'🔵クレーム'!D62</f>
        <v/>
      </c>
      <c r="Y71" s="286" t="str">
        <f>'🔵クレーム'!I62</f>
        <v/>
      </c>
      <c r="Z71" s="1237" t="str">
        <f>'🔵クレーム'!J62</f>
        <v/>
      </c>
      <c r="AA71" s="1237" t="str">
        <f>'🔵クレーム'!K62</f>
        <v/>
      </c>
      <c r="AB71" s="1237" t="str">
        <f>'🔵クレーム'!L62</f>
        <v/>
      </c>
      <c r="AC71" s="1239" t="str">
        <f>'🔵クレーム'!N62</f>
        <v/>
      </c>
      <c r="AE71" s="24" t="str">
        <f>IFERROR(__xludf.DUMMYFUNCTION("""COMPUTED_VALUE"""),"小田原")</f>
        <v>小田原</v>
      </c>
    </row>
    <row r="72" hidden="1" outlineLevel="1">
      <c r="B72" s="1257"/>
      <c r="C72" s="1260"/>
      <c r="D72" s="1261"/>
      <c r="E72" s="1262"/>
      <c r="F72" s="1267"/>
      <c r="G72" s="1268"/>
      <c r="H72" s="1263"/>
      <c r="I72" s="1258"/>
      <c r="J72" s="1272" t="s">
        <v>998</v>
      </c>
      <c r="O72" s="286" t="s">
        <v>63</v>
      </c>
      <c r="P72" s="286" t="s">
        <v>1099</v>
      </c>
      <c r="Q72" s="286" t="s">
        <v>38</v>
      </c>
      <c r="R72" s="1237"/>
      <c r="S72" s="286" t="s">
        <v>450</v>
      </c>
      <c r="T72" s="286" t="s">
        <v>113</v>
      </c>
      <c r="U72" s="1238" t="s">
        <v>1101</v>
      </c>
      <c r="W72" s="1237" t="str">
        <f>'🔵クレーム'!C63</f>
        <v/>
      </c>
      <c r="X72" s="1237" t="str">
        <f>'🔵クレーム'!D63</f>
        <v/>
      </c>
      <c r="Y72" s="286" t="str">
        <f>'🔵クレーム'!I63</f>
        <v/>
      </c>
      <c r="Z72" s="1237" t="str">
        <f>'🔵クレーム'!J63</f>
        <v/>
      </c>
      <c r="AA72" s="1237" t="str">
        <f>'🔵クレーム'!K63</f>
        <v/>
      </c>
      <c r="AB72" s="1237" t="str">
        <f>'🔵クレーム'!L63</f>
        <v/>
      </c>
      <c r="AC72" s="1239" t="str">
        <f>'🔵クレーム'!N63</f>
        <v/>
      </c>
      <c r="AE72" s="24" t="str">
        <f>IFERROR(__xludf.DUMMYFUNCTION("""COMPUTED_VALUE"""),"小林")</f>
        <v>小林</v>
      </c>
    </row>
    <row r="73" hidden="1" outlineLevel="1">
      <c r="B73" s="1257"/>
      <c r="C73" s="1260"/>
      <c r="D73" s="1261"/>
      <c r="E73" s="1262"/>
      <c r="F73" s="1267"/>
      <c r="G73" s="1268"/>
      <c r="H73" s="1263"/>
      <c r="I73" s="1258"/>
      <c r="J73" s="1272" t="s">
        <v>998</v>
      </c>
      <c r="O73" s="286" t="s">
        <v>63</v>
      </c>
      <c r="P73" s="286" t="s">
        <v>1102</v>
      </c>
      <c r="Q73" s="286" t="s">
        <v>28</v>
      </c>
      <c r="R73" s="1237"/>
      <c r="S73" s="286" t="s">
        <v>1086</v>
      </c>
      <c r="T73" s="286" t="s">
        <v>748</v>
      </c>
      <c r="U73" s="1238" t="s">
        <v>1103</v>
      </c>
      <c r="W73" s="1237" t="str">
        <f>'🔵クレーム'!C64</f>
        <v/>
      </c>
      <c r="X73" s="1237" t="str">
        <f>'🔵クレーム'!D64</f>
        <v/>
      </c>
      <c r="Y73" s="286" t="str">
        <f>'🔵クレーム'!I64</f>
        <v/>
      </c>
      <c r="Z73" s="1237" t="str">
        <f>'🔵クレーム'!J64</f>
        <v/>
      </c>
      <c r="AA73" s="1237" t="str">
        <f>'🔵クレーム'!K64</f>
        <v/>
      </c>
      <c r="AB73" s="1237" t="str">
        <f>'🔵クレーム'!L64</f>
        <v/>
      </c>
      <c r="AC73" s="1239" t="str">
        <f>'🔵クレーム'!N64</f>
        <v/>
      </c>
      <c r="AE73" s="24" t="str">
        <f>IFERROR(__xludf.DUMMYFUNCTION("""COMPUTED_VALUE"""),"早川")</f>
        <v>早川</v>
      </c>
    </row>
    <row r="74" hidden="1" outlineLevel="1">
      <c r="B74" s="1257"/>
      <c r="C74" s="1260"/>
      <c r="D74" s="1261"/>
      <c r="E74" s="1262"/>
      <c r="F74" s="1267"/>
      <c r="G74" s="1268"/>
      <c r="H74" s="1263"/>
      <c r="I74" s="1258"/>
      <c r="J74" s="1272" t="s">
        <v>998</v>
      </c>
      <c r="O74" s="286" t="s">
        <v>63</v>
      </c>
      <c r="P74" s="286" t="s">
        <v>130</v>
      </c>
      <c r="Q74" s="286" t="s">
        <v>43</v>
      </c>
      <c r="R74" s="1237"/>
      <c r="S74" s="286" t="s">
        <v>103</v>
      </c>
      <c r="T74" s="286" t="s">
        <v>103</v>
      </c>
      <c r="U74" s="1238" t="s">
        <v>1104</v>
      </c>
      <c r="W74" s="1237" t="str">
        <f>'🔵クレーム'!C65</f>
        <v/>
      </c>
      <c r="X74" s="1237" t="str">
        <f>'🔵クレーム'!D65</f>
        <v/>
      </c>
      <c r="Y74" s="286" t="str">
        <f>'🔵クレーム'!I65</f>
        <v/>
      </c>
      <c r="Z74" s="1237" t="str">
        <f>'🔵クレーム'!J65</f>
        <v/>
      </c>
      <c r="AA74" s="1237" t="str">
        <f>'🔵クレーム'!K65</f>
        <v/>
      </c>
      <c r="AB74" s="1237" t="str">
        <f>'🔵クレーム'!L65</f>
        <v/>
      </c>
      <c r="AC74" s="1239" t="str">
        <f>'🔵クレーム'!N65</f>
        <v/>
      </c>
      <c r="AE74" s="24" t="str">
        <f>IFERROR(__xludf.DUMMYFUNCTION("""COMPUTED_VALUE"""),"大沼")</f>
        <v>大沼</v>
      </c>
    </row>
    <row r="75" hidden="1" outlineLevel="1">
      <c r="B75" s="1257"/>
      <c r="C75" s="1260"/>
      <c r="D75" s="1261"/>
      <c r="E75" s="1262"/>
      <c r="F75" s="1267"/>
      <c r="G75" s="1268"/>
      <c r="H75" s="1263"/>
      <c r="I75" s="1258"/>
      <c r="J75" s="1272" t="s">
        <v>998</v>
      </c>
      <c r="O75" s="286" t="s">
        <v>63</v>
      </c>
      <c r="P75" s="286" t="s">
        <v>1105</v>
      </c>
      <c r="Q75" s="286" t="s">
        <v>28</v>
      </c>
      <c r="R75" s="1237"/>
      <c r="S75" s="286" t="s">
        <v>103</v>
      </c>
      <c r="T75" s="286" t="s">
        <v>103</v>
      </c>
      <c r="U75" s="1238" t="s">
        <v>1106</v>
      </c>
      <c r="W75" s="1237" t="str">
        <f>'🔵クレーム'!C66</f>
        <v/>
      </c>
      <c r="X75" s="1237" t="str">
        <f>'🔵クレーム'!D66</f>
        <v/>
      </c>
      <c r="Y75" s="286" t="str">
        <f>'🔵クレーム'!I66</f>
        <v/>
      </c>
      <c r="Z75" s="1237" t="str">
        <f>'🔵クレーム'!J66</f>
        <v/>
      </c>
      <c r="AA75" s="1237" t="str">
        <f>'🔵クレーム'!K66</f>
        <v/>
      </c>
      <c r="AB75" s="1237" t="str">
        <f>'🔵クレーム'!L66</f>
        <v/>
      </c>
      <c r="AC75" s="1239" t="str">
        <f>'🔵クレーム'!N66</f>
        <v/>
      </c>
      <c r="AE75" s="24" t="str">
        <f>IFERROR(__xludf.DUMMYFUNCTION("""COMPUTED_VALUE"""),"中村")</f>
        <v>中村</v>
      </c>
    </row>
    <row r="76" hidden="1" outlineLevel="1">
      <c r="B76" s="1257"/>
      <c r="C76" s="1260"/>
      <c r="D76" s="1261"/>
      <c r="E76" s="1262"/>
      <c r="F76" s="1267"/>
      <c r="G76" s="1268"/>
      <c r="H76" s="1263"/>
      <c r="I76" s="1258"/>
      <c r="J76" s="1272" t="s">
        <v>998</v>
      </c>
      <c r="O76" s="286" t="s">
        <v>63</v>
      </c>
      <c r="P76" s="286" t="s">
        <v>176</v>
      </c>
      <c r="Q76" s="286" t="s">
        <v>42</v>
      </c>
      <c r="R76" s="1237"/>
      <c r="S76" s="286" t="s">
        <v>1086</v>
      </c>
      <c r="T76" s="286" t="s">
        <v>748</v>
      </c>
      <c r="U76" s="1238" t="s">
        <v>1107</v>
      </c>
      <c r="W76" s="1237" t="str">
        <f>'🔵クレーム'!C67</f>
        <v/>
      </c>
      <c r="X76" s="1237" t="str">
        <f>'🔵クレーム'!D67</f>
        <v/>
      </c>
      <c r="Y76" s="286" t="str">
        <f>'🔵クレーム'!I67</f>
        <v/>
      </c>
      <c r="Z76" s="1237" t="str">
        <f>'🔵クレーム'!J67</f>
        <v/>
      </c>
      <c r="AA76" s="1237" t="str">
        <f>'🔵クレーム'!K67</f>
        <v/>
      </c>
      <c r="AB76" s="1237" t="str">
        <f>'🔵クレーム'!L67</f>
        <v/>
      </c>
      <c r="AC76" s="1239" t="str">
        <f>'🔵クレーム'!N67</f>
        <v/>
      </c>
    </row>
    <row r="77" hidden="1" outlineLevel="1">
      <c r="B77" s="1257"/>
      <c r="C77" s="1260"/>
      <c r="D77" s="1267"/>
      <c r="E77" s="1273"/>
      <c r="F77" s="1267"/>
      <c r="G77" s="1268"/>
      <c r="H77" s="1263"/>
      <c r="I77" s="1258"/>
      <c r="J77" s="1272" t="s">
        <v>998</v>
      </c>
      <c r="O77" s="286" t="s">
        <v>63</v>
      </c>
      <c r="P77" s="286" t="s">
        <v>176</v>
      </c>
      <c r="Q77" s="286" t="s">
        <v>40</v>
      </c>
      <c r="R77" s="1237"/>
      <c r="S77" s="286" t="s">
        <v>450</v>
      </c>
      <c r="T77" s="286" t="s">
        <v>466</v>
      </c>
      <c r="U77" s="1238" t="s">
        <v>1093</v>
      </c>
      <c r="W77" s="1237" t="str">
        <f>'🔵クレーム'!C68</f>
        <v/>
      </c>
      <c r="X77" s="1237" t="str">
        <f>'🔵クレーム'!D68</f>
        <v/>
      </c>
      <c r="Y77" s="286" t="str">
        <f>'🔵クレーム'!I68</f>
        <v/>
      </c>
      <c r="Z77" s="1237" t="str">
        <f>'🔵クレーム'!J68</f>
        <v/>
      </c>
      <c r="AA77" s="1237" t="str">
        <f>'🔵クレーム'!K68</f>
        <v/>
      </c>
      <c r="AB77" s="1237" t="str">
        <f>'🔵クレーム'!L68</f>
        <v/>
      </c>
      <c r="AC77" s="1239" t="str">
        <f>'🔵クレーム'!N68</f>
        <v/>
      </c>
    </row>
    <row r="78" hidden="1" outlineLevel="1">
      <c r="B78" s="1257"/>
      <c r="C78" s="1260"/>
      <c r="D78" s="1267"/>
      <c r="E78" s="1273"/>
      <c r="F78" s="1267"/>
      <c r="G78" s="1268"/>
      <c r="H78" s="1263"/>
      <c r="I78" s="1258"/>
      <c r="J78" s="1272" t="s">
        <v>998</v>
      </c>
      <c r="O78" s="286" t="s">
        <v>63</v>
      </c>
      <c r="P78" s="286" t="s">
        <v>1108</v>
      </c>
      <c r="Q78" s="286" t="s">
        <v>41</v>
      </c>
      <c r="R78" s="1237"/>
      <c r="S78" s="286" t="s">
        <v>1033</v>
      </c>
      <c r="T78" s="286" t="s">
        <v>748</v>
      </c>
      <c r="U78" s="1238" t="s">
        <v>1109</v>
      </c>
      <c r="W78" s="1237" t="str">
        <f>'🔵クレーム'!C69</f>
        <v/>
      </c>
      <c r="X78" s="1237" t="str">
        <f>'🔵クレーム'!D69</f>
        <v/>
      </c>
      <c r="Y78" s="286" t="str">
        <f>'🔵クレーム'!I69</f>
        <v/>
      </c>
      <c r="Z78" s="1237" t="str">
        <f>'🔵クレーム'!J69</f>
        <v/>
      </c>
      <c r="AA78" s="1237" t="str">
        <f>'🔵クレーム'!K69</f>
        <v/>
      </c>
      <c r="AB78" s="1237" t="str">
        <f>'🔵クレーム'!L69</f>
        <v/>
      </c>
      <c r="AC78" s="1239" t="str">
        <f>'🔵クレーム'!N69</f>
        <v/>
      </c>
    </row>
    <row r="79" hidden="1" outlineLevel="1">
      <c r="B79" s="1257"/>
      <c r="C79" s="1260"/>
      <c r="D79" s="1267"/>
      <c r="E79" s="1273"/>
      <c r="F79" s="1267"/>
      <c r="G79" s="1268"/>
      <c r="H79" s="1263"/>
      <c r="I79" s="1258"/>
      <c r="J79" s="1272" t="s">
        <v>998</v>
      </c>
      <c r="O79" s="286" t="s">
        <v>63</v>
      </c>
      <c r="P79" s="286" t="s">
        <v>1108</v>
      </c>
      <c r="Q79" s="286" t="s">
        <v>43</v>
      </c>
      <c r="R79" s="1237"/>
      <c r="S79" s="286" t="s">
        <v>456</v>
      </c>
      <c r="T79" s="286" t="s">
        <v>135</v>
      </c>
      <c r="U79" s="1238" t="s">
        <v>1110</v>
      </c>
      <c r="W79" s="1237" t="str">
        <f>'🔵クレーム'!C70</f>
        <v/>
      </c>
      <c r="X79" s="1237" t="str">
        <f>'🔵クレーム'!D70</f>
        <v/>
      </c>
      <c r="Y79" s="286" t="str">
        <f>'🔵クレーム'!I70</f>
        <v/>
      </c>
      <c r="Z79" s="1237" t="str">
        <f>'🔵クレーム'!J70</f>
        <v/>
      </c>
      <c r="AA79" s="1237" t="str">
        <f>'🔵クレーム'!K70</f>
        <v/>
      </c>
      <c r="AB79" s="1237" t="str">
        <f>'🔵クレーム'!L70</f>
        <v/>
      </c>
      <c r="AC79" s="1239" t="str">
        <f>'🔵クレーム'!N70</f>
        <v/>
      </c>
    </row>
    <row r="80" hidden="1" outlineLevel="1">
      <c r="B80" s="1257"/>
      <c r="C80" s="1260"/>
      <c r="D80" s="1267"/>
      <c r="E80" s="1273"/>
      <c r="F80" s="1267"/>
      <c r="G80" s="1268"/>
      <c r="H80" s="1263"/>
      <c r="I80" s="1258"/>
      <c r="J80" s="1272" t="s">
        <v>998</v>
      </c>
      <c r="O80" s="286" t="s">
        <v>63</v>
      </c>
      <c r="P80" s="286" t="s">
        <v>1069</v>
      </c>
      <c r="Q80" s="286" t="s">
        <v>28</v>
      </c>
      <c r="R80" s="1237"/>
      <c r="S80" s="286" t="s">
        <v>1041</v>
      </c>
      <c r="T80" s="286" t="s">
        <v>1041</v>
      </c>
      <c r="U80" s="1238" t="s">
        <v>1111</v>
      </c>
      <c r="W80" s="1237" t="str">
        <f>'🔵クレーム'!C71</f>
        <v/>
      </c>
      <c r="X80" s="1237" t="str">
        <f>'🔵クレーム'!D71</f>
        <v/>
      </c>
      <c r="Y80" s="286" t="str">
        <f>'🔵クレーム'!I71</f>
        <v/>
      </c>
      <c r="Z80" s="1237" t="str">
        <f>'🔵クレーム'!J71</f>
        <v/>
      </c>
      <c r="AA80" s="1237" t="str">
        <f>'🔵クレーム'!K71</f>
        <v/>
      </c>
      <c r="AB80" s="1237" t="str">
        <f>'🔵クレーム'!L71</f>
        <v/>
      </c>
      <c r="AC80" s="1239" t="str">
        <f>'🔵クレーム'!N71</f>
        <v/>
      </c>
    </row>
    <row r="81" hidden="1" outlineLevel="1">
      <c r="B81" s="1257"/>
      <c r="C81" s="1260"/>
      <c r="D81" s="1267"/>
      <c r="E81" s="1273"/>
      <c r="F81" s="1267"/>
      <c r="G81" s="1268"/>
      <c r="H81" s="1263"/>
      <c r="I81" s="1258"/>
      <c r="J81" s="1272" t="s">
        <v>998</v>
      </c>
      <c r="O81" s="286" t="s">
        <v>65</v>
      </c>
      <c r="P81" s="286" t="s">
        <v>1112</v>
      </c>
      <c r="Q81" s="286" t="s">
        <v>30</v>
      </c>
      <c r="R81" s="1237"/>
      <c r="S81" s="286" t="s">
        <v>446</v>
      </c>
      <c r="T81" s="286" t="s">
        <v>468</v>
      </c>
      <c r="U81" s="1238" t="s">
        <v>1113</v>
      </c>
      <c r="W81" s="1237" t="str">
        <f>'🔵クレーム'!C72</f>
        <v/>
      </c>
      <c r="X81" s="1237" t="str">
        <f>'🔵クレーム'!D72</f>
        <v/>
      </c>
      <c r="Y81" s="286" t="str">
        <f>'🔵クレーム'!I72</f>
        <v/>
      </c>
      <c r="Z81" s="1237" t="str">
        <f>'🔵クレーム'!J72</f>
        <v/>
      </c>
      <c r="AA81" s="1237" t="str">
        <f>'🔵クレーム'!K72</f>
        <v/>
      </c>
      <c r="AB81" s="1237" t="str">
        <f>'🔵クレーム'!L72</f>
        <v/>
      </c>
      <c r="AC81" s="1239" t="str">
        <f>'🔵クレーム'!N72</f>
        <v/>
      </c>
    </row>
    <row r="82" hidden="1" outlineLevel="1">
      <c r="B82" s="1257"/>
      <c r="C82" s="1260"/>
      <c r="D82" s="1267"/>
      <c r="E82" s="1273"/>
      <c r="F82" s="1267"/>
      <c r="G82" s="1268"/>
      <c r="H82" s="1263"/>
      <c r="I82" s="1258"/>
      <c r="J82" s="1272" t="s">
        <v>998</v>
      </c>
      <c r="O82" s="286" t="s">
        <v>65</v>
      </c>
      <c r="P82" s="286" t="s">
        <v>98</v>
      </c>
      <c r="Q82" s="286" t="s">
        <v>39</v>
      </c>
      <c r="R82" s="1237"/>
      <c r="S82" s="286" t="s">
        <v>1086</v>
      </c>
      <c r="T82" s="286" t="s">
        <v>466</v>
      </c>
      <c r="U82" s="1238" t="s">
        <v>1114</v>
      </c>
      <c r="W82" s="1237" t="str">
        <f>'🔵クレーム'!C73</f>
        <v/>
      </c>
      <c r="X82" s="1237" t="str">
        <f>'🔵クレーム'!D73</f>
        <v/>
      </c>
      <c r="Y82" s="286" t="str">
        <f>'🔵クレーム'!I73</f>
        <v/>
      </c>
      <c r="Z82" s="1237" t="str">
        <f>'🔵クレーム'!J73</f>
        <v/>
      </c>
      <c r="AA82" s="1237" t="str">
        <f>'🔵クレーム'!K73</f>
        <v/>
      </c>
      <c r="AB82" s="1237" t="str">
        <f>'🔵クレーム'!L73</f>
        <v/>
      </c>
      <c r="AC82" s="1239" t="str">
        <f>'🔵クレーム'!N73</f>
        <v/>
      </c>
    </row>
    <row r="83" hidden="1" outlineLevel="1">
      <c r="B83" s="1257"/>
      <c r="C83" s="1260"/>
      <c r="D83" s="1267"/>
      <c r="E83" s="1273"/>
      <c r="F83" s="1267"/>
      <c r="G83" s="1268"/>
      <c r="H83" s="1263"/>
      <c r="I83" s="1258"/>
      <c r="J83" s="1272" t="s">
        <v>998</v>
      </c>
      <c r="O83" s="286" t="s">
        <v>65</v>
      </c>
      <c r="P83" s="286" t="s">
        <v>98</v>
      </c>
      <c r="Q83" s="286" t="s">
        <v>28</v>
      </c>
      <c r="R83" s="1237"/>
      <c r="S83" s="286" t="s">
        <v>1041</v>
      </c>
      <c r="T83" s="286" t="s">
        <v>1041</v>
      </c>
      <c r="U83" s="1238" t="s">
        <v>1115</v>
      </c>
      <c r="W83" s="1237" t="str">
        <f>'🔵クレーム'!C74</f>
        <v/>
      </c>
      <c r="X83" s="1237" t="str">
        <f>'🔵クレーム'!D74</f>
        <v/>
      </c>
      <c r="Y83" s="286" t="str">
        <f>'🔵クレーム'!I74</f>
        <v/>
      </c>
      <c r="Z83" s="1237" t="str">
        <f>'🔵クレーム'!J74</f>
        <v/>
      </c>
      <c r="AA83" s="1237" t="str">
        <f>'🔵クレーム'!K74</f>
        <v/>
      </c>
      <c r="AB83" s="1237" t="str">
        <f>'🔵クレーム'!L74</f>
        <v/>
      </c>
      <c r="AC83" s="1239" t="str">
        <f>'🔵クレーム'!N74</f>
        <v/>
      </c>
    </row>
    <row r="84" hidden="1" outlineLevel="1">
      <c r="B84" s="1257"/>
      <c r="C84" s="1260"/>
      <c r="D84" s="1267"/>
      <c r="E84" s="1273"/>
      <c r="F84" s="1267"/>
      <c r="G84" s="1268"/>
      <c r="H84" s="1263"/>
      <c r="I84" s="1258"/>
      <c r="J84" s="1272" t="s">
        <v>998</v>
      </c>
      <c r="O84" s="286" t="s">
        <v>65</v>
      </c>
      <c r="P84" s="286" t="s">
        <v>1083</v>
      </c>
      <c r="Q84" s="286" t="s">
        <v>40</v>
      </c>
      <c r="R84" s="1237"/>
      <c r="S84" s="286" t="s">
        <v>450</v>
      </c>
      <c r="T84" s="286" t="s">
        <v>135</v>
      </c>
      <c r="U84" s="1238" t="s">
        <v>1116</v>
      </c>
      <c r="W84" s="1237" t="str">
        <f>'🔵クレーム'!C75</f>
        <v/>
      </c>
      <c r="X84" s="1237" t="str">
        <f>'🔵クレーム'!D75</f>
        <v/>
      </c>
      <c r="Y84" s="286" t="str">
        <f>'🔵クレーム'!I75</f>
        <v/>
      </c>
      <c r="Z84" s="1237" t="str">
        <f>'🔵クレーム'!J75</f>
        <v/>
      </c>
      <c r="AA84" s="1237" t="str">
        <f>'🔵クレーム'!K75</f>
        <v/>
      </c>
      <c r="AB84" s="1237" t="str">
        <f>'🔵クレーム'!L75</f>
        <v/>
      </c>
      <c r="AC84" s="1239" t="str">
        <f>'🔵クレーム'!N75</f>
        <v/>
      </c>
    </row>
    <row r="85" hidden="1" outlineLevel="1">
      <c r="B85" s="1257"/>
      <c r="C85" s="1260"/>
      <c r="D85" s="1267"/>
      <c r="E85" s="1273"/>
      <c r="F85" s="1267"/>
      <c r="G85" s="1268"/>
      <c r="H85" s="1263"/>
      <c r="I85" s="1258"/>
      <c r="J85" s="1272" t="s">
        <v>998</v>
      </c>
      <c r="O85" s="286" t="s">
        <v>65</v>
      </c>
      <c r="P85" s="286" t="s">
        <v>1083</v>
      </c>
      <c r="Q85" s="286" t="s">
        <v>39</v>
      </c>
      <c r="R85" s="1237"/>
      <c r="S85" s="286" t="s">
        <v>449</v>
      </c>
      <c r="T85" s="286" t="s">
        <v>468</v>
      </c>
      <c r="U85" s="1238" t="s">
        <v>1117</v>
      </c>
      <c r="W85" s="1237" t="str">
        <f>'🔵クレーム'!C76</f>
        <v/>
      </c>
      <c r="X85" s="1237" t="str">
        <f>'🔵クレーム'!D76</f>
        <v/>
      </c>
      <c r="Y85" s="286" t="str">
        <f>'🔵クレーム'!I76</f>
        <v/>
      </c>
      <c r="Z85" s="1237" t="str">
        <f>'🔵クレーム'!J76</f>
        <v/>
      </c>
      <c r="AA85" s="1237" t="str">
        <f>'🔵クレーム'!K76</f>
        <v/>
      </c>
      <c r="AB85" s="1237" t="str">
        <f>'🔵クレーム'!L76</f>
        <v/>
      </c>
      <c r="AC85" s="1239" t="str">
        <f>'🔵クレーム'!N76</f>
        <v/>
      </c>
    </row>
    <row r="86" hidden="1" outlineLevel="1">
      <c r="B86" s="1257"/>
      <c r="C86" s="1260"/>
      <c r="D86" s="1267"/>
      <c r="E86" s="1273"/>
      <c r="F86" s="1267"/>
      <c r="G86" s="1268"/>
      <c r="H86" s="1263"/>
      <c r="I86" s="1258"/>
      <c r="J86" s="1272" t="s">
        <v>998</v>
      </c>
      <c r="O86" s="286" t="s">
        <v>65</v>
      </c>
      <c r="P86" s="286" t="s">
        <v>1043</v>
      </c>
      <c r="Q86" s="286" t="s">
        <v>30</v>
      </c>
      <c r="R86" s="1237"/>
      <c r="S86" s="286" t="s">
        <v>100</v>
      </c>
      <c r="T86" s="286" t="s">
        <v>611</v>
      </c>
      <c r="U86" s="1238" t="s">
        <v>1118</v>
      </c>
      <c r="W86" s="1237" t="str">
        <f>'🔵クレーム'!C77</f>
        <v/>
      </c>
      <c r="X86" s="1237" t="str">
        <f>'🔵クレーム'!D77</f>
        <v/>
      </c>
      <c r="Y86" s="286" t="str">
        <f>'🔵クレーム'!I77</f>
        <v/>
      </c>
      <c r="Z86" s="1237" t="str">
        <f>'🔵クレーム'!J77</f>
        <v/>
      </c>
      <c r="AA86" s="1237" t="str">
        <f>'🔵クレーム'!K77</f>
        <v/>
      </c>
      <c r="AB86" s="1237" t="str">
        <f>'🔵クレーム'!L77</f>
        <v/>
      </c>
      <c r="AC86" s="1239" t="str">
        <f>'🔵クレーム'!N77</f>
        <v/>
      </c>
    </row>
    <row r="87" hidden="1" outlineLevel="1">
      <c r="B87" s="1257"/>
      <c r="C87" s="1260"/>
      <c r="D87" s="1267"/>
      <c r="E87" s="1273"/>
      <c r="F87" s="1267"/>
      <c r="G87" s="1268"/>
      <c r="H87" s="1263"/>
      <c r="I87" s="1258"/>
      <c r="J87" s="1272" t="s">
        <v>998</v>
      </c>
      <c r="O87" s="286" t="s">
        <v>67</v>
      </c>
      <c r="P87" s="286" t="s">
        <v>1049</v>
      </c>
      <c r="Q87" s="286" t="s">
        <v>28</v>
      </c>
      <c r="R87" s="1237"/>
      <c r="S87" s="286"/>
      <c r="T87" s="286"/>
      <c r="U87" s="1238" t="s">
        <v>1119</v>
      </c>
      <c r="W87" s="1237" t="str">
        <f>'🔵クレーム'!C78</f>
        <v/>
      </c>
      <c r="X87" s="1237" t="str">
        <f>'🔵クレーム'!D78</f>
        <v/>
      </c>
      <c r="Y87" s="286" t="str">
        <f>'🔵クレーム'!I78</f>
        <v/>
      </c>
      <c r="Z87" s="1237" t="str">
        <f>'🔵クレーム'!J78</f>
        <v/>
      </c>
      <c r="AA87" s="1237" t="str">
        <f>'🔵クレーム'!K78</f>
        <v/>
      </c>
      <c r="AB87" s="1237" t="str">
        <f>'🔵クレーム'!L78</f>
        <v/>
      </c>
      <c r="AC87" s="1239" t="str">
        <f>'🔵クレーム'!N78</f>
        <v/>
      </c>
    </row>
    <row r="88" hidden="1" outlineLevel="1">
      <c r="B88" s="1257"/>
      <c r="C88" s="1260"/>
      <c r="D88" s="1267"/>
      <c r="E88" s="1273"/>
      <c r="F88" s="1267"/>
      <c r="G88" s="1268"/>
      <c r="H88" s="1263"/>
      <c r="I88" s="1258"/>
      <c r="J88" s="1272" t="s">
        <v>998</v>
      </c>
      <c r="O88" s="286" t="s">
        <v>67</v>
      </c>
      <c r="P88" s="286" t="s">
        <v>151</v>
      </c>
      <c r="Q88" s="286" t="s">
        <v>38</v>
      </c>
      <c r="R88" s="1237"/>
      <c r="S88" s="286" t="s">
        <v>450</v>
      </c>
      <c r="T88" s="286" t="s">
        <v>468</v>
      </c>
      <c r="U88" s="1238" t="s">
        <v>1120</v>
      </c>
      <c r="W88" s="1237" t="str">
        <f>'🔵クレーム'!C79</f>
        <v/>
      </c>
      <c r="X88" s="1237" t="str">
        <f>'🔵クレーム'!D79</f>
        <v/>
      </c>
      <c r="Y88" s="286" t="str">
        <f>'🔵クレーム'!I79</f>
        <v/>
      </c>
      <c r="Z88" s="1237" t="str">
        <f>'🔵クレーム'!J79</f>
        <v/>
      </c>
      <c r="AA88" s="1237" t="str">
        <f>'🔵クレーム'!K79</f>
        <v/>
      </c>
      <c r="AB88" s="1237" t="str">
        <f>'🔵クレーム'!L79</f>
        <v/>
      </c>
      <c r="AC88" s="1239" t="str">
        <f>'🔵クレーム'!N79</f>
        <v/>
      </c>
    </row>
    <row r="89" hidden="1" outlineLevel="1">
      <c r="B89" s="1257"/>
      <c r="C89" s="1260"/>
      <c r="D89" s="1267"/>
      <c r="E89" s="1273"/>
      <c r="F89" s="1267"/>
      <c r="G89" s="1268"/>
      <c r="H89" s="1263"/>
      <c r="I89" s="1258"/>
      <c r="J89" s="1272" t="s">
        <v>998</v>
      </c>
      <c r="O89" s="286" t="s">
        <v>67</v>
      </c>
      <c r="P89" s="286" t="s">
        <v>1072</v>
      </c>
      <c r="Q89" s="286" t="s">
        <v>40</v>
      </c>
      <c r="R89" s="1237"/>
      <c r="S89" s="286" t="s">
        <v>450</v>
      </c>
      <c r="T89" s="286" t="s">
        <v>113</v>
      </c>
      <c r="U89" s="1238" t="s">
        <v>1121</v>
      </c>
      <c r="W89" s="1237" t="str">
        <f>'🔵クレーム'!C80</f>
        <v/>
      </c>
      <c r="X89" s="1237" t="str">
        <f>'🔵クレーム'!D80</f>
        <v/>
      </c>
      <c r="Y89" s="286" t="str">
        <f>'🔵クレーム'!I80</f>
        <v/>
      </c>
      <c r="Z89" s="1237" t="str">
        <f>'🔵クレーム'!J80</f>
        <v/>
      </c>
      <c r="AA89" s="1237" t="str">
        <f>'🔵クレーム'!K80</f>
        <v/>
      </c>
      <c r="AB89" s="1237" t="str">
        <f>'🔵クレーム'!L80</f>
        <v/>
      </c>
      <c r="AC89" s="1239" t="str">
        <f>'🔵クレーム'!N80</f>
        <v/>
      </c>
    </row>
    <row r="90" hidden="1" outlineLevel="1">
      <c r="B90" s="1275"/>
      <c r="C90" s="1276"/>
      <c r="D90" s="1277"/>
      <c r="E90" s="1278"/>
      <c r="F90" s="1277"/>
      <c r="G90" s="1276"/>
      <c r="H90" s="1277"/>
      <c r="I90" s="1270"/>
      <c r="J90" s="1278" t="s">
        <v>998</v>
      </c>
      <c r="O90" s="286" t="s">
        <v>67</v>
      </c>
      <c r="P90" s="286" t="s">
        <v>1032</v>
      </c>
      <c r="Q90" s="286" t="s">
        <v>28</v>
      </c>
      <c r="R90" s="1237"/>
      <c r="S90" s="286"/>
      <c r="T90" s="286"/>
      <c r="U90" s="1238" t="s">
        <v>1122</v>
      </c>
      <c r="W90" s="1237" t="str">
        <f>'🔵クレーム'!C81</f>
        <v/>
      </c>
      <c r="X90" s="1237" t="str">
        <f>'🔵クレーム'!D81</f>
        <v/>
      </c>
      <c r="Y90" s="286" t="str">
        <f>'🔵クレーム'!I81</f>
        <v/>
      </c>
      <c r="Z90" s="1237" t="str">
        <f>'🔵クレーム'!J81</f>
        <v/>
      </c>
      <c r="AA90" s="1237" t="str">
        <f>'🔵クレーム'!K81</f>
        <v/>
      </c>
      <c r="AB90" s="1237" t="str">
        <f>'🔵クレーム'!L81</f>
        <v/>
      </c>
      <c r="AC90" s="1239" t="str">
        <f>'🔵クレーム'!N81</f>
        <v/>
      </c>
    </row>
    <row r="91">
      <c r="B91" s="17"/>
      <c r="C91" s="17"/>
      <c r="D91" s="17"/>
      <c r="E91" s="17"/>
      <c r="F91" s="17"/>
      <c r="G91" s="17"/>
      <c r="H91" s="17"/>
      <c r="I91" s="17"/>
      <c r="J91" s="17" t="s">
        <v>998</v>
      </c>
      <c r="K91" s="17"/>
      <c r="L91" s="17"/>
      <c r="M91" s="17"/>
      <c r="O91" s="286" t="s">
        <v>67</v>
      </c>
      <c r="P91" s="286" t="s">
        <v>1072</v>
      </c>
      <c r="Q91" s="286" t="s">
        <v>28</v>
      </c>
      <c r="R91" s="1237"/>
      <c r="S91" s="286"/>
      <c r="T91" s="286"/>
      <c r="U91" s="1238" t="s">
        <v>1123</v>
      </c>
      <c r="W91" s="1237" t="str">
        <f>'🔵クレーム'!C82</f>
        <v/>
      </c>
      <c r="X91" s="1237" t="str">
        <f>'🔵クレーム'!D82</f>
        <v/>
      </c>
      <c r="Y91" s="286" t="str">
        <f>'🔵クレーム'!I82</f>
        <v/>
      </c>
      <c r="Z91" s="1237" t="str">
        <f>'🔵クレーム'!J82</f>
        <v/>
      </c>
      <c r="AA91" s="1237" t="str">
        <f>'🔵クレーム'!K82</f>
        <v/>
      </c>
      <c r="AB91" s="1237" t="str">
        <f>'🔵クレーム'!L82</f>
        <v/>
      </c>
      <c r="AC91" s="1239" t="str">
        <f>'🔵クレーム'!N82</f>
        <v/>
      </c>
    </row>
    <row r="92">
      <c r="B92" s="1279" t="s">
        <v>1124</v>
      </c>
      <c r="C92" s="1161"/>
      <c r="D92" s="1161"/>
      <c r="E92" s="1161"/>
      <c r="F92" s="1161"/>
      <c r="G92" s="1161"/>
      <c r="H92" s="1161"/>
      <c r="I92" s="1161"/>
      <c r="J92" s="1161"/>
      <c r="K92" s="1161"/>
      <c r="L92" s="1161"/>
      <c r="M92" s="1162"/>
      <c r="O92" s="286" t="s">
        <v>67</v>
      </c>
      <c r="P92" s="286" t="s">
        <v>1105</v>
      </c>
      <c r="Q92" s="286" t="s">
        <v>28</v>
      </c>
      <c r="R92" s="1237"/>
      <c r="S92" s="286"/>
      <c r="T92" s="286"/>
      <c r="U92" s="1238" t="s">
        <v>1125</v>
      </c>
      <c r="W92" s="1237" t="str">
        <f>'🔵クレーム'!C83</f>
        <v/>
      </c>
      <c r="X92" s="1237" t="str">
        <f>'🔵クレーム'!D83</f>
        <v/>
      </c>
      <c r="Y92" s="286" t="str">
        <f>'🔵クレーム'!I83</f>
        <v/>
      </c>
      <c r="Z92" s="1237" t="str">
        <f>'🔵クレーム'!J83</f>
        <v/>
      </c>
      <c r="AA92" s="1237" t="str">
        <f>'🔵クレーム'!K83</f>
        <v/>
      </c>
      <c r="AB92" s="1237" t="str">
        <f>'🔵クレーム'!L83</f>
        <v/>
      </c>
      <c r="AC92" s="1239" t="str">
        <f>'🔵クレーム'!N83</f>
        <v/>
      </c>
    </row>
    <row r="93" ht="30.75" customHeight="1">
      <c r="B93" s="1280" t="s">
        <v>1126</v>
      </c>
      <c r="C93" s="250"/>
      <c r="D93" s="1281" t="s">
        <v>1031</v>
      </c>
      <c r="F93" s="6"/>
      <c r="M93" s="1232"/>
      <c r="O93" s="286" t="s">
        <v>67</v>
      </c>
      <c r="P93" s="286" t="s">
        <v>1102</v>
      </c>
      <c r="Q93" s="286" t="s">
        <v>38</v>
      </c>
      <c r="R93" s="1237"/>
      <c r="S93" s="286" t="s">
        <v>450</v>
      </c>
      <c r="T93" s="286" t="s">
        <v>468</v>
      </c>
      <c r="U93" s="1238" t="s">
        <v>1127</v>
      </c>
      <c r="W93" s="1237" t="str">
        <f>'🔵クレーム'!C84</f>
        <v/>
      </c>
      <c r="X93" s="1237" t="str">
        <f>'🔵クレーム'!D84</f>
        <v/>
      </c>
      <c r="Y93" s="286" t="str">
        <f>'🔵クレーム'!I84</f>
        <v/>
      </c>
      <c r="Z93" s="1237" t="str">
        <f>'🔵クレーム'!J84</f>
        <v/>
      </c>
      <c r="AA93" s="1237" t="str">
        <f>'🔵クレーム'!K84</f>
        <v/>
      </c>
      <c r="AB93" s="1237" t="str">
        <f>'🔵クレーム'!L84</f>
        <v/>
      </c>
      <c r="AC93" s="1239" t="str">
        <f>'🔵クレーム'!N84</f>
        <v/>
      </c>
    </row>
    <row r="94">
      <c r="B94" s="1282" t="s">
        <v>81</v>
      </c>
      <c r="C94" s="1283" t="s">
        <v>82</v>
      </c>
      <c r="D94" s="1283" t="s">
        <v>79</v>
      </c>
      <c r="E94" s="1284" t="s">
        <v>89</v>
      </c>
      <c r="F94" s="1284" t="s">
        <v>90</v>
      </c>
      <c r="G94" s="1285" t="s">
        <v>92</v>
      </c>
      <c r="H94" s="1286"/>
      <c r="I94" s="1286"/>
      <c r="J94" s="1286"/>
      <c r="K94" s="1286"/>
      <c r="L94" s="1286"/>
      <c r="M94" s="1287"/>
      <c r="O94" s="286" t="s">
        <v>67</v>
      </c>
      <c r="P94" s="286" t="s">
        <v>170</v>
      </c>
      <c r="Q94" s="286" t="s">
        <v>40</v>
      </c>
      <c r="R94" s="1237"/>
      <c r="S94" s="286" t="s">
        <v>450</v>
      </c>
      <c r="T94" s="286" t="s">
        <v>468</v>
      </c>
      <c r="U94" s="1238" t="s">
        <v>1128</v>
      </c>
      <c r="W94" s="1237" t="str">
        <f>'🔵クレーム'!C85</f>
        <v/>
      </c>
      <c r="X94" s="1237" t="str">
        <f>'🔵クレーム'!D85</f>
        <v/>
      </c>
      <c r="Y94" s="286" t="str">
        <f>'🔵クレーム'!I85</f>
        <v/>
      </c>
      <c r="Z94" s="1237" t="str">
        <f>'🔵クレーム'!J85</f>
        <v/>
      </c>
      <c r="AA94" s="1237" t="str">
        <f>'🔵クレーム'!K85</f>
        <v/>
      </c>
      <c r="AB94" s="1237" t="str">
        <f>'🔵クレーム'!L85</f>
        <v/>
      </c>
      <c r="AC94" s="1239" t="str">
        <f>'🔵クレーム'!N85</f>
        <v/>
      </c>
    </row>
    <row r="95">
      <c r="B95" s="128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9" t="str">
        <f>IFERROR(__xludf.DUMMYFUNCTION("""COMPUTED_VALUE"""),"9日")</f>
        <v>9日</v>
      </c>
      <c r="D95" s="1290" t="str">
        <f>IFERROR(__xludf.DUMMYFUNCTION("""COMPUTED_VALUE"""),"セット漏れ")</f>
        <v>セット漏れ</v>
      </c>
      <c r="E95" s="982" t="str">
        <f>IFERROR(__xludf.DUMMYFUNCTION("""COMPUTED_VALUE"""),"エリ")</f>
        <v>エリ</v>
      </c>
      <c r="F95" s="982" t="str">
        <f>IFERROR(__xludf.DUMMYFUNCTION("""COMPUTED_VALUE"""),"サンタ")</f>
        <v>サンタ</v>
      </c>
      <c r="G95" s="1291" t="str">
        <f>IFERROR(__xludf.DUMMYFUNCTION("""COMPUTED_VALUE"""),"パジャマの設置漏れ")</f>
        <v>パジャマの設置漏れ</v>
      </c>
      <c r="H95" s="232"/>
      <c r="I95" s="232"/>
      <c r="J95" s="232"/>
      <c r="K95" s="232"/>
      <c r="L95" s="232"/>
      <c r="M95" s="1292"/>
      <c r="O95" s="286" t="s">
        <v>67</v>
      </c>
      <c r="P95" s="286" t="s">
        <v>176</v>
      </c>
      <c r="Q95" s="286" t="s">
        <v>40</v>
      </c>
      <c r="R95" s="1237"/>
      <c r="S95" s="286" t="s">
        <v>1033</v>
      </c>
      <c r="T95" s="286" t="s">
        <v>748</v>
      </c>
      <c r="U95" s="1238" t="s">
        <v>1129</v>
      </c>
      <c r="W95" s="1237" t="str">
        <f>'🔵クレーム'!C86</f>
        <v/>
      </c>
      <c r="X95" s="1237" t="str">
        <f>'🔵クレーム'!D86</f>
        <v/>
      </c>
      <c r="Y95" s="286" t="str">
        <f>'🔵クレーム'!I86</f>
        <v/>
      </c>
      <c r="Z95" s="1237" t="str">
        <f>'🔵クレーム'!J86</f>
        <v/>
      </c>
      <c r="AA95" s="1237" t="str">
        <f>'🔵クレーム'!K86</f>
        <v/>
      </c>
      <c r="AB95" s="1237" t="str">
        <f>'🔵クレーム'!L86</f>
        <v/>
      </c>
      <c r="AC95" s="1239" t="str">
        <f>'🔵クレーム'!N86</f>
        <v/>
      </c>
    </row>
    <row r="96">
      <c r="B96" s="1293" t="str">
        <f>IFERROR(__xludf.DUMMYFUNCTION("""COMPUTED_VALUE"""),"2月")</f>
        <v>2月</v>
      </c>
      <c r="C96" s="982" t="str">
        <f>IFERROR(__xludf.DUMMYFUNCTION("""COMPUTED_VALUE"""),"15日")</f>
        <v>15日</v>
      </c>
      <c r="D96" s="982" t="str">
        <f>IFERROR(__xludf.DUMMYFUNCTION("""COMPUTED_VALUE"""),"残置")</f>
        <v>残置</v>
      </c>
      <c r="E96" s="982" t="str">
        <f>IFERROR(__xludf.DUMMYFUNCTION("""COMPUTED_VALUE"""),"佐藤")</f>
        <v>佐藤</v>
      </c>
      <c r="F96" s="982" t="str">
        <f>IFERROR(__xludf.DUMMYFUNCTION("""COMPUTED_VALUE"""),"中村")</f>
        <v>中村</v>
      </c>
      <c r="G96" s="1291" t="str">
        <f>IFERROR(__xludf.DUMMYFUNCTION("""COMPUTED_VALUE"""),"テーブルの下に前泊者のカードが落ちていた。")</f>
        <v>テーブルの下に前泊者のカードが落ちていた。</v>
      </c>
      <c r="H96" s="232"/>
      <c r="I96" s="232"/>
      <c r="J96" s="232"/>
      <c r="K96" s="232"/>
      <c r="L96" s="232"/>
      <c r="M96" s="1292"/>
      <c r="O96" s="286" t="s">
        <v>69</v>
      </c>
      <c r="P96" s="286" t="s">
        <v>1049</v>
      </c>
      <c r="Q96" s="286" t="s">
        <v>39</v>
      </c>
      <c r="R96" s="1237"/>
      <c r="S96" s="286" t="s">
        <v>1086</v>
      </c>
      <c r="T96" s="286" t="s">
        <v>466</v>
      </c>
      <c r="U96" s="1238" t="s">
        <v>1130</v>
      </c>
      <c r="W96" s="1237" t="str">
        <f>'🔵クレーム'!C87</f>
        <v/>
      </c>
      <c r="X96" s="1237" t="str">
        <f>'🔵クレーム'!D87</f>
        <v/>
      </c>
      <c r="Y96" s="286" t="str">
        <f>'🔵クレーム'!I87</f>
        <v/>
      </c>
      <c r="Z96" s="1237" t="str">
        <f>'🔵クレーム'!J87</f>
        <v/>
      </c>
      <c r="AA96" s="1237" t="str">
        <f>'🔵クレーム'!K87</f>
        <v/>
      </c>
      <c r="AB96" s="1237" t="str">
        <f>'🔵クレーム'!L87</f>
        <v/>
      </c>
      <c r="AC96" s="1239" t="str">
        <f>'🔵クレーム'!N87</f>
        <v/>
      </c>
    </row>
    <row r="97">
      <c r="B97" s="1293" t="str">
        <f>IFERROR(__xludf.DUMMYFUNCTION("""COMPUTED_VALUE"""),"2月")</f>
        <v>2月</v>
      </c>
      <c r="C97" s="982" t="str">
        <f>IFERROR(__xludf.DUMMYFUNCTION("""COMPUTED_VALUE"""),"15日")</f>
        <v>15日</v>
      </c>
      <c r="D97" s="982" t="str">
        <f>IFERROR(__xludf.DUMMYFUNCTION("""COMPUTED_VALUE"""),"セット漏れ")</f>
        <v>セット漏れ</v>
      </c>
      <c r="E97" s="982" t="str">
        <f>IFERROR(__xludf.DUMMYFUNCTION("""COMPUTED_VALUE"""),"佐藤")</f>
        <v>佐藤</v>
      </c>
      <c r="F97" s="982" t="str">
        <f>IFERROR(__xludf.DUMMYFUNCTION("""COMPUTED_VALUE"""),"早川")</f>
        <v>早川</v>
      </c>
      <c r="G97" s="1291" t="str">
        <f>IFERROR(__xludf.DUMMYFUNCTION("""COMPUTED_VALUE"""),"ボディーソープボトルごとなかった。")</f>
        <v>ボディーソープボトルごとなかった。</v>
      </c>
      <c r="H97" s="232"/>
      <c r="I97" s="232"/>
      <c r="J97" s="232"/>
      <c r="K97" s="232"/>
      <c r="L97" s="232"/>
      <c r="M97" s="1292"/>
      <c r="O97" s="286" t="s">
        <v>69</v>
      </c>
      <c r="P97" s="286" t="s">
        <v>140</v>
      </c>
      <c r="Q97" s="286" t="s">
        <v>40</v>
      </c>
      <c r="R97" s="1237"/>
      <c r="S97" s="286" t="s">
        <v>1010</v>
      </c>
      <c r="T97" s="286" t="s">
        <v>471</v>
      </c>
      <c r="U97" s="1238" t="s">
        <v>1131</v>
      </c>
      <c r="W97" s="1237" t="str">
        <f>'🔵クレーム'!C88</f>
        <v/>
      </c>
      <c r="X97" s="1237" t="str">
        <f>'🔵クレーム'!D88</f>
        <v/>
      </c>
      <c r="Y97" s="286" t="str">
        <f>'🔵クレーム'!I88</f>
        <v/>
      </c>
      <c r="Z97" s="1237" t="str">
        <f>'🔵クレーム'!J88</f>
        <v/>
      </c>
      <c r="AA97" s="1237" t="str">
        <f>'🔵クレーム'!K88</f>
        <v/>
      </c>
      <c r="AB97" s="1237" t="str">
        <f>'🔵クレーム'!L88</f>
        <v/>
      </c>
      <c r="AC97" s="1239" t="str">
        <f>'🔵クレーム'!N88</f>
        <v/>
      </c>
    </row>
    <row r="98">
      <c r="B98" s="1293" t="str">
        <f>IFERROR(__xludf.DUMMYFUNCTION("""COMPUTED_VALUE"""),"2月")</f>
        <v>2月</v>
      </c>
      <c r="C98" s="982" t="str">
        <f>IFERROR(__xludf.DUMMYFUNCTION("""COMPUTED_VALUE"""),"18日")</f>
        <v>18日</v>
      </c>
      <c r="D98" s="982" t="str">
        <f>IFERROR(__xludf.DUMMYFUNCTION("""COMPUTED_VALUE"""),"汚れ")</f>
        <v>汚れ</v>
      </c>
      <c r="E98" s="982" t="str">
        <f>IFERROR(__xludf.DUMMYFUNCTION("""COMPUTED_VALUE"""),"カン")</f>
        <v>カン</v>
      </c>
      <c r="F98" s="982" t="str">
        <f>IFERROR(__xludf.DUMMYFUNCTION("""COMPUTED_VALUE"""),"―")</f>
        <v>―</v>
      </c>
      <c r="G98" s="1291" t="str">
        <f>IFERROR(__xludf.DUMMYFUNCTION("""COMPUTED_VALUE"""),"エコー清掃でカップ類交換してなかった。")</f>
        <v>エコー清掃でカップ類交換してなかった。</v>
      </c>
      <c r="H98" s="232"/>
      <c r="I98" s="232"/>
      <c r="J98" s="232"/>
      <c r="K98" s="232"/>
      <c r="L98" s="232"/>
      <c r="M98" s="1292"/>
      <c r="O98" s="286" t="s">
        <v>69</v>
      </c>
      <c r="P98" s="286" t="s">
        <v>1088</v>
      </c>
      <c r="Q98" s="286"/>
      <c r="R98" s="1237"/>
      <c r="S98" s="286"/>
      <c r="T98" s="286"/>
      <c r="U98" s="1238" t="s">
        <v>1132</v>
      </c>
      <c r="W98" s="1237" t="str">
        <f>'🔵クレーム'!C89</f>
        <v/>
      </c>
      <c r="X98" s="1237" t="str">
        <f>'🔵クレーム'!D89</f>
        <v/>
      </c>
      <c r="Y98" s="286" t="str">
        <f>'🔵クレーム'!I89</f>
        <v/>
      </c>
      <c r="Z98" s="1237" t="str">
        <f>'🔵クレーム'!J89</f>
        <v/>
      </c>
      <c r="AA98" s="1237" t="str">
        <f>'🔵クレーム'!K89</f>
        <v/>
      </c>
      <c r="AB98" s="1237" t="str">
        <f>'🔵クレーム'!L89</f>
        <v/>
      </c>
      <c r="AC98" s="1239" t="str">
        <f>'🔵クレーム'!N89</f>
        <v/>
      </c>
    </row>
    <row r="99">
      <c r="B99" s="1293" t="str">
        <f>IFERROR(__xludf.DUMMYFUNCTION("""COMPUTED_VALUE"""),"2月")</f>
        <v>2月</v>
      </c>
      <c r="C99" s="982" t="str">
        <f>IFERROR(__xludf.DUMMYFUNCTION("""COMPUTED_VALUE"""),"22日")</f>
        <v>22日</v>
      </c>
      <c r="D99" s="982" t="str">
        <f>IFERROR(__xludf.DUMMYFUNCTION("""COMPUTED_VALUE"""),"セット漏れ")</f>
        <v>セット漏れ</v>
      </c>
      <c r="E99" s="982" t="str">
        <f>IFERROR(__xludf.DUMMYFUNCTION("""COMPUTED_VALUE"""),"エリ")</f>
        <v>エリ</v>
      </c>
      <c r="F99" s="982" t="str">
        <f>IFERROR(__xludf.DUMMYFUNCTION("""COMPUTED_VALUE"""),"シャミカ")</f>
        <v>シャミカ</v>
      </c>
      <c r="G99" s="1291" t="str">
        <f>IFERROR(__xludf.DUMMYFUNCTION("""COMPUTED_VALUE"""),"2名指示のお部屋が1名セットだった。")</f>
        <v>2名指示のお部屋が1名セットだった。</v>
      </c>
      <c r="H99" s="232"/>
      <c r="I99" s="232"/>
      <c r="J99" s="232"/>
      <c r="K99" s="232"/>
      <c r="L99" s="232"/>
      <c r="M99" s="1292"/>
      <c r="O99" s="286" t="s">
        <v>69</v>
      </c>
      <c r="P99" s="286" t="s">
        <v>1108</v>
      </c>
      <c r="Q99" s="286" t="s">
        <v>43</v>
      </c>
      <c r="R99" s="1237"/>
      <c r="S99" s="286" t="s">
        <v>171</v>
      </c>
      <c r="T99" s="286" t="s">
        <v>468</v>
      </c>
      <c r="U99" s="1238" t="s">
        <v>1133</v>
      </c>
      <c r="W99" s="1237" t="str">
        <f>'🔵クレーム'!C90</f>
        <v/>
      </c>
      <c r="X99" s="1237" t="str">
        <f>'🔵クレーム'!D90</f>
        <v/>
      </c>
      <c r="Y99" s="286" t="str">
        <f>'🔵クレーム'!I90</f>
        <v/>
      </c>
      <c r="Z99" s="1237" t="str">
        <f>'🔵クレーム'!J90</f>
        <v/>
      </c>
      <c r="AA99" s="1237" t="str">
        <f>'🔵クレーム'!K90</f>
        <v/>
      </c>
      <c r="AB99" s="1237" t="str">
        <f>'🔵クレーム'!L90</f>
        <v/>
      </c>
      <c r="AC99" s="1239" t="str">
        <f>'🔵クレーム'!N90</f>
        <v/>
      </c>
    </row>
    <row r="100">
      <c r="B100" s="1293" t="str">
        <f>IFERROR(__xludf.DUMMYFUNCTION("""COMPUTED_VALUE"""),"3月")</f>
        <v>3月</v>
      </c>
      <c r="C100" s="982" t="str">
        <f>IFERROR(__xludf.DUMMYFUNCTION("""COMPUTED_VALUE"""),"2日")</f>
        <v>2日</v>
      </c>
      <c r="D100" s="982" t="str">
        <f>IFERROR(__xludf.DUMMYFUNCTION("""COMPUTED_VALUE"""),"手配ミス")</f>
        <v>手配ミス</v>
      </c>
      <c r="E100" s="982" t="str">
        <f>IFERROR(__xludf.DUMMYFUNCTION("""COMPUTED_VALUE"""),"バニヤ")</f>
        <v>バニヤ</v>
      </c>
      <c r="F100" s="982" t="str">
        <f>IFERROR(__xludf.DUMMYFUNCTION("""COMPUTED_VALUE"""),"ー")</f>
        <v>ー</v>
      </c>
      <c r="G100" s="1291" t="str">
        <f>IFERROR(__xludf.DUMMYFUNCTION("""COMPUTED_VALUE"""),"通常清掃の時午前中ノックした")</f>
        <v>通常清掃の時午前中ノックした</v>
      </c>
      <c r="H100" s="232"/>
      <c r="I100" s="232"/>
      <c r="J100" s="232"/>
      <c r="K100" s="232"/>
      <c r="L100" s="232"/>
      <c r="M100" s="1292"/>
      <c r="O100" s="286" t="s">
        <v>69</v>
      </c>
      <c r="P100" s="286" t="s">
        <v>1096</v>
      </c>
      <c r="Q100" s="286" t="s">
        <v>38</v>
      </c>
      <c r="R100" s="1237"/>
      <c r="S100" s="286" t="s">
        <v>171</v>
      </c>
      <c r="T100" s="286" t="s">
        <v>468</v>
      </c>
      <c r="U100" s="1238" t="s">
        <v>1134</v>
      </c>
      <c r="W100" s="1237" t="str">
        <f>'🔵クレーム'!C91</f>
        <v/>
      </c>
      <c r="X100" s="1237" t="str">
        <f>'🔵クレーム'!D91</f>
        <v/>
      </c>
      <c r="Y100" s="286" t="str">
        <f>'🔵クレーム'!I91</f>
        <v/>
      </c>
      <c r="Z100" s="1237" t="str">
        <f>'🔵クレーム'!J91</f>
        <v/>
      </c>
      <c r="AA100" s="1237" t="str">
        <f>'🔵クレーム'!K91</f>
        <v/>
      </c>
      <c r="AB100" s="1237" t="str">
        <f>'🔵クレーム'!L91</f>
        <v/>
      </c>
      <c r="AC100" s="1239" t="str">
        <f>'🔵クレーム'!N91</f>
        <v/>
      </c>
    </row>
    <row r="101">
      <c r="B101" s="1293" t="str">
        <f>IFERROR(__xludf.DUMMYFUNCTION("""COMPUTED_VALUE"""),"3月")</f>
        <v>3月</v>
      </c>
      <c r="C101" s="982" t="str">
        <f>IFERROR(__xludf.DUMMYFUNCTION("""COMPUTED_VALUE"""),"5日")</f>
        <v>5日</v>
      </c>
      <c r="D101" s="982" t="str">
        <f>IFERROR(__xludf.DUMMYFUNCTION("""COMPUTED_VALUE"""),"その他")</f>
        <v>その他</v>
      </c>
      <c r="E101" s="982" t="str">
        <f>IFERROR(__xludf.DUMMYFUNCTION("""COMPUTED_VALUE"""),"小田原")</f>
        <v>小田原</v>
      </c>
      <c r="F101" s="982" t="str">
        <f>IFERROR(__xludf.DUMMYFUNCTION("""COMPUTED_VALUE"""),"早川")</f>
        <v>早川</v>
      </c>
      <c r="G101" s="1291" t="str">
        <f>IFERROR(__xludf.DUMMYFUNCTION("""COMPUTED_VALUE"""),"充電器破損")</f>
        <v>充電器破損</v>
      </c>
      <c r="H101" s="232"/>
      <c r="I101" s="232"/>
      <c r="J101" s="232"/>
      <c r="K101" s="232"/>
      <c r="L101" s="232"/>
      <c r="M101" s="1292"/>
      <c r="O101" s="286" t="s">
        <v>69</v>
      </c>
      <c r="P101" s="286" t="s">
        <v>1096</v>
      </c>
      <c r="Q101" s="286" t="s">
        <v>43</v>
      </c>
      <c r="R101" s="1237"/>
      <c r="S101" s="286" t="s">
        <v>450</v>
      </c>
      <c r="T101" s="286" t="s">
        <v>113</v>
      </c>
      <c r="U101" s="1238" t="s">
        <v>1135</v>
      </c>
      <c r="W101" s="1237" t="str">
        <f>'🔵クレーム'!C92</f>
        <v/>
      </c>
      <c r="X101" s="1237" t="str">
        <f>'🔵クレーム'!D92</f>
        <v/>
      </c>
      <c r="Y101" s="286" t="str">
        <f>'🔵クレーム'!I92</f>
        <v/>
      </c>
      <c r="Z101" s="1237" t="str">
        <f>'🔵クレーム'!J92</f>
        <v/>
      </c>
      <c r="AA101" s="1237" t="str">
        <f>'🔵クレーム'!K92</f>
        <v/>
      </c>
      <c r="AB101" s="1237" t="str">
        <f>'🔵クレーム'!L92</f>
        <v/>
      </c>
      <c r="AC101" s="1239" t="str">
        <f>'🔵クレーム'!N92</f>
        <v/>
      </c>
    </row>
    <row r="102">
      <c r="B102" s="1293" t="str">
        <f>IFERROR(__xludf.DUMMYFUNCTION("""COMPUTED_VALUE"""),"3月")</f>
        <v>3月</v>
      </c>
      <c r="C102" s="982" t="str">
        <f>IFERROR(__xludf.DUMMYFUNCTION("""COMPUTED_VALUE"""),"9日")</f>
        <v>9日</v>
      </c>
      <c r="D102" s="982" t="str">
        <f>IFERROR(__xludf.DUMMYFUNCTION("""COMPUTED_VALUE"""),"残置")</f>
        <v>残置</v>
      </c>
      <c r="E102" s="982" t="str">
        <f>IFERROR(__xludf.DUMMYFUNCTION("""COMPUTED_VALUE"""),"カン")</f>
        <v>カン</v>
      </c>
      <c r="F102" s="982" t="str">
        <f>IFERROR(__xludf.DUMMYFUNCTION("""COMPUTED_VALUE"""),"シタ")</f>
        <v>シタ</v>
      </c>
      <c r="G102" s="1291" t="str">
        <f>IFERROR(__xludf.DUMMYFUNCTION("""COMPUTED_VALUE"""),"前の連泊の靴下が部屋に落ちてありました。")</f>
        <v>前の連泊の靴下が部屋に落ちてありました。</v>
      </c>
      <c r="H102" s="232"/>
      <c r="I102" s="232"/>
      <c r="J102" s="232"/>
      <c r="K102" s="232"/>
      <c r="L102" s="232"/>
      <c r="M102" s="1292"/>
      <c r="O102" s="286" t="s">
        <v>71</v>
      </c>
      <c r="P102" s="286" t="s">
        <v>1112</v>
      </c>
      <c r="Q102" s="286" t="s">
        <v>39</v>
      </c>
      <c r="R102" s="1237"/>
      <c r="S102" s="286" t="s">
        <v>450</v>
      </c>
      <c r="T102" s="286" t="s">
        <v>470</v>
      </c>
      <c r="U102" s="1238" t="s">
        <v>1136</v>
      </c>
      <c r="W102" s="1237" t="str">
        <f>'🔵クレーム'!C93</f>
        <v/>
      </c>
      <c r="X102" s="1237" t="str">
        <f>'🔵クレーム'!D93</f>
        <v/>
      </c>
      <c r="Y102" s="286" t="str">
        <f>'🔵クレーム'!I93</f>
        <v/>
      </c>
      <c r="Z102" s="1237" t="str">
        <f>'🔵クレーム'!J93</f>
        <v/>
      </c>
      <c r="AA102" s="1237" t="str">
        <f>'🔵クレーム'!K93</f>
        <v/>
      </c>
      <c r="AB102" s="1237" t="str">
        <f>'🔵クレーム'!L93</f>
        <v/>
      </c>
      <c r="AC102" s="1239" t="str">
        <f>'🔵クレーム'!N93</f>
        <v/>
      </c>
    </row>
    <row r="103">
      <c r="B103" s="1293" t="str">
        <f>IFERROR(__xludf.DUMMYFUNCTION("""COMPUTED_VALUE"""),"3月")</f>
        <v>3月</v>
      </c>
      <c r="C103" s="982" t="str">
        <f>IFERROR(__xludf.DUMMYFUNCTION("""COMPUTED_VALUE"""),"9日")</f>
        <v>9日</v>
      </c>
      <c r="D103" s="982" t="str">
        <f>IFERROR(__xludf.DUMMYFUNCTION("""COMPUTED_VALUE"""),"セット漏れ")</f>
        <v>セット漏れ</v>
      </c>
      <c r="E103" s="982" t="str">
        <f>IFERROR(__xludf.DUMMYFUNCTION("""COMPUTED_VALUE"""),"カン")</f>
        <v>カン</v>
      </c>
      <c r="F103" s="982" t="str">
        <f>IFERROR(__xludf.DUMMYFUNCTION("""COMPUTED_VALUE"""),"ガヤン")</f>
        <v>ガヤン</v>
      </c>
      <c r="G103" s="1291" t="str">
        <f>IFERROR(__xludf.DUMMYFUNCTION("""COMPUTED_VALUE"""),"バスタオル設置漏れ")</f>
        <v>バスタオル設置漏れ</v>
      </c>
      <c r="H103" s="232"/>
      <c r="I103" s="232"/>
      <c r="J103" s="232"/>
      <c r="K103" s="232"/>
      <c r="L103" s="232"/>
      <c r="M103" s="1292"/>
      <c r="O103" s="286" t="s">
        <v>71</v>
      </c>
      <c r="P103" s="286" t="s">
        <v>1072</v>
      </c>
      <c r="Q103" s="286" t="s">
        <v>39</v>
      </c>
      <c r="R103" s="1237"/>
      <c r="S103" s="286" t="s">
        <v>1033</v>
      </c>
      <c r="T103" s="286" t="s">
        <v>749</v>
      </c>
      <c r="U103" s="1238" t="s">
        <v>1137</v>
      </c>
      <c r="W103" s="1237" t="str">
        <f>'🔵クレーム'!C94</f>
        <v/>
      </c>
      <c r="X103" s="1237" t="str">
        <f>'🔵クレーム'!D94</f>
        <v/>
      </c>
      <c r="Y103" s="286" t="str">
        <f>'🔵クレーム'!I94</f>
        <v/>
      </c>
      <c r="Z103" s="1237" t="str">
        <f>'🔵クレーム'!J94</f>
        <v/>
      </c>
      <c r="AA103" s="1237" t="str">
        <f>'🔵クレーム'!K94</f>
        <v/>
      </c>
      <c r="AB103" s="1237" t="str">
        <f>'🔵クレーム'!L94</f>
        <v/>
      </c>
      <c r="AC103" s="1239" t="str">
        <f>'🔵クレーム'!N94</f>
        <v/>
      </c>
    </row>
    <row r="104">
      <c r="B104" s="1293" t="str">
        <f>IFERROR(__xludf.DUMMYFUNCTION("""COMPUTED_VALUE"""),"3月")</f>
        <v>3月</v>
      </c>
      <c r="C104" s="982" t="str">
        <f>IFERROR(__xludf.DUMMYFUNCTION("""COMPUTED_VALUE"""),"9日")</f>
        <v>9日</v>
      </c>
      <c r="D104" s="982" t="str">
        <f>IFERROR(__xludf.DUMMYFUNCTION("""COMPUTED_VALUE"""),"セット漏れ")</f>
        <v>セット漏れ</v>
      </c>
      <c r="E104" s="982" t="str">
        <f>IFERROR(__xludf.DUMMYFUNCTION("""COMPUTED_VALUE"""),"バニヤ")</f>
        <v>バニヤ</v>
      </c>
      <c r="F104" s="982" t="str">
        <f>IFERROR(__xludf.DUMMYFUNCTION("""COMPUTED_VALUE"""),"ルサル")</f>
        <v>ルサル</v>
      </c>
      <c r="G104" s="1291" t="str">
        <f>IFERROR(__xludf.DUMMYFUNCTION("""COMPUTED_VALUE"""),"ソープボトルる3種はなし")</f>
        <v>ソープボトルる3種はなし</v>
      </c>
      <c r="H104" s="232"/>
      <c r="I104" s="232"/>
      <c r="J104" s="232"/>
      <c r="K104" s="232"/>
      <c r="L104" s="232"/>
      <c r="M104" s="1292"/>
      <c r="O104" s="286" t="s">
        <v>71</v>
      </c>
      <c r="P104" s="286" t="s">
        <v>1072</v>
      </c>
      <c r="Q104" s="286" t="s">
        <v>40</v>
      </c>
      <c r="R104" s="1237"/>
      <c r="S104" s="286" t="s">
        <v>1033</v>
      </c>
      <c r="T104" s="286" t="s">
        <v>468</v>
      </c>
      <c r="U104" s="1238" t="s">
        <v>1138</v>
      </c>
      <c r="W104" s="1237" t="str">
        <f>'🔵クレーム'!C95</f>
        <v/>
      </c>
      <c r="X104" s="1237" t="str">
        <f>'🔵クレーム'!D95</f>
        <v/>
      </c>
      <c r="Y104" s="286" t="str">
        <f>'🔵クレーム'!I95</f>
        <v/>
      </c>
      <c r="Z104" s="1237" t="str">
        <f>'🔵クレーム'!J95</f>
        <v/>
      </c>
      <c r="AA104" s="1237" t="str">
        <f>'🔵クレーム'!K95</f>
        <v/>
      </c>
      <c r="AB104" s="1237" t="str">
        <f>'🔵クレーム'!L95</f>
        <v/>
      </c>
      <c r="AC104" s="1239" t="str">
        <f>'🔵クレーム'!N95</f>
        <v/>
      </c>
    </row>
    <row r="105">
      <c r="B105" s="1293" t="str">
        <f>IFERROR(__xludf.DUMMYFUNCTION("""COMPUTED_VALUE"""),"3月")</f>
        <v>3月</v>
      </c>
      <c r="C105" s="982" t="str">
        <f>IFERROR(__xludf.DUMMYFUNCTION("""COMPUTED_VALUE"""),"9日")</f>
        <v>9日</v>
      </c>
      <c r="D105" s="982" t="str">
        <f>IFERROR(__xludf.DUMMYFUNCTION("""COMPUTED_VALUE"""),"残置")</f>
        <v>残置</v>
      </c>
      <c r="E105" s="982" t="str">
        <f>IFERROR(__xludf.DUMMYFUNCTION("""COMPUTED_VALUE"""),"バニヤ")</f>
        <v>バニヤ</v>
      </c>
      <c r="F105" s="982" t="str">
        <f>IFERROR(__xludf.DUMMYFUNCTION("""COMPUTED_VALUE"""),"ルサル")</f>
        <v>ルサル</v>
      </c>
      <c r="G105" s="1291" t="str">
        <f>IFERROR(__xludf.DUMMYFUNCTION("""COMPUTED_VALUE"""),"バスルームのドアにかけていた前のお客様のブレスレットがあります。")</f>
        <v>バスルームのドアにかけていた前のお客様のブレスレットがあります。</v>
      </c>
      <c r="H105" s="232"/>
      <c r="I105" s="232"/>
      <c r="J105" s="232"/>
      <c r="K105" s="232"/>
      <c r="L105" s="232"/>
      <c r="M105" s="1292"/>
      <c r="O105" s="286" t="s">
        <v>71</v>
      </c>
      <c r="P105" s="286" t="s">
        <v>151</v>
      </c>
      <c r="Q105" s="286" t="s">
        <v>30</v>
      </c>
      <c r="R105" s="1237"/>
      <c r="S105" s="286" t="s">
        <v>1033</v>
      </c>
      <c r="T105" s="286"/>
      <c r="U105" s="1238" t="s">
        <v>1139</v>
      </c>
      <c r="W105" s="1237" t="str">
        <f>'🔵クレーム'!C96</f>
        <v/>
      </c>
      <c r="X105" s="1237" t="str">
        <f>'🔵クレーム'!D96</f>
        <v/>
      </c>
      <c r="Y105" s="286" t="str">
        <f>'🔵クレーム'!I96</f>
        <v/>
      </c>
      <c r="Z105" s="1237" t="str">
        <f>'🔵クレーム'!J96</f>
        <v/>
      </c>
      <c r="AA105" s="1237" t="str">
        <f>'🔵クレーム'!K96</f>
        <v/>
      </c>
      <c r="AB105" s="1237" t="str">
        <f>'🔵クレーム'!L96</f>
        <v/>
      </c>
      <c r="AC105" s="1239" t="str">
        <f>'🔵クレーム'!N96</f>
        <v/>
      </c>
    </row>
    <row r="106">
      <c r="B106" s="1293" t="str">
        <f>IFERROR(__xludf.DUMMYFUNCTION("""COMPUTED_VALUE"""),"3月")</f>
        <v>3月</v>
      </c>
      <c r="C106" s="982" t="str">
        <f>IFERROR(__xludf.DUMMYFUNCTION("""COMPUTED_VALUE"""),"21日")</f>
        <v>21日</v>
      </c>
      <c r="D106" s="982" t="str">
        <f>IFERROR(__xludf.DUMMYFUNCTION("""COMPUTED_VALUE"""),"手配ミス")</f>
        <v>手配ミス</v>
      </c>
      <c r="E106" s="982" t="str">
        <f>IFERROR(__xludf.DUMMYFUNCTION("""COMPUTED_VALUE"""),"佐藤")</f>
        <v>佐藤</v>
      </c>
      <c r="F106" s="982" t="str">
        <f>IFERROR(__xludf.DUMMYFUNCTION("""COMPUTED_VALUE"""),"`大沼")</f>
        <v>`大沼</v>
      </c>
      <c r="G106" s="1291" t="str">
        <f>IFERROR(__xludf.DUMMYFUNCTION("""COMPUTED_VALUE"""),"906清掃不要との指示でしたが、清掃入ってしまった。")</f>
        <v>906清掃不要との指示でしたが、清掃入ってしまった。</v>
      </c>
      <c r="H106" s="232"/>
      <c r="I106" s="232"/>
      <c r="J106" s="232"/>
      <c r="K106" s="232"/>
      <c r="L106" s="232"/>
      <c r="M106" s="1292"/>
      <c r="O106" s="286" t="s">
        <v>71</v>
      </c>
      <c r="P106" s="286" t="s">
        <v>1099</v>
      </c>
      <c r="Q106" s="286" t="s">
        <v>28</v>
      </c>
      <c r="R106" s="1237"/>
      <c r="S106" s="286"/>
      <c r="T106" s="286"/>
      <c r="U106" s="1238" t="s">
        <v>1140</v>
      </c>
      <c r="W106" s="1237" t="str">
        <f>'🔵クレーム'!C97</f>
        <v/>
      </c>
      <c r="X106" s="1237" t="str">
        <f>'🔵クレーム'!D97</f>
        <v/>
      </c>
      <c r="Y106" s="286" t="str">
        <f>'🔵クレーム'!I97</f>
        <v/>
      </c>
      <c r="Z106" s="1237" t="str">
        <f>'🔵クレーム'!J97</f>
        <v/>
      </c>
      <c r="AA106" s="1237" t="str">
        <f>'🔵クレーム'!K97</f>
        <v/>
      </c>
      <c r="AB106" s="1237" t="str">
        <f>'🔵クレーム'!L97</f>
        <v/>
      </c>
      <c r="AC106" s="1239" t="str">
        <f>'🔵クレーム'!N97</f>
        <v/>
      </c>
    </row>
    <row r="107">
      <c r="B107" s="1293" t="str">
        <f>IFERROR(__xludf.DUMMYFUNCTION("""COMPUTED_VALUE"""),"3月")</f>
        <v>3月</v>
      </c>
      <c r="C107" s="982" t="str">
        <f>IFERROR(__xludf.DUMMYFUNCTION("""COMPUTED_VALUE"""),"23日")</f>
        <v>23日</v>
      </c>
      <c r="D107" s="982" t="str">
        <f>IFERROR(__xludf.DUMMYFUNCTION("""COMPUTED_VALUE"""),"手配ミス")</f>
        <v>手配ミス</v>
      </c>
      <c r="E107" s="982" t="str">
        <f>IFERROR(__xludf.DUMMYFUNCTION("""COMPUTED_VALUE"""),"小沼")</f>
        <v>小沼</v>
      </c>
      <c r="F107" s="982" t="str">
        <f>IFERROR(__xludf.DUMMYFUNCTION("""COMPUTED_VALUE"""),"－")</f>
        <v>－</v>
      </c>
      <c r="G107" s="1291" t="str">
        <f>IFERROR(__xludf.DUMMYFUNCTION("""COMPUTED_VALUE"""),"1001号室2名指示でしたが、1名セットでした。")</f>
        <v>1001号室2名指示でしたが、1名セットでした。</v>
      </c>
      <c r="H107" s="232"/>
      <c r="I107" s="232"/>
      <c r="J107" s="232"/>
      <c r="K107" s="232"/>
      <c r="L107" s="232"/>
      <c r="M107" s="1292"/>
      <c r="O107" s="286" t="s">
        <v>71</v>
      </c>
      <c r="P107" s="286" t="s">
        <v>1043</v>
      </c>
      <c r="Q107" s="286" t="s">
        <v>43</v>
      </c>
      <c r="R107" s="1237"/>
      <c r="S107" s="286" t="s">
        <v>1033</v>
      </c>
      <c r="T107" s="286" t="s">
        <v>466</v>
      </c>
      <c r="U107" s="1238" t="s">
        <v>1141</v>
      </c>
      <c r="W107" s="1237" t="str">
        <f>'🔵クレーム'!C98</f>
        <v/>
      </c>
      <c r="X107" s="1237" t="str">
        <f>'🔵クレーム'!D98</f>
        <v/>
      </c>
      <c r="Y107" s="286" t="str">
        <f>'🔵クレーム'!I98</f>
        <v/>
      </c>
      <c r="Z107" s="1237" t="str">
        <f>'🔵クレーム'!J98</f>
        <v/>
      </c>
      <c r="AA107" s="1237" t="str">
        <f>'🔵クレーム'!K98</f>
        <v/>
      </c>
      <c r="AB107" s="1237" t="str">
        <f>'🔵クレーム'!L98</f>
        <v/>
      </c>
      <c r="AC107" s="1239" t="str">
        <f>'🔵クレーム'!N98</f>
        <v/>
      </c>
    </row>
    <row r="108">
      <c r="B108" s="1293" t="str">
        <f>IFERROR(__xludf.DUMMYFUNCTION("""COMPUTED_VALUE"""),"3月")</f>
        <v>3月</v>
      </c>
      <c r="C108" s="982" t="str">
        <f>IFERROR(__xludf.DUMMYFUNCTION("""COMPUTED_VALUE"""),"30日")</f>
        <v>30日</v>
      </c>
      <c r="D108" s="982" t="str">
        <f>IFERROR(__xludf.DUMMYFUNCTION("""COMPUTED_VALUE"""),"その他")</f>
        <v>その他</v>
      </c>
      <c r="E108" s="982" t="str">
        <f>IFERROR(__xludf.DUMMYFUNCTION("""COMPUTED_VALUE"""),"－")</f>
        <v>－</v>
      </c>
      <c r="F108" s="982" t="str">
        <f>IFERROR(__xludf.DUMMYFUNCTION("""COMPUTED_VALUE"""),"大沼")</f>
        <v>大沼</v>
      </c>
      <c r="G108" s="1291" t="str">
        <f>IFERROR(__xludf.DUMMYFUNCTION("""COMPUTED_VALUE"""),"忘れ物に書いてた部屋番号間違え")</f>
        <v>忘れ物に書いてた部屋番号間違え</v>
      </c>
      <c r="H108" s="232"/>
      <c r="I108" s="232"/>
      <c r="J108" s="232"/>
      <c r="K108" s="232"/>
      <c r="L108" s="232"/>
      <c r="M108" s="1292"/>
      <c r="O108" s="286" t="s">
        <v>71</v>
      </c>
      <c r="P108" s="286" t="s">
        <v>1083</v>
      </c>
      <c r="Q108" s="286" t="s">
        <v>40</v>
      </c>
      <c r="R108" s="1237"/>
      <c r="S108" s="286" t="s">
        <v>1010</v>
      </c>
      <c r="T108" s="286" t="s">
        <v>748</v>
      </c>
      <c r="U108" s="1238" t="s">
        <v>1142</v>
      </c>
      <c r="W108" s="1237" t="str">
        <f>'🔵クレーム'!C99</f>
        <v/>
      </c>
      <c r="X108" s="1237" t="str">
        <f>'🔵クレーム'!D99</f>
        <v/>
      </c>
      <c r="Y108" s="286" t="str">
        <f>'🔵クレーム'!I99</f>
        <v/>
      </c>
      <c r="Z108" s="1237" t="str">
        <f>'🔵クレーム'!J99</f>
        <v/>
      </c>
      <c r="AA108" s="1237" t="str">
        <f>'🔵クレーム'!K99</f>
        <v/>
      </c>
      <c r="AB108" s="1237" t="str">
        <f>'🔵クレーム'!L99</f>
        <v/>
      </c>
      <c r="AC108" s="1239" t="str">
        <f>'🔵クレーム'!N99</f>
        <v/>
      </c>
    </row>
    <row r="109">
      <c r="B109" s="1293" t="str">
        <f>IFERROR(__xludf.DUMMYFUNCTION("""COMPUTED_VALUE"""),"3月")</f>
        <v>3月</v>
      </c>
      <c r="C109" s="982" t="str">
        <f>IFERROR(__xludf.DUMMYFUNCTION("""COMPUTED_VALUE"""),"30日")</f>
        <v>30日</v>
      </c>
      <c r="D109" s="982" t="str">
        <f>IFERROR(__xludf.DUMMYFUNCTION("""COMPUTED_VALUE"""),"手配ミス")</f>
        <v>手配ミス</v>
      </c>
      <c r="E109" s="982" t="str">
        <f>IFERROR(__xludf.DUMMYFUNCTION("""COMPUTED_VALUE"""),"小沼")</f>
        <v>小沼</v>
      </c>
      <c r="F109" s="982" t="str">
        <f>IFERROR(__xludf.DUMMYFUNCTION("""COMPUTED_VALUE"""),"シタ")</f>
        <v>シタ</v>
      </c>
      <c r="G109" s="1291" t="str">
        <f>IFERROR(__xludf.DUMMYFUNCTION("""COMPUTED_VALUE"""),"アウトになる前アウト清掃しました。お客様のもの忘れ物にしました。")</f>
        <v>アウトになる前アウト清掃しました。お客様のもの忘れ物にしました。</v>
      </c>
      <c r="H109" s="232"/>
      <c r="I109" s="232"/>
      <c r="J109" s="232"/>
      <c r="K109" s="232"/>
      <c r="L109" s="232"/>
      <c r="M109" s="1292"/>
      <c r="O109" s="286" t="s">
        <v>71</v>
      </c>
      <c r="P109" s="286" t="s">
        <v>157</v>
      </c>
      <c r="Q109" s="286" t="s">
        <v>28</v>
      </c>
      <c r="R109" s="1237"/>
      <c r="S109" s="286" t="s">
        <v>446</v>
      </c>
      <c r="T109" s="286" t="s">
        <v>748</v>
      </c>
      <c r="U109" s="1238" t="s">
        <v>1143</v>
      </c>
      <c r="W109" s="1237" t="str">
        <f>'🔵クレーム'!C100</f>
        <v/>
      </c>
      <c r="X109" s="1237" t="str">
        <f>'🔵クレーム'!D100</f>
        <v/>
      </c>
      <c r="Y109" s="286" t="str">
        <f>'🔵クレーム'!I100</f>
        <v/>
      </c>
      <c r="Z109" s="1237" t="str">
        <f>'🔵クレーム'!J100</f>
        <v/>
      </c>
      <c r="AA109" s="1237" t="str">
        <f>'🔵クレーム'!K100</f>
        <v/>
      </c>
      <c r="AB109" s="1237" t="str">
        <f>'🔵クレーム'!L100</f>
        <v/>
      </c>
      <c r="AC109" s="1239" t="str">
        <f>'🔵クレーム'!N100</f>
        <v/>
      </c>
    </row>
    <row r="110">
      <c r="B110" s="1293" t="str">
        <f>IFERROR(__xludf.DUMMYFUNCTION("""COMPUTED_VALUE"""),"3月")</f>
        <v>3月</v>
      </c>
      <c r="C110" s="982" t="str">
        <f>IFERROR(__xludf.DUMMYFUNCTION("""COMPUTED_VALUE"""),"31日")</f>
        <v>31日</v>
      </c>
      <c r="D110" s="982" t="str">
        <f>IFERROR(__xludf.DUMMYFUNCTION("""COMPUTED_VALUE"""),"清掃不備")</f>
        <v>清掃不備</v>
      </c>
      <c r="E110" s="982" t="str">
        <f>IFERROR(__xludf.DUMMYFUNCTION("""COMPUTED_VALUE"""),"カン")</f>
        <v>カン</v>
      </c>
      <c r="F110" s="982" t="str">
        <f>IFERROR(__xludf.DUMMYFUNCTION("""COMPUTED_VALUE"""),"ゴマ")</f>
        <v>ゴマ</v>
      </c>
      <c r="G110" s="1291" t="str">
        <f>IFERROR(__xludf.DUMMYFUNCTION("""COMPUTED_VALUE"""),"409 冷蔵庫の電源が抜けていた。")</f>
        <v>409 冷蔵庫の電源が抜けていた。</v>
      </c>
      <c r="H110" s="232"/>
      <c r="I110" s="232"/>
      <c r="J110" s="232"/>
      <c r="K110" s="232"/>
      <c r="L110" s="232"/>
      <c r="M110" s="1292"/>
      <c r="O110" s="286" t="s">
        <v>71</v>
      </c>
      <c r="P110" s="286" t="s">
        <v>1144</v>
      </c>
      <c r="Q110" s="286" t="s">
        <v>30</v>
      </c>
      <c r="R110" s="1237"/>
      <c r="S110" s="286"/>
      <c r="T110" s="286" t="s">
        <v>112</v>
      </c>
      <c r="U110" s="1238" t="s">
        <v>1145</v>
      </c>
      <c r="W110" s="1237" t="str">
        <f>'🔵クレーム'!C101</f>
        <v/>
      </c>
      <c r="X110" s="1237" t="str">
        <f>'🔵クレーム'!D101</f>
        <v/>
      </c>
      <c r="Y110" s="286" t="str">
        <f>'🔵クレーム'!I101</f>
        <v/>
      </c>
      <c r="Z110" s="1237" t="str">
        <f>'🔵クレーム'!J101</f>
        <v/>
      </c>
      <c r="AA110" s="1237" t="str">
        <f>'🔵クレーム'!K101</f>
        <v/>
      </c>
      <c r="AB110" s="1237" t="str">
        <f>'🔵クレーム'!L101</f>
        <v/>
      </c>
      <c r="AC110" s="1239" t="str">
        <f>'🔵クレーム'!N101</f>
        <v/>
      </c>
    </row>
    <row r="111">
      <c r="B111" s="1293" t="str">
        <f>IFERROR(__xludf.DUMMYFUNCTION("""COMPUTED_VALUE"""),"4月")</f>
        <v>4月</v>
      </c>
      <c r="C111" s="982" t="str">
        <f>IFERROR(__xludf.DUMMYFUNCTION("""COMPUTED_VALUE"""),"12日")</f>
        <v>12日</v>
      </c>
      <c r="D111" s="982" t="str">
        <f>IFERROR(__xludf.DUMMYFUNCTION("""COMPUTED_VALUE"""),"セット漏れ")</f>
        <v>セット漏れ</v>
      </c>
      <c r="E111" s="982" t="str">
        <f>IFERROR(__xludf.DUMMYFUNCTION("""COMPUTED_VALUE"""),"エリ")</f>
        <v>エリ</v>
      </c>
      <c r="F111" s="982" t="str">
        <f>IFERROR(__xludf.DUMMYFUNCTION("""COMPUTED_VALUE"""),"大沼")</f>
        <v>大沼</v>
      </c>
      <c r="G111" s="1291" t="str">
        <f>IFERROR(__xludf.DUMMYFUNCTION("""COMPUTED_VALUE"""),"204号室2名セットでパジャマが1枚しかなかった。")</f>
        <v>204号室2名セットでパジャマが1枚しかなかった。</v>
      </c>
      <c r="H111" s="232"/>
      <c r="I111" s="232"/>
      <c r="J111" s="232"/>
      <c r="K111" s="232"/>
      <c r="L111" s="232"/>
      <c r="M111" s="1292"/>
      <c r="O111" s="286" t="s">
        <v>73</v>
      </c>
      <c r="P111" s="286" t="s">
        <v>1112</v>
      </c>
      <c r="Q111" s="286" t="s">
        <v>40</v>
      </c>
      <c r="R111" s="1237"/>
      <c r="S111" s="286" t="s">
        <v>1010</v>
      </c>
      <c r="T111" s="286"/>
      <c r="U111" s="1238" t="s">
        <v>1146</v>
      </c>
      <c r="W111" s="1237" t="str">
        <f>'🔵クレーム'!C102</f>
        <v/>
      </c>
      <c r="X111" s="1237" t="str">
        <f>'🔵クレーム'!D102</f>
        <v/>
      </c>
      <c r="Y111" s="286" t="str">
        <f>'🔵クレーム'!I102</f>
        <v/>
      </c>
      <c r="Z111" s="1237" t="str">
        <f>'🔵クレーム'!J102</f>
        <v/>
      </c>
      <c r="AA111" s="1237" t="str">
        <f>'🔵クレーム'!K102</f>
        <v/>
      </c>
      <c r="AB111" s="1237" t="str">
        <f>'🔵クレーム'!L102</f>
        <v/>
      </c>
      <c r="AC111" s="1239" t="str">
        <f>'🔵クレーム'!N102</f>
        <v/>
      </c>
    </row>
    <row r="112">
      <c r="B112" s="1293" t="str">
        <f>IFERROR(__xludf.DUMMYFUNCTION("""COMPUTED_VALUE"""),"4月")</f>
        <v>4月</v>
      </c>
      <c r="C112" s="982" t="str">
        <f>IFERROR(__xludf.DUMMYFUNCTION("""COMPUTED_VALUE"""),"15日")</f>
        <v>15日</v>
      </c>
      <c r="D112" s="982" t="str">
        <f>IFERROR(__xludf.DUMMYFUNCTION("""COMPUTED_VALUE"""),"手配ミス")</f>
        <v>手配ミス</v>
      </c>
      <c r="E112" s="982" t="str">
        <f>IFERROR(__xludf.DUMMYFUNCTION("""COMPUTED_VALUE"""),"小沼")</f>
        <v>小沼</v>
      </c>
      <c r="F112" s="982" t="str">
        <f>IFERROR(__xludf.DUMMYFUNCTION("""COMPUTED_VALUE"""),"ゴマ")</f>
        <v>ゴマ</v>
      </c>
      <c r="G112" s="1291" t="str">
        <f>IFERROR(__xludf.DUMMYFUNCTION("""COMPUTED_VALUE"""),"702番清掃不要だったんですが、通常清掃入りました。")</f>
        <v>702番清掃不要だったんですが、通常清掃入りました。</v>
      </c>
      <c r="H112" s="232"/>
      <c r="I112" s="232"/>
      <c r="J112" s="232"/>
      <c r="K112" s="232"/>
      <c r="L112" s="232"/>
      <c r="M112" s="1292"/>
      <c r="O112" s="286" t="s">
        <v>73</v>
      </c>
      <c r="P112" s="286" t="s">
        <v>98</v>
      </c>
      <c r="Q112" s="286" t="s">
        <v>30</v>
      </c>
      <c r="R112" s="1237"/>
      <c r="S112" s="286" t="s">
        <v>449</v>
      </c>
      <c r="T112" s="286" t="s">
        <v>466</v>
      </c>
      <c r="U112" s="1238" t="s">
        <v>1147</v>
      </c>
      <c r="W112" s="1237" t="str">
        <f>'🔵クレーム'!C103</f>
        <v/>
      </c>
      <c r="X112" s="1237" t="str">
        <f>'🔵クレーム'!D103</f>
        <v/>
      </c>
      <c r="Y112" s="286" t="str">
        <f>'🔵クレーム'!I103</f>
        <v/>
      </c>
      <c r="Z112" s="1237" t="str">
        <f>'🔵クレーム'!J103</f>
        <v/>
      </c>
      <c r="AA112" s="1237" t="str">
        <f>'🔵クレーム'!K103</f>
        <v/>
      </c>
      <c r="AB112" s="1237" t="str">
        <f>'🔵クレーム'!L103</f>
        <v/>
      </c>
      <c r="AC112" s="1239" t="str">
        <f>'🔵クレーム'!N103</f>
        <v/>
      </c>
    </row>
    <row r="113">
      <c r="B113" s="1294" t="str">
        <f>IFERROR(__xludf.DUMMYFUNCTION("""COMPUTED_VALUE"""),"5月")</f>
        <v>5月</v>
      </c>
      <c r="C113" s="982" t="str">
        <f>IFERROR(__xludf.DUMMYFUNCTION("""COMPUTED_VALUE"""),"5日")</f>
        <v>5日</v>
      </c>
      <c r="D113" s="982" t="str">
        <f>IFERROR(__xludf.DUMMYFUNCTION("""COMPUTED_VALUE"""),"残置")</f>
        <v>残置</v>
      </c>
      <c r="E113" s="982" t="str">
        <f>IFERROR(__xludf.DUMMYFUNCTION("""COMPUTED_VALUE"""),"カン")</f>
        <v>カン</v>
      </c>
      <c r="F113" s="982" t="str">
        <f>IFERROR(__xludf.DUMMYFUNCTION("""COMPUTED_VALUE"""),"カマラ")</f>
        <v>カマラ</v>
      </c>
      <c r="G113" s="1291" t="str">
        <f>IFERROR(__xludf.DUMMYFUNCTION("""COMPUTED_VALUE"""),"512窓にペットボトルがありました。")</f>
        <v>512窓にペットボトルがありました。</v>
      </c>
      <c r="H113" s="232"/>
      <c r="I113" s="232"/>
      <c r="J113" s="232"/>
      <c r="K113" s="232"/>
      <c r="L113" s="232"/>
      <c r="M113" s="1292"/>
      <c r="O113" s="286" t="s">
        <v>73</v>
      </c>
      <c r="P113" s="286" t="s">
        <v>1037</v>
      </c>
      <c r="Q113" s="286" t="s">
        <v>40</v>
      </c>
      <c r="R113" s="1237"/>
      <c r="S113" s="286" t="s">
        <v>171</v>
      </c>
      <c r="T113" s="286" t="s">
        <v>103</v>
      </c>
      <c r="U113" s="1238" t="s">
        <v>1148</v>
      </c>
      <c r="W113" s="1237" t="str">
        <f>'🔵クレーム'!C104</f>
        <v/>
      </c>
      <c r="X113" s="1237" t="str">
        <f>'🔵クレーム'!D104</f>
        <v/>
      </c>
      <c r="Y113" s="286" t="str">
        <f>'🔵クレーム'!I104</f>
        <v/>
      </c>
      <c r="Z113" s="1237" t="str">
        <f>'🔵クレーム'!J104</f>
        <v/>
      </c>
      <c r="AA113" s="1237" t="str">
        <f>'🔵クレーム'!K104</f>
        <v/>
      </c>
      <c r="AB113" s="1237" t="str">
        <f>'🔵クレーム'!L104</f>
        <v/>
      </c>
      <c r="AC113" s="1239" t="str">
        <f>'🔵クレーム'!N104</f>
        <v/>
      </c>
    </row>
    <row r="114">
      <c r="B114" s="1294" t="str">
        <f>IFERROR(__xludf.DUMMYFUNCTION("""COMPUTED_VALUE"""),"5月")</f>
        <v>5月</v>
      </c>
      <c r="C114" s="982" t="str">
        <f>IFERROR(__xludf.DUMMYFUNCTION("""COMPUTED_VALUE"""),"5日")</f>
        <v>5日</v>
      </c>
      <c r="D114" s="982" t="str">
        <f>IFERROR(__xludf.DUMMYFUNCTION("""COMPUTED_VALUE"""),"髪の毛")</f>
        <v>髪の毛</v>
      </c>
      <c r="E114" s="982" t="str">
        <f>IFERROR(__xludf.DUMMYFUNCTION("""COMPUTED_VALUE"""),"小沼")</f>
        <v>小沼</v>
      </c>
      <c r="F114" s="982" t="str">
        <f>IFERROR(__xludf.DUMMYFUNCTION("""COMPUTED_VALUE"""),"サビタ")</f>
        <v>サビタ</v>
      </c>
      <c r="G114" s="1291" t="str">
        <f>IFERROR(__xludf.DUMMYFUNCTION("""COMPUTED_VALUE"""),"1216デュへカバーの中に髪の毛ありました。")</f>
        <v>1216デュへカバーの中に髪の毛ありました。</v>
      </c>
      <c r="H114" s="232"/>
      <c r="I114" s="232"/>
      <c r="J114" s="232"/>
      <c r="K114" s="232"/>
      <c r="L114" s="232"/>
      <c r="M114" s="1292"/>
      <c r="O114" s="286" t="s">
        <v>73</v>
      </c>
      <c r="P114" s="286" t="s">
        <v>1102</v>
      </c>
      <c r="Q114" s="286" t="s">
        <v>43</v>
      </c>
      <c r="R114" s="1237"/>
      <c r="S114" s="286" t="s">
        <v>450</v>
      </c>
      <c r="T114" s="286" t="s">
        <v>468</v>
      </c>
      <c r="U114" s="1238" t="s">
        <v>1149</v>
      </c>
      <c r="W114" s="1237" t="str">
        <f>'🔵クレーム'!C105</f>
        <v/>
      </c>
      <c r="X114" s="1237" t="str">
        <f>'🔵クレーム'!D105</f>
        <v/>
      </c>
      <c r="Y114" s="286" t="str">
        <f>'🔵クレーム'!I105</f>
        <v/>
      </c>
      <c r="Z114" s="1237" t="str">
        <f>'🔵クレーム'!J105</f>
        <v/>
      </c>
      <c r="AA114" s="1237" t="str">
        <f>'🔵クレーム'!K105</f>
        <v/>
      </c>
      <c r="AB114" s="1237" t="str">
        <f>'🔵クレーム'!L105</f>
        <v/>
      </c>
      <c r="AC114" s="1239" t="str">
        <f>'🔵クレーム'!N105</f>
        <v/>
      </c>
    </row>
    <row r="115">
      <c r="B115" s="1294" t="str">
        <f>IFERROR(__xludf.DUMMYFUNCTION("""COMPUTED_VALUE"""),"5月")</f>
        <v>5月</v>
      </c>
      <c r="C115" s="982" t="str">
        <f>IFERROR(__xludf.DUMMYFUNCTION("""COMPUTED_VALUE"""),"10日")</f>
        <v>10日</v>
      </c>
      <c r="D115" s="982" t="str">
        <f>IFERROR(__xludf.DUMMYFUNCTION("""COMPUTED_VALUE"""),"清掃不備")</f>
        <v>清掃不備</v>
      </c>
      <c r="E115" s="982" t="str">
        <f>IFERROR(__xludf.DUMMYFUNCTION("""COMPUTED_VALUE"""),"バニヤ")</f>
        <v>バニヤ</v>
      </c>
      <c r="F115" s="982" t="str">
        <f>IFERROR(__xludf.DUMMYFUNCTION("""COMPUTED_VALUE"""),"サビタ")</f>
        <v>サビタ</v>
      </c>
      <c r="G115" s="1291" t="str">
        <f>IFERROR(__xludf.DUMMYFUNCTION("""COMPUTED_VALUE"""),"710ポットのヒビがあってお湯溢した")</f>
        <v>710ポットのヒビがあってお湯溢した</v>
      </c>
      <c r="H115" s="232"/>
      <c r="I115" s="232"/>
      <c r="J115" s="232"/>
      <c r="K115" s="232"/>
      <c r="L115" s="232"/>
      <c r="M115" s="1292"/>
      <c r="O115" s="286" t="s">
        <v>73</v>
      </c>
      <c r="P115" s="286" t="s">
        <v>1102</v>
      </c>
      <c r="Q115" s="286" t="s">
        <v>42</v>
      </c>
      <c r="R115" s="1237"/>
      <c r="S115" s="286" t="s">
        <v>103</v>
      </c>
      <c r="T115" s="286" t="s">
        <v>520</v>
      </c>
      <c r="U115" s="1238" t="s">
        <v>1150</v>
      </c>
      <c r="W115" s="1237" t="str">
        <f>'🔵クレーム'!C106</f>
        <v/>
      </c>
      <c r="X115" s="1237" t="str">
        <f>'🔵クレーム'!D106</f>
        <v/>
      </c>
      <c r="Y115" s="286" t="str">
        <f>'🔵クレーム'!I106</f>
        <v/>
      </c>
      <c r="Z115" s="1237" t="str">
        <f>'🔵クレーム'!J106</f>
        <v/>
      </c>
      <c r="AA115" s="1237" t="str">
        <f>'🔵クレーム'!K106</f>
        <v/>
      </c>
      <c r="AB115" s="1237" t="str">
        <f>'🔵クレーム'!L106</f>
        <v/>
      </c>
      <c r="AC115" s="1239" t="str">
        <f>'🔵クレーム'!N106</f>
        <v/>
      </c>
    </row>
    <row r="116">
      <c r="B116" s="1294" t="str">
        <f>IFERROR(__xludf.DUMMYFUNCTION("""COMPUTED_VALUE"""),"5月")</f>
        <v>5月</v>
      </c>
      <c r="C116" s="982" t="str">
        <f>IFERROR(__xludf.DUMMYFUNCTION("""COMPUTED_VALUE"""),"18日")</f>
        <v>18日</v>
      </c>
      <c r="D116" s="982" t="str">
        <f>IFERROR(__xludf.DUMMYFUNCTION("""COMPUTED_VALUE"""),"セット漏れ")</f>
        <v>セット漏れ</v>
      </c>
      <c r="E116" s="982" t="str">
        <f>IFERROR(__xludf.DUMMYFUNCTION("""COMPUTED_VALUE"""),"エリ")</f>
        <v>エリ</v>
      </c>
      <c r="F116" s="982" t="str">
        <f>IFERROR(__xludf.DUMMYFUNCTION("""COMPUTED_VALUE"""),"カブィンダ")</f>
        <v>カブィンダ</v>
      </c>
      <c r="G116" s="1291" t="str">
        <f>IFERROR(__xludf.DUMMYFUNCTION("""COMPUTED_VALUE"""),"612バスマットセット漏れ")</f>
        <v>612バスマットセット漏れ</v>
      </c>
      <c r="H116" s="232"/>
      <c r="I116" s="232"/>
      <c r="J116" s="232"/>
      <c r="K116" s="232"/>
      <c r="L116" s="232"/>
      <c r="M116" s="1292"/>
      <c r="O116" s="286" t="s">
        <v>73</v>
      </c>
      <c r="P116" s="286" t="s">
        <v>1102</v>
      </c>
      <c r="Q116" s="286" t="s">
        <v>42</v>
      </c>
      <c r="R116" s="1237"/>
      <c r="S116" s="286" t="s">
        <v>103</v>
      </c>
      <c r="T116" s="286" t="s">
        <v>520</v>
      </c>
      <c r="U116" s="1238" t="s">
        <v>1150</v>
      </c>
      <c r="W116" s="1237" t="str">
        <f>'🔵クレーム'!C107</f>
        <v/>
      </c>
      <c r="X116" s="1237" t="str">
        <f>'🔵クレーム'!D107</f>
        <v/>
      </c>
      <c r="Y116" s="286" t="str">
        <f>'🔵クレーム'!I107</f>
        <v/>
      </c>
      <c r="Z116" s="1237" t="str">
        <f>'🔵クレーム'!J107</f>
        <v/>
      </c>
      <c r="AA116" s="1237" t="str">
        <f>'🔵クレーム'!K107</f>
        <v/>
      </c>
      <c r="AB116" s="1237" t="str">
        <f>'🔵クレーム'!L107</f>
        <v/>
      </c>
      <c r="AC116" s="1239" t="str">
        <f>'🔵クレーム'!N107</f>
        <v/>
      </c>
    </row>
    <row r="117">
      <c r="B117" s="1294" t="str">
        <f>IFERROR(__xludf.DUMMYFUNCTION("""COMPUTED_VALUE"""),"6月")</f>
        <v>6月</v>
      </c>
      <c r="C117" s="982" t="str">
        <f>IFERROR(__xludf.DUMMYFUNCTION("""COMPUTED_VALUE"""),"15日")</f>
        <v>15日</v>
      </c>
      <c r="D117" s="982" t="str">
        <f>IFERROR(__xludf.DUMMYFUNCTION("""COMPUTED_VALUE"""),"手配ミス")</f>
        <v>手配ミス</v>
      </c>
      <c r="E117" s="982" t="str">
        <f>IFERROR(__xludf.DUMMYFUNCTION("""COMPUTED_VALUE"""),"オウ")</f>
        <v>オウ</v>
      </c>
      <c r="F117" s="982" t="str">
        <f>IFERROR(__xludf.DUMMYFUNCTION("""COMPUTED_VALUE"""),"－")</f>
        <v>－</v>
      </c>
      <c r="G117" s="1291" t="str">
        <f>IFERROR(__xludf.DUMMYFUNCTION("""COMPUTED_VALUE"""),"1214手配のそば枕セット漏れ")</f>
        <v>1214手配のそば枕セット漏れ</v>
      </c>
      <c r="H117" s="232"/>
      <c r="I117" s="232"/>
      <c r="J117" s="232"/>
      <c r="K117" s="232"/>
      <c r="L117" s="232"/>
      <c r="M117" s="1292"/>
      <c r="O117" s="286" t="s">
        <v>73</v>
      </c>
      <c r="P117" s="286" t="s">
        <v>1102</v>
      </c>
      <c r="Q117" s="286" t="s">
        <v>30</v>
      </c>
      <c r="R117" s="1237"/>
      <c r="S117" s="286" t="s">
        <v>142</v>
      </c>
      <c r="T117" s="286"/>
      <c r="U117" s="1238" t="s">
        <v>1151</v>
      </c>
      <c r="W117" s="1237" t="str">
        <f>'🔵クレーム'!C108</f>
        <v/>
      </c>
      <c r="X117" s="1237" t="str">
        <f>'🔵クレーム'!D108</f>
        <v/>
      </c>
      <c r="Y117" s="286" t="str">
        <f>'🔵クレーム'!I108</f>
        <v/>
      </c>
      <c r="Z117" s="1237" t="str">
        <f>'🔵クレーム'!J108</f>
        <v/>
      </c>
      <c r="AA117" s="1237" t="str">
        <f>'🔵クレーム'!K108</f>
        <v/>
      </c>
      <c r="AB117" s="1237" t="str">
        <f>'🔵クレーム'!L108</f>
        <v/>
      </c>
      <c r="AC117" s="1239" t="str">
        <f>'🔵クレーム'!N108</f>
        <v/>
      </c>
    </row>
    <row r="118">
      <c r="B118" s="1294" t="str">
        <f>IFERROR(__xludf.DUMMYFUNCTION("""COMPUTED_VALUE"""),"6月")</f>
        <v>6月</v>
      </c>
      <c r="C118" s="982" t="str">
        <f>IFERROR(__xludf.DUMMYFUNCTION("""COMPUTED_VALUE"""),"15日")</f>
        <v>15日</v>
      </c>
      <c r="D118" s="982" t="str">
        <f>IFERROR(__xludf.DUMMYFUNCTION("""COMPUTED_VALUE"""),"清掃不備")</f>
        <v>清掃不備</v>
      </c>
      <c r="E118" s="982" t="str">
        <f>IFERROR(__xludf.DUMMYFUNCTION("""COMPUTED_VALUE"""),"－")</f>
        <v>－</v>
      </c>
      <c r="F118" s="982" t="str">
        <f>IFERROR(__xludf.DUMMYFUNCTION("""COMPUTED_VALUE"""),"バンダリ")</f>
        <v>バンダリ</v>
      </c>
      <c r="G118" s="1291" t="str">
        <f>IFERROR(__xludf.DUMMYFUNCTION("""COMPUTED_VALUE"""),"1201電気カードホールダーにあったお客様のカードを誤回収しました。")</f>
        <v>1201電気カードホールダーにあったお客様のカードを誤回収しました。</v>
      </c>
      <c r="H118" s="232"/>
      <c r="I118" s="232"/>
      <c r="J118" s="232"/>
      <c r="K118" s="232"/>
      <c r="L118" s="232"/>
      <c r="M118" s="1292"/>
      <c r="O118" s="286" t="s">
        <v>73</v>
      </c>
      <c r="P118" s="286" t="s">
        <v>170</v>
      </c>
      <c r="Q118" s="286" t="s">
        <v>30</v>
      </c>
      <c r="R118" s="1237"/>
      <c r="S118" s="286" t="s">
        <v>450</v>
      </c>
      <c r="T118" s="286"/>
      <c r="U118" s="1238" t="s">
        <v>1151</v>
      </c>
      <c r="W118" s="1237" t="str">
        <f>'🔵クレーム'!C109</f>
        <v/>
      </c>
      <c r="X118" s="1237" t="str">
        <f>'🔵クレーム'!D109</f>
        <v/>
      </c>
      <c r="Y118" s="286" t="str">
        <f>'🔵クレーム'!I109</f>
        <v/>
      </c>
      <c r="Z118" s="1237" t="str">
        <f>'🔵クレーム'!J109</f>
        <v/>
      </c>
      <c r="AA118" s="1237" t="str">
        <f>'🔵クレーム'!K109</f>
        <v/>
      </c>
      <c r="AB118" s="1237" t="str">
        <f>'🔵クレーム'!L109</f>
        <v/>
      </c>
      <c r="AC118" s="1239" t="str">
        <f>'🔵クレーム'!N109</f>
        <v/>
      </c>
    </row>
    <row r="119">
      <c r="B119" s="1294" t="str">
        <f>IFERROR(__xludf.DUMMYFUNCTION("""COMPUTED_VALUE"""),"6月")</f>
        <v>6月</v>
      </c>
      <c r="C119" s="982" t="str">
        <f>IFERROR(__xludf.DUMMYFUNCTION("""COMPUTED_VALUE"""),"16日")</f>
        <v>16日</v>
      </c>
      <c r="D119" s="982" t="str">
        <f>IFERROR(__xludf.DUMMYFUNCTION("""COMPUTED_VALUE"""),"手配ミス")</f>
        <v>手配ミス</v>
      </c>
      <c r="E119" s="982" t="str">
        <f>IFERROR(__xludf.DUMMYFUNCTION("""COMPUTED_VALUE"""),"エリ")</f>
        <v>エリ</v>
      </c>
      <c r="F119" s="982" t="str">
        <f>IFERROR(__xludf.DUMMYFUNCTION("""COMPUTED_VALUE"""),"－")</f>
        <v>－</v>
      </c>
      <c r="G119" s="1291" t="str">
        <f>IFERROR(__xludf.DUMMYFUNCTION("""COMPUTED_VALUE"""),"ベッドガードの設置漏れ")</f>
        <v>ベッドガードの設置漏れ</v>
      </c>
      <c r="H119" s="232"/>
      <c r="I119" s="232"/>
      <c r="J119" s="232"/>
      <c r="K119" s="232"/>
      <c r="L119" s="232"/>
      <c r="M119" s="1292"/>
      <c r="O119" s="286" t="s">
        <v>73</v>
      </c>
      <c r="P119" s="286" t="s">
        <v>170</v>
      </c>
      <c r="Q119" s="286" t="s">
        <v>30</v>
      </c>
      <c r="R119" s="1237"/>
      <c r="S119" s="286" t="s">
        <v>142</v>
      </c>
      <c r="T119" s="286"/>
      <c r="U119" s="1238" t="s">
        <v>1151</v>
      </c>
      <c r="W119" s="1237" t="str">
        <f>'🔵クレーム'!C110</f>
        <v/>
      </c>
      <c r="X119" s="1237" t="str">
        <f>'🔵クレーム'!D110</f>
        <v/>
      </c>
      <c r="Y119" s="286" t="str">
        <f>'🔵クレーム'!I110</f>
        <v/>
      </c>
      <c r="Z119" s="1237" t="str">
        <f>'🔵クレーム'!J110</f>
        <v/>
      </c>
      <c r="AA119" s="1237" t="str">
        <f>'🔵クレーム'!K110</f>
        <v/>
      </c>
      <c r="AB119" s="1237" t="str">
        <f>'🔵クレーム'!L110</f>
        <v/>
      </c>
      <c r="AC119" s="1239" t="str">
        <f>'🔵クレーム'!N110</f>
        <v/>
      </c>
    </row>
    <row r="120" collapsed="1">
      <c r="B120" s="1294" t="str">
        <f>IFERROR(__xludf.DUMMYFUNCTION("""COMPUTED_VALUE"""),"6月")</f>
        <v>6月</v>
      </c>
      <c r="C120" s="982" t="str">
        <f>IFERROR(__xludf.DUMMYFUNCTION("""COMPUTED_VALUE"""),"25日")</f>
        <v>25日</v>
      </c>
      <c r="D120" s="982" t="str">
        <f>IFERROR(__xludf.DUMMYFUNCTION("""COMPUTED_VALUE"""),"清掃不備")</f>
        <v>清掃不備</v>
      </c>
      <c r="E120" s="982" t="str">
        <f>IFERROR(__xludf.DUMMYFUNCTION("""COMPUTED_VALUE"""),"ティラク")</f>
        <v>ティラク</v>
      </c>
      <c r="F120" s="982" t="str">
        <f>IFERROR(__xludf.DUMMYFUNCTION("""COMPUTED_VALUE"""),"ブラトキ")</f>
        <v>ブラトキ</v>
      </c>
      <c r="G120" s="1291" t="str">
        <f>IFERROR(__xludf.DUMMYFUNCTION("""COMPUTED_VALUE"""),"ガラス片が床に落ちてた。")</f>
        <v>ガラス片が床に落ちてた。</v>
      </c>
      <c r="H120" s="232"/>
      <c r="I120" s="232"/>
      <c r="J120" s="232"/>
      <c r="K120" s="232"/>
      <c r="L120" s="232"/>
      <c r="M120" s="1292"/>
      <c r="O120" s="286" t="s">
        <v>73</v>
      </c>
      <c r="P120" s="286" t="s">
        <v>170</v>
      </c>
      <c r="Q120" s="286" t="s">
        <v>30</v>
      </c>
      <c r="R120" s="1237"/>
      <c r="S120" s="286" t="s">
        <v>142</v>
      </c>
      <c r="T120" s="286"/>
      <c r="U120" s="1238" t="s">
        <v>1152</v>
      </c>
      <c r="W120" s="1237" t="str">
        <f>'🔵クレーム'!C111</f>
        <v/>
      </c>
      <c r="X120" s="1237" t="str">
        <f>'🔵クレーム'!D111</f>
        <v/>
      </c>
      <c r="Y120" s="286" t="str">
        <f>'🔵クレーム'!I111</f>
        <v/>
      </c>
      <c r="Z120" s="1237" t="str">
        <f>'🔵クレーム'!J111</f>
        <v/>
      </c>
      <c r="AA120" s="1237" t="str">
        <f>'🔵クレーム'!K111</f>
        <v/>
      </c>
      <c r="AB120" s="1237" t="str">
        <f>'🔵クレーム'!L111</f>
        <v/>
      </c>
      <c r="AC120" s="1239" t="str">
        <f>'🔵クレーム'!N111</f>
        <v/>
      </c>
    </row>
    <row r="121" hidden="1" outlineLevel="1">
      <c r="B121" s="1294" t="str">
        <f>IFERROR(__xludf.DUMMYFUNCTION("""COMPUTED_VALUE"""),"6月")</f>
        <v>6月</v>
      </c>
      <c r="C121" s="982" t="str">
        <f>IFERROR(__xludf.DUMMYFUNCTION("""COMPUTED_VALUE"""),"26日")</f>
        <v>26日</v>
      </c>
      <c r="D121" s="982" t="str">
        <f>IFERROR(__xludf.DUMMYFUNCTION("""COMPUTED_VALUE"""),"セット漏れ")</f>
        <v>セット漏れ</v>
      </c>
      <c r="E121" s="982" t="str">
        <f>IFERROR(__xludf.DUMMYFUNCTION("""COMPUTED_VALUE"""),"ティラク")</f>
        <v>ティラク</v>
      </c>
      <c r="F121" s="982" t="str">
        <f>IFERROR(__xludf.DUMMYFUNCTION("""COMPUTED_VALUE"""),"ブラトキ")</f>
        <v>ブラトキ</v>
      </c>
      <c r="G121" s="1291" t="str">
        <f>IFERROR(__xludf.DUMMYFUNCTION("""COMPUTED_VALUE"""),"バスマット設置漏れ")</f>
        <v>バスマット設置漏れ</v>
      </c>
      <c r="H121" s="232"/>
      <c r="I121" s="232"/>
      <c r="J121" s="232"/>
      <c r="K121" s="232"/>
      <c r="L121" s="232"/>
      <c r="M121" s="1292"/>
      <c r="O121" s="286" t="s">
        <v>73</v>
      </c>
      <c r="P121" s="286" t="s">
        <v>170</v>
      </c>
      <c r="Q121" s="286" t="s">
        <v>30</v>
      </c>
      <c r="R121" s="1237"/>
      <c r="S121" s="286" t="s">
        <v>142</v>
      </c>
      <c r="T121" s="286"/>
      <c r="U121" s="1238" t="s">
        <v>1152</v>
      </c>
      <c r="W121" s="1237" t="str">
        <f>'🔵クレーム'!C112</f>
        <v/>
      </c>
      <c r="X121" s="1237" t="str">
        <f>'🔵クレーム'!D112</f>
        <v/>
      </c>
      <c r="Y121" s="286" t="str">
        <f>'🔵クレーム'!I112</f>
        <v/>
      </c>
      <c r="Z121" s="1237" t="str">
        <f>'🔵クレーム'!J112</f>
        <v/>
      </c>
      <c r="AA121" s="1237" t="str">
        <f>'🔵クレーム'!K112</f>
        <v/>
      </c>
      <c r="AB121" s="1237" t="str">
        <f>'🔵クレーム'!L112</f>
        <v/>
      </c>
      <c r="AC121" s="1239" t="str">
        <f>'🔵クレーム'!N112</f>
        <v/>
      </c>
    </row>
    <row r="122" hidden="1" outlineLevel="1">
      <c r="B122" s="1294" t="str">
        <f>IFERROR(__xludf.DUMMYFUNCTION("""COMPUTED_VALUE"""),"6月")</f>
        <v>6月</v>
      </c>
      <c r="C122" s="982" t="str">
        <f>IFERROR(__xludf.DUMMYFUNCTION("""COMPUTED_VALUE"""),"26日")</f>
        <v>26日</v>
      </c>
      <c r="D122" s="982" t="str">
        <f>IFERROR(__xludf.DUMMYFUNCTION("""COMPUTED_VALUE"""),"残置")</f>
        <v>残置</v>
      </c>
      <c r="E122" s="982" t="str">
        <f>IFERROR(__xludf.DUMMYFUNCTION("""COMPUTED_VALUE"""),"佐藤")</f>
        <v>佐藤</v>
      </c>
      <c r="F122" s="982" t="str">
        <f>IFERROR(__xludf.DUMMYFUNCTION("""COMPUTED_VALUE"""),"プラミラ")</f>
        <v>プラミラ</v>
      </c>
      <c r="G122" s="1291" t="str">
        <f>IFERROR(__xludf.DUMMYFUNCTION("""COMPUTED_VALUE"""),"冷蔵庫の前に吸い殻と葉っぱがありました。")</f>
        <v>冷蔵庫の前に吸い殻と葉っぱがありました。</v>
      </c>
      <c r="H122" s="232"/>
      <c r="I122" s="232"/>
      <c r="J122" s="232"/>
      <c r="K122" s="232"/>
      <c r="L122" s="232"/>
      <c r="M122" s="1292"/>
      <c r="O122" s="286" t="s">
        <v>73</v>
      </c>
      <c r="P122" s="286" t="s">
        <v>170</v>
      </c>
      <c r="Q122" s="286" t="s">
        <v>30</v>
      </c>
      <c r="R122" s="1237"/>
      <c r="S122" s="286" t="s">
        <v>1010</v>
      </c>
      <c r="T122" s="286"/>
      <c r="U122" s="1238" t="s">
        <v>1152</v>
      </c>
      <c r="W122" s="1237" t="str">
        <f>'🔵クレーム'!C113</f>
        <v/>
      </c>
      <c r="X122" s="1237" t="str">
        <f>'🔵クレーム'!D113</f>
        <v/>
      </c>
      <c r="Y122" s="286" t="str">
        <f>'🔵クレーム'!I113</f>
        <v/>
      </c>
      <c r="Z122" s="1237" t="str">
        <f>'🔵クレーム'!J113</f>
        <v/>
      </c>
      <c r="AA122" s="1237" t="str">
        <f>'🔵クレーム'!K113</f>
        <v/>
      </c>
      <c r="AB122" s="1237" t="str">
        <f>'🔵クレーム'!L113</f>
        <v/>
      </c>
      <c r="AC122" s="1239" t="str">
        <f>'🔵クレーム'!N113</f>
        <v/>
      </c>
    </row>
    <row r="123" hidden="1" outlineLevel="1">
      <c r="B123" s="1294" t="str">
        <f>IFERROR(__xludf.DUMMYFUNCTION("""COMPUTED_VALUE"""),"7月")</f>
        <v>7月</v>
      </c>
      <c r="C123" s="982" t="str">
        <f>IFERROR(__xludf.DUMMYFUNCTION("""COMPUTED_VALUE"""),"2日")</f>
        <v>2日</v>
      </c>
      <c r="D123" s="982" t="str">
        <f>IFERROR(__xludf.DUMMYFUNCTION("""COMPUTED_VALUE"""),"清掃不備")</f>
        <v>清掃不備</v>
      </c>
      <c r="E123" s="982" t="str">
        <f>IFERROR(__xludf.DUMMYFUNCTION("""COMPUTED_VALUE"""),"エリ")</f>
        <v>エリ</v>
      </c>
      <c r="F123" s="982" t="str">
        <f>IFERROR(__xludf.DUMMYFUNCTION("""COMPUTED_VALUE"""),"プラミラ")</f>
        <v>プラミラ</v>
      </c>
      <c r="G123" s="1291" t="str">
        <f>IFERROR(__xludf.DUMMYFUNCTION("""COMPUTED_VALUE"""),"ドアの裏側に割りばしの袋あり。")</f>
        <v>ドアの裏側に割りばしの袋あり。</v>
      </c>
      <c r="H123" s="232"/>
      <c r="I123" s="232"/>
      <c r="J123" s="232"/>
      <c r="K123" s="232"/>
      <c r="L123" s="232"/>
      <c r="M123" s="1292"/>
      <c r="O123" s="286" t="s">
        <v>73</v>
      </c>
      <c r="P123" s="286" t="s">
        <v>170</v>
      </c>
      <c r="Q123" s="286" t="s">
        <v>30</v>
      </c>
      <c r="R123" s="1237"/>
      <c r="S123" s="286" t="s">
        <v>1010</v>
      </c>
      <c r="T123" s="286"/>
      <c r="U123" s="1238" t="s">
        <v>1152</v>
      </c>
      <c r="W123" s="1237" t="str">
        <f>'🔵クレーム'!C114</f>
        <v/>
      </c>
      <c r="X123" s="1237" t="str">
        <f>'🔵クレーム'!D114</f>
        <v/>
      </c>
      <c r="Y123" s="286" t="str">
        <f>'🔵クレーム'!I114</f>
        <v/>
      </c>
      <c r="Z123" s="1237" t="str">
        <f>'🔵クレーム'!J114</f>
        <v/>
      </c>
      <c r="AA123" s="1237" t="str">
        <f>'🔵クレーム'!K114</f>
        <v/>
      </c>
      <c r="AB123" s="1237" t="str">
        <f>'🔵クレーム'!L114</f>
        <v/>
      </c>
      <c r="AC123" s="1239" t="str">
        <f>'🔵クレーム'!N114</f>
        <v/>
      </c>
    </row>
    <row r="124" hidden="1" outlineLevel="1">
      <c r="B124" s="1294" t="str">
        <f>IFERROR(__xludf.DUMMYFUNCTION("""COMPUTED_VALUE"""),"7月")</f>
        <v>7月</v>
      </c>
      <c r="C124" s="982" t="str">
        <f>IFERROR(__xludf.DUMMYFUNCTION("""COMPUTED_VALUE"""),"2日")</f>
        <v>2日</v>
      </c>
      <c r="D124" s="982" t="str">
        <f>IFERROR(__xludf.DUMMYFUNCTION("""COMPUTED_VALUE"""),"セット漏れ")</f>
        <v>セット漏れ</v>
      </c>
      <c r="E124" s="982" t="str">
        <f>IFERROR(__xludf.DUMMYFUNCTION("""COMPUTED_VALUE"""),"宇佐見")</f>
        <v>宇佐見</v>
      </c>
      <c r="F124" s="982" t="str">
        <f>IFERROR(__xludf.DUMMYFUNCTION("""COMPUTED_VALUE"""),"ルパ")</f>
        <v>ルパ</v>
      </c>
      <c r="G124" s="1291" t="str">
        <f>IFERROR(__xludf.DUMMYFUNCTION("""COMPUTED_VALUE"""),"ボディーソープ設置漏れ")</f>
        <v>ボディーソープ設置漏れ</v>
      </c>
      <c r="H124" s="232"/>
      <c r="I124" s="232"/>
      <c r="J124" s="232"/>
      <c r="K124" s="232"/>
      <c r="L124" s="232"/>
      <c r="M124" s="1292"/>
      <c r="O124" s="286"/>
      <c r="P124" s="286"/>
      <c r="Q124" s="286"/>
      <c r="R124" s="1237"/>
      <c r="S124" s="286"/>
      <c r="T124" s="286"/>
      <c r="U124" s="1295"/>
      <c r="W124" s="1237" t="str">
        <f>'🔵クレーム'!C115</f>
        <v/>
      </c>
      <c r="X124" s="1237" t="str">
        <f>'🔵クレーム'!D115</f>
        <v/>
      </c>
      <c r="Y124" s="286" t="str">
        <f>'🔵クレーム'!I115</f>
        <v/>
      </c>
      <c r="Z124" s="1237" t="str">
        <f>'🔵クレーム'!J115</f>
        <v/>
      </c>
      <c r="AA124" s="1237" t="str">
        <f>'🔵クレーム'!K115</f>
        <v/>
      </c>
      <c r="AB124" s="1237" t="str">
        <f>'🔵クレーム'!L115</f>
        <v/>
      </c>
      <c r="AC124" s="1239" t="str">
        <f>'🔵クレーム'!N115</f>
        <v/>
      </c>
    </row>
    <row r="125" hidden="1" outlineLevel="1">
      <c r="B125" s="1294" t="str">
        <f>IFERROR(__xludf.DUMMYFUNCTION("""COMPUTED_VALUE"""),"7月")</f>
        <v>7月</v>
      </c>
      <c r="C125" s="982" t="str">
        <f>IFERROR(__xludf.DUMMYFUNCTION("""COMPUTED_VALUE"""),"14日")</f>
        <v>14日</v>
      </c>
      <c r="D125" s="982" t="str">
        <f>IFERROR(__xludf.DUMMYFUNCTION("""COMPUTED_VALUE"""),"セット漏れ")</f>
        <v>セット漏れ</v>
      </c>
      <c r="E125" s="982" t="str">
        <f>IFERROR(__xludf.DUMMYFUNCTION("""COMPUTED_VALUE"""),"カン")</f>
        <v>カン</v>
      </c>
      <c r="F125" s="982" t="str">
        <f>IFERROR(__xludf.DUMMYFUNCTION("""COMPUTED_VALUE"""),"サンタ")</f>
        <v>サンタ</v>
      </c>
      <c r="G125" s="1291" t="str">
        <f>IFERROR(__xludf.DUMMYFUNCTION("""COMPUTED_VALUE"""),"2名セットになってなかった。")</f>
        <v>2名セットになってなかった。</v>
      </c>
      <c r="H125" s="232"/>
      <c r="I125" s="232"/>
      <c r="J125" s="232"/>
      <c r="K125" s="232"/>
      <c r="L125" s="232"/>
      <c r="M125" s="1292"/>
      <c r="O125" s="286"/>
      <c r="P125" s="286"/>
      <c r="Q125" s="286"/>
      <c r="R125" s="1237"/>
      <c r="S125" s="286"/>
      <c r="T125" s="286"/>
      <c r="U125" s="1295"/>
      <c r="W125" s="1237" t="str">
        <f>'🔵クレーム'!C116</f>
        <v/>
      </c>
      <c r="X125" s="1237" t="str">
        <f>'🔵クレーム'!D116</f>
        <v/>
      </c>
      <c r="Y125" s="286" t="str">
        <f>'🔵クレーム'!I116</f>
        <v/>
      </c>
      <c r="Z125" s="1237" t="str">
        <f>'🔵クレーム'!J116</f>
        <v/>
      </c>
      <c r="AA125" s="1237" t="str">
        <f>'🔵クレーム'!K116</f>
        <v/>
      </c>
      <c r="AB125" s="1237" t="str">
        <f>'🔵クレーム'!L116</f>
        <v/>
      </c>
      <c r="AC125" s="1239" t="str">
        <f>'🔵クレーム'!N116</f>
        <v/>
      </c>
    </row>
    <row r="126" hidden="1" outlineLevel="1">
      <c r="B126" s="1294" t="str">
        <f>IFERROR(__xludf.DUMMYFUNCTION("""COMPUTED_VALUE"""),"7月")</f>
        <v>7月</v>
      </c>
      <c r="C126" s="982" t="str">
        <f>IFERROR(__xludf.DUMMYFUNCTION("""COMPUTED_VALUE"""),"25日")</f>
        <v>25日</v>
      </c>
      <c r="D126" s="982" t="str">
        <f>IFERROR(__xludf.DUMMYFUNCTION("""COMPUTED_VALUE"""),"汚れ")</f>
        <v>汚れ</v>
      </c>
      <c r="E126" s="982" t="str">
        <f>IFERROR(__xludf.DUMMYFUNCTION("""COMPUTED_VALUE"""),"佐藤")</f>
        <v>佐藤</v>
      </c>
      <c r="F126" s="982" t="str">
        <f>IFERROR(__xludf.DUMMYFUNCTION("""COMPUTED_VALUE"""),"小林")</f>
        <v>小林</v>
      </c>
      <c r="G126" s="1291" t="str">
        <f>IFERROR(__xludf.DUMMYFUNCTION("""COMPUTED_VALUE"""),"トイレ汚れ")</f>
        <v>トイレ汚れ</v>
      </c>
      <c r="H126" s="232"/>
      <c r="I126" s="232"/>
      <c r="J126" s="232"/>
      <c r="K126" s="232"/>
      <c r="L126" s="232"/>
      <c r="M126" s="1292"/>
      <c r="O126" s="286"/>
      <c r="P126" s="286"/>
      <c r="Q126" s="286"/>
      <c r="R126" s="1237"/>
      <c r="S126" s="286"/>
      <c r="T126" s="286"/>
      <c r="U126" s="1295"/>
      <c r="W126" s="1237" t="str">
        <f>'🔵クレーム'!C117</f>
        <v/>
      </c>
      <c r="X126" s="1237" t="str">
        <f>'🔵クレーム'!D117</f>
        <v/>
      </c>
      <c r="Y126" s="286" t="str">
        <f>'🔵クレーム'!I117</f>
        <v/>
      </c>
      <c r="Z126" s="1237" t="str">
        <f>'🔵クレーム'!J117</f>
        <v/>
      </c>
      <c r="AA126" s="1237" t="str">
        <f>'🔵クレーム'!K117</f>
        <v/>
      </c>
      <c r="AB126" s="1237" t="str">
        <f>'🔵クレーム'!L117</f>
        <v/>
      </c>
      <c r="AC126" s="1239" t="str">
        <f>'🔵クレーム'!N117</f>
        <v/>
      </c>
    </row>
    <row r="127" hidden="1" outlineLevel="1">
      <c r="B127" s="1294" t="str">
        <f>IFERROR(__xludf.DUMMYFUNCTION("""COMPUTED_VALUE"""),"7月")</f>
        <v>7月</v>
      </c>
      <c r="C127" s="982" t="str">
        <f>IFERROR(__xludf.DUMMYFUNCTION("""COMPUTED_VALUE"""),"28日")</f>
        <v>28日</v>
      </c>
      <c r="D127" s="982" t="str">
        <f>IFERROR(__xludf.DUMMYFUNCTION("""COMPUTED_VALUE"""),"セット漏れ")</f>
        <v>セット漏れ</v>
      </c>
      <c r="E127" s="982" t="str">
        <f>IFERROR(__xludf.DUMMYFUNCTION("""COMPUTED_VALUE"""),"エリ")</f>
        <v>エリ</v>
      </c>
      <c r="F127" s="982" t="str">
        <f>IFERROR(__xludf.DUMMYFUNCTION("""COMPUTED_VALUE"""),"ルパ")</f>
        <v>ルパ</v>
      </c>
      <c r="G127" s="1291" t="str">
        <f>IFERROR(__xludf.DUMMYFUNCTION("""COMPUTED_VALUE"""),"シャンプーがなくボディーソープが2本ある")</f>
        <v>シャンプーがなくボディーソープが2本ある</v>
      </c>
      <c r="H127" s="232"/>
      <c r="I127" s="232"/>
      <c r="J127" s="232"/>
      <c r="K127" s="232"/>
      <c r="L127" s="232"/>
      <c r="M127" s="1292"/>
      <c r="O127" s="286"/>
      <c r="P127" s="286"/>
      <c r="Q127" s="286"/>
      <c r="R127" s="1237"/>
      <c r="S127" s="286"/>
      <c r="T127" s="286"/>
      <c r="U127" s="1295"/>
      <c r="W127" s="1237" t="str">
        <f>'🔵クレーム'!C118</f>
        <v/>
      </c>
      <c r="X127" s="1237" t="str">
        <f>'🔵クレーム'!D118</f>
        <v/>
      </c>
      <c r="Y127" s="286" t="str">
        <f>'🔵クレーム'!I118</f>
        <v/>
      </c>
      <c r="Z127" s="1237" t="str">
        <f>'🔵クレーム'!J118</f>
        <v/>
      </c>
      <c r="AA127" s="1237" t="str">
        <f>'🔵クレーム'!K118</f>
        <v/>
      </c>
      <c r="AB127" s="1237" t="str">
        <f>'🔵クレーム'!L118</f>
        <v/>
      </c>
      <c r="AC127" s="1239" t="str">
        <f>'🔵クレーム'!N118</f>
        <v/>
      </c>
    </row>
    <row r="128" hidden="1" outlineLevel="1">
      <c r="B128" s="1294" t="str">
        <f>IFERROR(__xludf.DUMMYFUNCTION("""COMPUTED_VALUE"""),"8月")</f>
        <v>8月</v>
      </c>
      <c r="C128" s="982" t="str">
        <f>IFERROR(__xludf.DUMMYFUNCTION("""COMPUTED_VALUE"""),"7日")</f>
        <v>7日</v>
      </c>
      <c r="D128" s="982" t="str">
        <f>IFERROR(__xludf.DUMMYFUNCTION("""COMPUTED_VALUE"""),"口コミ")</f>
        <v>口コミ</v>
      </c>
      <c r="E128" s="982"/>
      <c r="F128" s="982"/>
      <c r="G128" s="1291" t="str">
        <f>IFERROR(__xludf.DUMMYFUNCTION("""COMPUTED_VALUE"""),"ドアの後ろカビがある。メイド笑顔でいなかった。")</f>
        <v>ドアの後ろカビがある。メイド笑顔でいなかった。</v>
      </c>
      <c r="H128" s="232"/>
      <c r="I128" s="232"/>
      <c r="J128" s="232"/>
      <c r="K128" s="232"/>
      <c r="L128" s="232"/>
      <c r="M128" s="1292"/>
      <c r="O128" s="286"/>
      <c r="P128" s="286"/>
      <c r="Q128" s="286"/>
      <c r="R128" s="1237"/>
      <c r="S128" s="286"/>
      <c r="T128" s="286"/>
      <c r="U128" s="1295"/>
      <c r="W128" s="1237" t="str">
        <f>'🔵クレーム'!C119</f>
        <v/>
      </c>
      <c r="X128" s="1237" t="str">
        <f>'🔵クレーム'!D119</f>
        <v/>
      </c>
      <c r="Y128" s="286" t="str">
        <f>'🔵クレーム'!I119</f>
        <v/>
      </c>
      <c r="Z128" s="1237" t="str">
        <f>'🔵クレーム'!J119</f>
        <v/>
      </c>
      <c r="AA128" s="1237" t="str">
        <f>'🔵クレーム'!K119</f>
        <v/>
      </c>
      <c r="AB128" s="1237" t="str">
        <f>'🔵クレーム'!L119</f>
        <v/>
      </c>
      <c r="AC128" s="1239" t="str">
        <f>'🔵クレーム'!N119</f>
        <v/>
      </c>
    </row>
    <row r="129" hidden="1" outlineLevel="1">
      <c r="B129" s="1294" t="str">
        <f>IFERROR(__xludf.DUMMYFUNCTION("""COMPUTED_VALUE"""),"8月")</f>
        <v>8月</v>
      </c>
      <c r="C129" s="982" t="str">
        <f>IFERROR(__xludf.DUMMYFUNCTION("""COMPUTED_VALUE"""),"13日")</f>
        <v>13日</v>
      </c>
      <c r="D129" s="982" t="str">
        <f>IFERROR(__xludf.DUMMYFUNCTION("""COMPUTED_VALUE"""),"清掃不備")</f>
        <v>清掃不備</v>
      </c>
      <c r="E129" s="982" t="str">
        <f>IFERROR(__xludf.DUMMYFUNCTION("""COMPUTED_VALUE"""),"エリ")</f>
        <v>エリ</v>
      </c>
      <c r="F129" s="982" t="str">
        <f>IFERROR(__xludf.DUMMYFUNCTION("""COMPUTED_VALUE"""),"ビケス")</f>
        <v>ビケス</v>
      </c>
      <c r="G129" s="1291" t="str">
        <f>IFERROR(__xludf.DUMMYFUNCTION("""COMPUTED_VALUE"""),"排水口つまり,ケトルに生きてる小さい虫がいた")</f>
        <v>排水口つまり,ケトルに生きてる小さい虫がいた</v>
      </c>
      <c r="H129" s="232"/>
      <c r="I129" s="232"/>
      <c r="J129" s="232"/>
      <c r="K129" s="232"/>
      <c r="L129" s="232"/>
      <c r="M129" s="1292"/>
      <c r="O129" s="286"/>
      <c r="P129" s="286"/>
      <c r="Q129" s="286"/>
      <c r="R129" s="1237"/>
      <c r="S129" s="286"/>
      <c r="T129" s="286"/>
      <c r="U129" s="1295"/>
      <c r="W129" s="1237" t="str">
        <f>'🔵クレーム'!C120</f>
        <v/>
      </c>
      <c r="X129" s="1237" t="str">
        <f>'🔵クレーム'!D120</f>
        <v/>
      </c>
      <c r="Y129" s="286" t="str">
        <f>'🔵クレーム'!I120</f>
        <v/>
      </c>
      <c r="Z129" s="1237" t="str">
        <f>'🔵クレーム'!J120</f>
        <v/>
      </c>
      <c r="AA129" s="1237" t="str">
        <f>'🔵クレーム'!K120</f>
        <v/>
      </c>
      <c r="AB129" s="1237" t="str">
        <f>'🔵クレーム'!L120</f>
        <v/>
      </c>
      <c r="AC129" s="1239" t="str">
        <f>'🔵クレーム'!N120</f>
        <v/>
      </c>
    </row>
    <row r="130" hidden="1" outlineLevel="1">
      <c r="B130" s="1294" t="str">
        <f>IFERROR(__xludf.DUMMYFUNCTION("""COMPUTED_VALUE"""),"8月")</f>
        <v>8月</v>
      </c>
      <c r="C130" s="982" t="str">
        <f>IFERROR(__xludf.DUMMYFUNCTION("""COMPUTED_VALUE"""),"13日")</f>
        <v>13日</v>
      </c>
      <c r="D130" s="982" t="str">
        <f>IFERROR(__xludf.DUMMYFUNCTION("""COMPUTED_VALUE"""),"髪の毛")</f>
        <v>髪の毛</v>
      </c>
      <c r="E130" s="982" t="str">
        <f>IFERROR(__xludf.DUMMYFUNCTION("""COMPUTED_VALUE"""),"カン")</f>
        <v>カン</v>
      </c>
      <c r="F130" s="982" t="str">
        <f>IFERROR(__xludf.DUMMYFUNCTION("""COMPUTED_VALUE"""),"サンタ")</f>
        <v>サンタ</v>
      </c>
      <c r="G130" s="1291" t="str">
        <f>IFERROR(__xludf.DUMMYFUNCTION("""COMPUTED_VALUE"""),"バスルーム異臭バスタブに髪の毛とざらつ き")</f>
        <v>バスルーム異臭バスタブに髪の毛とざらつ き</v>
      </c>
      <c r="H130" s="232"/>
      <c r="I130" s="232"/>
      <c r="J130" s="232"/>
      <c r="K130" s="232"/>
      <c r="L130" s="232"/>
      <c r="M130" s="1292"/>
      <c r="O130" s="286"/>
      <c r="P130" s="286"/>
      <c r="Q130" s="286"/>
      <c r="R130" s="1237"/>
      <c r="S130" s="286"/>
      <c r="T130" s="286"/>
      <c r="U130" s="1295"/>
      <c r="W130" s="1237" t="str">
        <f>'🔵クレーム'!C121</f>
        <v/>
      </c>
      <c r="X130" s="1237" t="str">
        <f>'🔵クレーム'!D121</f>
        <v/>
      </c>
      <c r="Y130" s="286" t="str">
        <f>'🔵クレーム'!I121</f>
        <v/>
      </c>
      <c r="Z130" s="1237" t="str">
        <f>'🔵クレーム'!J121</f>
        <v/>
      </c>
      <c r="AA130" s="1237" t="str">
        <f>'🔵クレーム'!K121</f>
        <v/>
      </c>
      <c r="AB130" s="1237" t="str">
        <f>'🔵クレーム'!L121</f>
        <v/>
      </c>
      <c r="AC130" s="1239" t="str">
        <f>'🔵クレーム'!N121</f>
        <v/>
      </c>
    </row>
    <row r="131" hidden="1" outlineLevel="1">
      <c r="B131" s="1294" t="str">
        <f>IFERROR(__xludf.DUMMYFUNCTION("""COMPUTED_VALUE"""),"8月")</f>
        <v>8月</v>
      </c>
      <c r="C131" s="982" t="str">
        <f>IFERROR(__xludf.DUMMYFUNCTION("""COMPUTED_VALUE"""),"17日")</f>
        <v>17日</v>
      </c>
      <c r="D131" s="982" t="str">
        <f>IFERROR(__xludf.DUMMYFUNCTION("""COMPUTED_VALUE"""),"口コミ")</f>
        <v>口コミ</v>
      </c>
      <c r="E131" s="982" t="str">
        <f>IFERROR(__xludf.DUMMYFUNCTION("""COMPUTED_VALUE"""),"ティラク")</f>
        <v>ティラク</v>
      </c>
      <c r="F131" s="982" t="str">
        <f>IFERROR(__xludf.DUMMYFUNCTION("""COMPUTED_VALUE"""),"プラミラ")</f>
        <v>プラミラ</v>
      </c>
      <c r="G131" s="1291" t="str">
        <f>IFERROR(__xludf.DUMMYFUNCTION("""COMPUTED_VALUE"""),"清掃甘い。髪の毛と床にゴミがある。カーペット汚れ。")</f>
        <v>清掃甘い。髪の毛と床にゴミがある。カーペット汚れ。</v>
      </c>
      <c r="H131" s="232"/>
      <c r="I131" s="232"/>
      <c r="J131" s="232"/>
      <c r="K131" s="232"/>
      <c r="L131" s="232"/>
      <c r="M131" s="1292"/>
      <c r="O131" s="286"/>
      <c r="P131" s="286"/>
      <c r="Q131" s="286"/>
      <c r="R131" s="1237"/>
      <c r="S131" s="286"/>
      <c r="T131" s="286"/>
      <c r="U131" s="1295"/>
      <c r="W131" s="1237" t="str">
        <f>'🔵クレーム'!C122</f>
        <v/>
      </c>
      <c r="X131" s="1237" t="str">
        <f>'🔵クレーム'!D122</f>
        <v/>
      </c>
      <c r="Y131" s="286" t="str">
        <f>'🔵クレーム'!I122</f>
        <v/>
      </c>
      <c r="Z131" s="1237" t="str">
        <f>'🔵クレーム'!J122</f>
        <v/>
      </c>
      <c r="AA131" s="1237" t="str">
        <f>'🔵クレーム'!K122</f>
        <v/>
      </c>
      <c r="AB131" s="1237" t="str">
        <f>'🔵クレーム'!L122</f>
        <v/>
      </c>
      <c r="AC131" s="1239" t="str">
        <f>'🔵クレーム'!N122</f>
        <v/>
      </c>
    </row>
    <row r="132" hidden="1" outlineLevel="1">
      <c r="B132" s="1294" t="str">
        <f>IFERROR(__xludf.DUMMYFUNCTION("""COMPUTED_VALUE"""),"8月")</f>
        <v>8月</v>
      </c>
      <c r="C132" s="982" t="str">
        <f>IFERROR(__xludf.DUMMYFUNCTION("""COMPUTED_VALUE"""),"19日")</f>
        <v>19日</v>
      </c>
      <c r="D132" s="982" t="str">
        <f>IFERROR(__xludf.DUMMYFUNCTION("""COMPUTED_VALUE"""),"清掃不備")</f>
        <v>清掃不備</v>
      </c>
      <c r="E132" s="982" t="str">
        <f>IFERROR(__xludf.DUMMYFUNCTION("""COMPUTED_VALUE"""),"－")</f>
        <v>－</v>
      </c>
      <c r="F132" s="982" t="str">
        <f>IFERROR(__xludf.DUMMYFUNCTION("""COMPUTED_VALUE"""),"－")</f>
        <v>－</v>
      </c>
      <c r="G132" s="1291" t="str">
        <f>IFERROR(__xludf.DUMMYFUNCTION("""COMPUTED_VALUE"""),"ステイ清掃時事物の扱いが雑だったと CO時クレーム有")</f>
        <v>ステイ清掃時事物の扱いが雑だったと CO時クレーム有</v>
      </c>
      <c r="H132" s="232"/>
      <c r="I132" s="232"/>
      <c r="J132" s="232"/>
      <c r="K132" s="232"/>
      <c r="L132" s="232"/>
      <c r="M132" s="1292"/>
      <c r="O132" s="286"/>
      <c r="P132" s="286"/>
      <c r="Q132" s="286"/>
      <c r="R132" s="1237"/>
      <c r="S132" s="286"/>
      <c r="T132" s="286"/>
      <c r="U132" s="1295"/>
      <c r="W132" s="1237" t="str">
        <f>'🔵クレーム'!C123</f>
        <v/>
      </c>
      <c r="X132" s="1237" t="str">
        <f>'🔵クレーム'!D123</f>
        <v/>
      </c>
      <c r="Y132" s="286" t="str">
        <f>'🔵クレーム'!I123</f>
        <v/>
      </c>
      <c r="Z132" s="1237" t="str">
        <f>'🔵クレーム'!J123</f>
        <v/>
      </c>
      <c r="AA132" s="1237" t="str">
        <f>'🔵クレーム'!K123</f>
        <v/>
      </c>
      <c r="AB132" s="1237" t="str">
        <f>'🔵クレーム'!L123</f>
        <v/>
      </c>
      <c r="AC132" s="1239" t="str">
        <f>'🔵クレーム'!N123</f>
        <v/>
      </c>
    </row>
    <row r="133" hidden="1" outlineLevel="1">
      <c r="B133" s="1294" t="str">
        <f>IFERROR(__xludf.DUMMYFUNCTION("""COMPUTED_VALUE"""),"8月")</f>
        <v>8月</v>
      </c>
      <c r="C133" s="982" t="str">
        <f>IFERROR(__xludf.DUMMYFUNCTION("""COMPUTED_VALUE"""),"20日")</f>
        <v>20日</v>
      </c>
      <c r="D133" s="982" t="str">
        <f>IFERROR(__xludf.DUMMYFUNCTION("""COMPUTED_VALUE"""),"口コミ")</f>
        <v>口コミ</v>
      </c>
      <c r="E133" s="982" t="str">
        <f>IFERROR(__xludf.DUMMYFUNCTION("""COMPUTED_VALUE"""),"－")</f>
        <v>－</v>
      </c>
      <c r="F133" s="982" t="str">
        <f>IFERROR(__xludf.DUMMYFUNCTION("""COMPUTED_VALUE"""),"－")</f>
        <v>－</v>
      </c>
      <c r="G133" s="1291" t="str">
        <f>IFERROR(__xludf.DUMMYFUNCTION("""COMPUTED_VALUE"""),"一番の不満は清掃スタッフです。")</f>
        <v>一番の不満は清掃スタッフです。</v>
      </c>
      <c r="H133" s="232"/>
      <c r="I133" s="232"/>
      <c r="J133" s="232"/>
      <c r="K133" s="232"/>
      <c r="L133" s="232"/>
      <c r="M133" s="1292"/>
      <c r="O133" s="286"/>
      <c r="P133" s="286"/>
      <c r="Q133" s="286"/>
      <c r="R133" s="1237"/>
      <c r="S133" s="286"/>
      <c r="T133" s="286"/>
      <c r="U133" s="1295"/>
      <c r="W133" s="1237" t="str">
        <f>'🔵クレーム'!C124</f>
        <v/>
      </c>
      <c r="X133" s="1237" t="str">
        <f>'🔵クレーム'!D124</f>
        <v/>
      </c>
      <c r="Y133" s="286" t="str">
        <f>'🔵クレーム'!I124</f>
        <v/>
      </c>
      <c r="Z133" s="1237" t="str">
        <f>'🔵クレーム'!J124</f>
        <v/>
      </c>
      <c r="AA133" s="1237" t="str">
        <f>'🔵クレーム'!K124</f>
        <v/>
      </c>
      <c r="AB133" s="1237" t="str">
        <f>'🔵クレーム'!L124</f>
        <v/>
      </c>
      <c r="AC133" s="1239" t="str">
        <f>'🔵クレーム'!N124</f>
        <v/>
      </c>
    </row>
    <row r="134" hidden="1" outlineLevel="1">
      <c r="B134" s="1294" t="str">
        <f>IFERROR(__xludf.DUMMYFUNCTION("""COMPUTED_VALUE"""),"8月")</f>
        <v>8月</v>
      </c>
      <c r="C134" s="982" t="str">
        <f>IFERROR(__xludf.DUMMYFUNCTION("""COMPUTED_VALUE"""),"21日")</f>
        <v>21日</v>
      </c>
      <c r="D134" s="982" t="str">
        <f>IFERROR(__xludf.DUMMYFUNCTION("""COMPUTED_VALUE"""),"手配ミス")</f>
        <v>手配ミス</v>
      </c>
      <c r="E134" s="982" t="str">
        <f>IFERROR(__xludf.DUMMYFUNCTION("""COMPUTED_VALUE"""),"ティラク")</f>
        <v>ティラク</v>
      </c>
      <c r="F134" s="982" t="str">
        <f>IFERROR(__xludf.DUMMYFUNCTION("""COMPUTED_VALUE"""),"プラミラ")</f>
        <v>プラミラ</v>
      </c>
      <c r="G134" s="1291" t="str">
        <f>IFERROR(__xludf.DUMMYFUNCTION("""COMPUTED_VALUE"""),"通常清掃必備だったが入っていなっかった")</f>
        <v>通常清掃必備だったが入っていなっかった</v>
      </c>
      <c r="H134" s="232"/>
      <c r="I134" s="232"/>
      <c r="J134" s="232"/>
      <c r="K134" s="232"/>
      <c r="L134" s="232"/>
      <c r="M134" s="1292"/>
      <c r="O134" s="286"/>
      <c r="P134" s="286"/>
      <c r="Q134" s="286"/>
      <c r="R134" s="1237"/>
      <c r="S134" s="286"/>
      <c r="T134" s="286"/>
      <c r="U134" s="1295"/>
      <c r="W134" s="1237" t="str">
        <f>'🔵クレーム'!C125</f>
        <v/>
      </c>
      <c r="X134" s="1237" t="str">
        <f>'🔵クレーム'!D125</f>
        <v/>
      </c>
      <c r="Y134" s="286" t="str">
        <f>'🔵クレーム'!I125</f>
        <v/>
      </c>
      <c r="Z134" s="1237" t="str">
        <f>'🔵クレーム'!J125</f>
        <v/>
      </c>
      <c r="AA134" s="1237" t="str">
        <f>'🔵クレーム'!K125</f>
        <v/>
      </c>
      <c r="AB134" s="1237" t="str">
        <f>'🔵クレーム'!L125</f>
        <v/>
      </c>
      <c r="AC134" s="1239" t="str">
        <f>'🔵クレーム'!N125</f>
        <v/>
      </c>
    </row>
    <row r="135" hidden="1" outlineLevel="1">
      <c r="B135" s="1294" t="str">
        <f>IFERROR(__xludf.DUMMYFUNCTION("""COMPUTED_VALUE"""),"8月")</f>
        <v>8月</v>
      </c>
      <c r="C135" s="982" t="str">
        <f>IFERROR(__xludf.DUMMYFUNCTION("""COMPUTED_VALUE"""),"21日")</f>
        <v>21日</v>
      </c>
      <c r="D135" s="982" t="str">
        <f>IFERROR(__xludf.DUMMYFUNCTION("""COMPUTED_VALUE"""),"セット漏れ")</f>
        <v>セット漏れ</v>
      </c>
      <c r="E135" s="982" t="str">
        <f>IFERROR(__xludf.DUMMYFUNCTION("""COMPUTED_VALUE"""),"カン")</f>
        <v>カン</v>
      </c>
      <c r="F135" s="982" t="str">
        <f>IFERROR(__xludf.DUMMYFUNCTION("""COMPUTED_VALUE"""),"早川")</f>
        <v>早川</v>
      </c>
      <c r="G135" s="1291" t="str">
        <f>IFERROR(__xludf.DUMMYFUNCTION("""COMPUTED_VALUE"""),"2名セットになってなかった。")</f>
        <v>2名セットになってなかった。</v>
      </c>
      <c r="H135" s="232"/>
      <c r="I135" s="232"/>
      <c r="J135" s="232"/>
      <c r="K135" s="232"/>
      <c r="L135" s="232"/>
      <c r="M135" s="1292"/>
      <c r="O135" s="286"/>
      <c r="P135" s="286"/>
      <c r="Q135" s="286"/>
      <c r="R135" s="1237"/>
      <c r="S135" s="286"/>
      <c r="T135" s="286"/>
      <c r="U135" s="1295"/>
      <c r="W135" s="1237" t="str">
        <f>'🔵クレーム'!C126</f>
        <v/>
      </c>
      <c r="X135" s="1237" t="str">
        <f>'🔵クレーム'!D126</f>
        <v/>
      </c>
      <c r="Y135" s="286" t="str">
        <f>'🔵クレーム'!I126</f>
        <v/>
      </c>
      <c r="Z135" s="1237" t="str">
        <f>'🔵クレーム'!J126</f>
        <v/>
      </c>
      <c r="AA135" s="1237" t="str">
        <f>'🔵クレーム'!K126</f>
        <v/>
      </c>
      <c r="AB135" s="1237" t="str">
        <f>'🔵クレーム'!L126</f>
        <v/>
      </c>
      <c r="AC135" s="1239" t="str">
        <f>'🔵クレーム'!N126</f>
        <v/>
      </c>
    </row>
    <row r="136" hidden="1" outlineLevel="1">
      <c r="B136" s="1294" t="str">
        <f>IFERROR(__xludf.DUMMYFUNCTION("""COMPUTED_VALUE"""),"8月")</f>
        <v>8月</v>
      </c>
      <c r="C136" s="982" t="str">
        <f>IFERROR(__xludf.DUMMYFUNCTION("""COMPUTED_VALUE"""),"27日")</f>
        <v>27日</v>
      </c>
      <c r="D136" s="982" t="str">
        <f>IFERROR(__xludf.DUMMYFUNCTION("""COMPUTED_VALUE"""),"汚れ")</f>
        <v>汚れ</v>
      </c>
      <c r="E136" s="982" t="str">
        <f>IFERROR(__xludf.DUMMYFUNCTION("""COMPUTED_VALUE"""),"エリ")</f>
        <v>エリ</v>
      </c>
      <c r="F136" s="982" t="str">
        <f>IFERROR(__xludf.DUMMYFUNCTION("""COMPUTED_VALUE"""),"プラミラ")</f>
        <v>プラミラ</v>
      </c>
      <c r="G136" s="1291" t="str">
        <f>IFERROR(__xludf.DUMMYFUNCTION("""COMPUTED_VALUE"""),"洗面台サビ，ハンドソープに髪の毛あり")</f>
        <v>洗面台サビ，ハンドソープに髪の毛あり</v>
      </c>
      <c r="H136" s="232"/>
      <c r="I136" s="232"/>
      <c r="J136" s="232"/>
      <c r="K136" s="232"/>
      <c r="L136" s="232"/>
      <c r="M136" s="1292"/>
      <c r="O136" s="286"/>
      <c r="P136" s="286"/>
      <c r="Q136" s="286"/>
      <c r="R136" s="1237"/>
      <c r="S136" s="286"/>
      <c r="T136" s="286"/>
      <c r="U136" s="1295"/>
      <c r="W136" s="1237" t="str">
        <f>'🔵クレーム'!C127</f>
        <v/>
      </c>
      <c r="X136" s="1237" t="str">
        <f>'🔵クレーム'!D127</f>
        <v/>
      </c>
      <c r="Y136" s="286" t="str">
        <f>'🔵クレーム'!I127</f>
        <v/>
      </c>
      <c r="Z136" s="1237" t="str">
        <f>'🔵クレーム'!J127</f>
        <v/>
      </c>
      <c r="AA136" s="1237" t="str">
        <f>'🔵クレーム'!K127</f>
        <v/>
      </c>
      <c r="AB136" s="1237" t="str">
        <f>'🔵クレーム'!L127</f>
        <v/>
      </c>
      <c r="AC136" s="1239" t="str">
        <f>'🔵クレーム'!N127</f>
        <v/>
      </c>
    </row>
    <row r="137" hidden="1" outlineLevel="1">
      <c r="B137" s="1294" t="str">
        <f>IFERROR(__xludf.DUMMYFUNCTION("""COMPUTED_VALUE"""),"8月")</f>
        <v>8月</v>
      </c>
      <c r="C137" s="982" t="str">
        <f>IFERROR(__xludf.DUMMYFUNCTION("""COMPUTED_VALUE"""),"27日")</f>
        <v>27日</v>
      </c>
      <c r="D137" s="982" t="str">
        <f>IFERROR(__xludf.DUMMYFUNCTION("""COMPUTED_VALUE"""),"清掃不備")</f>
        <v>清掃不備</v>
      </c>
      <c r="E137" s="982" t="str">
        <f>IFERROR(__xludf.DUMMYFUNCTION("""COMPUTED_VALUE"""),"ガルセス")</f>
        <v>ガルセス</v>
      </c>
      <c r="F137" s="982" t="str">
        <f>IFERROR(__xludf.DUMMYFUNCTION("""COMPUTED_VALUE"""),"ー")</f>
        <v>ー</v>
      </c>
      <c r="G137" s="1291" t="str">
        <f>IFERROR(__xludf.DUMMYFUNCTION("""COMPUTED_VALUE"""),"廊下に食べかけのドロップが落ちていた")</f>
        <v>廊下に食べかけのドロップが落ちていた</v>
      </c>
      <c r="H137" s="232"/>
      <c r="I137" s="232"/>
      <c r="J137" s="232"/>
      <c r="K137" s="232"/>
      <c r="L137" s="232"/>
      <c r="M137" s="1292"/>
      <c r="O137" s="286"/>
      <c r="P137" s="286"/>
      <c r="Q137" s="286"/>
      <c r="R137" s="1237"/>
      <c r="S137" s="286"/>
      <c r="T137" s="286"/>
      <c r="U137" s="1295"/>
      <c r="W137" s="1237" t="str">
        <f>'🔵クレーム'!C128</f>
        <v/>
      </c>
      <c r="X137" s="1237" t="str">
        <f>'🔵クレーム'!D128</f>
        <v/>
      </c>
      <c r="Y137" s="286" t="str">
        <f>'🔵クレーム'!I128</f>
        <v/>
      </c>
      <c r="Z137" s="1237" t="str">
        <f>'🔵クレーム'!J128</f>
        <v/>
      </c>
      <c r="AA137" s="1237" t="str">
        <f>'🔵クレーム'!K128</f>
        <v/>
      </c>
      <c r="AB137" s="1237" t="str">
        <f>'🔵クレーム'!L128</f>
        <v/>
      </c>
      <c r="AC137" s="1239" t="str">
        <f>'🔵クレーム'!N128</f>
        <v/>
      </c>
    </row>
    <row r="138" hidden="1" outlineLevel="1">
      <c r="B138" s="1294" t="str">
        <f>IFERROR(__xludf.DUMMYFUNCTION("""COMPUTED_VALUE"""),"8月")</f>
        <v>8月</v>
      </c>
      <c r="C138" s="982" t="str">
        <f>IFERROR(__xludf.DUMMYFUNCTION("""COMPUTED_VALUE"""),"31日")</f>
        <v>31日</v>
      </c>
      <c r="D138" s="982" t="str">
        <f>IFERROR(__xludf.DUMMYFUNCTION("""COMPUTED_VALUE"""),"口コミ")</f>
        <v>口コミ</v>
      </c>
      <c r="E138" s="982" t="str">
        <f>IFERROR(__xludf.DUMMYFUNCTION("""COMPUTED_VALUE"""),"―")</f>
        <v>―</v>
      </c>
      <c r="F138" s="982" t="str">
        <f>IFERROR(__xludf.DUMMYFUNCTION("""COMPUTED_VALUE"""),"―")</f>
        <v>―</v>
      </c>
      <c r="G138" s="1291" t="str">
        <f>IFERROR(__xludf.DUMMYFUNCTION("""COMPUTED_VALUE"""),"お風呂の匂いあり，ゴミ箱の蓋は目に見えて汚れています。")</f>
        <v>お風呂の匂いあり，ゴミ箱の蓋は目に見えて汚れています。</v>
      </c>
      <c r="H138" s="232"/>
      <c r="I138" s="232"/>
      <c r="J138" s="232"/>
      <c r="K138" s="232"/>
      <c r="L138" s="232"/>
      <c r="M138" s="1292"/>
      <c r="O138" s="286"/>
      <c r="P138" s="286"/>
      <c r="Q138" s="286"/>
      <c r="R138" s="1237"/>
      <c r="S138" s="286"/>
      <c r="T138" s="286"/>
      <c r="U138" s="1295"/>
      <c r="W138" s="1237" t="str">
        <f>'🔵クレーム'!C129</f>
        <v/>
      </c>
      <c r="X138" s="1237" t="str">
        <f>'🔵クレーム'!D129</f>
        <v/>
      </c>
      <c r="Y138" s="286" t="str">
        <f>'🔵クレーム'!I129</f>
        <v/>
      </c>
      <c r="Z138" s="1237" t="str">
        <f>'🔵クレーム'!J129</f>
        <v/>
      </c>
      <c r="AA138" s="1237" t="str">
        <f>'🔵クレーム'!K129</f>
        <v/>
      </c>
      <c r="AB138" s="1237" t="str">
        <f>'🔵クレーム'!L129</f>
        <v/>
      </c>
      <c r="AC138" s="1239" t="str">
        <f>'🔵クレーム'!N129</f>
        <v/>
      </c>
    </row>
    <row r="139" hidden="1" outlineLevel="1">
      <c r="B139" s="1294" t="str">
        <f>IFERROR(__xludf.DUMMYFUNCTION("""COMPUTED_VALUE"""),"9月")</f>
        <v>9月</v>
      </c>
      <c r="C139" s="982" t="str">
        <f>IFERROR(__xludf.DUMMYFUNCTION("""COMPUTED_VALUE"""),"4日")</f>
        <v>4日</v>
      </c>
      <c r="D139" s="982" t="str">
        <f>IFERROR(__xludf.DUMMYFUNCTION("""COMPUTED_VALUE"""),"その他")</f>
        <v>その他</v>
      </c>
      <c r="E139" s="982" t="str">
        <f>IFERROR(__xludf.DUMMYFUNCTION("""COMPUTED_VALUE"""),"宇佐見")</f>
        <v>宇佐見</v>
      </c>
      <c r="F139" s="982" t="str">
        <f>IFERROR(__xludf.DUMMYFUNCTION("""COMPUTED_VALUE"""),"大沼")</f>
        <v>大沼</v>
      </c>
      <c r="G139" s="1291" t="str">
        <f>IFERROR(__xludf.DUMMYFUNCTION("""COMPUTED_VALUE"""),"ドア全開。ドアの裏側に紙がありました。")</f>
        <v>ドア全開。ドアの裏側に紙がありました。</v>
      </c>
      <c r="H139" s="232"/>
      <c r="I139" s="232"/>
      <c r="J139" s="232"/>
      <c r="K139" s="232"/>
      <c r="L139" s="232"/>
      <c r="M139" s="1292"/>
      <c r="O139" s="286"/>
      <c r="P139" s="286"/>
      <c r="Q139" s="286"/>
      <c r="R139" s="1237"/>
      <c r="S139" s="286"/>
      <c r="T139" s="286"/>
      <c r="U139" s="1295"/>
      <c r="W139" s="1237" t="str">
        <f>'🔵クレーム'!C130</f>
        <v/>
      </c>
      <c r="X139" s="1237" t="str">
        <f>'🔵クレーム'!D130</f>
        <v/>
      </c>
      <c r="Y139" s="286" t="str">
        <f>'🔵クレーム'!I130</f>
        <v/>
      </c>
      <c r="Z139" s="1237" t="str">
        <f>'🔵クレーム'!J130</f>
        <v/>
      </c>
      <c r="AA139" s="1237" t="str">
        <f>'🔵クレーム'!K130</f>
        <v/>
      </c>
      <c r="AB139" s="1237" t="str">
        <f>'🔵クレーム'!L130</f>
        <v/>
      </c>
      <c r="AC139" s="1239" t="str">
        <f>'🔵クレーム'!N130</f>
        <v/>
      </c>
    </row>
    <row r="140" hidden="1" outlineLevel="1">
      <c r="B140" s="1294" t="str">
        <f>IFERROR(__xludf.DUMMYFUNCTION("""COMPUTED_VALUE"""),"9月")</f>
        <v>9月</v>
      </c>
      <c r="C140" s="982" t="str">
        <f>IFERROR(__xludf.DUMMYFUNCTION("""COMPUTED_VALUE"""),"6日")</f>
        <v>6日</v>
      </c>
      <c r="D140" s="982" t="str">
        <f>IFERROR(__xludf.DUMMYFUNCTION("""COMPUTED_VALUE"""),"残置")</f>
        <v>残置</v>
      </c>
      <c r="E140" s="982" t="str">
        <f>IFERROR(__xludf.DUMMYFUNCTION("""COMPUTED_VALUE"""),"ティラク")</f>
        <v>ティラク</v>
      </c>
      <c r="F140" s="982" t="str">
        <f>IFERROR(__xludf.DUMMYFUNCTION("""COMPUTED_VALUE"""),"早川")</f>
        <v>早川</v>
      </c>
      <c r="G140" s="1291" t="str">
        <f>IFERROR(__xludf.DUMMYFUNCTION("""COMPUTED_VALUE"""),"8/30にCOしたお客さんの携帯見つかりました。")</f>
        <v>8/30にCOしたお客さんの携帯見つかりました。</v>
      </c>
      <c r="H140" s="232"/>
      <c r="I140" s="232"/>
      <c r="J140" s="232"/>
      <c r="K140" s="232"/>
      <c r="L140" s="232"/>
      <c r="M140" s="1292"/>
      <c r="O140" s="286"/>
      <c r="P140" s="286"/>
      <c r="Q140" s="286"/>
      <c r="R140" s="1237"/>
      <c r="S140" s="286"/>
      <c r="T140" s="286"/>
      <c r="U140" s="1295"/>
      <c r="W140" s="1237" t="str">
        <f>'🔵クレーム'!C131</f>
        <v/>
      </c>
      <c r="X140" s="1237" t="str">
        <f>'🔵クレーム'!D131</f>
        <v/>
      </c>
      <c r="Y140" s="286" t="str">
        <f>'🔵クレーム'!I131</f>
        <v/>
      </c>
      <c r="Z140" s="1237" t="str">
        <f>'🔵クレーム'!J131</f>
        <v/>
      </c>
      <c r="AA140" s="1237" t="str">
        <f>'🔵クレーム'!K131</f>
        <v/>
      </c>
      <c r="AB140" s="1237" t="str">
        <f>'🔵クレーム'!L131</f>
        <v/>
      </c>
      <c r="AC140" s="1239" t="str">
        <f>'🔵クレーム'!N131</f>
        <v/>
      </c>
    </row>
    <row r="141" hidden="1" outlineLevel="1">
      <c r="B141" s="1294" t="str">
        <f>IFERROR(__xludf.DUMMYFUNCTION("""COMPUTED_VALUE"""),"9月")</f>
        <v>9月</v>
      </c>
      <c r="C141" s="982" t="str">
        <f>IFERROR(__xludf.DUMMYFUNCTION("""COMPUTED_VALUE"""),"6日")</f>
        <v>6日</v>
      </c>
      <c r="D141" s="982" t="str">
        <f>IFERROR(__xludf.DUMMYFUNCTION("""COMPUTED_VALUE"""),"口コミ")</f>
        <v>口コミ</v>
      </c>
      <c r="E141" s="982" t="str">
        <f>IFERROR(__xludf.DUMMYFUNCTION("""COMPUTED_VALUE"""),"―")</f>
        <v>―</v>
      </c>
      <c r="F141" s="982" t="str">
        <f>IFERROR(__xludf.DUMMYFUNCTION("""COMPUTED_VALUE"""),"―")</f>
        <v>―</v>
      </c>
      <c r="G141" s="1291" t="str">
        <f>IFERROR(__xludf.DUMMYFUNCTION("""COMPUTED_VALUE"""),"ベッドサイドに埃が多すぎる")</f>
        <v>ベッドサイドに埃が多すぎる</v>
      </c>
      <c r="H141" s="232"/>
      <c r="I141" s="232"/>
      <c r="J141" s="232"/>
      <c r="K141" s="232"/>
      <c r="L141" s="232"/>
      <c r="M141" s="1292"/>
      <c r="O141" s="286"/>
      <c r="P141" s="286"/>
      <c r="Q141" s="286"/>
      <c r="R141" s="1237"/>
      <c r="S141" s="286"/>
      <c r="T141" s="286"/>
      <c r="U141" s="1295"/>
      <c r="W141" s="1237" t="str">
        <f>'🔵クレーム'!C132</f>
        <v/>
      </c>
      <c r="X141" s="1237" t="str">
        <f>'🔵クレーム'!D132</f>
        <v/>
      </c>
      <c r="Y141" s="286" t="str">
        <f>'🔵クレーム'!I132</f>
        <v/>
      </c>
      <c r="Z141" s="1237" t="str">
        <f>'🔵クレーム'!J132</f>
        <v/>
      </c>
      <c r="AA141" s="1237" t="str">
        <f>'🔵クレーム'!K132</f>
        <v/>
      </c>
      <c r="AB141" s="1237" t="str">
        <f>'🔵クレーム'!L132</f>
        <v/>
      </c>
      <c r="AC141" s="1239" t="str">
        <f>'🔵クレーム'!N132</f>
        <v/>
      </c>
    </row>
    <row r="142" hidden="1" outlineLevel="1">
      <c r="B142" s="1294" t="str">
        <f>IFERROR(__xludf.DUMMYFUNCTION("""COMPUTED_VALUE"""),"9月")</f>
        <v>9月</v>
      </c>
      <c r="C142" s="982" t="str">
        <f>IFERROR(__xludf.DUMMYFUNCTION("""COMPUTED_VALUE"""),"16日")</f>
        <v>16日</v>
      </c>
      <c r="D142" s="982" t="str">
        <f>IFERROR(__xludf.DUMMYFUNCTION("""COMPUTED_VALUE"""),"セット漏れ")</f>
        <v>セット漏れ</v>
      </c>
      <c r="E142" s="982" t="str">
        <f>IFERROR(__xludf.DUMMYFUNCTION("""COMPUTED_VALUE"""),"カン")</f>
        <v>カン</v>
      </c>
      <c r="F142" s="982" t="str">
        <f>IFERROR(__xludf.DUMMYFUNCTION("""COMPUTED_VALUE"""),"ー")</f>
        <v>ー</v>
      </c>
      <c r="G142" s="1291" t="str">
        <f>IFERROR(__xludf.DUMMYFUNCTION("""COMPUTED_VALUE"""),"ランドリー袋設置漏れ")</f>
        <v>ランドリー袋設置漏れ</v>
      </c>
      <c r="H142" s="232"/>
      <c r="I142" s="232"/>
      <c r="J142" s="232"/>
      <c r="K142" s="232"/>
      <c r="L142" s="232"/>
      <c r="M142" s="1292"/>
      <c r="O142" s="286"/>
      <c r="P142" s="286"/>
      <c r="Q142" s="286"/>
      <c r="R142" s="1237"/>
      <c r="S142" s="286"/>
      <c r="T142" s="286"/>
      <c r="U142" s="1295"/>
      <c r="W142" s="1237" t="str">
        <f>'🔵クレーム'!C133</f>
        <v/>
      </c>
      <c r="X142" s="1237" t="str">
        <f>'🔵クレーム'!D133</f>
        <v/>
      </c>
      <c r="Y142" s="286" t="str">
        <f>'🔵クレーム'!I133</f>
        <v/>
      </c>
      <c r="Z142" s="1237" t="str">
        <f>'🔵クレーム'!J133</f>
        <v/>
      </c>
      <c r="AA142" s="1237" t="str">
        <f>'🔵クレーム'!K133</f>
        <v/>
      </c>
      <c r="AB142" s="1237" t="str">
        <f>'🔵クレーム'!L133</f>
        <v/>
      </c>
      <c r="AC142" s="1239" t="str">
        <f>'🔵クレーム'!N133</f>
        <v/>
      </c>
    </row>
    <row r="143" hidden="1" outlineLevel="1">
      <c r="B143" s="1294" t="str">
        <f>IFERROR(__xludf.DUMMYFUNCTION("""COMPUTED_VALUE"""),"9月")</f>
        <v>9月</v>
      </c>
      <c r="C143" s="982" t="str">
        <f>IFERROR(__xludf.DUMMYFUNCTION("""COMPUTED_VALUE"""),"16日")</f>
        <v>16日</v>
      </c>
      <c r="D143" s="982" t="str">
        <f>IFERROR(__xludf.DUMMYFUNCTION("""COMPUTED_VALUE"""),"残置")</f>
        <v>残置</v>
      </c>
      <c r="E143" s="982" t="str">
        <f>IFERROR(__xludf.DUMMYFUNCTION("""COMPUTED_VALUE"""),"小田原")</f>
        <v>小田原</v>
      </c>
      <c r="F143" s="982" t="str">
        <f>IFERROR(__xludf.DUMMYFUNCTION("""COMPUTED_VALUE"""),"大沼")</f>
        <v>大沼</v>
      </c>
      <c r="G143" s="1291" t="str">
        <f>IFERROR(__xludf.DUMMYFUNCTION("""COMPUTED_VALUE"""),"違う部屋のrk残ってきた")</f>
        <v>違う部屋のrk残ってきた</v>
      </c>
      <c r="H143" s="232"/>
      <c r="I143" s="232"/>
      <c r="J143" s="232"/>
      <c r="K143" s="232"/>
      <c r="L143" s="232"/>
      <c r="M143" s="1292"/>
      <c r="O143" s="286"/>
      <c r="P143" s="286"/>
      <c r="Q143" s="286"/>
      <c r="R143" s="1237"/>
      <c r="S143" s="286"/>
      <c r="T143" s="286"/>
      <c r="U143" s="1295"/>
      <c r="W143" s="1237" t="str">
        <f>'🔵クレーム'!C134</f>
        <v/>
      </c>
      <c r="X143" s="1237" t="str">
        <f>'🔵クレーム'!D134</f>
        <v/>
      </c>
      <c r="Y143" s="286" t="str">
        <f>'🔵クレーム'!I134</f>
        <v/>
      </c>
      <c r="Z143" s="1237" t="str">
        <f>'🔵クレーム'!J134</f>
        <v/>
      </c>
      <c r="AA143" s="1237" t="str">
        <f>'🔵クレーム'!K134</f>
        <v/>
      </c>
      <c r="AB143" s="1237" t="str">
        <f>'🔵クレーム'!L134</f>
        <v/>
      </c>
      <c r="AC143" s="1239" t="str">
        <f>'🔵クレーム'!N134</f>
        <v/>
      </c>
    </row>
    <row r="144" hidden="1" outlineLevel="1">
      <c r="B144" s="1294" t="str">
        <f>IFERROR(__xludf.DUMMYFUNCTION("""COMPUTED_VALUE"""),"9月")</f>
        <v>9月</v>
      </c>
      <c r="C144" s="982" t="str">
        <f>IFERROR(__xludf.DUMMYFUNCTION("""COMPUTED_VALUE"""),"22日")</f>
        <v>22日</v>
      </c>
      <c r="D144" s="982" t="str">
        <f>IFERROR(__xludf.DUMMYFUNCTION("""COMPUTED_VALUE"""),"その他")</f>
        <v>その他</v>
      </c>
      <c r="E144" s="982" t="str">
        <f>IFERROR(__xludf.DUMMYFUNCTION("""COMPUTED_VALUE"""),"シャキラ")</f>
        <v>シャキラ</v>
      </c>
      <c r="F144" s="982" t="str">
        <f>IFERROR(__xludf.DUMMYFUNCTION("""COMPUTED_VALUE"""),"ブラトキ")</f>
        <v>ブラトキ</v>
      </c>
      <c r="G144" s="1291" t="str">
        <f>IFERROR(__xludf.DUMMYFUNCTION("""COMPUTED_VALUE"""),"メイドの電気カードカードホルターにありました。")</f>
        <v>メイドの電気カードカードホルターにありました。</v>
      </c>
      <c r="H144" s="232"/>
      <c r="I144" s="232"/>
      <c r="J144" s="232"/>
      <c r="K144" s="232"/>
      <c r="L144" s="232"/>
      <c r="M144" s="1292"/>
      <c r="O144" s="286"/>
      <c r="P144" s="286"/>
      <c r="Q144" s="286"/>
      <c r="R144" s="1237"/>
      <c r="S144" s="286"/>
      <c r="T144" s="286"/>
      <c r="U144" s="1295"/>
      <c r="W144" s="1237" t="str">
        <f>'🔵クレーム'!C135</f>
        <v/>
      </c>
      <c r="X144" s="1237" t="str">
        <f>'🔵クレーム'!D135</f>
        <v/>
      </c>
      <c r="Y144" s="286" t="str">
        <f>'🔵クレーム'!I135</f>
        <v/>
      </c>
      <c r="Z144" s="1237" t="str">
        <f>'🔵クレーム'!J135</f>
        <v/>
      </c>
      <c r="AA144" s="1237" t="str">
        <f>'🔵クレーム'!K135</f>
        <v/>
      </c>
      <c r="AB144" s="1237" t="str">
        <f>'🔵クレーム'!L135</f>
        <v/>
      </c>
      <c r="AC144" s="1239" t="str">
        <f>'🔵クレーム'!N135</f>
        <v/>
      </c>
    </row>
    <row r="145" hidden="1" outlineLevel="1">
      <c r="B145" s="1294" t="str">
        <f>IFERROR(__xludf.DUMMYFUNCTION("""COMPUTED_VALUE"""),"10月")</f>
        <v>10月</v>
      </c>
      <c r="C145" s="982" t="str">
        <f>IFERROR(__xludf.DUMMYFUNCTION("""COMPUTED_VALUE"""),"5日")</f>
        <v>5日</v>
      </c>
      <c r="D145" s="982" t="str">
        <f>IFERROR(__xludf.DUMMYFUNCTION("""COMPUTED_VALUE"""),"口コミ")</f>
        <v>口コミ</v>
      </c>
      <c r="E145" s="982"/>
      <c r="F145" s="982"/>
      <c r="G145" s="1291" t="str">
        <f>IFERROR(__xludf.DUMMYFUNCTION("""COMPUTED_VALUE"""),"タオルと加湿器のフィルターが少し汚れています")</f>
        <v>タオルと加湿器のフィルターが少し汚れています</v>
      </c>
      <c r="H145" s="232"/>
      <c r="I145" s="232"/>
      <c r="J145" s="232"/>
      <c r="K145" s="232"/>
      <c r="L145" s="232"/>
      <c r="M145" s="1292"/>
      <c r="O145" s="286"/>
      <c r="P145" s="286"/>
      <c r="Q145" s="286"/>
      <c r="R145" s="1237"/>
      <c r="S145" s="286"/>
      <c r="T145" s="286"/>
      <c r="U145" s="1295"/>
      <c r="W145" s="1237" t="str">
        <f>'🔵クレーム'!C136</f>
        <v/>
      </c>
      <c r="X145" s="1237" t="str">
        <f>'🔵クレーム'!D136</f>
        <v/>
      </c>
      <c r="Y145" s="286" t="str">
        <f>'🔵クレーム'!I136</f>
        <v/>
      </c>
      <c r="Z145" s="1237" t="str">
        <f>'🔵クレーム'!J136</f>
        <v/>
      </c>
      <c r="AA145" s="1237" t="str">
        <f>'🔵クレーム'!K136</f>
        <v/>
      </c>
      <c r="AB145" s="1237" t="str">
        <f>'🔵クレーム'!L136</f>
        <v/>
      </c>
      <c r="AC145" s="1239" t="str">
        <f>'🔵クレーム'!N136</f>
        <v/>
      </c>
    </row>
    <row r="146" hidden="1" outlineLevel="1">
      <c r="B146" s="1294" t="str">
        <f>IFERROR(__xludf.DUMMYFUNCTION("""COMPUTED_VALUE"""),"10月")</f>
        <v>10月</v>
      </c>
      <c r="C146" s="982" t="str">
        <f>IFERROR(__xludf.DUMMYFUNCTION("""COMPUTED_VALUE"""),"9日")</f>
        <v>9日</v>
      </c>
      <c r="D146" s="982" t="str">
        <f>IFERROR(__xludf.DUMMYFUNCTION("""COMPUTED_VALUE"""),"口コミ")</f>
        <v>口コミ</v>
      </c>
      <c r="E146" s="982"/>
      <c r="F146" s="982"/>
      <c r="G146" s="1291" t="str">
        <f>IFERROR(__xludf.DUMMYFUNCTION("""COMPUTED_VALUE"""),"2晩続けてベッドの上に長い髪の毛が落ちていた")</f>
        <v>2晩続けてベッドの上に長い髪の毛が落ちていた</v>
      </c>
      <c r="H146" s="232"/>
      <c r="I146" s="232"/>
      <c r="J146" s="232"/>
      <c r="K146" s="232"/>
      <c r="L146" s="232"/>
      <c r="M146" s="1292"/>
      <c r="O146" s="286"/>
      <c r="P146" s="286"/>
      <c r="Q146" s="286"/>
      <c r="R146" s="1237"/>
      <c r="S146" s="286"/>
      <c r="T146" s="286"/>
      <c r="U146" s="1295"/>
      <c r="W146" s="1237" t="str">
        <f>'🔵クレーム'!C137</f>
        <v/>
      </c>
      <c r="X146" s="1237" t="str">
        <f>'🔵クレーム'!D137</f>
        <v/>
      </c>
      <c r="Y146" s="286" t="str">
        <f>'🔵クレーム'!I137</f>
        <v/>
      </c>
      <c r="Z146" s="1237" t="str">
        <f>'🔵クレーム'!J137</f>
        <v/>
      </c>
      <c r="AA146" s="1237" t="str">
        <f>'🔵クレーム'!K137</f>
        <v/>
      </c>
      <c r="AB146" s="1237" t="str">
        <f>'🔵クレーム'!L137</f>
        <v/>
      </c>
      <c r="AC146" s="1239" t="str">
        <f>'🔵クレーム'!N137</f>
        <v/>
      </c>
    </row>
    <row r="147" hidden="1" outlineLevel="1">
      <c r="B147" s="1294" t="str">
        <f>IFERROR(__xludf.DUMMYFUNCTION("""COMPUTED_VALUE"""),"10月")</f>
        <v>10月</v>
      </c>
      <c r="C147" s="982" t="str">
        <f>IFERROR(__xludf.DUMMYFUNCTION("""COMPUTED_VALUE"""),"10日")</f>
        <v>10日</v>
      </c>
      <c r="D147" s="982" t="str">
        <f>IFERROR(__xludf.DUMMYFUNCTION("""COMPUTED_VALUE"""),"髪の毛")</f>
        <v>髪の毛</v>
      </c>
      <c r="E147" s="982" t="str">
        <f>IFERROR(__xludf.DUMMYFUNCTION("""COMPUTED_VALUE"""),"カン")</f>
        <v>カン</v>
      </c>
      <c r="F147" s="982" t="str">
        <f>IFERROR(__xludf.DUMMYFUNCTION("""COMPUTED_VALUE"""),"大沼")</f>
        <v>大沼</v>
      </c>
      <c r="G147" s="1291" t="str">
        <f>IFERROR(__xludf.DUMMYFUNCTION("""COMPUTED_VALUE"""),"お風呂に髪の毛")</f>
        <v>お風呂に髪の毛</v>
      </c>
      <c r="H147" s="232"/>
      <c r="I147" s="232"/>
      <c r="J147" s="232"/>
      <c r="K147" s="232"/>
      <c r="L147" s="232"/>
      <c r="M147" s="1292"/>
      <c r="O147" s="1237"/>
      <c r="P147" s="1237"/>
      <c r="Q147" s="1237"/>
      <c r="R147" s="1237"/>
      <c r="S147" s="1237"/>
      <c r="T147" s="1237"/>
      <c r="U147" s="1239"/>
      <c r="W147" s="1237" t="str">
        <f>'🔵クレーム'!C138</f>
        <v/>
      </c>
      <c r="X147" s="1237" t="str">
        <f>'🔵クレーム'!D138</f>
        <v/>
      </c>
      <c r="Y147" s="286" t="str">
        <f>'🔵クレーム'!I138</f>
        <v/>
      </c>
      <c r="Z147" s="1237" t="str">
        <f>'🔵クレーム'!J138</f>
        <v/>
      </c>
      <c r="AA147" s="1237" t="str">
        <f>'🔵クレーム'!K138</f>
        <v/>
      </c>
      <c r="AB147" s="1237" t="str">
        <f>'🔵クレーム'!L138</f>
        <v/>
      </c>
      <c r="AC147" s="1239" t="str">
        <f>'🔵クレーム'!N138</f>
        <v/>
      </c>
    </row>
    <row r="148" hidden="1" outlineLevel="1">
      <c r="B148" s="1294" t="str">
        <f>IFERROR(__xludf.DUMMYFUNCTION("""COMPUTED_VALUE"""),"10月")</f>
        <v>10月</v>
      </c>
      <c r="C148" s="982" t="str">
        <f>IFERROR(__xludf.DUMMYFUNCTION("""COMPUTED_VALUE"""),"12日")</f>
        <v>12日</v>
      </c>
      <c r="D148" s="982" t="str">
        <f>IFERROR(__xludf.DUMMYFUNCTION("""COMPUTED_VALUE"""),"セット漏れ")</f>
        <v>セット漏れ</v>
      </c>
      <c r="E148" s="982" t="str">
        <f>IFERROR(__xludf.DUMMYFUNCTION("""COMPUTED_VALUE"""),"カン")</f>
        <v>カン</v>
      </c>
      <c r="F148" s="982" t="str">
        <f>IFERROR(__xludf.DUMMYFUNCTION("""COMPUTED_VALUE"""),"サンタ")</f>
        <v>サンタ</v>
      </c>
      <c r="G148" s="1291" t="str">
        <f>IFERROR(__xludf.DUMMYFUNCTION("""COMPUTED_VALUE"""),"灰皿設置漏れ")</f>
        <v>灰皿設置漏れ</v>
      </c>
      <c r="H148" s="232"/>
      <c r="I148" s="232"/>
      <c r="J148" s="232"/>
      <c r="K148" s="232"/>
      <c r="L148" s="232"/>
      <c r="M148" s="1292"/>
      <c r="O148" s="1237"/>
      <c r="P148" s="1237"/>
      <c r="Q148" s="1237"/>
      <c r="R148" s="1237"/>
      <c r="S148" s="1237"/>
      <c r="T148" s="1237"/>
      <c r="U148" s="1239"/>
      <c r="W148" s="1237" t="str">
        <f>'🔵クレーム'!C139</f>
        <v/>
      </c>
      <c r="X148" s="1237" t="str">
        <f>'🔵クレーム'!D139</f>
        <v/>
      </c>
      <c r="Y148" s="286" t="str">
        <f>'🔵クレーム'!I139</f>
        <v/>
      </c>
      <c r="Z148" s="1237" t="str">
        <f>'🔵クレーム'!J139</f>
        <v/>
      </c>
      <c r="AA148" s="1237" t="str">
        <f>'🔵クレーム'!K139</f>
        <v/>
      </c>
      <c r="AB148" s="1237" t="str">
        <f>'🔵クレーム'!L139</f>
        <v/>
      </c>
      <c r="AC148" s="1239" t="str">
        <f>'🔵クレーム'!N139</f>
        <v/>
      </c>
    </row>
    <row r="149" hidden="1" outlineLevel="1">
      <c r="B149" s="1294" t="str">
        <f>IFERROR(__xludf.DUMMYFUNCTION("""COMPUTED_VALUE"""),"10月")</f>
        <v>10月</v>
      </c>
      <c r="C149" s="982" t="str">
        <f>IFERROR(__xludf.DUMMYFUNCTION("""COMPUTED_VALUE"""),"12日")</f>
        <v>12日</v>
      </c>
      <c r="D149" s="982" t="str">
        <f>IFERROR(__xludf.DUMMYFUNCTION("""COMPUTED_VALUE"""),"口コミ")</f>
        <v>口コミ</v>
      </c>
      <c r="E149" s="982"/>
      <c r="F149" s="982"/>
      <c r="G149" s="1291" t="str">
        <f>IFERROR(__xludf.DUMMYFUNCTION("""COMPUTED_VALUE"""),"ベッドサイドの埃")</f>
        <v>ベッドサイドの埃</v>
      </c>
      <c r="H149" s="232"/>
      <c r="I149" s="232"/>
      <c r="J149" s="232"/>
      <c r="K149" s="232"/>
      <c r="L149" s="232"/>
      <c r="M149" s="1292"/>
      <c r="O149" s="1237"/>
      <c r="P149" s="1237"/>
      <c r="Q149" s="1237"/>
      <c r="R149" s="1237"/>
      <c r="S149" s="1237"/>
      <c r="T149" s="1237"/>
      <c r="U149" s="1239"/>
      <c r="W149" s="1237" t="str">
        <f>'🔵クレーム'!C140</f>
        <v/>
      </c>
      <c r="X149" s="1237" t="str">
        <f>'🔵クレーム'!D140</f>
        <v/>
      </c>
      <c r="Y149" s="286" t="str">
        <f>'🔵クレーム'!I140</f>
        <v/>
      </c>
      <c r="Z149" s="1237" t="str">
        <f>'🔵クレーム'!J140</f>
        <v/>
      </c>
      <c r="AA149" s="1237" t="str">
        <f>'🔵クレーム'!K140</f>
        <v/>
      </c>
      <c r="AB149" s="1237" t="str">
        <f>'🔵クレーム'!L140</f>
        <v/>
      </c>
      <c r="AC149" s="1239" t="str">
        <f>'🔵クレーム'!N140</f>
        <v/>
      </c>
    </row>
    <row r="150" hidden="1" outlineLevel="1">
      <c r="B150" s="1294" t="str">
        <f>IFERROR(__xludf.DUMMYFUNCTION("""COMPUTED_VALUE"""),"10月")</f>
        <v>10月</v>
      </c>
      <c r="C150" s="982" t="str">
        <f>IFERROR(__xludf.DUMMYFUNCTION("""COMPUTED_VALUE"""),"17日")</f>
        <v>17日</v>
      </c>
      <c r="D150" s="982" t="str">
        <f>IFERROR(__xludf.DUMMYFUNCTION("""COMPUTED_VALUE"""),"髪の毛")</f>
        <v>髪の毛</v>
      </c>
      <c r="E150" s="982" t="str">
        <f>IFERROR(__xludf.DUMMYFUNCTION("""COMPUTED_VALUE"""),"カン")</f>
        <v>カン</v>
      </c>
      <c r="F150" s="982" t="str">
        <f>IFERROR(__xludf.DUMMYFUNCTION("""COMPUTED_VALUE"""),"大沼")</f>
        <v>大沼</v>
      </c>
      <c r="G150" s="1291" t="str">
        <f>IFERROR(__xludf.DUMMYFUNCTION("""COMPUTED_VALUE"""),"シーツに髪の毛あります。")</f>
        <v>シーツに髪の毛あります。</v>
      </c>
      <c r="H150" s="232"/>
      <c r="I150" s="232"/>
      <c r="J150" s="232"/>
      <c r="K150" s="232"/>
      <c r="L150" s="232"/>
      <c r="M150" s="1292"/>
      <c r="O150" s="1237"/>
      <c r="P150" s="1237"/>
      <c r="Q150" s="1237"/>
      <c r="R150" s="1237"/>
      <c r="S150" s="1237"/>
      <c r="T150" s="1237"/>
      <c r="U150" s="1239"/>
      <c r="W150" s="1237" t="str">
        <f>'🔵クレーム'!C141</f>
        <v/>
      </c>
      <c r="X150" s="1237" t="str">
        <f>'🔵クレーム'!D141</f>
        <v/>
      </c>
      <c r="Y150" s="286" t="str">
        <f>'🔵クレーム'!I141</f>
        <v/>
      </c>
      <c r="Z150" s="1237" t="str">
        <f>'🔵クレーム'!J141</f>
        <v/>
      </c>
      <c r="AA150" s="1237" t="str">
        <f>'🔵クレーム'!K141</f>
        <v/>
      </c>
      <c r="AB150" s="1237" t="str">
        <f>'🔵クレーム'!L141</f>
        <v/>
      </c>
      <c r="AC150" s="1239" t="str">
        <f>'🔵クレーム'!N141</f>
        <v/>
      </c>
    </row>
    <row r="151" hidden="1" outlineLevel="1">
      <c r="B151" s="1294" t="str">
        <f>IFERROR(__xludf.DUMMYFUNCTION("""COMPUTED_VALUE"""),"10月")</f>
        <v>10月</v>
      </c>
      <c r="C151" s="982" t="str">
        <f>IFERROR(__xludf.DUMMYFUNCTION("""COMPUTED_VALUE"""),"18日")</f>
        <v>18日</v>
      </c>
      <c r="D151" s="982" t="str">
        <f>IFERROR(__xludf.DUMMYFUNCTION("""COMPUTED_VALUE"""),"セット漏れ")</f>
        <v>セット漏れ</v>
      </c>
      <c r="E151" s="982" t="str">
        <f>IFERROR(__xludf.DUMMYFUNCTION("""COMPUTED_VALUE"""),"カン")</f>
        <v>カン</v>
      </c>
      <c r="F151" s="982" t="str">
        <f>IFERROR(__xludf.DUMMYFUNCTION("""COMPUTED_VALUE"""),"大沼")</f>
        <v>大沼</v>
      </c>
      <c r="G151" s="1291" t="str">
        <f>IFERROR(__xludf.DUMMYFUNCTION("""COMPUTED_VALUE"""),"通常清掃の時パジャマとスリッパの入れ忘れ")</f>
        <v>通常清掃の時パジャマとスリッパの入れ忘れ</v>
      </c>
      <c r="H151" s="232"/>
      <c r="I151" s="232"/>
      <c r="J151" s="232"/>
      <c r="K151" s="232"/>
      <c r="L151" s="232"/>
      <c r="M151" s="1292"/>
      <c r="O151" s="1237"/>
      <c r="P151" s="1237"/>
      <c r="Q151" s="1237"/>
      <c r="R151" s="1237"/>
      <c r="S151" s="1237"/>
      <c r="T151" s="1237"/>
      <c r="U151" s="1239"/>
      <c r="W151" s="1237" t="str">
        <f>'🔵クレーム'!C142</f>
        <v/>
      </c>
      <c r="X151" s="1237" t="str">
        <f>'🔵クレーム'!D142</f>
        <v/>
      </c>
      <c r="Y151" s="286" t="str">
        <f>'🔵クレーム'!I142</f>
        <v/>
      </c>
      <c r="Z151" s="1237" t="str">
        <f>'🔵クレーム'!J142</f>
        <v/>
      </c>
      <c r="AA151" s="1237" t="str">
        <f>'🔵クレーム'!K142</f>
        <v/>
      </c>
      <c r="AB151" s="1237" t="str">
        <f>'🔵クレーム'!L142</f>
        <v/>
      </c>
      <c r="AC151" s="1239" t="str">
        <f>'🔵クレーム'!N142</f>
        <v/>
      </c>
    </row>
    <row r="152" hidden="1" outlineLevel="1">
      <c r="B152" s="1294" t="str">
        <f>IFERROR(__xludf.DUMMYFUNCTION("""COMPUTED_VALUE"""),"10月")</f>
        <v>10月</v>
      </c>
      <c r="C152" s="982" t="str">
        <f>IFERROR(__xludf.DUMMYFUNCTION("""COMPUTED_VALUE"""),"20日")</f>
        <v>20日</v>
      </c>
      <c r="D152" s="982" t="str">
        <f>IFERROR(__xludf.DUMMYFUNCTION("""COMPUTED_VALUE"""),"口コミ")</f>
        <v>口コミ</v>
      </c>
      <c r="E152" s="982"/>
      <c r="F152" s="982"/>
      <c r="G152" s="1291" t="str">
        <f>IFERROR(__xludf.DUMMYFUNCTION("""COMPUTED_VALUE"""),"部屋に埃あり")</f>
        <v>部屋に埃あり</v>
      </c>
      <c r="H152" s="232"/>
      <c r="I152" s="232"/>
      <c r="J152" s="232"/>
      <c r="K152" s="232"/>
      <c r="L152" s="232"/>
      <c r="M152" s="1292"/>
      <c r="O152" s="1237"/>
      <c r="P152" s="1237"/>
      <c r="Q152" s="1237"/>
      <c r="R152" s="1237"/>
      <c r="S152" s="1237"/>
      <c r="T152" s="1237"/>
      <c r="U152" s="1239"/>
      <c r="W152" s="1237" t="str">
        <f>'🔵クレーム'!C143</f>
        <v/>
      </c>
      <c r="X152" s="1237" t="str">
        <f>'🔵クレーム'!D143</f>
        <v/>
      </c>
      <c r="Y152" s="286" t="str">
        <f>'🔵クレーム'!I143</f>
        <v/>
      </c>
      <c r="Z152" s="1237" t="str">
        <f>'🔵クレーム'!J143</f>
        <v/>
      </c>
      <c r="AA152" s="1237" t="str">
        <f>'🔵クレーム'!K143</f>
        <v/>
      </c>
      <c r="AB152" s="1237" t="str">
        <f>'🔵クレーム'!L143</f>
        <v/>
      </c>
      <c r="AC152" s="1239" t="str">
        <f>'🔵クレーム'!N143</f>
        <v/>
      </c>
    </row>
    <row r="153" hidden="1" outlineLevel="1">
      <c r="B153" s="1294" t="str">
        <f>IFERROR(__xludf.DUMMYFUNCTION("""COMPUTED_VALUE"""),"10月")</f>
        <v>10月</v>
      </c>
      <c r="C153" s="982" t="str">
        <f>IFERROR(__xludf.DUMMYFUNCTION("""COMPUTED_VALUE"""),"21日")</f>
        <v>21日</v>
      </c>
      <c r="D153" s="982" t="str">
        <f>IFERROR(__xludf.DUMMYFUNCTION("""COMPUTED_VALUE"""),"セット漏れ")</f>
        <v>セット漏れ</v>
      </c>
      <c r="E153" s="982" t="str">
        <f>IFERROR(__xludf.DUMMYFUNCTION("""COMPUTED_VALUE"""),"エリ")</f>
        <v>エリ</v>
      </c>
      <c r="F153" s="982" t="str">
        <f>IFERROR(__xludf.DUMMYFUNCTION("""COMPUTED_VALUE"""),"プラミラ")</f>
        <v>プラミラ</v>
      </c>
      <c r="G153" s="1291" t="str">
        <f>IFERROR(__xludf.DUMMYFUNCTION("""COMPUTED_VALUE"""),"通常清掃の時パジャマ入れ忘れ")</f>
        <v>通常清掃の時パジャマ入れ忘れ</v>
      </c>
      <c r="H153" s="232"/>
      <c r="I153" s="232"/>
      <c r="J153" s="232"/>
      <c r="K153" s="232"/>
      <c r="L153" s="232"/>
      <c r="M153" s="1292"/>
      <c r="O153" s="1237"/>
      <c r="P153" s="1237"/>
      <c r="Q153" s="1237"/>
      <c r="R153" s="1237"/>
      <c r="S153" s="1237"/>
      <c r="T153" s="1237"/>
      <c r="U153" s="1239"/>
      <c r="W153" s="1237" t="str">
        <f>'🔵クレーム'!C144</f>
        <v/>
      </c>
      <c r="X153" s="1237" t="str">
        <f>'🔵クレーム'!D144</f>
        <v/>
      </c>
      <c r="Y153" s="286" t="str">
        <f>'🔵クレーム'!I144</f>
        <v/>
      </c>
      <c r="Z153" s="1237" t="str">
        <f>'🔵クレーム'!J144</f>
        <v/>
      </c>
      <c r="AA153" s="1237" t="str">
        <f>'🔵クレーム'!K144</f>
        <v/>
      </c>
      <c r="AB153" s="1237" t="str">
        <f>'🔵クレーム'!L144</f>
        <v/>
      </c>
      <c r="AC153" s="1239" t="str">
        <f>'🔵クレーム'!N144</f>
        <v/>
      </c>
    </row>
    <row r="154" hidden="1" outlineLevel="1">
      <c r="B154" s="1294" t="str">
        <f>IFERROR(__xludf.DUMMYFUNCTION("""COMPUTED_VALUE"""),"11月")</f>
        <v>11月</v>
      </c>
      <c r="C154" s="982" t="str">
        <f>IFERROR(__xludf.DUMMYFUNCTION("""COMPUTED_VALUE"""),"5日")</f>
        <v>5日</v>
      </c>
      <c r="D154" s="982" t="str">
        <f>IFERROR(__xludf.DUMMYFUNCTION("""COMPUTED_VALUE"""),"残置")</f>
        <v>残置</v>
      </c>
      <c r="E154" s="982" t="str">
        <f>IFERROR(__xludf.DUMMYFUNCTION("""COMPUTED_VALUE"""),"ティラク")</f>
        <v>ティラク</v>
      </c>
      <c r="F154" s="982" t="str">
        <f>IFERROR(__xludf.DUMMYFUNCTION("""COMPUTED_VALUE"""),"早川")</f>
        <v>早川</v>
      </c>
      <c r="G154" s="1291" t="str">
        <f>IFERROR(__xludf.DUMMYFUNCTION("""COMPUTED_VALUE"""),"前泊者の靴下丸いテーブルの横に落ちてた")</f>
        <v>前泊者の靴下丸いテーブルの横に落ちてた</v>
      </c>
      <c r="H154" s="232"/>
      <c r="I154" s="232"/>
      <c r="J154" s="232"/>
      <c r="K154" s="232"/>
      <c r="L154" s="232"/>
      <c r="M154" s="1292"/>
      <c r="O154" s="1237"/>
      <c r="P154" s="1237"/>
      <c r="Q154" s="1237"/>
      <c r="R154" s="1237"/>
      <c r="S154" s="1237"/>
      <c r="T154" s="1237"/>
      <c r="U154" s="1239"/>
      <c r="W154" s="1237" t="str">
        <f>'🔵クレーム'!C145</f>
        <v/>
      </c>
      <c r="X154" s="1237" t="str">
        <f>'🔵クレーム'!D145</f>
        <v/>
      </c>
      <c r="Y154" s="286" t="str">
        <f>'🔵クレーム'!I145</f>
        <v/>
      </c>
      <c r="Z154" s="1237" t="str">
        <f>'🔵クレーム'!J145</f>
        <v/>
      </c>
      <c r="AA154" s="1237" t="str">
        <f>'🔵クレーム'!K145</f>
        <v/>
      </c>
      <c r="AB154" s="1237" t="str">
        <f>'🔵クレーム'!L145</f>
        <v/>
      </c>
      <c r="AC154" s="1239" t="str">
        <f>'🔵クレーム'!N145</f>
        <v/>
      </c>
    </row>
    <row r="155" hidden="1" outlineLevel="1">
      <c r="B155" s="1294" t="str">
        <f>IFERROR(__xludf.DUMMYFUNCTION("""COMPUTED_VALUE"""),"11月")</f>
        <v>11月</v>
      </c>
      <c r="C155" s="982" t="str">
        <f>IFERROR(__xludf.DUMMYFUNCTION("""COMPUTED_VALUE"""),"23日")</f>
        <v>23日</v>
      </c>
      <c r="D155" s="982" t="str">
        <f>IFERROR(__xludf.DUMMYFUNCTION("""COMPUTED_VALUE"""),"セット漏れ")</f>
        <v>セット漏れ</v>
      </c>
      <c r="E155" s="982" t="str">
        <f>IFERROR(__xludf.DUMMYFUNCTION("""COMPUTED_VALUE"""),"笹田")</f>
        <v>笹田</v>
      </c>
      <c r="F155" s="982" t="str">
        <f>IFERROR(__xludf.DUMMYFUNCTION("""COMPUTED_VALUE"""),"タン")</f>
        <v>タン</v>
      </c>
      <c r="G155" s="1291" t="str">
        <f>IFERROR(__xludf.DUMMYFUNCTION("""COMPUTED_VALUE"""),"スリッパ設置してなかった")</f>
        <v>スリッパ設置してなかった</v>
      </c>
      <c r="H155" s="232"/>
      <c r="I155" s="232"/>
      <c r="J155" s="232"/>
      <c r="K155" s="232"/>
      <c r="L155" s="232"/>
      <c r="M155" s="1292"/>
      <c r="O155" s="1237"/>
      <c r="P155" s="1237"/>
      <c r="Q155" s="1237"/>
      <c r="R155" s="1237"/>
      <c r="S155" s="1237"/>
      <c r="T155" s="1237"/>
      <c r="U155" s="1239"/>
      <c r="W155" s="1237" t="str">
        <f>'🔵クレーム'!C146</f>
        <v/>
      </c>
      <c r="X155" s="1237" t="str">
        <f>'🔵クレーム'!D146</f>
        <v/>
      </c>
      <c r="Y155" s="286" t="str">
        <f>'🔵クレーム'!I146</f>
        <v/>
      </c>
      <c r="Z155" s="1237" t="str">
        <f>'🔵クレーム'!J146</f>
        <v/>
      </c>
      <c r="AA155" s="1237" t="str">
        <f>'🔵クレーム'!K146</f>
        <v/>
      </c>
      <c r="AB155" s="1237" t="str">
        <f>'🔵クレーム'!L146</f>
        <v/>
      </c>
      <c r="AC155" s="1239" t="str">
        <f>'🔵クレーム'!N146</f>
        <v/>
      </c>
    </row>
    <row r="156" hidden="1" outlineLevel="1">
      <c r="B156" s="1294" t="str">
        <f>IFERROR(__xludf.DUMMYFUNCTION("""COMPUTED_VALUE"""),"11月")</f>
        <v>11月</v>
      </c>
      <c r="C156" s="982" t="str">
        <f>IFERROR(__xludf.DUMMYFUNCTION("""COMPUTED_VALUE"""),"26日")</f>
        <v>26日</v>
      </c>
      <c r="D156" s="982"/>
      <c r="E156" s="982"/>
      <c r="F156" s="982"/>
      <c r="G156" s="1291" t="str">
        <f>IFERROR(__xludf.DUMMYFUNCTION("""COMPUTED_VALUE"""),"赤カビと空気清浄機に水残っていた")</f>
        <v>赤カビと空気清浄機に水残っていた</v>
      </c>
      <c r="H156" s="232"/>
      <c r="I156" s="232"/>
      <c r="J156" s="232"/>
      <c r="K156" s="232"/>
      <c r="L156" s="232"/>
      <c r="M156" s="1292"/>
      <c r="O156" s="1237"/>
      <c r="P156" s="1237"/>
      <c r="Q156" s="1237"/>
      <c r="R156" s="1237"/>
      <c r="S156" s="1237"/>
      <c r="T156" s="1237"/>
      <c r="U156" s="1239"/>
      <c r="W156" s="1237" t="str">
        <f>'🔵クレーム'!C147</f>
        <v/>
      </c>
      <c r="X156" s="1237" t="str">
        <f>'🔵クレーム'!D147</f>
        <v/>
      </c>
      <c r="Y156" s="286" t="str">
        <f>'🔵クレーム'!I147</f>
        <v/>
      </c>
      <c r="Z156" s="1237" t="str">
        <f>'🔵クレーム'!J147</f>
        <v/>
      </c>
      <c r="AA156" s="1237" t="str">
        <f>'🔵クレーム'!K147</f>
        <v/>
      </c>
      <c r="AB156" s="1237" t="str">
        <f>'🔵クレーム'!L147</f>
        <v/>
      </c>
      <c r="AC156" s="1239" t="str">
        <f>'🔵クレーム'!N147</f>
        <v/>
      </c>
    </row>
    <row r="157" hidden="1" outlineLevel="1">
      <c r="B157" s="1294" t="str">
        <f>IFERROR(__xludf.DUMMYFUNCTION("""COMPUTED_VALUE"""),"11月")</f>
        <v>11月</v>
      </c>
      <c r="C157" s="982" t="str">
        <f>IFERROR(__xludf.DUMMYFUNCTION("""COMPUTED_VALUE"""),"27日")</f>
        <v>27日</v>
      </c>
      <c r="D157" s="982" t="str">
        <f>IFERROR(__xludf.DUMMYFUNCTION("""COMPUTED_VALUE"""),"清掃不備")</f>
        <v>清掃不備</v>
      </c>
      <c r="E157" s="982" t="str">
        <f>IFERROR(__xludf.DUMMYFUNCTION("""COMPUTED_VALUE"""),"佐藤")</f>
        <v>佐藤</v>
      </c>
      <c r="F157" s="982" t="str">
        <f>IFERROR(__xludf.DUMMYFUNCTION("""COMPUTED_VALUE"""),"大沼")</f>
        <v>大沼</v>
      </c>
      <c r="G157" s="1291" t="str">
        <f>IFERROR(__xludf.DUMMYFUNCTION("""COMPUTED_VALUE"""),"シツに髪の毛と爪があった")</f>
        <v>シツに髪の毛と爪があった</v>
      </c>
      <c r="H157" s="232"/>
      <c r="I157" s="232"/>
      <c r="J157" s="232"/>
      <c r="K157" s="232"/>
      <c r="L157" s="232"/>
      <c r="M157" s="1292"/>
      <c r="O157" s="1237"/>
      <c r="P157" s="1237"/>
      <c r="Q157" s="1237"/>
      <c r="R157" s="1237"/>
      <c r="S157" s="1237"/>
      <c r="T157" s="1237"/>
      <c r="U157" s="1239"/>
      <c r="W157" s="1237" t="str">
        <f>'🔵クレーム'!C148</f>
        <v/>
      </c>
      <c r="X157" s="1237" t="str">
        <f>'🔵クレーム'!D148</f>
        <v/>
      </c>
      <c r="Y157" s="286" t="str">
        <f>'🔵クレーム'!I148</f>
        <v/>
      </c>
      <c r="Z157" s="1237" t="str">
        <f>'🔵クレーム'!J148</f>
        <v/>
      </c>
      <c r="AA157" s="1237" t="str">
        <f>'🔵クレーム'!K148</f>
        <v/>
      </c>
      <c r="AB157" s="1237" t="str">
        <f>'🔵クレーム'!L148</f>
        <v/>
      </c>
      <c r="AC157" s="1239" t="str">
        <f>'🔵クレーム'!N148</f>
        <v/>
      </c>
    </row>
    <row r="158" hidden="1" outlineLevel="1">
      <c r="B158" s="1294" t="str">
        <f>IFERROR(__xludf.DUMMYFUNCTION("""COMPUTED_VALUE"""),"11月")</f>
        <v>11月</v>
      </c>
      <c r="C158" s="982" t="str">
        <f>IFERROR(__xludf.DUMMYFUNCTION("""COMPUTED_VALUE"""),"28日")</f>
        <v>28日</v>
      </c>
      <c r="D158" s="982" t="str">
        <f>IFERROR(__xludf.DUMMYFUNCTION("""COMPUTED_VALUE"""),"髪の毛")</f>
        <v>髪の毛</v>
      </c>
      <c r="E158" s="982" t="str">
        <f>IFERROR(__xludf.DUMMYFUNCTION("""COMPUTED_VALUE"""),"佐藤")</f>
        <v>佐藤</v>
      </c>
      <c r="F158" s="982" t="str">
        <f>IFERROR(__xludf.DUMMYFUNCTION("""COMPUTED_VALUE"""),"大沼")</f>
        <v>大沼</v>
      </c>
      <c r="G158" s="1291" t="str">
        <f>IFERROR(__xludf.DUMMYFUNCTION("""COMPUTED_VALUE"""),"シーツに髪の毛")</f>
        <v>シーツに髪の毛</v>
      </c>
      <c r="H158" s="232"/>
      <c r="I158" s="232"/>
      <c r="J158" s="232"/>
      <c r="K158" s="232"/>
      <c r="L158" s="232"/>
      <c r="M158" s="1292"/>
      <c r="O158" s="1237"/>
      <c r="P158" s="1237"/>
      <c r="Q158" s="1237"/>
      <c r="R158" s="1237"/>
      <c r="S158" s="1237"/>
      <c r="T158" s="1237"/>
      <c r="U158" s="1239"/>
      <c r="W158" s="1237" t="str">
        <f>'🔵クレーム'!C149</f>
        <v/>
      </c>
      <c r="X158" s="1237" t="str">
        <f>'🔵クレーム'!D149</f>
        <v/>
      </c>
      <c r="Y158" s="286" t="str">
        <f>'🔵クレーム'!I149</f>
        <v/>
      </c>
      <c r="Z158" s="1237" t="str">
        <f>'🔵クレーム'!J149</f>
        <v/>
      </c>
      <c r="AA158" s="1237" t="str">
        <f>'🔵クレーム'!K149</f>
        <v/>
      </c>
      <c r="AB158" s="1237" t="str">
        <f>'🔵クレーム'!L149</f>
        <v/>
      </c>
      <c r="AC158" s="1239" t="str">
        <f>'🔵クレーム'!N149</f>
        <v/>
      </c>
    </row>
    <row r="159" hidden="1" outlineLevel="1">
      <c r="B159" s="1294" t="str">
        <f>IFERROR(__xludf.DUMMYFUNCTION("""COMPUTED_VALUE"""),"11月")</f>
        <v>11月</v>
      </c>
      <c r="C159" s="982" t="str">
        <f>IFERROR(__xludf.DUMMYFUNCTION("""COMPUTED_VALUE"""),"28日")</f>
        <v>28日</v>
      </c>
      <c r="D159" s="982" t="str">
        <f>IFERROR(__xludf.DUMMYFUNCTION("""COMPUTED_VALUE"""),"清掃不備")</f>
        <v>清掃不備</v>
      </c>
      <c r="E159" s="982" t="str">
        <f>IFERROR(__xludf.DUMMYFUNCTION("""COMPUTED_VALUE"""),"カン")</f>
        <v>カン</v>
      </c>
      <c r="F159" s="982" t="str">
        <f>IFERROR(__xludf.DUMMYFUNCTION("""COMPUTED_VALUE"""),"サンタ")</f>
        <v>サンタ</v>
      </c>
      <c r="G159" s="1291" t="str">
        <f>IFERROR(__xludf.DUMMYFUNCTION("""COMPUTED_VALUE"""),"ハンガー全くなし")</f>
        <v>ハンガー全くなし</v>
      </c>
      <c r="H159" s="232"/>
      <c r="I159" s="232"/>
      <c r="J159" s="232"/>
      <c r="K159" s="232"/>
      <c r="L159" s="232"/>
      <c r="M159" s="1292"/>
      <c r="O159" s="1237"/>
      <c r="P159" s="1237"/>
      <c r="Q159" s="1237"/>
      <c r="R159" s="1237"/>
      <c r="S159" s="1237"/>
      <c r="T159" s="1237"/>
      <c r="U159" s="1239"/>
      <c r="W159" s="1237" t="str">
        <f>'🔵クレーム'!C150</f>
        <v/>
      </c>
      <c r="X159" s="1237" t="str">
        <f>'🔵クレーム'!D150</f>
        <v/>
      </c>
      <c r="Y159" s="286" t="str">
        <f>'🔵クレーム'!I150</f>
        <v/>
      </c>
      <c r="Z159" s="1237" t="str">
        <f>'🔵クレーム'!J150</f>
        <v/>
      </c>
      <c r="AA159" s="1237" t="str">
        <f>'🔵クレーム'!K150</f>
        <v/>
      </c>
      <c r="AB159" s="1237" t="str">
        <f>'🔵クレーム'!L150</f>
        <v/>
      </c>
      <c r="AC159" s="1239" t="str">
        <f>'🔵クレーム'!N150</f>
        <v/>
      </c>
    </row>
    <row r="160" hidden="1" outlineLevel="1">
      <c r="B160" s="1294" t="str">
        <f>IFERROR(__xludf.DUMMYFUNCTION("""COMPUTED_VALUE"""),"12月")</f>
        <v>12月</v>
      </c>
      <c r="C160" s="982" t="str">
        <f>IFERROR(__xludf.DUMMYFUNCTION("""COMPUTED_VALUE"""),"4日")</f>
        <v>4日</v>
      </c>
      <c r="D160" s="982" t="str">
        <f>IFERROR(__xludf.DUMMYFUNCTION("""COMPUTED_VALUE"""),"残置")</f>
        <v>残置</v>
      </c>
      <c r="E160" s="982" t="str">
        <f>IFERROR(__xludf.DUMMYFUNCTION("""COMPUTED_VALUE"""),"カン")</f>
        <v>カン</v>
      </c>
      <c r="F160" s="982" t="str">
        <f>IFERROR(__xludf.DUMMYFUNCTION("""COMPUTED_VALUE"""),"タラ")</f>
        <v>タラ</v>
      </c>
      <c r="G160" s="1291" t="str">
        <f>IFERROR(__xludf.DUMMYFUNCTION("""COMPUTED_VALUE"""),"12／5アウト清掃で見つかった財布12/4COなったお客さんのものでした。")</f>
        <v>12／5アウト清掃で見つかった財布12/4COなったお客さんのものでした。</v>
      </c>
      <c r="H160" s="232"/>
      <c r="I160" s="232"/>
      <c r="J160" s="232"/>
      <c r="K160" s="232"/>
      <c r="L160" s="232"/>
      <c r="M160" s="1292"/>
      <c r="O160" s="1237"/>
      <c r="P160" s="1237"/>
      <c r="Q160" s="1237"/>
      <c r="R160" s="1237"/>
      <c r="S160" s="1237"/>
      <c r="T160" s="1237"/>
      <c r="U160" s="1239"/>
      <c r="W160" s="1237" t="str">
        <f>'🔵クレーム'!C151</f>
        <v/>
      </c>
      <c r="X160" s="1237" t="str">
        <f>'🔵クレーム'!D151</f>
        <v/>
      </c>
      <c r="Y160" s="286" t="str">
        <f>'🔵クレーム'!I151</f>
        <v/>
      </c>
      <c r="Z160" s="1237" t="str">
        <f>'🔵クレーム'!J151</f>
        <v/>
      </c>
      <c r="AA160" s="1237" t="str">
        <f>'🔵クレーム'!K151</f>
        <v/>
      </c>
      <c r="AB160" s="1237" t="str">
        <f>'🔵クレーム'!L151</f>
        <v/>
      </c>
      <c r="AC160" s="1239" t="str">
        <f>'🔵クレーム'!N151</f>
        <v/>
      </c>
    </row>
    <row r="161" hidden="1" outlineLevel="1">
      <c r="B161" s="1294" t="str">
        <f>IFERROR(__xludf.DUMMYFUNCTION("""COMPUTED_VALUE"""),"12月")</f>
        <v>12月</v>
      </c>
      <c r="C161" s="982" t="str">
        <f>IFERROR(__xludf.DUMMYFUNCTION("""COMPUTED_VALUE"""),"10日")</f>
        <v>10日</v>
      </c>
      <c r="D161" s="982" t="str">
        <f>IFERROR(__xludf.DUMMYFUNCTION("""COMPUTED_VALUE"""),"その他")</f>
        <v>その他</v>
      </c>
      <c r="E161" s="982" t="str">
        <f>IFERROR(__xludf.DUMMYFUNCTION("""COMPUTED_VALUE"""),"エリ")</f>
        <v>エリ</v>
      </c>
      <c r="F161" s="982"/>
      <c r="G161" s="1291" t="str">
        <f>IFERROR(__xludf.DUMMYFUNCTION("""COMPUTED_VALUE"""),"517、ドアしっかり閉めてなかった。")</f>
        <v>517、ドアしっかり閉めてなかった。</v>
      </c>
      <c r="H161" s="232"/>
      <c r="I161" s="232"/>
      <c r="J161" s="232"/>
      <c r="K161" s="232"/>
      <c r="L161" s="232"/>
      <c r="M161" s="1292"/>
      <c r="O161" s="1237"/>
      <c r="P161" s="1237"/>
      <c r="Q161" s="1237"/>
      <c r="R161" s="1237"/>
      <c r="S161" s="1237"/>
      <c r="T161" s="1237"/>
      <c r="U161" s="1239"/>
      <c r="W161" s="1237" t="str">
        <f>'🔵クレーム'!C152</f>
        <v/>
      </c>
      <c r="X161" s="1237" t="str">
        <f>'🔵クレーム'!D152</f>
        <v/>
      </c>
      <c r="Y161" s="286" t="str">
        <f>'🔵クレーム'!I152</f>
        <v/>
      </c>
      <c r="Z161" s="1237" t="str">
        <f>'🔵クレーム'!J152</f>
        <v/>
      </c>
      <c r="AA161" s="1237" t="str">
        <f>'🔵クレーム'!K152</f>
        <v/>
      </c>
      <c r="AB161" s="1237" t="str">
        <f>'🔵クレーム'!L152</f>
        <v/>
      </c>
      <c r="AC161" s="1239" t="str">
        <f>'🔵クレーム'!N152</f>
        <v/>
      </c>
    </row>
    <row r="162" hidden="1" outlineLevel="1">
      <c r="B162" s="1294" t="str">
        <f>IFERROR(__xludf.DUMMYFUNCTION("""COMPUTED_VALUE"""),"12月")</f>
        <v>12月</v>
      </c>
      <c r="C162" s="982" t="str">
        <f>IFERROR(__xludf.DUMMYFUNCTION("""COMPUTED_VALUE"""),"11日")</f>
        <v>11日</v>
      </c>
      <c r="D162" s="982" t="str">
        <f>IFERROR(__xludf.DUMMYFUNCTION("""COMPUTED_VALUE"""),"口コミ")</f>
        <v>口コミ</v>
      </c>
      <c r="E162" s="982" t="str">
        <f>IFERROR(__xludf.DUMMYFUNCTION("""COMPUTED_VALUE"""),"宇佐見")</f>
        <v>宇佐見</v>
      </c>
      <c r="F162" s="982" t="str">
        <f>IFERROR(__xludf.DUMMYFUNCTION("""COMPUTED_VALUE"""),"プラミラ")</f>
        <v>プラミラ</v>
      </c>
      <c r="G162" s="1291" t="str">
        <f>IFERROR(__xludf.DUMMYFUNCTION("""COMPUTED_VALUE"""),"シャワーカーテンが臭かった")</f>
        <v>シャワーカーテンが臭かった</v>
      </c>
      <c r="H162" s="232"/>
      <c r="I162" s="232"/>
      <c r="J162" s="232"/>
      <c r="K162" s="232"/>
      <c r="L162" s="232"/>
      <c r="M162" s="1292"/>
      <c r="O162" s="1237"/>
      <c r="P162" s="1237"/>
      <c r="Q162" s="1237"/>
      <c r="R162" s="1237"/>
      <c r="S162" s="1237"/>
      <c r="T162" s="1237"/>
      <c r="U162" s="1239"/>
      <c r="W162" s="1237" t="str">
        <f>'🔵クレーム'!C153</f>
        <v/>
      </c>
      <c r="X162" s="1237" t="str">
        <f>'🔵クレーム'!D153</f>
        <v/>
      </c>
      <c r="Y162" s="286" t="str">
        <f>'🔵クレーム'!I153</f>
        <v/>
      </c>
      <c r="Z162" s="1237" t="str">
        <f>'🔵クレーム'!J153</f>
        <v/>
      </c>
      <c r="AA162" s="1237" t="str">
        <f>'🔵クレーム'!K153</f>
        <v/>
      </c>
      <c r="AB162" s="1237" t="str">
        <f>'🔵クレーム'!L153</f>
        <v/>
      </c>
      <c r="AC162" s="1239" t="str">
        <f>'🔵クレーム'!N153</f>
        <v/>
      </c>
    </row>
    <row r="163" hidden="1" outlineLevel="1">
      <c r="B163" s="1294" t="str">
        <f>IFERROR(__xludf.DUMMYFUNCTION("""COMPUTED_VALUE"""),"12月")</f>
        <v>12月</v>
      </c>
      <c r="C163" s="982" t="str">
        <f>IFERROR(__xludf.DUMMYFUNCTION("""COMPUTED_VALUE"""),"12日")</f>
        <v>12日</v>
      </c>
      <c r="D163" s="982" t="str">
        <f>IFERROR(__xludf.DUMMYFUNCTION("""COMPUTED_VALUE"""),"残置")</f>
        <v>残置</v>
      </c>
      <c r="E163" s="982" t="str">
        <f>IFERROR(__xludf.DUMMYFUNCTION("""COMPUTED_VALUE"""),"エリ")</f>
        <v>エリ</v>
      </c>
      <c r="F163" s="982" t="str">
        <f>IFERROR(__xludf.DUMMYFUNCTION("""COMPUTED_VALUE"""),"ルパ")</f>
        <v>ルパ</v>
      </c>
      <c r="G163" s="1291" t="str">
        <f>IFERROR(__xludf.DUMMYFUNCTION("""COMPUTED_VALUE"""),"部屋の中拭き上げタオル置きっぱなし。")</f>
        <v>部屋の中拭き上げタオル置きっぱなし。</v>
      </c>
      <c r="H163" s="232"/>
      <c r="I163" s="232"/>
      <c r="J163" s="232"/>
      <c r="K163" s="232"/>
      <c r="L163" s="232"/>
      <c r="M163" s="1292"/>
      <c r="O163" s="1237"/>
      <c r="P163" s="1237"/>
      <c r="Q163" s="1237"/>
      <c r="R163" s="1237"/>
      <c r="S163" s="1237"/>
      <c r="T163" s="1237"/>
      <c r="U163" s="1239"/>
      <c r="W163" s="1237" t="str">
        <f>'🔵クレーム'!C154</f>
        <v/>
      </c>
      <c r="X163" s="1237" t="str">
        <f>'🔵クレーム'!D154</f>
        <v/>
      </c>
      <c r="Y163" s="286" t="str">
        <f>'🔵クレーム'!I154</f>
        <v/>
      </c>
      <c r="Z163" s="1237" t="str">
        <f>'🔵クレーム'!J154</f>
        <v/>
      </c>
      <c r="AA163" s="1237" t="str">
        <f>'🔵クレーム'!K154</f>
        <v/>
      </c>
      <c r="AB163" s="1237" t="str">
        <f>'🔵クレーム'!L154</f>
        <v/>
      </c>
      <c r="AC163" s="1239" t="str">
        <f>'🔵クレーム'!N154</f>
        <v/>
      </c>
    </row>
    <row r="164" hidden="1" outlineLevel="1">
      <c r="B164" s="1294" t="str">
        <f>IFERROR(__xludf.DUMMYFUNCTION("""COMPUTED_VALUE"""),"12月")</f>
        <v>12月</v>
      </c>
      <c r="C164" s="982" t="str">
        <f>IFERROR(__xludf.DUMMYFUNCTION("""COMPUTED_VALUE"""),"12日")</f>
        <v>12日</v>
      </c>
      <c r="D164" s="982" t="str">
        <f>IFERROR(__xludf.DUMMYFUNCTION("""COMPUTED_VALUE"""),"セット漏れ")</f>
        <v>セット漏れ</v>
      </c>
      <c r="E164" s="982" t="str">
        <f>IFERROR(__xludf.DUMMYFUNCTION("""COMPUTED_VALUE"""),"エリ")</f>
        <v>エリ</v>
      </c>
      <c r="F164" s="982" t="str">
        <f>IFERROR(__xludf.DUMMYFUNCTION("""COMPUTED_VALUE"""),"大沼")</f>
        <v>大沼</v>
      </c>
      <c r="G164" s="1291" t="str">
        <f>IFERROR(__xludf.DUMMYFUNCTION("""COMPUTED_VALUE"""),"タオルセットミス")</f>
        <v>タオルセットミス</v>
      </c>
      <c r="H164" s="232"/>
      <c r="I164" s="232"/>
      <c r="J164" s="232"/>
      <c r="K164" s="232"/>
      <c r="L164" s="232"/>
      <c r="M164" s="1292"/>
      <c r="O164" s="1237"/>
      <c r="P164" s="1237"/>
      <c r="Q164" s="1237"/>
      <c r="R164" s="1237"/>
      <c r="S164" s="1237"/>
      <c r="T164" s="1237"/>
      <c r="U164" s="1239"/>
      <c r="W164" s="1237" t="str">
        <f>'🔵クレーム'!C155</f>
        <v/>
      </c>
      <c r="X164" s="1237" t="str">
        <f>'🔵クレーム'!D155</f>
        <v/>
      </c>
      <c r="Y164" s="286" t="str">
        <f>'🔵クレーム'!I155</f>
        <v/>
      </c>
      <c r="Z164" s="1237" t="str">
        <f>'🔵クレーム'!J155</f>
        <v/>
      </c>
      <c r="AA164" s="1237" t="str">
        <f>'🔵クレーム'!K155</f>
        <v/>
      </c>
      <c r="AB164" s="1237" t="str">
        <f>'🔵クレーム'!L155</f>
        <v/>
      </c>
      <c r="AC164" s="1239" t="str">
        <f>'🔵クレーム'!N155</f>
        <v/>
      </c>
    </row>
    <row r="165" hidden="1" outlineLevel="1">
      <c r="B165" s="1294" t="str">
        <f>IFERROR(__xludf.DUMMYFUNCTION("""COMPUTED_VALUE"""),"12月")</f>
        <v>12月</v>
      </c>
      <c r="C165" s="982" t="str">
        <f>IFERROR(__xludf.DUMMYFUNCTION("""COMPUTED_VALUE"""),"13日")</f>
        <v>13日</v>
      </c>
      <c r="D165" s="982" t="str">
        <f>IFERROR(__xludf.DUMMYFUNCTION("""COMPUTED_VALUE"""),"口コミ")</f>
        <v>口コミ</v>
      </c>
      <c r="E165" s="982"/>
      <c r="F165" s="982"/>
      <c r="G165" s="1291" t="str">
        <f>IFERROR(__xludf.DUMMYFUNCTION("""COMPUTED_VALUE"""),"ゴミと判断して捨てた物がある")</f>
        <v>ゴミと判断して捨てた物がある</v>
      </c>
      <c r="H165" s="232"/>
      <c r="I165" s="232"/>
      <c r="J165" s="232"/>
      <c r="K165" s="232"/>
      <c r="L165" s="232"/>
      <c r="M165" s="1292"/>
      <c r="O165" s="1237"/>
      <c r="P165" s="1237"/>
      <c r="Q165" s="1237"/>
      <c r="R165" s="1237"/>
      <c r="S165" s="1237"/>
      <c r="T165" s="1237"/>
      <c r="U165" s="1239"/>
      <c r="W165" s="1237" t="str">
        <f>'🔵クレーム'!C156</f>
        <v/>
      </c>
      <c r="X165" s="1237" t="str">
        <f>'🔵クレーム'!D156</f>
        <v/>
      </c>
      <c r="Y165" s="286" t="str">
        <f>'🔵クレーム'!I156</f>
        <v/>
      </c>
      <c r="Z165" s="1237" t="str">
        <f>'🔵クレーム'!J156</f>
        <v/>
      </c>
      <c r="AA165" s="1237" t="str">
        <f>'🔵クレーム'!K156</f>
        <v/>
      </c>
      <c r="AB165" s="1237" t="str">
        <f>'🔵クレーム'!L156</f>
        <v/>
      </c>
      <c r="AC165" s="1239" t="str">
        <f>'🔵クレーム'!N156</f>
        <v/>
      </c>
    </row>
    <row r="166" hidden="1" outlineLevel="1">
      <c r="B166" s="1294" t="str">
        <f>IFERROR(__xludf.DUMMYFUNCTION("""COMPUTED_VALUE"""),"12月")</f>
        <v>12月</v>
      </c>
      <c r="C166" s="982" t="str">
        <f>IFERROR(__xludf.DUMMYFUNCTION("""COMPUTED_VALUE"""),"16日")</f>
        <v>16日</v>
      </c>
      <c r="D166" s="982" t="str">
        <f>IFERROR(__xludf.DUMMYFUNCTION("""COMPUTED_VALUE"""),"セット漏れ")</f>
        <v>セット漏れ</v>
      </c>
      <c r="E166" s="982" t="str">
        <f>IFERROR(__xludf.DUMMYFUNCTION("""COMPUTED_VALUE"""),"笹田")</f>
        <v>笹田</v>
      </c>
      <c r="F166" s="982" t="str">
        <f>IFERROR(__xludf.DUMMYFUNCTION("""COMPUTED_VALUE"""),"プラミラ")</f>
        <v>プラミラ</v>
      </c>
      <c r="G166" s="1291" t="str">
        <f>IFERROR(__xludf.DUMMYFUNCTION("""COMPUTED_VALUE"""),"パジャマ設置漏れ")</f>
        <v>パジャマ設置漏れ</v>
      </c>
      <c r="H166" s="232"/>
      <c r="I166" s="232"/>
      <c r="J166" s="232"/>
      <c r="K166" s="232"/>
      <c r="L166" s="232"/>
      <c r="M166" s="1292"/>
      <c r="O166" s="1237"/>
      <c r="P166" s="1237"/>
      <c r="Q166" s="1237"/>
      <c r="R166" s="1237"/>
      <c r="S166" s="1237"/>
      <c r="T166" s="1237"/>
      <c r="U166" s="1239"/>
      <c r="W166" s="1237" t="str">
        <f>'🔵クレーム'!C157</f>
        <v/>
      </c>
      <c r="X166" s="1237" t="str">
        <f>'🔵クレーム'!D157</f>
        <v/>
      </c>
      <c r="Y166" s="286" t="str">
        <f>'🔵クレーム'!I157</f>
        <v/>
      </c>
      <c r="Z166" s="1237" t="str">
        <f>'🔵クレーム'!J157</f>
        <v/>
      </c>
      <c r="AA166" s="1237" t="str">
        <f>'🔵クレーム'!K157</f>
        <v/>
      </c>
      <c r="AB166" s="1237" t="str">
        <f>'🔵クレーム'!L157</f>
        <v/>
      </c>
      <c r="AC166" s="1239" t="str">
        <f>'🔵クレーム'!N157</f>
        <v/>
      </c>
    </row>
    <row r="167" hidden="1" outlineLevel="1">
      <c r="B167" s="1294" t="str">
        <f>IFERROR(__xludf.DUMMYFUNCTION("""COMPUTED_VALUE"""),"12月")</f>
        <v>12月</v>
      </c>
      <c r="C167" s="982" t="str">
        <f>IFERROR(__xludf.DUMMYFUNCTION("""COMPUTED_VALUE"""),"22日")</f>
        <v>22日</v>
      </c>
      <c r="D167" s="982" t="str">
        <f>IFERROR(__xludf.DUMMYFUNCTION("""COMPUTED_VALUE"""),"清掃不備")</f>
        <v>清掃不備</v>
      </c>
      <c r="E167" s="982" t="str">
        <f>IFERROR(__xludf.DUMMYFUNCTION("""COMPUTED_VALUE"""),"エリ")</f>
        <v>エリ</v>
      </c>
      <c r="F167" s="982" t="str">
        <f>IFERROR(__xludf.DUMMYFUNCTION("""COMPUTED_VALUE"""),"早川")</f>
        <v>早川</v>
      </c>
      <c r="G167" s="1291" t="str">
        <f>IFERROR(__xludf.DUMMYFUNCTION("""COMPUTED_VALUE"""),"グラスにヒビあり")</f>
        <v>グラスにヒビあり</v>
      </c>
      <c r="H167" s="232"/>
      <c r="I167" s="232"/>
      <c r="J167" s="232"/>
      <c r="K167" s="232"/>
      <c r="L167" s="232"/>
      <c r="M167" s="1292"/>
      <c r="O167" s="1237"/>
      <c r="P167" s="1237"/>
      <c r="Q167" s="1237"/>
      <c r="R167" s="1237"/>
      <c r="S167" s="1237"/>
      <c r="T167" s="1237"/>
      <c r="U167" s="1239"/>
      <c r="W167" s="1237" t="str">
        <f>'🔵クレーム'!C158</f>
        <v/>
      </c>
      <c r="X167" s="1237" t="str">
        <f>'🔵クレーム'!D158</f>
        <v/>
      </c>
      <c r="Y167" s="286" t="str">
        <f>'🔵クレーム'!I158</f>
        <v/>
      </c>
      <c r="Z167" s="1237" t="str">
        <f>'🔵クレーム'!J158</f>
        <v/>
      </c>
      <c r="AA167" s="1237" t="str">
        <f>'🔵クレーム'!K158</f>
        <v/>
      </c>
      <c r="AB167" s="1237" t="str">
        <f>'🔵クレーム'!L158</f>
        <v/>
      </c>
      <c r="AC167" s="1239" t="str">
        <f>'🔵クレーム'!N158</f>
        <v/>
      </c>
    </row>
    <row r="168" hidden="1" outlineLevel="1">
      <c r="B168" s="1294" t="str">
        <f>IFERROR(__xludf.DUMMYFUNCTION("""COMPUTED_VALUE"""),"12月")</f>
        <v>12月</v>
      </c>
      <c r="C168" s="982" t="str">
        <f>IFERROR(__xludf.DUMMYFUNCTION("""COMPUTED_VALUE"""),"29日")</f>
        <v>29日</v>
      </c>
      <c r="D168" s="982" t="str">
        <f>IFERROR(__xludf.DUMMYFUNCTION("""COMPUTED_VALUE"""),"その他")</f>
        <v>その他</v>
      </c>
      <c r="E168" s="982"/>
      <c r="F168" s="982" t="str">
        <f>IFERROR(__xludf.DUMMYFUNCTION("""COMPUTED_VALUE"""),"アラム")</f>
        <v>アラム</v>
      </c>
      <c r="G168" s="1291" t="str">
        <f>IFERROR(__xludf.DUMMYFUNCTION("""COMPUTED_VALUE"""),"29日の忘れ物リネン庫にありました。")</f>
        <v>29日の忘れ物リネン庫にありました。</v>
      </c>
      <c r="H168" s="232"/>
      <c r="I168" s="232"/>
      <c r="J168" s="232"/>
      <c r="K168" s="232"/>
      <c r="L168" s="232"/>
      <c r="M168" s="1292"/>
      <c r="O168" s="1237"/>
      <c r="P168" s="1237"/>
      <c r="Q168" s="1237"/>
      <c r="R168" s="1237"/>
      <c r="S168" s="1237"/>
      <c r="T168" s="1237"/>
      <c r="U168" s="1239"/>
      <c r="W168" s="1237" t="str">
        <f>'🔵クレーム'!C159</f>
        <v/>
      </c>
      <c r="X168" s="1237" t="str">
        <f>'🔵クレーム'!D159</f>
        <v/>
      </c>
      <c r="Y168" s="286" t="str">
        <f>'🔵クレーム'!I159</f>
        <v/>
      </c>
      <c r="Z168" s="1237" t="str">
        <f>'🔵クレーム'!J159</f>
        <v/>
      </c>
      <c r="AA168" s="1237" t="str">
        <f>'🔵クレーム'!K159</f>
        <v/>
      </c>
      <c r="AB168" s="1237" t="str">
        <f>'🔵クレーム'!L159</f>
        <v/>
      </c>
      <c r="AC168" s="1239" t="str">
        <f>'🔵クレーム'!N159</f>
        <v/>
      </c>
    </row>
    <row r="169" hidden="1" outlineLevel="1">
      <c r="B169" s="1294" t="str">
        <f>IFERROR(__xludf.DUMMYFUNCTION("""COMPUTED_VALUE"""),"1月")</f>
        <v>1月</v>
      </c>
      <c r="C169" s="982" t="str">
        <f>IFERROR(__xludf.DUMMYFUNCTION("""COMPUTED_VALUE"""),"4日")</f>
        <v>4日</v>
      </c>
      <c r="D169" s="982" t="str">
        <f>IFERROR(__xludf.DUMMYFUNCTION("""COMPUTED_VALUE"""),"セット漏れ")</f>
        <v>セット漏れ</v>
      </c>
      <c r="E169" s="982" t="str">
        <f>IFERROR(__xludf.DUMMYFUNCTION("""COMPUTED_VALUE"""),"笹田")</f>
        <v>笹田</v>
      </c>
      <c r="F169" s="982"/>
      <c r="G169" s="1291" t="str">
        <f>IFERROR(__xludf.DUMMYFUNCTION("""COMPUTED_VALUE"""),"エキストラベッド設置漏れ")</f>
        <v>エキストラベッド設置漏れ</v>
      </c>
      <c r="H169" s="232"/>
      <c r="I169" s="232"/>
      <c r="J169" s="232"/>
      <c r="K169" s="232"/>
      <c r="L169" s="232"/>
      <c r="M169" s="1292"/>
      <c r="O169" s="1237"/>
      <c r="P169" s="1237"/>
      <c r="Q169" s="1237"/>
      <c r="R169" s="1237"/>
      <c r="S169" s="1237"/>
      <c r="T169" s="1237"/>
      <c r="U169" s="1237"/>
      <c r="W169" s="1237" t="str">
        <f>'🔵クレーム'!C160</f>
        <v/>
      </c>
      <c r="X169" s="1237" t="str">
        <f>'🔵クレーム'!D160</f>
        <v/>
      </c>
      <c r="Y169" s="286" t="str">
        <f>'🔵クレーム'!I160</f>
        <v/>
      </c>
      <c r="Z169" s="1237" t="str">
        <f>'🔵クレーム'!J160</f>
        <v/>
      </c>
      <c r="AA169" s="1237" t="str">
        <f>'🔵クレーム'!K160</f>
        <v/>
      </c>
      <c r="AB169" s="1237" t="str">
        <f>'🔵クレーム'!L160</f>
        <v/>
      </c>
      <c r="AC169" s="1239" t="str">
        <f>'🔵クレーム'!N160</f>
        <v/>
      </c>
    </row>
    <row r="170" hidden="1" outlineLevel="1">
      <c r="B170" s="1294" t="str">
        <f>IFERROR(__xludf.DUMMYFUNCTION("""COMPUTED_VALUE"""),"1月")</f>
        <v>1月</v>
      </c>
      <c r="C170" s="982" t="str">
        <f>IFERROR(__xludf.DUMMYFUNCTION("""COMPUTED_VALUE"""),"6日")</f>
        <v>6日</v>
      </c>
      <c r="D170" s="982" t="str">
        <f>IFERROR(__xludf.DUMMYFUNCTION("""COMPUTED_VALUE"""),"その他")</f>
        <v>その他</v>
      </c>
      <c r="E170" s="982" t="str">
        <f>IFERROR(__xludf.DUMMYFUNCTION("""COMPUTED_VALUE"""),"小田原")</f>
        <v>小田原</v>
      </c>
      <c r="F170" s="982" t="str">
        <f>IFERROR(__xludf.DUMMYFUNCTION("""COMPUTED_VALUE"""),"早川")</f>
        <v>早川</v>
      </c>
      <c r="G170" s="1291" t="str">
        <f>IFERROR(__xludf.DUMMYFUNCTION("""COMPUTED_VALUE"""),"バスマットに死んだ虫いました")</f>
        <v>バスマットに死んだ虫いました</v>
      </c>
      <c r="H170" s="232"/>
      <c r="I170" s="232"/>
      <c r="J170" s="232"/>
      <c r="K170" s="232"/>
      <c r="L170" s="232"/>
      <c r="M170" s="1292"/>
      <c r="O170" s="1237"/>
      <c r="P170" s="1237"/>
      <c r="Q170" s="1237"/>
      <c r="R170" s="1237"/>
      <c r="S170" s="1237"/>
      <c r="T170" s="1237"/>
      <c r="U170" s="1237"/>
      <c r="W170" s="1237" t="str">
        <f>'🔵クレーム'!C161</f>
        <v/>
      </c>
      <c r="X170" s="1237" t="str">
        <f>'🔵クレーム'!D161</f>
        <v/>
      </c>
      <c r="Y170" s="286" t="str">
        <f>'🔵クレーム'!I161</f>
        <v/>
      </c>
      <c r="Z170" s="1237" t="str">
        <f>'🔵クレーム'!J161</f>
        <v/>
      </c>
      <c r="AA170" s="1237" t="str">
        <f>'🔵クレーム'!K161</f>
        <v/>
      </c>
      <c r="AB170" s="1237" t="str">
        <f>'🔵クレーム'!L161</f>
        <v/>
      </c>
      <c r="AC170" s="1239" t="str">
        <f>'🔵クレーム'!N161</f>
        <v/>
      </c>
    </row>
    <row r="171" hidden="1" outlineLevel="1">
      <c r="B171" s="1294" t="str">
        <f>IFERROR(__xludf.DUMMYFUNCTION("""COMPUTED_VALUE"""),"1月")</f>
        <v>1月</v>
      </c>
      <c r="C171" s="982" t="str">
        <f>IFERROR(__xludf.DUMMYFUNCTION("""COMPUTED_VALUE"""),"15日")</f>
        <v>15日</v>
      </c>
      <c r="D171" s="982" t="str">
        <f>IFERROR(__xludf.DUMMYFUNCTION("""COMPUTED_VALUE"""),"セット漏れ")</f>
        <v>セット漏れ</v>
      </c>
      <c r="E171" s="982" t="str">
        <f>IFERROR(__xludf.DUMMYFUNCTION("""COMPUTED_VALUE"""),"佐藤")</f>
        <v>佐藤</v>
      </c>
      <c r="F171" s="982" t="str">
        <f>IFERROR(__xludf.DUMMYFUNCTION("""COMPUTED_VALUE"""),"－")</f>
        <v>－</v>
      </c>
      <c r="G171" s="1291" t="str">
        <f>IFERROR(__xludf.DUMMYFUNCTION("""COMPUTED_VALUE"""),"エコ清掃の部屋で2名セットの変更していなかった。")</f>
        <v>エコ清掃の部屋で2名セットの変更していなかった。</v>
      </c>
      <c r="H171" s="232"/>
      <c r="I171" s="232"/>
      <c r="J171" s="232"/>
      <c r="K171" s="232"/>
      <c r="L171" s="232"/>
      <c r="M171" s="1292"/>
      <c r="O171" s="1237"/>
      <c r="P171" s="1237"/>
      <c r="Q171" s="1237"/>
      <c r="R171" s="1237"/>
      <c r="S171" s="1237"/>
      <c r="T171" s="1237"/>
      <c r="U171" s="1237"/>
      <c r="W171" s="1237" t="str">
        <f>'🔵クレーム'!C162</f>
        <v/>
      </c>
      <c r="X171" s="1237" t="str">
        <f>'🔵クレーム'!D162</f>
        <v/>
      </c>
      <c r="Y171" s="286" t="str">
        <f>'🔵クレーム'!I162</f>
        <v/>
      </c>
      <c r="Z171" s="1237" t="str">
        <f>'🔵クレーム'!J162</f>
        <v/>
      </c>
      <c r="AA171" s="1237" t="str">
        <f>'🔵クレーム'!K162</f>
        <v/>
      </c>
      <c r="AB171" s="1237" t="str">
        <f>'🔵クレーム'!L162</f>
        <v/>
      </c>
      <c r="AC171" s="1239" t="str">
        <f>'🔵クレーム'!N162</f>
        <v/>
      </c>
    </row>
    <row r="172" hidden="1" outlineLevel="1">
      <c r="B172" s="1294" t="str">
        <f>IFERROR(__xludf.DUMMYFUNCTION("""COMPUTED_VALUE"""),"1月")</f>
        <v>1月</v>
      </c>
      <c r="C172" s="982" t="str">
        <f>IFERROR(__xludf.DUMMYFUNCTION("""COMPUTED_VALUE"""),"17日")</f>
        <v>17日</v>
      </c>
      <c r="D172" s="982" t="str">
        <f>IFERROR(__xludf.DUMMYFUNCTION("""COMPUTED_VALUE"""),"清掃不備")</f>
        <v>清掃不備</v>
      </c>
      <c r="E172" s="982" t="str">
        <f>IFERROR(__xludf.DUMMYFUNCTION("""COMPUTED_VALUE"""),"カン")</f>
        <v>カン</v>
      </c>
      <c r="F172" s="982" t="str">
        <f>IFERROR(__xludf.DUMMYFUNCTION("""COMPUTED_VALUE"""),"大沼")</f>
        <v>大沼</v>
      </c>
      <c r="G172" s="1291" t="str">
        <f>IFERROR(__xludf.DUMMYFUNCTION("""COMPUTED_VALUE"""),"机に髪の毛、トイレットペーパー
ずれてる、排水溝の蓋ずれている")</f>
        <v>机に髪の毛、トイレットペーパー
ずれてる、排水溝の蓋ずれている</v>
      </c>
      <c r="H172" s="232"/>
      <c r="I172" s="232"/>
      <c r="J172" s="232"/>
      <c r="K172" s="232"/>
      <c r="L172" s="232"/>
      <c r="M172" s="1292"/>
      <c r="O172" s="1237"/>
      <c r="P172" s="1237"/>
      <c r="Q172" s="1237"/>
      <c r="R172" s="1237"/>
      <c r="S172" s="1237"/>
      <c r="T172" s="1237"/>
      <c r="U172" s="1237"/>
      <c r="W172" s="1237" t="str">
        <f>'🔵クレーム'!C163</f>
        <v/>
      </c>
      <c r="X172" s="1237" t="str">
        <f>'🔵クレーム'!D163</f>
        <v/>
      </c>
      <c r="Y172" s="286" t="str">
        <f>'🔵クレーム'!I163</f>
        <v/>
      </c>
      <c r="Z172" s="1237" t="str">
        <f>'🔵クレーム'!J163</f>
        <v/>
      </c>
      <c r="AA172" s="1237" t="str">
        <f>'🔵クレーム'!K163</f>
        <v/>
      </c>
      <c r="AB172" s="1237" t="str">
        <f>'🔵クレーム'!L163</f>
        <v/>
      </c>
      <c r="AC172" s="1239" t="str">
        <f>'🔵クレーム'!N163</f>
        <v/>
      </c>
    </row>
    <row r="173" hidden="1" outlineLevel="1">
      <c r="B173" s="1294" t="str">
        <f>IFERROR(__xludf.DUMMYFUNCTION("""COMPUTED_VALUE"""),"1月")</f>
        <v>1月</v>
      </c>
      <c r="C173" s="982" t="str">
        <f>IFERROR(__xludf.DUMMYFUNCTION("""COMPUTED_VALUE"""),"17日")</f>
        <v>17日</v>
      </c>
      <c r="D173" s="982" t="str">
        <f>IFERROR(__xludf.DUMMYFUNCTION("""COMPUTED_VALUE"""),"手配ミス")</f>
        <v>手配ミス</v>
      </c>
      <c r="E173" s="982" t="str">
        <f>IFERROR(__xludf.DUMMYFUNCTION("""COMPUTED_VALUE"""),"－")</f>
        <v>－</v>
      </c>
      <c r="F173" s="982" t="str">
        <f>IFERROR(__xludf.DUMMYFUNCTION("""COMPUTED_VALUE"""),"オウ")</f>
        <v>オウ</v>
      </c>
      <c r="G173" s="1291" t="str">
        <f>IFERROR(__xludf.DUMMYFUNCTION("""COMPUTED_VALUE"""),"エコ清掃されていない")</f>
        <v>エコ清掃されていない</v>
      </c>
      <c r="H173" s="232"/>
      <c r="I173" s="232"/>
      <c r="J173" s="232"/>
      <c r="K173" s="232"/>
      <c r="L173" s="232"/>
      <c r="M173" s="1292"/>
      <c r="O173" s="1237"/>
      <c r="P173" s="1237"/>
      <c r="Q173" s="1237"/>
      <c r="R173" s="1237"/>
      <c r="S173" s="1237"/>
      <c r="T173" s="1237"/>
      <c r="U173" s="1237"/>
      <c r="W173" s="1237" t="str">
        <f>'🔵クレーム'!C164</f>
        <v/>
      </c>
      <c r="X173" s="1237" t="str">
        <f>'🔵クレーム'!D164</f>
        <v/>
      </c>
      <c r="Y173" s="286" t="str">
        <f>'🔵クレーム'!I164</f>
        <v/>
      </c>
      <c r="Z173" s="1237" t="str">
        <f>'🔵クレーム'!J164</f>
        <v/>
      </c>
      <c r="AA173" s="1237" t="str">
        <f>'🔵クレーム'!K164</f>
        <v/>
      </c>
      <c r="AB173" s="1237" t="str">
        <f>'🔵クレーム'!L164</f>
        <v/>
      </c>
      <c r="AC173" s="1239" t="str">
        <f>'🔵クレーム'!N164</f>
        <v/>
      </c>
    </row>
    <row r="174" hidden="1" outlineLevel="1">
      <c r="B174" s="1294" t="str">
        <f>IFERROR(__xludf.DUMMYFUNCTION("""COMPUTED_VALUE"""),"1月")</f>
        <v>1月</v>
      </c>
      <c r="C174" s="982" t="str">
        <f>IFERROR(__xludf.DUMMYFUNCTION("""COMPUTED_VALUE"""),"17日")</f>
        <v>17日</v>
      </c>
      <c r="D174" s="982" t="str">
        <f>IFERROR(__xludf.DUMMYFUNCTION("""COMPUTED_VALUE"""),"手配ミス")</f>
        <v>手配ミス</v>
      </c>
      <c r="E174" s="982" t="str">
        <f>IFERROR(__xludf.DUMMYFUNCTION("""COMPUTED_VALUE"""),"－")</f>
        <v>－</v>
      </c>
      <c r="F174" s="982" t="str">
        <f>IFERROR(__xludf.DUMMYFUNCTION("""COMPUTED_VALUE"""),"オウ")</f>
        <v>オウ</v>
      </c>
      <c r="G174" s="1291" t="str">
        <f>IFERROR(__xludf.DUMMYFUNCTION("""COMPUTED_VALUE"""),"エコ清掃されていない")</f>
        <v>エコ清掃されていない</v>
      </c>
      <c r="H174" s="232"/>
      <c r="I174" s="232"/>
      <c r="J174" s="232"/>
      <c r="K174" s="232"/>
      <c r="L174" s="232"/>
      <c r="M174" s="1292"/>
      <c r="O174" s="1237"/>
      <c r="P174" s="1237"/>
      <c r="Q174" s="1237"/>
      <c r="R174" s="1237"/>
      <c r="S174" s="1237"/>
      <c r="T174" s="1237"/>
      <c r="U174" s="1237"/>
      <c r="W174" s="1237" t="str">
        <f>'🔵クレーム'!C165</f>
        <v/>
      </c>
      <c r="X174" s="1237" t="str">
        <f>'🔵クレーム'!D165</f>
        <v/>
      </c>
      <c r="Y174" s="286" t="str">
        <f>'🔵クレーム'!I165</f>
        <v/>
      </c>
      <c r="Z174" s="1237" t="str">
        <f>'🔵クレーム'!J165</f>
        <v/>
      </c>
      <c r="AA174" s="1237" t="str">
        <f>'🔵クレーム'!K165</f>
        <v/>
      </c>
      <c r="AB174" s="1237" t="str">
        <f>'🔵クレーム'!L165</f>
        <v/>
      </c>
      <c r="AC174" s="1239" t="str">
        <f>'🔵クレーム'!N165</f>
        <v/>
      </c>
    </row>
    <row r="175" hidden="1" outlineLevel="1">
      <c r="B175" s="1294" t="str">
        <f>IFERROR(__xludf.DUMMYFUNCTION("""COMPUTED_VALUE"""),"1月")</f>
        <v>1月</v>
      </c>
      <c r="C175" s="982" t="str">
        <f>IFERROR(__xludf.DUMMYFUNCTION("""COMPUTED_VALUE"""),"17日")</f>
        <v>17日</v>
      </c>
      <c r="D175" s="982" t="str">
        <f>IFERROR(__xludf.DUMMYFUNCTION("""COMPUTED_VALUE"""),"その他")</f>
        <v>その他</v>
      </c>
      <c r="E175" s="982" t="str">
        <f>IFERROR(__xludf.DUMMYFUNCTION("""COMPUTED_VALUE"""),"メイ")</f>
        <v>メイ</v>
      </c>
      <c r="F175" s="982"/>
      <c r="G175" s="1291" t="str">
        <f>IFERROR(__xludf.DUMMYFUNCTION("""COMPUTED_VALUE"""),"インカム確認漏れ")</f>
        <v>インカム確認漏れ</v>
      </c>
      <c r="H175" s="232"/>
      <c r="I175" s="232"/>
      <c r="J175" s="232"/>
      <c r="K175" s="232"/>
      <c r="L175" s="232"/>
      <c r="M175" s="1292"/>
      <c r="O175" s="1237"/>
      <c r="P175" s="1237"/>
      <c r="Q175" s="1237"/>
      <c r="R175" s="1237"/>
      <c r="S175" s="1237"/>
      <c r="T175" s="1237"/>
      <c r="U175" s="1237"/>
      <c r="W175" s="1237" t="str">
        <f>'🔵クレーム'!C166</f>
        <v/>
      </c>
      <c r="X175" s="1237" t="str">
        <f>'🔵クレーム'!D166</f>
        <v/>
      </c>
      <c r="Y175" s="286" t="str">
        <f>'🔵クレーム'!I166</f>
        <v/>
      </c>
      <c r="Z175" s="1237" t="str">
        <f>'🔵クレーム'!J166</f>
        <v/>
      </c>
      <c r="AA175" s="1237" t="str">
        <f>'🔵クレーム'!K166</f>
        <v/>
      </c>
      <c r="AB175" s="1237" t="str">
        <f>'🔵クレーム'!L166</f>
        <v/>
      </c>
      <c r="AC175" s="1239" t="str">
        <f>'🔵クレーム'!N166</f>
        <v/>
      </c>
    </row>
    <row r="176" hidden="1" outlineLevel="1">
      <c r="B176" s="1294" t="str">
        <f>IFERROR(__xludf.DUMMYFUNCTION("""COMPUTED_VALUE"""),"1月")</f>
        <v>1月</v>
      </c>
      <c r="C176" s="982" t="str">
        <f>IFERROR(__xludf.DUMMYFUNCTION("""COMPUTED_VALUE"""),"18日")</f>
        <v>18日</v>
      </c>
      <c r="D176" s="982" t="str">
        <f>IFERROR(__xludf.DUMMYFUNCTION("""COMPUTED_VALUE"""),"その他")</f>
        <v>その他</v>
      </c>
      <c r="E176" s="982" t="str">
        <f>IFERROR(__xludf.DUMMYFUNCTION("""COMPUTED_VALUE"""),"カン")</f>
        <v>カン</v>
      </c>
      <c r="F176" s="982"/>
      <c r="G176" s="1291" t="str">
        <f>IFERROR(__xludf.DUMMYFUNCTION("""COMPUTED_VALUE"""),"インカム確認漏れ")</f>
        <v>インカム確認漏れ</v>
      </c>
      <c r="H176" s="232"/>
      <c r="I176" s="232"/>
      <c r="J176" s="232"/>
      <c r="K176" s="232"/>
      <c r="L176" s="232"/>
      <c r="M176" s="1292"/>
      <c r="O176" s="1237"/>
      <c r="P176" s="1237"/>
      <c r="Q176" s="1237"/>
      <c r="R176" s="1237"/>
      <c r="S176" s="1237"/>
      <c r="T176" s="1237"/>
      <c r="U176" s="1237"/>
      <c r="W176" s="1237" t="str">
        <f>'🔵クレーム'!C167</f>
        <v/>
      </c>
      <c r="X176" s="1237" t="str">
        <f>'🔵クレーム'!D167</f>
        <v/>
      </c>
      <c r="Y176" s="286" t="str">
        <f>'🔵クレーム'!I167</f>
        <v/>
      </c>
      <c r="Z176" s="1237" t="str">
        <f>'🔵クレーム'!J167</f>
        <v/>
      </c>
      <c r="AA176" s="1237" t="str">
        <f>'🔵クレーム'!K167</f>
        <v/>
      </c>
      <c r="AB176" s="1237" t="str">
        <f>'🔵クレーム'!L167</f>
        <v/>
      </c>
      <c r="AC176" s="1239" t="str">
        <f>'🔵クレーム'!N167</f>
        <v/>
      </c>
    </row>
    <row r="177" hidden="1" outlineLevel="1">
      <c r="B177" s="1294" t="str">
        <f>IFERROR(__xludf.DUMMYFUNCTION("""COMPUTED_VALUE"""),"1月")</f>
        <v>1月</v>
      </c>
      <c r="C177" s="982" t="str">
        <f>IFERROR(__xludf.DUMMYFUNCTION("""COMPUTED_VALUE"""),"18日")</f>
        <v>18日</v>
      </c>
      <c r="D177" s="982" t="str">
        <f>IFERROR(__xludf.DUMMYFUNCTION("""COMPUTED_VALUE"""),"その他")</f>
        <v>その他</v>
      </c>
      <c r="E177" s="982" t="str">
        <f>IFERROR(__xludf.DUMMYFUNCTION("""COMPUTED_VALUE"""),"メイ")</f>
        <v>メイ</v>
      </c>
      <c r="F177" s="982"/>
      <c r="G177" s="1291" t="str">
        <f>IFERROR(__xludf.DUMMYFUNCTION("""COMPUTED_VALUE"""),"インカム確認漏れ")</f>
        <v>インカム確認漏れ</v>
      </c>
      <c r="H177" s="232"/>
      <c r="I177" s="232"/>
      <c r="J177" s="232"/>
      <c r="K177" s="232"/>
      <c r="L177" s="232"/>
      <c r="M177" s="1292"/>
      <c r="O177" s="1237"/>
      <c r="P177" s="1237"/>
      <c r="Q177" s="1237"/>
      <c r="R177" s="1237"/>
      <c r="S177" s="1237"/>
      <c r="T177" s="1237"/>
      <c r="U177" s="1237"/>
      <c r="W177" s="1237" t="str">
        <f>'🔵クレーム'!C168</f>
        <v/>
      </c>
      <c r="X177" s="1237" t="str">
        <f>'🔵クレーム'!D168</f>
        <v/>
      </c>
      <c r="Y177" s="286" t="str">
        <f>'🔵クレーム'!I168</f>
        <v/>
      </c>
      <c r="Z177" s="1237" t="str">
        <f>'🔵クレーム'!J168</f>
        <v/>
      </c>
      <c r="AA177" s="1237" t="str">
        <f>'🔵クレーム'!K168</f>
        <v/>
      </c>
      <c r="AB177" s="1237" t="str">
        <f>'🔵クレーム'!L168</f>
        <v/>
      </c>
      <c r="AC177" s="1239" t="str">
        <f>'🔵クレーム'!N168</f>
        <v/>
      </c>
    </row>
    <row r="178" hidden="1" outlineLevel="1">
      <c r="B178" s="1294" t="str">
        <f>IFERROR(__xludf.DUMMYFUNCTION("""COMPUTED_VALUE"""),"1月")</f>
        <v>1月</v>
      </c>
      <c r="C178" s="982" t="str">
        <f>IFERROR(__xludf.DUMMYFUNCTION("""COMPUTED_VALUE"""),"18日")</f>
        <v>18日</v>
      </c>
      <c r="D178" s="982" t="str">
        <f>IFERROR(__xludf.DUMMYFUNCTION("""COMPUTED_VALUE"""),"その他")</f>
        <v>その他</v>
      </c>
      <c r="E178" s="982" t="str">
        <f>IFERROR(__xludf.DUMMYFUNCTION("""COMPUTED_VALUE"""),"メイ")</f>
        <v>メイ</v>
      </c>
      <c r="F178" s="982"/>
      <c r="G178" s="1291" t="str">
        <f>IFERROR(__xludf.DUMMYFUNCTION("""COMPUTED_VALUE"""),"エコ清掃入っていない")</f>
        <v>エコ清掃入っていない</v>
      </c>
      <c r="H178" s="232"/>
      <c r="I178" s="232"/>
      <c r="J178" s="232"/>
      <c r="K178" s="232"/>
      <c r="L178" s="232"/>
      <c r="M178" s="1292"/>
      <c r="O178" s="1237"/>
      <c r="P178" s="1237"/>
      <c r="Q178" s="1237"/>
      <c r="R178" s="1237"/>
      <c r="S178" s="1237"/>
      <c r="T178" s="1237"/>
      <c r="U178" s="1237"/>
      <c r="W178" s="1237" t="str">
        <f>'🔵クレーム'!C169</f>
        <v/>
      </c>
      <c r="X178" s="1237" t="str">
        <f>'🔵クレーム'!D169</f>
        <v/>
      </c>
      <c r="Y178" s="286" t="str">
        <f>'🔵クレーム'!I169</f>
        <v/>
      </c>
      <c r="Z178" s="1237" t="str">
        <f>'🔵クレーム'!J169</f>
        <v/>
      </c>
      <c r="AA178" s="1237" t="str">
        <f>'🔵クレーム'!K169</f>
        <v/>
      </c>
      <c r="AB178" s="1237" t="str">
        <f>'🔵クレーム'!L169</f>
        <v/>
      </c>
      <c r="AC178" s="1239" t="str">
        <f>'🔵クレーム'!N169</f>
        <v/>
      </c>
    </row>
    <row r="179" hidden="1" outlineLevel="1">
      <c r="B179" s="1294" t="str">
        <f>IFERROR(__xludf.DUMMYFUNCTION("""COMPUTED_VALUE"""),"1月")</f>
        <v>1月</v>
      </c>
      <c r="C179" s="982" t="str">
        <f>IFERROR(__xludf.DUMMYFUNCTION("""COMPUTED_VALUE"""),"18日")</f>
        <v>18日</v>
      </c>
      <c r="D179" s="982" t="str">
        <f>IFERROR(__xludf.DUMMYFUNCTION("""COMPUTED_VALUE"""),"その他")</f>
        <v>その他</v>
      </c>
      <c r="E179" s="982" t="str">
        <f>IFERROR(__xludf.DUMMYFUNCTION("""COMPUTED_VALUE"""),"メイ")</f>
        <v>メイ</v>
      </c>
      <c r="F179" s="982"/>
      <c r="G179" s="1291" t="str">
        <f>IFERROR(__xludf.DUMMYFUNCTION("""COMPUTED_VALUE"""),"エコ清掃入っていない")</f>
        <v>エコ清掃入っていない</v>
      </c>
      <c r="H179" s="232"/>
      <c r="I179" s="232"/>
      <c r="J179" s="232"/>
      <c r="K179" s="232"/>
      <c r="L179" s="232"/>
      <c r="M179" s="1292"/>
      <c r="O179" s="1237"/>
      <c r="P179" s="1237"/>
      <c r="Q179" s="1237"/>
      <c r="R179" s="1237"/>
      <c r="S179" s="1237"/>
      <c r="T179" s="1237"/>
      <c r="U179" s="1237"/>
      <c r="W179" s="1237" t="str">
        <f>'🔵クレーム'!C170</f>
        <v/>
      </c>
      <c r="X179" s="1237" t="str">
        <f>'🔵クレーム'!D170</f>
        <v/>
      </c>
      <c r="Y179" s="286" t="str">
        <f>'🔵クレーム'!I170</f>
        <v/>
      </c>
      <c r="Z179" s="1237" t="str">
        <f>'🔵クレーム'!J170</f>
        <v/>
      </c>
      <c r="AA179" s="1237" t="str">
        <f>'🔵クレーム'!K170</f>
        <v/>
      </c>
      <c r="AB179" s="1237" t="str">
        <f>'🔵クレーム'!L170</f>
        <v/>
      </c>
      <c r="AC179" s="1239" t="str">
        <f>'🔵クレーム'!N170</f>
        <v/>
      </c>
    </row>
    <row r="180" hidden="1" outlineLevel="1">
      <c r="B180" s="1294" t="str">
        <f>IFERROR(__xludf.DUMMYFUNCTION("""COMPUTED_VALUE"""),"1月")</f>
        <v>1月</v>
      </c>
      <c r="C180" s="982" t="str">
        <f>IFERROR(__xludf.DUMMYFUNCTION("""COMPUTED_VALUE"""),"18日")</f>
        <v>18日</v>
      </c>
      <c r="D180" s="982" t="str">
        <f>IFERROR(__xludf.DUMMYFUNCTION("""COMPUTED_VALUE"""),"その他")</f>
        <v>その他</v>
      </c>
      <c r="E180" s="982" t="str">
        <f>IFERROR(__xludf.DUMMYFUNCTION("""COMPUTED_VALUE"""),"笹田")</f>
        <v>笹田</v>
      </c>
      <c r="F180" s="982"/>
      <c r="G180" s="1291" t="str">
        <f>IFERROR(__xludf.DUMMYFUNCTION("""COMPUTED_VALUE"""),"エコ清掃入っていない")</f>
        <v>エコ清掃入っていない</v>
      </c>
      <c r="H180" s="232"/>
      <c r="I180" s="232"/>
      <c r="J180" s="232"/>
      <c r="K180" s="232"/>
      <c r="L180" s="232"/>
      <c r="M180" s="1292"/>
      <c r="O180" s="1237"/>
      <c r="P180" s="1237"/>
      <c r="Q180" s="1237"/>
      <c r="R180" s="1237"/>
      <c r="S180" s="1237"/>
      <c r="T180" s="1237"/>
      <c r="U180" s="1237"/>
      <c r="W180" s="1237" t="str">
        <f>'🔵クレーム'!C171</f>
        <v/>
      </c>
      <c r="X180" s="1237" t="str">
        <f>'🔵クレーム'!D171</f>
        <v/>
      </c>
      <c r="Y180" s="286" t="str">
        <f>'🔵クレーム'!I171</f>
        <v/>
      </c>
      <c r="Z180" s="1237" t="str">
        <f>'🔵クレーム'!J171</f>
        <v/>
      </c>
      <c r="AA180" s="1237" t="str">
        <f>'🔵クレーム'!K171</f>
        <v/>
      </c>
      <c r="AB180" s="1237" t="str">
        <f>'🔵クレーム'!L171</f>
        <v/>
      </c>
      <c r="AC180" s="1239" t="str">
        <f>'🔵クレーム'!N171</f>
        <v/>
      </c>
    </row>
    <row r="181" hidden="1" outlineLevel="1">
      <c r="B181" s="1294" t="str">
        <f>IFERROR(__xludf.DUMMYFUNCTION("""COMPUTED_VALUE"""),"1月")</f>
        <v>1月</v>
      </c>
      <c r="C181" s="982" t="str">
        <f>IFERROR(__xludf.DUMMYFUNCTION("""COMPUTED_VALUE"""),"18日")</f>
        <v>18日</v>
      </c>
      <c r="D181" s="982" t="str">
        <f>IFERROR(__xludf.DUMMYFUNCTION("""COMPUTED_VALUE"""),"その他")</f>
        <v>その他</v>
      </c>
      <c r="E181" s="982" t="str">
        <f>IFERROR(__xludf.DUMMYFUNCTION("""COMPUTED_VALUE"""),"笹田")</f>
        <v>笹田</v>
      </c>
      <c r="F181" s="982"/>
      <c r="G181" s="1291" t="str">
        <f>IFERROR(__xludf.DUMMYFUNCTION("""COMPUTED_VALUE"""),"エコ清掃入っていない")</f>
        <v>エコ清掃入っていない</v>
      </c>
      <c r="H181" s="232"/>
      <c r="I181" s="232"/>
      <c r="J181" s="232"/>
      <c r="K181" s="232"/>
      <c r="L181" s="232"/>
      <c r="M181" s="1292"/>
      <c r="O181" s="1237"/>
      <c r="P181" s="1237"/>
      <c r="Q181" s="1237"/>
      <c r="R181" s="1237"/>
      <c r="S181" s="1237"/>
      <c r="T181" s="1237"/>
      <c r="U181" s="1237"/>
      <c r="W181" s="1237" t="str">
        <f>'🔵クレーム'!C172</f>
        <v/>
      </c>
      <c r="X181" s="1237" t="str">
        <f>'🔵クレーム'!D172</f>
        <v/>
      </c>
      <c r="Y181" s="286" t="str">
        <f>'🔵クレーム'!I172</f>
        <v/>
      </c>
      <c r="Z181" s="1237" t="str">
        <f>'🔵クレーム'!J172</f>
        <v/>
      </c>
      <c r="AA181" s="1237" t="str">
        <f>'🔵クレーム'!K172</f>
        <v/>
      </c>
      <c r="AB181" s="1237" t="str">
        <f>'🔵クレーム'!L172</f>
        <v/>
      </c>
      <c r="AC181" s="1239" t="str">
        <f>'🔵クレーム'!N172</f>
        <v/>
      </c>
    </row>
    <row r="182" hidden="1" outlineLevel="1">
      <c r="B182" s="1294"/>
      <c r="C182" s="982"/>
      <c r="D182" s="982"/>
      <c r="E182" s="982"/>
      <c r="F182" s="982"/>
      <c r="G182" s="1291"/>
      <c r="H182" s="232"/>
      <c r="I182" s="232"/>
      <c r="J182" s="232"/>
      <c r="K182" s="232"/>
      <c r="L182" s="232"/>
      <c r="M182" s="1292"/>
      <c r="O182" s="1237"/>
      <c r="P182" s="1237"/>
      <c r="Q182" s="1237"/>
      <c r="R182" s="1237"/>
      <c r="S182" s="1237"/>
      <c r="T182" s="1237"/>
      <c r="U182" s="1237"/>
      <c r="W182" s="1237" t="str">
        <f>'🔵クレーム'!C173</f>
        <v/>
      </c>
      <c r="X182" s="1237" t="str">
        <f>'🔵クレーム'!D173</f>
        <v/>
      </c>
      <c r="Y182" s="286" t="str">
        <f>'🔵クレーム'!I173</f>
        <v/>
      </c>
      <c r="Z182" s="1237" t="str">
        <f>'🔵クレーム'!J173</f>
        <v/>
      </c>
      <c r="AA182" s="1237" t="str">
        <f>'🔵クレーム'!K173</f>
        <v/>
      </c>
      <c r="AB182" s="1237" t="str">
        <f>'🔵クレーム'!L173</f>
        <v/>
      </c>
      <c r="AC182" s="1239" t="str">
        <f>'🔵クレーム'!N173</f>
        <v/>
      </c>
    </row>
    <row r="183" hidden="1" outlineLevel="1">
      <c r="B183" s="1294"/>
      <c r="C183" s="982"/>
      <c r="D183" s="982"/>
      <c r="E183" s="982"/>
      <c r="F183" s="982"/>
      <c r="G183" s="1291"/>
      <c r="H183" s="232"/>
      <c r="I183" s="232"/>
      <c r="J183" s="232"/>
      <c r="K183" s="232"/>
      <c r="L183" s="232"/>
      <c r="M183" s="1292"/>
      <c r="O183" s="1237"/>
      <c r="P183" s="1237"/>
      <c r="Q183" s="1237"/>
      <c r="R183" s="1237"/>
      <c r="S183" s="1237"/>
      <c r="T183" s="1237"/>
      <c r="U183" s="1237"/>
      <c r="W183" s="1237" t="str">
        <f>'🔵クレーム'!C174</f>
        <v/>
      </c>
      <c r="X183" s="1237" t="str">
        <f>'🔵クレーム'!D174</f>
        <v/>
      </c>
      <c r="Y183" s="286" t="str">
        <f>'🔵クレーム'!I174</f>
        <v/>
      </c>
      <c r="Z183" s="1237" t="str">
        <f>'🔵クレーム'!J174</f>
        <v/>
      </c>
      <c r="AA183" s="1237" t="str">
        <f>'🔵クレーム'!K174</f>
        <v/>
      </c>
      <c r="AB183" s="1237" t="str">
        <f>'🔵クレーム'!L174</f>
        <v/>
      </c>
      <c r="AC183" s="1239" t="str">
        <f>'🔵クレーム'!N174</f>
        <v/>
      </c>
    </row>
    <row r="184" hidden="1" outlineLevel="1">
      <c r="B184" s="1294"/>
      <c r="C184" s="982"/>
      <c r="D184" s="982"/>
      <c r="E184" s="982"/>
      <c r="F184" s="982"/>
      <c r="G184" s="1291"/>
      <c r="H184" s="232"/>
      <c r="I184" s="232"/>
      <c r="J184" s="232"/>
      <c r="K184" s="232"/>
      <c r="L184" s="232"/>
      <c r="M184" s="1292"/>
      <c r="O184" s="1237"/>
      <c r="P184" s="1237"/>
      <c r="Q184" s="1237"/>
      <c r="R184" s="1237"/>
      <c r="S184" s="1237"/>
      <c r="T184" s="1237"/>
      <c r="U184" s="1237"/>
      <c r="W184" s="1237" t="str">
        <f>'🔵クレーム'!C175</f>
        <v/>
      </c>
      <c r="X184" s="1237" t="str">
        <f>'🔵クレーム'!D175</f>
        <v/>
      </c>
      <c r="Y184" s="286" t="str">
        <f>'🔵クレーム'!I175</f>
        <v/>
      </c>
      <c r="Z184" s="1237" t="str">
        <f>'🔵クレーム'!J175</f>
        <v/>
      </c>
      <c r="AA184" s="1237" t="str">
        <f>'🔵クレーム'!K175</f>
        <v/>
      </c>
      <c r="AB184" s="1237" t="str">
        <f>'🔵クレーム'!L175</f>
        <v/>
      </c>
      <c r="AC184" s="1239" t="str">
        <f>'🔵クレーム'!N175</f>
        <v/>
      </c>
    </row>
    <row r="185" hidden="1" outlineLevel="1">
      <c r="B185" s="1294"/>
      <c r="C185" s="982"/>
      <c r="D185" s="982"/>
      <c r="E185" s="982"/>
      <c r="F185" s="982"/>
      <c r="G185" s="1291"/>
      <c r="H185" s="232"/>
      <c r="I185" s="232"/>
      <c r="J185" s="232"/>
      <c r="K185" s="232"/>
      <c r="L185" s="232"/>
      <c r="M185" s="1292"/>
      <c r="O185" s="1237"/>
      <c r="P185" s="1237"/>
      <c r="Q185" s="1237"/>
      <c r="R185" s="1237"/>
      <c r="S185" s="1237"/>
      <c r="T185" s="1237"/>
      <c r="U185" s="1237"/>
      <c r="W185" s="1237" t="str">
        <f>'🔵クレーム'!C176</f>
        <v/>
      </c>
      <c r="X185" s="1237" t="str">
        <f>'🔵クレーム'!D176</f>
        <v/>
      </c>
      <c r="Y185" s="286" t="str">
        <f>'🔵クレーム'!I176</f>
        <v/>
      </c>
      <c r="Z185" s="1237" t="str">
        <f>'🔵クレーム'!J176</f>
        <v/>
      </c>
      <c r="AA185" s="1237" t="str">
        <f>'🔵クレーム'!K176</f>
        <v/>
      </c>
      <c r="AB185" s="1237" t="str">
        <f>'🔵クレーム'!L176</f>
        <v/>
      </c>
      <c r="AC185" s="1239" t="str">
        <f>'🔵クレーム'!N176</f>
        <v/>
      </c>
    </row>
    <row r="186" hidden="1" outlineLevel="1">
      <c r="B186" s="1294"/>
      <c r="C186" s="982"/>
      <c r="D186" s="982"/>
      <c r="E186" s="982"/>
      <c r="F186" s="982"/>
      <c r="G186" s="1291"/>
      <c r="H186" s="232"/>
      <c r="I186" s="232"/>
      <c r="J186" s="232"/>
      <c r="K186" s="232"/>
      <c r="L186" s="232"/>
      <c r="M186" s="1292"/>
      <c r="O186" s="1237"/>
      <c r="P186" s="1237"/>
      <c r="Q186" s="1237"/>
      <c r="R186" s="1237"/>
      <c r="S186" s="1237"/>
      <c r="T186" s="1237"/>
      <c r="U186" s="1237"/>
      <c r="W186" s="1237" t="str">
        <f>'🔵クレーム'!C177</f>
        <v/>
      </c>
      <c r="X186" s="1237" t="str">
        <f>'🔵クレーム'!D177</f>
        <v/>
      </c>
      <c r="Y186" s="286" t="str">
        <f>'🔵クレーム'!I177</f>
        <v/>
      </c>
      <c r="Z186" s="1237" t="str">
        <f>'🔵クレーム'!J177</f>
        <v/>
      </c>
      <c r="AA186" s="1237" t="str">
        <f>'🔵クレーム'!K177</f>
        <v/>
      </c>
      <c r="AB186" s="1237" t="str">
        <f>'🔵クレーム'!L177</f>
        <v/>
      </c>
      <c r="AC186" s="1239" t="str">
        <f>'🔵クレーム'!N177</f>
        <v/>
      </c>
    </row>
    <row r="187" hidden="1" outlineLevel="1">
      <c r="B187" s="1294"/>
      <c r="C187" s="982"/>
      <c r="D187" s="982"/>
      <c r="E187" s="982"/>
      <c r="F187" s="982"/>
      <c r="G187" s="1291"/>
      <c r="H187" s="232"/>
      <c r="I187" s="232"/>
      <c r="J187" s="232"/>
      <c r="K187" s="232"/>
      <c r="L187" s="232"/>
      <c r="M187" s="1292"/>
      <c r="O187" s="1237"/>
      <c r="P187" s="1237"/>
      <c r="Q187" s="1237"/>
      <c r="R187" s="1237"/>
      <c r="S187" s="1237"/>
      <c r="T187" s="1237"/>
      <c r="U187" s="1237"/>
      <c r="W187" s="1237" t="str">
        <f>'🔵クレーム'!C178</f>
        <v/>
      </c>
      <c r="X187" s="1237" t="str">
        <f>'🔵クレーム'!D178</f>
        <v/>
      </c>
      <c r="Y187" s="286" t="str">
        <f>'🔵クレーム'!I178</f>
        <v/>
      </c>
      <c r="Z187" s="1237" t="str">
        <f>'🔵クレーム'!J178</f>
        <v/>
      </c>
      <c r="AA187" s="1237" t="str">
        <f>'🔵クレーム'!K178</f>
        <v/>
      </c>
      <c r="AB187" s="1237" t="str">
        <f>'🔵クレーム'!L178</f>
        <v/>
      </c>
      <c r="AC187" s="1239" t="str">
        <f>'🔵クレーム'!N178</f>
        <v/>
      </c>
    </row>
    <row r="188" hidden="1" outlineLevel="1">
      <c r="B188" s="1294"/>
      <c r="C188" s="982"/>
      <c r="D188" s="982"/>
      <c r="E188" s="982"/>
      <c r="F188" s="982"/>
      <c r="G188" s="1291"/>
      <c r="H188" s="232"/>
      <c r="I188" s="232"/>
      <c r="J188" s="232"/>
      <c r="K188" s="232"/>
      <c r="L188" s="232"/>
      <c r="M188" s="1292"/>
      <c r="O188" s="1237"/>
      <c r="P188" s="1237"/>
      <c r="Q188" s="1237"/>
      <c r="R188" s="1237"/>
      <c r="S188" s="1237"/>
      <c r="T188" s="1237"/>
      <c r="U188" s="1237"/>
      <c r="W188" s="1237" t="str">
        <f>'🔵クレーム'!C179</f>
        <v/>
      </c>
      <c r="X188" s="1237" t="str">
        <f>'🔵クレーム'!D179</f>
        <v/>
      </c>
      <c r="Y188" s="286" t="str">
        <f>'🔵クレーム'!I179</f>
        <v/>
      </c>
      <c r="Z188" s="1237" t="str">
        <f>'🔵クレーム'!J179</f>
        <v/>
      </c>
      <c r="AA188" s="1237" t="str">
        <f>'🔵クレーム'!K179</f>
        <v/>
      </c>
      <c r="AB188" s="1237" t="str">
        <f>'🔵クレーム'!L179</f>
        <v/>
      </c>
      <c r="AC188" s="1239" t="str">
        <f>'🔵クレーム'!N179</f>
        <v/>
      </c>
    </row>
    <row r="189" hidden="1" outlineLevel="1">
      <c r="B189" s="1294"/>
      <c r="C189" s="982"/>
      <c r="D189" s="982"/>
      <c r="E189" s="982"/>
      <c r="F189" s="982"/>
      <c r="G189" s="1291"/>
      <c r="H189" s="232"/>
      <c r="I189" s="232"/>
      <c r="J189" s="232"/>
      <c r="K189" s="232"/>
      <c r="L189" s="232"/>
      <c r="M189" s="1292"/>
      <c r="O189" s="1237"/>
      <c r="P189" s="1237"/>
      <c r="Q189" s="1237"/>
      <c r="R189" s="1237"/>
      <c r="S189" s="1237"/>
      <c r="T189" s="1237"/>
      <c r="U189" s="1237"/>
      <c r="W189" s="1237" t="str">
        <f>'🔵クレーム'!C180</f>
        <v/>
      </c>
      <c r="X189" s="1237" t="str">
        <f>'🔵クレーム'!D180</f>
        <v/>
      </c>
      <c r="Y189" s="286" t="str">
        <f>'🔵クレーム'!I180</f>
        <v/>
      </c>
      <c r="Z189" s="1237" t="str">
        <f>'🔵クレーム'!J180</f>
        <v/>
      </c>
      <c r="AA189" s="1237" t="str">
        <f>'🔵クレーム'!K180</f>
        <v/>
      </c>
      <c r="AB189" s="1237" t="str">
        <f>'🔵クレーム'!L180</f>
        <v/>
      </c>
      <c r="AC189" s="1239" t="str">
        <f>'🔵クレーム'!N180</f>
        <v/>
      </c>
    </row>
    <row r="190" hidden="1" outlineLevel="1">
      <c r="B190" s="1294"/>
      <c r="C190" s="982"/>
      <c r="D190" s="982"/>
      <c r="E190" s="982"/>
      <c r="F190" s="982"/>
      <c r="G190" s="1291"/>
      <c r="H190" s="232"/>
      <c r="I190" s="232"/>
      <c r="J190" s="232"/>
      <c r="K190" s="232"/>
      <c r="L190" s="232"/>
      <c r="M190" s="1292"/>
      <c r="O190" s="1237"/>
      <c r="P190" s="1237"/>
      <c r="Q190" s="1237"/>
      <c r="R190" s="1237"/>
      <c r="S190" s="1237"/>
      <c r="T190" s="1237"/>
      <c r="U190" s="1237"/>
      <c r="W190" s="1237" t="str">
        <f>'🔵クレーム'!C181</f>
        <v/>
      </c>
      <c r="X190" s="1237" t="str">
        <f>'🔵クレーム'!D181</f>
        <v/>
      </c>
      <c r="Y190" s="286" t="str">
        <f>'🔵クレーム'!I181</f>
        <v/>
      </c>
      <c r="Z190" s="1237" t="str">
        <f>'🔵クレーム'!J181</f>
        <v/>
      </c>
      <c r="AA190" s="1237" t="str">
        <f>'🔵クレーム'!K181</f>
        <v/>
      </c>
      <c r="AB190" s="1237" t="str">
        <f>'🔵クレーム'!L181</f>
        <v/>
      </c>
      <c r="AC190" s="1239" t="str">
        <f>'🔵クレーム'!N181</f>
        <v/>
      </c>
    </row>
    <row r="191" hidden="1" outlineLevel="1">
      <c r="B191" s="1294"/>
      <c r="C191" s="982"/>
      <c r="D191" s="982"/>
      <c r="E191" s="982"/>
      <c r="F191" s="982"/>
      <c r="G191" s="1291"/>
      <c r="H191" s="232"/>
      <c r="I191" s="232"/>
      <c r="J191" s="232"/>
      <c r="K191" s="232"/>
      <c r="L191" s="232"/>
      <c r="M191" s="1292"/>
      <c r="O191" s="1237"/>
      <c r="P191" s="1237"/>
      <c r="Q191" s="1237"/>
      <c r="R191" s="1237"/>
      <c r="S191" s="1237"/>
      <c r="T191" s="1237"/>
      <c r="U191" s="1237"/>
      <c r="W191" s="1237" t="str">
        <f>'🔵クレーム'!C182</f>
        <v/>
      </c>
      <c r="X191" s="1237" t="str">
        <f>'🔵クレーム'!D182</f>
        <v/>
      </c>
      <c r="Y191" s="286" t="str">
        <f>'🔵クレーム'!I182</f>
        <v/>
      </c>
      <c r="Z191" s="1237" t="str">
        <f>'🔵クレーム'!J182</f>
        <v/>
      </c>
      <c r="AA191" s="1237" t="str">
        <f>'🔵クレーム'!K182</f>
        <v/>
      </c>
      <c r="AB191" s="1237" t="str">
        <f>'🔵クレーム'!L182</f>
        <v/>
      </c>
      <c r="AC191" s="1239" t="str">
        <f>'🔵クレーム'!N182</f>
        <v/>
      </c>
    </row>
    <row r="192" hidden="1" outlineLevel="1">
      <c r="B192" s="1294"/>
      <c r="C192" s="982"/>
      <c r="D192" s="982"/>
      <c r="E192" s="982"/>
      <c r="F192" s="982"/>
      <c r="G192" s="1291"/>
      <c r="H192" s="232"/>
      <c r="I192" s="232"/>
      <c r="J192" s="232"/>
      <c r="K192" s="232"/>
      <c r="L192" s="232"/>
      <c r="M192" s="1292"/>
      <c r="O192" s="1237"/>
      <c r="P192" s="1237"/>
      <c r="Q192" s="1237"/>
      <c r="R192" s="1237"/>
      <c r="S192" s="1237"/>
      <c r="T192" s="1237"/>
      <c r="U192" s="1237"/>
      <c r="W192" s="1237" t="str">
        <f>'🔵クレーム'!C183</f>
        <v/>
      </c>
      <c r="X192" s="1237" t="str">
        <f>'🔵クレーム'!D183</f>
        <v/>
      </c>
      <c r="Y192" s="286" t="str">
        <f>'🔵クレーム'!I183</f>
        <v/>
      </c>
      <c r="Z192" s="1237" t="str">
        <f>'🔵クレーム'!J183</f>
        <v/>
      </c>
      <c r="AA192" s="1237" t="str">
        <f>'🔵クレーム'!K183</f>
        <v/>
      </c>
      <c r="AB192" s="1237" t="str">
        <f>'🔵クレーム'!L183</f>
        <v/>
      </c>
      <c r="AC192" s="1239" t="str">
        <f>'🔵クレーム'!N183</f>
        <v/>
      </c>
    </row>
    <row r="193" hidden="1" outlineLevel="1">
      <c r="B193" s="1294"/>
      <c r="C193" s="982"/>
      <c r="D193" s="982"/>
      <c r="E193" s="982"/>
      <c r="F193" s="982"/>
      <c r="G193" s="1291"/>
      <c r="H193" s="232"/>
      <c r="I193" s="232"/>
      <c r="J193" s="232"/>
      <c r="K193" s="232"/>
      <c r="L193" s="232"/>
      <c r="M193" s="1292"/>
      <c r="O193" s="1237"/>
      <c r="P193" s="1237"/>
      <c r="Q193" s="1237"/>
      <c r="R193" s="1237"/>
      <c r="S193" s="1237"/>
      <c r="T193" s="1237"/>
      <c r="U193" s="1237"/>
      <c r="W193" s="1237" t="str">
        <f>'🔵クレーム'!C184</f>
        <v/>
      </c>
      <c r="X193" s="1237" t="str">
        <f>'🔵クレーム'!D184</f>
        <v/>
      </c>
      <c r="Y193" s="286" t="str">
        <f>'🔵クレーム'!I184</f>
        <v/>
      </c>
      <c r="Z193" s="1237" t="str">
        <f>'🔵クレーム'!J184</f>
        <v/>
      </c>
      <c r="AA193" s="1237" t="str">
        <f>'🔵クレーム'!K184</f>
        <v/>
      </c>
      <c r="AB193" s="1237" t="str">
        <f>'🔵クレーム'!L184</f>
        <v/>
      </c>
      <c r="AC193" s="1239" t="str">
        <f>'🔵クレーム'!N184</f>
        <v/>
      </c>
    </row>
    <row r="194" hidden="1" outlineLevel="1">
      <c r="B194" s="1294"/>
      <c r="C194" s="982"/>
      <c r="D194" s="982"/>
      <c r="E194" s="982"/>
      <c r="F194" s="982"/>
      <c r="G194" s="1291"/>
      <c r="H194" s="232"/>
      <c r="I194" s="232"/>
      <c r="J194" s="232"/>
      <c r="K194" s="232"/>
      <c r="L194" s="232"/>
      <c r="M194" s="1292"/>
      <c r="O194" s="1237"/>
      <c r="P194" s="1237"/>
      <c r="Q194" s="1237"/>
      <c r="R194" s="1237"/>
      <c r="S194" s="1237"/>
      <c r="T194" s="1237"/>
      <c r="U194" s="1237"/>
      <c r="W194" s="1237" t="str">
        <f>'🔵クレーム'!C185</f>
        <v/>
      </c>
      <c r="X194" s="1237" t="str">
        <f>'🔵クレーム'!D185</f>
        <v/>
      </c>
      <c r="Y194" s="286" t="str">
        <f>'🔵クレーム'!I185</f>
        <v/>
      </c>
      <c r="Z194" s="1237" t="str">
        <f>'🔵クレーム'!J185</f>
        <v/>
      </c>
      <c r="AA194" s="1237" t="str">
        <f>'🔵クレーム'!K185</f>
        <v/>
      </c>
      <c r="AB194" s="1237" t="str">
        <f>'🔵クレーム'!L185</f>
        <v/>
      </c>
      <c r="AC194" s="1239" t="str">
        <f>'🔵クレーム'!N185</f>
        <v/>
      </c>
    </row>
    <row r="195" hidden="1" outlineLevel="1">
      <c r="B195" s="1294"/>
      <c r="C195" s="982"/>
      <c r="D195" s="982"/>
      <c r="E195" s="982"/>
      <c r="F195" s="982"/>
      <c r="G195" s="1291"/>
      <c r="H195" s="232"/>
      <c r="I195" s="232"/>
      <c r="J195" s="232"/>
      <c r="K195" s="232"/>
      <c r="L195" s="232"/>
      <c r="M195" s="1292"/>
      <c r="O195" s="1237"/>
      <c r="P195" s="1237"/>
      <c r="Q195" s="1237"/>
      <c r="R195" s="1237"/>
      <c r="S195" s="1237"/>
      <c r="T195" s="1237"/>
      <c r="U195" s="1237"/>
      <c r="W195" s="1237" t="str">
        <f>'🔵クレーム'!C186</f>
        <v/>
      </c>
      <c r="X195" s="1237" t="str">
        <f>'🔵クレーム'!D186</f>
        <v/>
      </c>
      <c r="Y195" s="286" t="str">
        <f>'🔵クレーム'!I186</f>
        <v/>
      </c>
      <c r="Z195" s="1237" t="str">
        <f>'🔵クレーム'!J186</f>
        <v/>
      </c>
      <c r="AA195" s="1237" t="str">
        <f>'🔵クレーム'!K186</f>
        <v/>
      </c>
      <c r="AB195" s="1237" t="str">
        <f>'🔵クレーム'!L186</f>
        <v/>
      </c>
      <c r="AC195" s="1239" t="str">
        <f>'🔵クレーム'!N186</f>
        <v/>
      </c>
    </row>
    <row r="196" hidden="1" outlineLevel="1">
      <c r="B196" s="1294"/>
      <c r="C196" s="982"/>
      <c r="D196" s="982"/>
      <c r="E196" s="982"/>
      <c r="F196" s="982"/>
      <c r="G196" s="1291"/>
      <c r="H196" s="232"/>
      <c r="I196" s="232"/>
      <c r="J196" s="232"/>
      <c r="K196" s="232"/>
      <c r="L196" s="232"/>
      <c r="M196" s="1292"/>
      <c r="O196" s="1237"/>
      <c r="P196" s="1237"/>
      <c r="Q196" s="1237"/>
      <c r="R196" s="1237"/>
      <c r="S196" s="1237"/>
      <c r="T196" s="1237"/>
      <c r="U196" s="1237"/>
      <c r="W196" s="1237" t="str">
        <f>'🔵クレーム'!C187</f>
        <v/>
      </c>
      <c r="X196" s="1237" t="str">
        <f>'🔵クレーム'!D187</f>
        <v/>
      </c>
      <c r="Y196" s="286" t="str">
        <f>'🔵クレーム'!I187</f>
        <v/>
      </c>
      <c r="Z196" s="1237" t="str">
        <f>'🔵クレーム'!J187</f>
        <v/>
      </c>
      <c r="AA196" s="1237" t="str">
        <f>'🔵クレーム'!K187</f>
        <v/>
      </c>
      <c r="AB196" s="1237" t="str">
        <f>'🔵クレーム'!L187</f>
        <v/>
      </c>
      <c r="AC196" s="1239" t="str">
        <f>'🔵クレーム'!N187</f>
        <v/>
      </c>
    </row>
    <row r="197" hidden="1" outlineLevel="1">
      <c r="B197" s="1294"/>
      <c r="C197" s="982"/>
      <c r="D197" s="982"/>
      <c r="E197" s="982"/>
      <c r="F197" s="982"/>
      <c r="G197" s="1291"/>
      <c r="H197" s="232"/>
      <c r="I197" s="232"/>
      <c r="J197" s="232"/>
      <c r="K197" s="232"/>
      <c r="L197" s="232"/>
      <c r="M197" s="1292"/>
      <c r="O197" s="1237"/>
      <c r="P197" s="1237"/>
      <c r="Q197" s="1237"/>
      <c r="R197" s="1237"/>
      <c r="S197" s="1237"/>
      <c r="T197" s="1237"/>
      <c r="U197" s="1237"/>
      <c r="W197" s="1237" t="str">
        <f>'🔵クレーム'!C188</f>
        <v/>
      </c>
      <c r="X197" s="1237" t="str">
        <f>'🔵クレーム'!D188</f>
        <v/>
      </c>
      <c r="Y197" s="286" t="str">
        <f>'🔵クレーム'!I188</f>
        <v/>
      </c>
      <c r="Z197" s="1237" t="str">
        <f>'🔵クレーム'!J188</f>
        <v/>
      </c>
      <c r="AA197" s="1237" t="str">
        <f>'🔵クレーム'!K188</f>
        <v/>
      </c>
      <c r="AB197" s="1237" t="str">
        <f>'🔵クレーム'!L188</f>
        <v/>
      </c>
      <c r="AC197" s="1239" t="str">
        <f>'🔵クレーム'!N188</f>
        <v/>
      </c>
    </row>
    <row r="198" hidden="1" outlineLevel="1">
      <c r="B198" s="1294"/>
      <c r="C198" s="982"/>
      <c r="D198" s="982"/>
      <c r="E198" s="982"/>
      <c r="F198" s="982"/>
      <c r="G198" s="1291"/>
      <c r="H198" s="232"/>
      <c r="I198" s="232"/>
      <c r="J198" s="232"/>
      <c r="K198" s="232"/>
      <c r="L198" s="232"/>
      <c r="M198" s="1292"/>
      <c r="O198" s="1237"/>
      <c r="P198" s="1237"/>
      <c r="Q198" s="1237"/>
      <c r="R198" s="1237"/>
      <c r="S198" s="1237"/>
      <c r="T198" s="1237"/>
      <c r="U198" s="1237"/>
      <c r="W198" s="1237" t="str">
        <f>'🔵クレーム'!C189</f>
        <v/>
      </c>
      <c r="X198" s="1237" t="str">
        <f>'🔵クレーム'!D189</f>
        <v/>
      </c>
      <c r="Y198" s="286" t="str">
        <f>'🔵クレーム'!I189</f>
        <v/>
      </c>
      <c r="Z198" s="1237" t="str">
        <f>'🔵クレーム'!J189</f>
        <v/>
      </c>
      <c r="AA198" s="1237" t="str">
        <f>'🔵クレーム'!K189</f>
        <v/>
      </c>
      <c r="AB198" s="1237" t="str">
        <f>'🔵クレーム'!L189</f>
        <v/>
      </c>
      <c r="AC198" s="1239" t="str">
        <f>'🔵クレーム'!N189</f>
        <v/>
      </c>
    </row>
    <row r="199" hidden="1" outlineLevel="1">
      <c r="B199" s="1294"/>
      <c r="C199" s="982"/>
      <c r="D199" s="982"/>
      <c r="E199" s="982"/>
      <c r="F199" s="982"/>
      <c r="G199" s="1291"/>
      <c r="H199" s="232"/>
      <c r="I199" s="232"/>
      <c r="J199" s="232"/>
      <c r="K199" s="232"/>
      <c r="L199" s="232"/>
      <c r="M199" s="1292"/>
      <c r="O199" s="1237"/>
      <c r="P199" s="1237"/>
      <c r="Q199" s="1237"/>
      <c r="R199" s="1237"/>
      <c r="S199" s="1237"/>
      <c r="T199" s="1237"/>
      <c r="U199" s="1237"/>
      <c r="W199" s="1237" t="str">
        <f>'🔵クレーム'!C190</f>
        <v/>
      </c>
      <c r="X199" s="1237" t="str">
        <f>'🔵クレーム'!D190</f>
        <v/>
      </c>
      <c r="Y199" s="286" t="str">
        <f>'🔵クレーム'!I190</f>
        <v/>
      </c>
      <c r="Z199" s="1237" t="str">
        <f>'🔵クレーム'!J190</f>
        <v/>
      </c>
      <c r="AA199" s="1237" t="str">
        <f>'🔵クレーム'!K190</f>
        <v/>
      </c>
      <c r="AB199" s="1237" t="str">
        <f>'🔵クレーム'!L190</f>
        <v/>
      </c>
      <c r="AC199" s="1239" t="str">
        <f>'🔵クレーム'!N190</f>
        <v/>
      </c>
    </row>
    <row r="200" hidden="1" outlineLevel="1">
      <c r="B200" s="1294"/>
      <c r="C200" s="982"/>
      <c r="D200" s="982"/>
      <c r="E200" s="982"/>
      <c r="F200" s="982"/>
      <c r="G200" s="1291"/>
      <c r="H200" s="232"/>
      <c r="I200" s="232"/>
      <c r="J200" s="232"/>
      <c r="K200" s="232"/>
      <c r="L200" s="232"/>
      <c r="M200" s="1292"/>
      <c r="O200" s="1237"/>
      <c r="P200" s="1237"/>
      <c r="Q200" s="1237"/>
      <c r="R200" s="1237"/>
      <c r="S200" s="1237"/>
      <c r="T200" s="1237"/>
      <c r="U200" s="1237"/>
      <c r="W200" s="1237" t="str">
        <f>'🔵クレーム'!C191</f>
        <v/>
      </c>
      <c r="X200" s="1237" t="str">
        <f>'🔵クレーム'!D191</f>
        <v/>
      </c>
      <c r="Y200" s="286" t="str">
        <f>'🔵クレーム'!I191</f>
        <v/>
      </c>
      <c r="Z200" s="1237" t="str">
        <f>'🔵クレーム'!J191</f>
        <v/>
      </c>
      <c r="AA200" s="1237" t="str">
        <f>'🔵クレーム'!K191</f>
        <v/>
      </c>
      <c r="AB200" s="1237" t="str">
        <f>'🔵クレーム'!L191</f>
        <v/>
      </c>
      <c r="AC200" s="1239" t="str">
        <f>'🔵クレーム'!N191</f>
        <v/>
      </c>
    </row>
    <row r="201" hidden="1" outlineLevel="1">
      <c r="B201" s="1294"/>
      <c r="C201" s="982"/>
      <c r="D201" s="982"/>
      <c r="E201" s="982"/>
      <c r="F201" s="982"/>
      <c r="G201" s="1291"/>
      <c r="H201" s="232"/>
      <c r="I201" s="232"/>
      <c r="J201" s="232"/>
      <c r="K201" s="232"/>
      <c r="L201" s="232"/>
      <c r="M201" s="1292"/>
      <c r="O201" s="1237"/>
      <c r="P201" s="1237"/>
      <c r="Q201" s="1237"/>
      <c r="R201" s="1237"/>
      <c r="S201" s="1237"/>
      <c r="T201" s="1237"/>
      <c r="U201" s="1237"/>
      <c r="W201" s="1237" t="str">
        <f>'🔵クレーム'!C192</f>
        <v/>
      </c>
      <c r="X201" s="1237" t="str">
        <f>'🔵クレーム'!D192</f>
        <v/>
      </c>
      <c r="Y201" s="286" t="str">
        <f>'🔵クレーム'!I192</f>
        <v/>
      </c>
      <c r="Z201" s="1237" t="str">
        <f>'🔵クレーム'!J192</f>
        <v/>
      </c>
      <c r="AA201" s="1237" t="str">
        <f>'🔵クレーム'!K192</f>
        <v/>
      </c>
      <c r="AB201" s="1237" t="str">
        <f>'🔵クレーム'!L192</f>
        <v/>
      </c>
      <c r="AC201" s="1239" t="str">
        <f>'🔵クレーム'!N192</f>
        <v/>
      </c>
    </row>
    <row r="202" hidden="1" outlineLevel="1">
      <c r="B202" s="1294"/>
      <c r="C202" s="982"/>
      <c r="D202" s="982"/>
      <c r="E202" s="982"/>
      <c r="F202" s="982"/>
      <c r="G202" s="1291"/>
      <c r="H202" s="232"/>
      <c r="I202" s="232"/>
      <c r="J202" s="232"/>
      <c r="K202" s="232"/>
      <c r="L202" s="232"/>
      <c r="M202" s="1292"/>
      <c r="O202" s="1237"/>
      <c r="P202" s="1237"/>
      <c r="Q202" s="1237"/>
      <c r="R202" s="1237"/>
      <c r="S202" s="1237"/>
      <c r="T202" s="1237"/>
      <c r="U202" s="1237"/>
      <c r="W202" s="1237" t="str">
        <f>'🔵クレーム'!C193</f>
        <v/>
      </c>
      <c r="X202" s="1237" t="str">
        <f>'🔵クレーム'!D193</f>
        <v/>
      </c>
      <c r="Y202" s="286" t="str">
        <f>'🔵クレーム'!I193</f>
        <v/>
      </c>
      <c r="Z202" s="1237" t="str">
        <f>'🔵クレーム'!J193</f>
        <v/>
      </c>
      <c r="AA202" s="1237" t="str">
        <f>'🔵クレーム'!K193</f>
        <v/>
      </c>
      <c r="AB202" s="1237" t="str">
        <f>'🔵クレーム'!L193</f>
        <v/>
      </c>
      <c r="AC202" s="1239" t="str">
        <f>'🔵クレーム'!N193</f>
        <v/>
      </c>
    </row>
    <row r="203" hidden="1" outlineLevel="1">
      <c r="B203" s="1294"/>
      <c r="C203" s="982"/>
      <c r="D203" s="982"/>
      <c r="E203" s="982"/>
      <c r="F203" s="982"/>
      <c r="G203" s="1291"/>
      <c r="H203" s="232"/>
      <c r="I203" s="232"/>
      <c r="J203" s="232"/>
      <c r="K203" s="232"/>
      <c r="L203" s="232"/>
      <c r="M203" s="1292"/>
      <c r="O203" s="1237"/>
      <c r="P203" s="1237"/>
      <c r="Q203" s="1237"/>
      <c r="R203" s="1237"/>
      <c r="S203" s="1237"/>
      <c r="T203" s="1237"/>
      <c r="U203" s="1237"/>
      <c r="W203" s="1237" t="str">
        <f>'🔵クレーム'!C194</f>
        <v/>
      </c>
      <c r="X203" s="1237" t="str">
        <f>'🔵クレーム'!D194</f>
        <v/>
      </c>
      <c r="Y203" s="286" t="str">
        <f>'🔵クレーム'!I194</f>
        <v/>
      </c>
      <c r="Z203" s="1237" t="str">
        <f>'🔵クレーム'!J194</f>
        <v/>
      </c>
      <c r="AA203" s="1237" t="str">
        <f>'🔵クレーム'!K194</f>
        <v/>
      </c>
      <c r="AB203" s="1237" t="str">
        <f>'🔵クレーム'!L194</f>
        <v/>
      </c>
      <c r="AC203" s="1239" t="str">
        <f>'🔵クレーム'!N194</f>
        <v/>
      </c>
    </row>
    <row r="204" hidden="1" outlineLevel="1">
      <c r="B204" s="1294"/>
      <c r="C204" s="982"/>
      <c r="D204" s="982"/>
      <c r="E204" s="982"/>
      <c r="F204" s="982"/>
      <c r="G204" s="1291"/>
      <c r="H204" s="232"/>
      <c r="I204" s="232"/>
      <c r="J204" s="232"/>
      <c r="K204" s="232"/>
      <c r="L204" s="232"/>
      <c r="M204" s="1292"/>
      <c r="O204" s="1237"/>
      <c r="P204" s="1237"/>
      <c r="Q204" s="1237"/>
      <c r="R204" s="1237"/>
      <c r="S204" s="1237"/>
      <c r="T204" s="1237"/>
      <c r="U204" s="1237"/>
      <c r="W204" s="1237" t="str">
        <f>'🔵クレーム'!C195</f>
        <v/>
      </c>
      <c r="X204" s="1237" t="str">
        <f>'🔵クレーム'!D195</f>
        <v/>
      </c>
      <c r="Y204" s="286" t="str">
        <f>'🔵クレーム'!I195</f>
        <v/>
      </c>
      <c r="Z204" s="1237" t="str">
        <f>'🔵クレーム'!J195</f>
        <v/>
      </c>
      <c r="AA204" s="1237" t="str">
        <f>'🔵クレーム'!K195</f>
        <v/>
      </c>
      <c r="AB204" s="1237" t="str">
        <f>'🔵クレーム'!L195</f>
        <v/>
      </c>
      <c r="AC204" s="1239" t="str">
        <f>'🔵クレーム'!N195</f>
        <v/>
      </c>
    </row>
    <row r="205" hidden="1" outlineLevel="1">
      <c r="B205" s="1294"/>
      <c r="C205" s="982"/>
      <c r="D205" s="982"/>
      <c r="E205" s="982"/>
      <c r="F205" s="982"/>
      <c r="G205" s="1291"/>
      <c r="H205" s="232"/>
      <c r="I205" s="232"/>
      <c r="J205" s="232"/>
      <c r="K205" s="232"/>
      <c r="L205" s="232"/>
      <c r="M205" s="1292"/>
      <c r="O205" s="1237"/>
      <c r="P205" s="1237"/>
      <c r="Q205" s="1237"/>
      <c r="R205" s="1237"/>
      <c r="S205" s="1237"/>
      <c r="T205" s="1237"/>
      <c r="U205" s="1237"/>
      <c r="W205" s="1237" t="str">
        <f>'🔵クレーム'!C196</f>
        <v/>
      </c>
      <c r="X205" s="1237" t="str">
        <f>'🔵クレーム'!D196</f>
        <v/>
      </c>
      <c r="Y205" s="286" t="str">
        <f>'🔵クレーム'!I196</f>
        <v/>
      </c>
      <c r="Z205" s="1237" t="str">
        <f>'🔵クレーム'!J196</f>
        <v/>
      </c>
      <c r="AA205" s="1237" t="str">
        <f>'🔵クレーム'!K196</f>
        <v/>
      </c>
      <c r="AB205" s="1237" t="str">
        <f>'🔵クレーム'!L196</f>
        <v/>
      </c>
      <c r="AC205" s="1239" t="str">
        <f>'🔵クレーム'!N196</f>
        <v/>
      </c>
    </row>
    <row r="206" hidden="1" outlineLevel="1">
      <c r="B206" s="1294"/>
      <c r="C206" s="982"/>
      <c r="D206" s="982"/>
      <c r="E206" s="982"/>
      <c r="F206" s="982"/>
      <c r="G206" s="1291"/>
      <c r="H206" s="232"/>
      <c r="I206" s="232"/>
      <c r="J206" s="232"/>
      <c r="K206" s="232"/>
      <c r="L206" s="232"/>
      <c r="M206" s="1292"/>
      <c r="O206" s="1237"/>
      <c r="P206" s="1237"/>
      <c r="Q206" s="1237"/>
      <c r="R206" s="1237"/>
      <c r="S206" s="1237"/>
      <c r="T206" s="1237"/>
      <c r="U206" s="1237"/>
      <c r="W206" s="1237" t="str">
        <f>'🔵クレーム'!C197</f>
        <v/>
      </c>
      <c r="X206" s="1237" t="str">
        <f>'🔵クレーム'!D197</f>
        <v/>
      </c>
      <c r="Y206" s="286" t="str">
        <f>'🔵クレーム'!I197</f>
        <v/>
      </c>
      <c r="Z206" s="1237" t="str">
        <f>'🔵クレーム'!J197</f>
        <v/>
      </c>
      <c r="AA206" s="1237" t="str">
        <f>'🔵クレーム'!K197</f>
        <v/>
      </c>
      <c r="AB206" s="1237" t="str">
        <f>'🔵クレーム'!L197</f>
        <v/>
      </c>
      <c r="AC206" s="1239" t="str">
        <f>'🔵クレーム'!N197</f>
        <v/>
      </c>
    </row>
    <row r="207" hidden="1" outlineLevel="1">
      <c r="B207" s="1294"/>
      <c r="C207" s="982"/>
      <c r="D207" s="982"/>
      <c r="E207" s="982"/>
      <c r="F207" s="982"/>
      <c r="G207" s="1291"/>
      <c r="H207" s="232"/>
      <c r="I207" s="232"/>
      <c r="J207" s="232"/>
      <c r="K207" s="232"/>
      <c r="L207" s="232"/>
      <c r="M207" s="1292"/>
      <c r="O207" s="1237"/>
      <c r="P207" s="1237"/>
      <c r="Q207" s="1237"/>
      <c r="R207" s="1237"/>
      <c r="S207" s="1237"/>
      <c r="T207" s="1237"/>
      <c r="U207" s="1237"/>
      <c r="W207" s="1237" t="str">
        <f>'🔵クレーム'!C198</f>
        <v/>
      </c>
      <c r="X207" s="1237" t="str">
        <f>'🔵クレーム'!D198</f>
        <v/>
      </c>
      <c r="Y207" s="286" t="str">
        <f>'🔵クレーム'!I198</f>
        <v/>
      </c>
      <c r="Z207" s="1237" t="str">
        <f>'🔵クレーム'!J198</f>
        <v/>
      </c>
      <c r="AA207" s="1237" t="str">
        <f>'🔵クレーム'!K198</f>
        <v/>
      </c>
      <c r="AB207" s="1237" t="str">
        <f>'🔵クレーム'!L198</f>
        <v/>
      </c>
      <c r="AC207" s="1239" t="str">
        <f>'🔵クレーム'!N198</f>
        <v/>
      </c>
    </row>
    <row r="208" hidden="1" outlineLevel="1">
      <c r="B208" s="1294"/>
      <c r="C208" s="982"/>
      <c r="D208" s="982"/>
      <c r="E208" s="982"/>
      <c r="F208" s="982"/>
      <c r="G208" s="1291"/>
      <c r="H208" s="232"/>
      <c r="I208" s="232"/>
      <c r="J208" s="232"/>
      <c r="K208" s="232"/>
      <c r="L208" s="232"/>
      <c r="M208" s="1292"/>
      <c r="O208" s="1237"/>
      <c r="P208" s="1237"/>
      <c r="Q208" s="1237"/>
      <c r="R208" s="1237"/>
      <c r="S208" s="1237"/>
      <c r="T208" s="1237"/>
      <c r="U208" s="1237"/>
      <c r="W208" s="1237" t="str">
        <f>'🔵クレーム'!C199</f>
        <v/>
      </c>
      <c r="X208" s="1237" t="str">
        <f>'🔵クレーム'!D199</f>
        <v/>
      </c>
      <c r="Y208" s="286" t="str">
        <f>'🔵クレーム'!I199</f>
        <v/>
      </c>
      <c r="Z208" s="1237" t="str">
        <f>'🔵クレーム'!J199</f>
        <v/>
      </c>
      <c r="AA208" s="1237" t="str">
        <f>'🔵クレーム'!K199</f>
        <v/>
      </c>
      <c r="AB208" s="1237" t="str">
        <f>'🔵クレーム'!L199</f>
        <v/>
      </c>
      <c r="AC208" s="1239" t="str">
        <f>'🔵クレーム'!N199</f>
        <v/>
      </c>
    </row>
    <row r="209" hidden="1" outlineLevel="1">
      <c r="B209" s="1294"/>
      <c r="C209" s="982"/>
      <c r="D209" s="982"/>
      <c r="E209" s="982"/>
      <c r="F209" s="982"/>
      <c r="G209" s="1291"/>
      <c r="H209" s="232"/>
      <c r="I209" s="232"/>
      <c r="J209" s="232"/>
      <c r="K209" s="232"/>
      <c r="L209" s="232"/>
      <c r="M209" s="1292"/>
      <c r="O209" s="1237"/>
      <c r="P209" s="1237"/>
      <c r="Q209" s="1237"/>
      <c r="R209" s="1237"/>
      <c r="S209" s="1237"/>
      <c r="T209" s="1237"/>
      <c r="U209" s="1237"/>
      <c r="W209" s="1237" t="str">
        <f>'🔵クレーム'!C200</f>
        <v/>
      </c>
      <c r="X209" s="1237" t="str">
        <f>'🔵クレーム'!D200</f>
        <v/>
      </c>
      <c r="Y209" s="286" t="str">
        <f>'🔵クレーム'!I200</f>
        <v/>
      </c>
      <c r="Z209" s="1237" t="str">
        <f>'🔵クレーム'!J200</f>
        <v/>
      </c>
      <c r="AA209" s="1237" t="str">
        <f>'🔵クレーム'!K200</f>
        <v/>
      </c>
      <c r="AB209" s="1237" t="str">
        <f>'🔵クレーム'!L200</f>
        <v/>
      </c>
      <c r="AC209" s="1239" t="str">
        <f>'🔵クレーム'!N200</f>
        <v/>
      </c>
    </row>
    <row r="210" hidden="1" outlineLevel="1">
      <c r="B210" s="1294"/>
      <c r="C210" s="982"/>
      <c r="D210" s="982"/>
      <c r="E210" s="982"/>
      <c r="F210" s="982"/>
      <c r="G210" s="1291"/>
      <c r="H210" s="232"/>
      <c r="I210" s="232"/>
      <c r="J210" s="232"/>
      <c r="K210" s="232"/>
      <c r="L210" s="232"/>
      <c r="M210" s="1292"/>
      <c r="O210" s="1237"/>
      <c r="P210" s="1237"/>
      <c r="Q210" s="1237"/>
      <c r="R210" s="1237"/>
      <c r="S210" s="1237"/>
      <c r="T210" s="1237"/>
      <c r="U210" s="1237"/>
      <c r="W210" s="1237" t="str">
        <f>'🔵クレーム'!C201</f>
        <v/>
      </c>
      <c r="X210" s="1237" t="str">
        <f>'🔵クレーム'!D201</f>
        <v/>
      </c>
      <c r="Y210" s="286" t="str">
        <f>'🔵クレーム'!I201</f>
        <v/>
      </c>
      <c r="Z210" s="1237" t="str">
        <f>'🔵クレーム'!J201</f>
        <v/>
      </c>
      <c r="AA210" s="1237" t="str">
        <f>'🔵クレーム'!K201</f>
        <v/>
      </c>
      <c r="AB210" s="1237" t="str">
        <f>'🔵クレーム'!L201</f>
        <v/>
      </c>
      <c r="AC210" s="1239" t="str">
        <f>'🔵クレーム'!N201</f>
        <v/>
      </c>
    </row>
    <row r="211" hidden="1" outlineLevel="1">
      <c r="B211" s="1294"/>
      <c r="C211" s="982"/>
      <c r="D211" s="982"/>
      <c r="E211" s="982"/>
      <c r="F211" s="982"/>
      <c r="G211" s="1291"/>
      <c r="H211" s="232"/>
      <c r="I211" s="232"/>
      <c r="J211" s="232"/>
      <c r="K211" s="232"/>
      <c r="L211" s="232"/>
      <c r="M211" s="1292"/>
      <c r="O211" s="1237"/>
      <c r="P211" s="1237"/>
      <c r="Q211" s="1237"/>
      <c r="R211" s="1237"/>
      <c r="S211" s="1237"/>
      <c r="T211" s="1237"/>
      <c r="U211" s="1237"/>
      <c r="W211" s="1237" t="str">
        <f>'🔵クレーム'!C202</f>
        <v/>
      </c>
      <c r="X211" s="1237" t="str">
        <f>'🔵クレーム'!D202</f>
        <v/>
      </c>
      <c r="Y211" s="286" t="str">
        <f>'🔵クレーム'!I202</f>
        <v/>
      </c>
      <c r="Z211" s="1237" t="str">
        <f>'🔵クレーム'!J202</f>
        <v/>
      </c>
      <c r="AA211" s="1237" t="str">
        <f>'🔵クレーム'!K202</f>
        <v/>
      </c>
      <c r="AB211" s="1237" t="str">
        <f>'🔵クレーム'!L202</f>
        <v/>
      </c>
      <c r="AC211" s="1239" t="str">
        <f>'🔵クレーム'!N202</f>
        <v/>
      </c>
    </row>
    <row r="212" hidden="1" outlineLevel="1">
      <c r="B212" s="1294"/>
      <c r="C212" s="982"/>
      <c r="D212" s="982"/>
      <c r="E212" s="982"/>
      <c r="F212" s="982"/>
      <c r="G212" s="1291"/>
      <c r="H212" s="232"/>
      <c r="I212" s="232"/>
      <c r="J212" s="232"/>
      <c r="K212" s="232"/>
      <c r="L212" s="232"/>
      <c r="M212" s="1292"/>
      <c r="O212" s="1237"/>
      <c r="P212" s="1237"/>
      <c r="Q212" s="1237"/>
      <c r="R212" s="1237"/>
      <c r="S212" s="1237"/>
      <c r="T212" s="1237"/>
      <c r="U212" s="1237"/>
      <c r="W212" s="1237" t="str">
        <f>'🔵クレーム'!C203</f>
        <v/>
      </c>
      <c r="X212" s="1237" t="str">
        <f>'🔵クレーム'!D203</f>
        <v/>
      </c>
      <c r="Y212" s="286" t="str">
        <f>'🔵クレーム'!I203</f>
        <v/>
      </c>
      <c r="Z212" s="1237" t="str">
        <f>'🔵クレーム'!J203</f>
        <v/>
      </c>
      <c r="AA212" s="1237" t="str">
        <f>'🔵クレーム'!K203</f>
        <v/>
      </c>
      <c r="AB212" s="1237" t="str">
        <f>'🔵クレーム'!L203</f>
        <v/>
      </c>
      <c r="AC212" s="1239" t="str">
        <f>'🔵クレーム'!N203</f>
        <v/>
      </c>
    </row>
    <row r="213" hidden="1" outlineLevel="1">
      <c r="B213" s="1294"/>
      <c r="C213" s="982"/>
      <c r="D213" s="982"/>
      <c r="E213" s="982"/>
      <c r="F213" s="982"/>
      <c r="G213" s="1291"/>
      <c r="H213" s="232"/>
      <c r="I213" s="232"/>
      <c r="J213" s="232"/>
      <c r="K213" s="232"/>
      <c r="L213" s="232"/>
      <c r="M213" s="1292"/>
      <c r="O213" s="1237"/>
      <c r="P213" s="1237"/>
      <c r="Q213" s="1237"/>
      <c r="R213" s="1237"/>
      <c r="S213" s="1237"/>
      <c r="T213" s="1237"/>
      <c r="U213" s="1237"/>
      <c r="W213" s="1237" t="str">
        <f>'🔵クレーム'!C204</f>
        <v/>
      </c>
      <c r="X213" s="1237" t="str">
        <f>'🔵クレーム'!D204</f>
        <v/>
      </c>
      <c r="Y213" s="286" t="str">
        <f>'🔵クレーム'!I204</f>
        <v/>
      </c>
      <c r="Z213" s="1237" t="str">
        <f>'🔵クレーム'!J204</f>
        <v/>
      </c>
      <c r="AA213" s="1237" t="str">
        <f>'🔵クレーム'!K204</f>
        <v/>
      </c>
      <c r="AB213" s="1237" t="str">
        <f>'🔵クレーム'!L204</f>
        <v/>
      </c>
      <c r="AC213" s="1239" t="str">
        <f>'🔵クレーム'!N204</f>
        <v/>
      </c>
    </row>
    <row r="214" hidden="1" outlineLevel="1">
      <c r="B214" s="1294"/>
      <c r="C214" s="982"/>
      <c r="D214" s="982"/>
      <c r="E214" s="982"/>
      <c r="F214" s="982"/>
      <c r="G214" s="1291"/>
      <c r="H214" s="232"/>
      <c r="I214" s="232"/>
      <c r="J214" s="232"/>
      <c r="K214" s="232"/>
      <c r="L214" s="232"/>
      <c r="M214" s="1292"/>
      <c r="O214" s="1237"/>
      <c r="P214" s="1237"/>
      <c r="Q214" s="1237"/>
      <c r="R214" s="1237"/>
      <c r="S214" s="1237"/>
      <c r="T214" s="1237"/>
      <c r="U214" s="1237"/>
      <c r="W214" s="1237" t="str">
        <f>'🔵クレーム'!C205</f>
        <v/>
      </c>
      <c r="X214" s="1237" t="str">
        <f>'🔵クレーム'!D205</f>
        <v/>
      </c>
      <c r="Y214" s="286" t="str">
        <f>'🔵クレーム'!I205</f>
        <v/>
      </c>
      <c r="Z214" s="1237" t="str">
        <f>'🔵クレーム'!J205</f>
        <v/>
      </c>
      <c r="AA214" s="1237" t="str">
        <f>'🔵クレーム'!K205</f>
        <v/>
      </c>
      <c r="AB214" s="1237" t="str">
        <f>'🔵クレーム'!L205</f>
        <v/>
      </c>
      <c r="AC214" s="1239" t="str">
        <f>'🔵クレーム'!N205</f>
        <v/>
      </c>
    </row>
    <row r="215" hidden="1" outlineLevel="1">
      <c r="B215" s="1294"/>
      <c r="C215" s="982"/>
      <c r="D215" s="982"/>
      <c r="E215" s="982"/>
      <c r="F215" s="982"/>
      <c r="G215" s="1291"/>
      <c r="H215" s="232"/>
      <c r="I215" s="232"/>
      <c r="J215" s="232"/>
      <c r="K215" s="232"/>
      <c r="L215" s="232"/>
      <c r="M215" s="1292"/>
      <c r="O215" s="1237"/>
      <c r="P215" s="1237"/>
      <c r="Q215" s="1237"/>
      <c r="R215" s="1237"/>
      <c r="S215" s="1237"/>
      <c r="T215" s="1237"/>
      <c r="U215" s="1237"/>
      <c r="W215" s="1237" t="str">
        <f>'🔵クレーム'!C206</f>
        <v/>
      </c>
      <c r="X215" s="1237" t="str">
        <f>'🔵クレーム'!D206</f>
        <v/>
      </c>
      <c r="Y215" s="286" t="str">
        <f>'🔵クレーム'!I206</f>
        <v/>
      </c>
      <c r="Z215" s="1237" t="str">
        <f>'🔵クレーム'!J206</f>
        <v/>
      </c>
      <c r="AA215" s="1237" t="str">
        <f>'🔵クレーム'!K206</f>
        <v/>
      </c>
      <c r="AB215" s="1237" t="str">
        <f>'🔵クレーム'!L206</f>
        <v/>
      </c>
      <c r="AC215" s="1239" t="str">
        <f>'🔵クレーム'!N206</f>
        <v/>
      </c>
    </row>
    <row r="216" hidden="1" outlineLevel="1">
      <c r="B216" s="1294"/>
      <c r="C216" s="982"/>
      <c r="D216" s="982"/>
      <c r="E216" s="982"/>
      <c r="F216" s="982"/>
      <c r="G216" s="1291"/>
      <c r="H216" s="232"/>
      <c r="I216" s="232"/>
      <c r="J216" s="232"/>
      <c r="K216" s="232"/>
      <c r="L216" s="232"/>
      <c r="M216" s="1292"/>
      <c r="O216" s="1237"/>
      <c r="P216" s="1237"/>
      <c r="Q216" s="1237"/>
      <c r="R216" s="1237"/>
      <c r="S216" s="1237"/>
      <c r="T216" s="1237"/>
      <c r="U216" s="1237"/>
      <c r="W216" s="1237" t="str">
        <f>'🔵クレーム'!C207</f>
        <v/>
      </c>
      <c r="X216" s="1237" t="str">
        <f>'🔵クレーム'!D207</f>
        <v/>
      </c>
      <c r="Y216" s="286" t="str">
        <f>'🔵クレーム'!I207</f>
        <v/>
      </c>
      <c r="Z216" s="1237" t="str">
        <f>'🔵クレーム'!J207</f>
        <v/>
      </c>
      <c r="AA216" s="1237" t="str">
        <f>'🔵クレーム'!K207</f>
        <v/>
      </c>
      <c r="AB216" s="1237" t="str">
        <f>'🔵クレーム'!L207</f>
        <v/>
      </c>
      <c r="AC216" s="1239" t="str">
        <f>'🔵クレーム'!N207</f>
        <v/>
      </c>
    </row>
    <row r="217" hidden="1" outlineLevel="1">
      <c r="B217" s="1294"/>
      <c r="C217" s="982"/>
      <c r="D217" s="982"/>
      <c r="E217" s="982"/>
      <c r="F217" s="982"/>
      <c r="G217" s="1291"/>
      <c r="H217" s="232"/>
      <c r="I217" s="232"/>
      <c r="J217" s="232"/>
      <c r="K217" s="232"/>
      <c r="L217" s="232"/>
      <c r="M217" s="1292"/>
      <c r="O217" s="1237"/>
      <c r="P217" s="1237"/>
      <c r="Q217" s="1237"/>
      <c r="R217" s="1237"/>
      <c r="S217" s="1237"/>
      <c r="T217" s="1237"/>
      <c r="U217" s="1237"/>
      <c r="W217" s="1237" t="str">
        <f>'🔵クレーム'!C208</f>
        <v/>
      </c>
      <c r="X217" s="1237" t="str">
        <f>'🔵クレーム'!D208</f>
        <v/>
      </c>
      <c r="Y217" s="286" t="str">
        <f>'🔵クレーム'!I208</f>
        <v/>
      </c>
      <c r="Z217" s="1237" t="str">
        <f>'🔵クレーム'!J208</f>
        <v/>
      </c>
      <c r="AA217" s="1237" t="str">
        <f>'🔵クレーム'!K208</f>
        <v/>
      </c>
      <c r="AB217" s="1237" t="str">
        <f>'🔵クレーム'!L208</f>
        <v/>
      </c>
      <c r="AC217" s="1239" t="str">
        <f>'🔵クレーム'!N208</f>
        <v/>
      </c>
    </row>
    <row r="218" hidden="1" outlineLevel="1">
      <c r="B218" s="1294"/>
      <c r="C218" s="982"/>
      <c r="D218" s="982"/>
      <c r="E218" s="982"/>
      <c r="F218" s="982"/>
      <c r="G218" s="1291"/>
      <c r="H218" s="232"/>
      <c r="I218" s="232"/>
      <c r="J218" s="232"/>
      <c r="K218" s="232"/>
      <c r="L218" s="232"/>
      <c r="M218" s="1292"/>
      <c r="O218" s="1237"/>
      <c r="P218" s="1237"/>
      <c r="Q218" s="1237"/>
      <c r="R218" s="1237"/>
      <c r="S218" s="1237"/>
      <c r="T218" s="1237"/>
      <c r="U218" s="1237"/>
      <c r="W218" s="1237" t="str">
        <f>'🔵クレーム'!C209</f>
        <v/>
      </c>
      <c r="X218" s="1237" t="str">
        <f>'🔵クレーム'!D209</f>
        <v/>
      </c>
      <c r="Y218" s="286" t="str">
        <f>'🔵クレーム'!I209</f>
        <v/>
      </c>
      <c r="Z218" s="1237" t="str">
        <f>'🔵クレーム'!J209</f>
        <v/>
      </c>
      <c r="AA218" s="1237" t="str">
        <f>'🔵クレーム'!K209</f>
        <v/>
      </c>
      <c r="AB218" s="1237" t="str">
        <f>'🔵クレーム'!L209</f>
        <v/>
      </c>
      <c r="AC218" s="1239" t="str">
        <f>'🔵クレーム'!N209</f>
        <v/>
      </c>
    </row>
    <row r="219" hidden="1" outlineLevel="1">
      <c r="B219" s="1294"/>
      <c r="C219" s="982"/>
      <c r="D219" s="982"/>
      <c r="E219" s="982"/>
      <c r="F219" s="982"/>
      <c r="G219" s="1291"/>
      <c r="H219" s="232"/>
      <c r="I219" s="232"/>
      <c r="J219" s="232"/>
      <c r="K219" s="232"/>
      <c r="L219" s="232"/>
      <c r="M219" s="1292"/>
      <c r="O219" s="1237"/>
      <c r="P219" s="1237"/>
      <c r="Q219" s="1237"/>
      <c r="R219" s="1237"/>
      <c r="S219" s="1237"/>
      <c r="T219" s="1237"/>
      <c r="U219" s="1237"/>
      <c r="W219" s="1237" t="str">
        <f>'🔵クレーム'!C210</f>
        <v/>
      </c>
      <c r="X219" s="1237" t="str">
        <f>'🔵クレーム'!D210</f>
        <v/>
      </c>
      <c r="Y219" s="286" t="str">
        <f>'🔵クレーム'!I210</f>
        <v/>
      </c>
      <c r="Z219" s="1237" t="str">
        <f>'🔵クレーム'!J210</f>
        <v/>
      </c>
      <c r="AA219" s="1237" t="str">
        <f>'🔵クレーム'!K210</f>
        <v/>
      </c>
      <c r="AB219" s="1237" t="str">
        <f>'🔵クレーム'!L210</f>
        <v/>
      </c>
      <c r="AC219" s="1239" t="str">
        <f>'🔵クレーム'!N210</f>
        <v/>
      </c>
    </row>
    <row r="220" hidden="1" outlineLevel="1">
      <c r="B220" s="1294"/>
      <c r="C220" s="982"/>
      <c r="D220" s="982"/>
      <c r="E220" s="982"/>
      <c r="F220" s="982"/>
      <c r="G220" s="1291"/>
      <c r="H220" s="232"/>
      <c r="I220" s="232"/>
      <c r="J220" s="232"/>
      <c r="K220" s="232"/>
      <c r="L220" s="232"/>
      <c r="M220" s="1292"/>
      <c r="O220" s="1237"/>
      <c r="P220" s="1237"/>
      <c r="Q220" s="1237"/>
      <c r="R220" s="1237"/>
      <c r="S220" s="1237"/>
      <c r="T220" s="1237"/>
      <c r="U220" s="1237"/>
      <c r="W220" s="1237" t="str">
        <f>'🔵クレーム'!C211</f>
        <v/>
      </c>
      <c r="X220" s="1237" t="str">
        <f>'🔵クレーム'!D211</f>
        <v/>
      </c>
      <c r="Y220" s="286" t="str">
        <f>'🔵クレーム'!I211</f>
        <v/>
      </c>
      <c r="Z220" s="1237" t="str">
        <f>'🔵クレーム'!J211</f>
        <v/>
      </c>
      <c r="AA220" s="1237" t="str">
        <f>'🔵クレーム'!K211</f>
        <v/>
      </c>
      <c r="AB220" s="1237" t="str">
        <f>'🔵クレーム'!L211</f>
        <v/>
      </c>
      <c r="AC220" s="1239" t="str">
        <f>'🔵クレーム'!N211</f>
        <v/>
      </c>
    </row>
    <row r="221" hidden="1" outlineLevel="1">
      <c r="B221" s="1294"/>
      <c r="C221" s="982"/>
      <c r="D221" s="982"/>
      <c r="E221" s="982"/>
      <c r="F221" s="982"/>
      <c r="G221" s="1291"/>
      <c r="H221" s="232"/>
      <c r="I221" s="232"/>
      <c r="J221" s="232"/>
      <c r="K221" s="232"/>
      <c r="L221" s="232"/>
      <c r="M221" s="1292"/>
      <c r="O221" s="1237"/>
      <c r="P221" s="1237"/>
      <c r="Q221" s="1237"/>
      <c r="R221" s="1237"/>
      <c r="S221" s="1237"/>
      <c r="T221" s="1237"/>
      <c r="U221" s="1237"/>
      <c r="W221" s="1237" t="str">
        <f>'🔵クレーム'!C212</f>
        <v/>
      </c>
      <c r="X221" s="1237" t="str">
        <f>'🔵クレーム'!D212</f>
        <v/>
      </c>
      <c r="Y221" s="286" t="str">
        <f>'🔵クレーム'!I212</f>
        <v/>
      </c>
      <c r="Z221" s="1237" t="str">
        <f>'🔵クレーム'!J212</f>
        <v/>
      </c>
      <c r="AA221" s="1237" t="str">
        <f>'🔵クレーム'!K212</f>
        <v/>
      </c>
      <c r="AB221" s="1237" t="str">
        <f>'🔵クレーム'!L212</f>
        <v/>
      </c>
      <c r="AC221" s="1239" t="str">
        <f>'🔵クレーム'!N212</f>
        <v/>
      </c>
    </row>
    <row r="222" hidden="1" outlineLevel="1">
      <c r="B222" s="1294"/>
      <c r="C222" s="982"/>
      <c r="D222" s="982"/>
      <c r="E222" s="982"/>
      <c r="F222" s="982"/>
      <c r="G222" s="1291"/>
      <c r="H222" s="232"/>
      <c r="I222" s="232"/>
      <c r="J222" s="232"/>
      <c r="K222" s="232"/>
      <c r="L222" s="232"/>
      <c r="M222" s="1292"/>
      <c r="O222" s="1237"/>
      <c r="P222" s="1237"/>
      <c r="Q222" s="1237"/>
      <c r="R222" s="1237"/>
      <c r="S222" s="1237"/>
      <c r="T222" s="1237"/>
      <c r="U222" s="1237"/>
      <c r="W222" s="1237" t="str">
        <f>'🔵クレーム'!C213</f>
        <v/>
      </c>
      <c r="X222" s="1237" t="str">
        <f>'🔵クレーム'!D213</f>
        <v/>
      </c>
      <c r="Y222" s="286" t="str">
        <f>'🔵クレーム'!I213</f>
        <v/>
      </c>
      <c r="Z222" s="1237" t="str">
        <f>'🔵クレーム'!J213</f>
        <v/>
      </c>
      <c r="AA222" s="1237" t="str">
        <f>'🔵クレーム'!K213</f>
        <v/>
      </c>
      <c r="AB222" s="1237" t="str">
        <f>'🔵クレーム'!L213</f>
        <v/>
      </c>
      <c r="AC222" s="1239" t="str">
        <f>'🔵クレーム'!N213</f>
        <v/>
      </c>
    </row>
    <row r="223" hidden="1" outlineLevel="1">
      <c r="B223" s="1294"/>
      <c r="C223" s="982"/>
      <c r="D223" s="982"/>
      <c r="E223" s="982"/>
      <c r="F223" s="982"/>
      <c r="G223" s="1291"/>
      <c r="H223" s="232"/>
      <c r="I223" s="232"/>
      <c r="J223" s="232"/>
      <c r="K223" s="232"/>
      <c r="L223" s="232"/>
      <c r="M223" s="1292"/>
      <c r="O223" s="1237"/>
      <c r="P223" s="1237"/>
      <c r="Q223" s="1237"/>
      <c r="R223" s="1237"/>
      <c r="S223" s="1237"/>
      <c r="T223" s="1237"/>
      <c r="U223" s="1237"/>
      <c r="W223" s="1237" t="str">
        <f>'🔵クレーム'!C214</f>
        <v/>
      </c>
      <c r="X223" s="1237" t="str">
        <f>'🔵クレーム'!D214</f>
        <v/>
      </c>
      <c r="Y223" s="286" t="str">
        <f>'🔵クレーム'!I214</f>
        <v/>
      </c>
      <c r="Z223" s="1237" t="str">
        <f>'🔵クレーム'!J214</f>
        <v/>
      </c>
      <c r="AA223" s="1237" t="str">
        <f>'🔵クレーム'!K214</f>
        <v/>
      </c>
      <c r="AB223" s="1237" t="str">
        <f>'🔵クレーム'!L214</f>
        <v/>
      </c>
      <c r="AC223" s="1239" t="str">
        <f>'🔵クレーム'!N214</f>
        <v/>
      </c>
    </row>
    <row r="224" hidden="1" outlineLevel="1">
      <c r="B224" s="1294"/>
      <c r="C224" s="982"/>
      <c r="D224" s="982"/>
      <c r="E224" s="982"/>
      <c r="F224" s="982"/>
      <c r="G224" s="1291"/>
      <c r="H224" s="232"/>
      <c r="I224" s="232"/>
      <c r="J224" s="232"/>
      <c r="K224" s="232"/>
      <c r="L224" s="232"/>
      <c r="M224" s="1292"/>
      <c r="O224" s="1237"/>
      <c r="P224" s="1237"/>
      <c r="Q224" s="1237"/>
      <c r="R224" s="1237"/>
      <c r="S224" s="1237"/>
      <c r="T224" s="1237"/>
      <c r="U224" s="1237"/>
      <c r="W224" s="1237" t="str">
        <f>'🔵クレーム'!C215</f>
        <v/>
      </c>
      <c r="X224" s="1237" t="str">
        <f>'🔵クレーム'!D215</f>
        <v/>
      </c>
      <c r="Y224" s="286" t="str">
        <f>'🔵クレーム'!I215</f>
        <v/>
      </c>
      <c r="Z224" s="1237" t="str">
        <f>'🔵クレーム'!J215</f>
        <v/>
      </c>
      <c r="AA224" s="1237" t="str">
        <f>'🔵クレーム'!K215</f>
        <v/>
      </c>
      <c r="AB224" s="1237" t="str">
        <f>'🔵クレーム'!L215</f>
        <v/>
      </c>
      <c r="AC224" s="1239" t="str">
        <f>'🔵クレーム'!N215</f>
        <v/>
      </c>
    </row>
    <row r="225" hidden="1" outlineLevel="1">
      <c r="B225" s="1294"/>
      <c r="C225" s="982"/>
      <c r="D225" s="982"/>
      <c r="E225" s="982"/>
      <c r="F225" s="982"/>
      <c r="G225" s="1291"/>
      <c r="H225" s="232"/>
      <c r="I225" s="232"/>
      <c r="J225" s="232"/>
      <c r="K225" s="232"/>
      <c r="L225" s="232"/>
      <c r="M225" s="1292"/>
      <c r="O225" s="1237"/>
      <c r="P225" s="1237"/>
      <c r="Q225" s="1237"/>
      <c r="R225" s="1237"/>
      <c r="S225" s="1237"/>
      <c r="T225" s="1237"/>
      <c r="U225" s="1237"/>
      <c r="W225" s="1237" t="str">
        <f>'🔵クレーム'!C216</f>
        <v/>
      </c>
      <c r="X225" s="1237" t="str">
        <f>'🔵クレーム'!D216</f>
        <v/>
      </c>
      <c r="Y225" s="286" t="str">
        <f>'🔵クレーム'!I216</f>
        <v/>
      </c>
      <c r="Z225" s="1237" t="str">
        <f>'🔵クレーム'!J216</f>
        <v/>
      </c>
      <c r="AA225" s="1237" t="str">
        <f>'🔵クレーム'!K216</f>
        <v/>
      </c>
      <c r="AB225" s="1237" t="str">
        <f>'🔵クレーム'!L216</f>
        <v/>
      </c>
      <c r="AC225" s="1239" t="str">
        <f>'🔵クレーム'!N216</f>
        <v/>
      </c>
    </row>
    <row r="226" hidden="1" outlineLevel="1">
      <c r="B226" s="1294"/>
      <c r="C226" s="982"/>
      <c r="D226" s="982"/>
      <c r="E226" s="982"/>
      <c r="F226" s="982"/>
      <c r="G226" s="1291"/>
      <c r="H226" s="232"/>
      <c r="I226" s="232"/>
      <c r="J226" s="232"/>
      <c r="K226" s="232"/>
      <c r="L226" s="232"/>
      <c r="M226" s="1292"/>
      <c r="O226" s="1237"/>
      <c r="P226" s="1237"/>
      <c r="Q226" s="1237"/>
      <c r="R226" s="1237"/>
      <c r="S226" s="1237"/>
      <c r="T226" s="1237"/>
      <c r="U226" s="1237"/>
      <c r="W226" s="1237" t="str">
        <f>'🔵クレーム'!C217</f>
        <v/>
      </c>
      <c r="X226" s="1237" t="str">
        <f>'🔵クレーム'!D217</f>
        <v/>
      </c>
      <c r="Y226" s="286" t="str">
        <f>'🔵クレーム'!I217</f>
        <v/>
      </c>
      <c r="Z226" s="1237" t="str">
        <f>'🔵クレーム'!J217</f>
        <v/>
      </c>
      <c r="AA226" s="1237" t="str">
        <f>'🔵クレーム'!K217</f>
        <v/>
      </c>
      <c r="AB226" s="1237" t="str">
        <f>'🔵クレーム'!L217</f>
        <v/>
      </c>
      <c r="AC226" s="1239" t="str">
        <f>'🔵クレーム'!N217</f>
        <v/>
      </c>
    </row>
    <row r="227" hidden="1" outlineLevel="1">
      <c r="B227" s="1294"/>
      <c r="C227" s="982"/>
      <c r="D227" s="982"/>
      <c r="E227" s="982"/>
      <c r="F227" s="982"/>
      <c r="G227" s="1291"/>
      <c r="H227" s="232"/>
      <c r="I227" s="232"/>
      <c r="J227" s="232"/>
      <c r="K227" s="232"/>
      <c r="L227" s="232"/>
      <c r="M227" s="1292"/>
      <c r="O227" s="1237"/>
      <c r="P227" s="1237"/>
      <c r="Q227" s="1237"/>
      <c r="R227" s="1237"/>
      <c r="S227" s="1237"/>
      <c r="T227" s="1237"/>
      <c r="U227" s="1237"/>
      <c r="W227" s="1237" t="str">
        <f>'🔵クレーム'!C218</f>
        <v/>
      </c>
      <c r="X227" s="1237" t="str">
        <f>'🔵クレーム'!D218</f>
        <v/>
      </c>
      <c r="Y227" s="286" t="str">
        <f>'🔵クレーム'!I218</f>
        <v/>
      </c>
      <c r="Z227" s="1237" t="str">
        <f>'🔵クレーム'!J218</f>
        <v/>
      </c>
      <c r="AA227" s="1237" t="str">
        <f>'🔵クレーム'!K218</f>
        <v/>
      </c>
      <c r="AB227" s="1237" t="str">
        <f>'🔵クレーム'!L218</f>
        <v/>
      </c>
      <c r="AC227" s="1239" t="str">
        <f>'🔵クレーム'!N218</f>
        <v/>
      </c>
    </row>
    <row r="228" hidden="1" outlineLevel="1">
      <c r="B228" s="1294"/>
      <c r="C228" s="982"/>
      <c r="D228" s="982"/>
      <c r="E228" s="982"/>
      <c r="F228" s="982"/>
      <c r="G228" s="1291"/>
      <c r="H228" s="232"/>
      <c r="I228" s="232"/>
      <c r="J228" s="232"/>
      <c r="K228" s="232"/>
      <c r="L228" s="232"/>
      <c r="M228" s="1292"/>
      <c r="O228" s="1237"/>
      <c r="P228" s="1237"/>
      <c r="Q228" s="1237"/>
      <c r="R228" s="1237"/>
      <c r="S228" s="1237"/>
      <c r="T228" s="1237"/>
      <c r="U228" s="1237"/>
      <c r="W228" s="1237" t="str">
        <f>'🔵クレーム'!C219</f>
        <v/>
      </c>
      <c r="X228" s="1237" t="str">
        <f>'🔵クレーム'!D219</f>
        <v/>
      </c>
      <c r="Y228" s="286" t="str">
        <f>'🔵クレーム'!I219</f>
        <v/>
      </c>
      <c r="Z228" s="1237" t="str">
        <f>'🔵クレーム'!J219</f>
        <v/>
      </c>
      <c r="AA228" s="1237" t="str">
        <f>'🔵クレーム'!K219</f>
        <v/>
      </c>
      <c r="AB228" s="1237" t="str">
        <f>'🔵クレーム'!L219</f>
        <v/>
      </c>
      <c r="AC228" s="1239" t="str">
        <f>'🔵クレーム'!N219</f>
        <v/>
      </c>
    </row>
    <row r="229" hidden="1" outlineLevel="1">
      <c r="B229" s="1294"/>
      <c r="C229" s="982"/>
      <c r="D229" s="982"/>
      <c r="E229" s="982"/>
      <c r="F229" s="982"/>
      <c r="G229" s="1291"/>
      <c r="H229" s="232"/>
      <c r="I229" s="232"/>
      <c r="J229" s="232"/>
      <c r="K229" s="232"/>
      <c r="L229" s="232"/>
      <c r="M229" s="1292"/>
      <c r="O229" s="1237"/>
      <c r="P229" s="1237"/>
      <c r="Q229" s="1237"/>
      <c r="R229" s="1237"/>
      <c r="S229" s="1237"/>
      <c r="T229" s="1237"/>
      <c r="U229" s="1237"/>
      <c r="W229" s="1237" t="str">
        <f>'🔵クレーム'!C220</f>
        <v/>
      </c>
      <c r="X229" s="1237" t="str">
        <f>'🔵クレーム'!D220</f>
        <v/>
      </c>
      <c r="Y229" s="286" t="str">
        <f>'🔵クレーム'!I220</f>
        <v/>
      </c>
      <c r="Z229" s="1237" t="str">
        <f>'🔵クレーム'!J220</f>
        <v/>
      </c>
      <c r="AA229" s="1237" t="str">
        <f>'🔵クレーム'!K220</f>
        <v/>
      </c>
      <c r="AB229" s="1237" t="str">
        <f>'🔵クレーム'!L220</f>
        <v/>
      </c>
      <c r="AC229" s="1239" t="str">
        <f>'🔵クレーム'!N220</f>
        <v/>
      </c>
    </row>
    <row r="230" hidden="1" outlineLevel="1">
      <c r="B230" s="1294"/>
      <c r="C230" s="982"/>
      <c r="D230" s="982"/>
      <c r="E230" s="982"/>
      <c r="F230" s="982"/>
      <c r="G230" s="1291"/>
      <c r="H230" s="232"/>
      <c r="I230" s="232"/>
      <c r="J230" s="232"/>
      <c r="K230" s="232"/>
      <c r="L230" s="232"/>
      <c r="M230" s="1292"/>
      <c r="O230" s="1237"/>
      <c r="P230" s="1237"/>
      <c r="Q230" s="1237"/>
      <c r="R230" s="1237"/>
      <c r="S230" s="1237"/>
      <c r="T230" s="1237"/>
      <c r="U230" s="1237"/>
      <c r="W230" s="1237" t="str">
        <f>'🔵クレーム'!C221</f>
        <v/>
      </c>
      <c r="X230" s="1237" t="str">
        <f>'🔵クレーム'!D221</f>
        <v/>
      </c>
      <c r="Y230" s="286" t="str">
        <f>'🔵クレーム'!I221</f>
        <v/>
      </c>
      <c r="Z230" s="1237" t="str">
        <f>'🔵クレーム'!J221</f>
        <v/>
      </c>
      <c r="AA230" s="1237" t="str">
        <f>'🔵クレーム'!K221</f>
        <v/>
      </c>
      <c r="AB230" s="1237" t="str">
        <f>'🔵クレーム'!L221</f>
        <v/>
      </c>
      <c r="AC230" s="1239" t="str">
        <f>'🔵クレーム'!N221</f>
        <v/>
      </c>
    </row>
    <row r="231" hidden="1" outlineLevel="1">
      <c r="B231" s="1294"/>
      <c r="C231" s="982"/>
      <c r="D231" s="982"/>
      <c r="E231" s="982"/>
      <c r="F231" s="982"/>
      <c r="G231" s="1291"/>
      <c r="H231" s="232"/>
      <c r="I231" s="232"/>
      <c r="J231" s="232"/>
      <c r="K231" s="232"/>
      <c r="L231" s="232"/>
      <c r="M231" s="1292"/>
      <c r="O231" s="1237"/>
      <c r="P231" s="1237"/>
      <c r="Q231" s="1237"/>
      <c r="R231" s="1237"/>
      <c r="S231" s="1237"/>
      <c r="T231" s="1237"/>
      <c r="U231" s="1237"/>
      <c r="W231" s="1237" t="str">
        <f>'🔵クレーム'!C222</f>
        <v/>
      </c>
      <c r="X231" s="1237" t="str">
        <f>'🔵クレーム'!D222</f>
        <v/>
      </c>
      <c r="Y231" s="286" t="str">
        <f>'🔵クレーム'!I222</f>
        <v/>
      </c>
      <c r="Z231" s="1237" t="str">
        <f>'🔵クレーム'!J222</f>
        <v/>
      </c>
      <c r="AA231" s="1237" t="str">
        <f>'🔵クレーム'!K222</f>
        <v/>
      </c>
      <c r="AB231" s="1237" t="str">
        <f>'🔵クレーム'!L222</f>
        <v/>
      </c>
      <c r="AC231" s="1239" t="str">
        <f>'🔵クレーム'!N222</f>
        <v/>
      </c>
    </row>
    <row r="232" hidden="1" outlineLevel="1">
      <c r="B232" s="1294"/>
      <c r="C232" s="982"/>
      <c r="D232" s="982"/>
      <c r="E232" s="982"/>
      <c r="F232" s="982"/>
      <c r="G232" s="1291"/>
      <c r="H232" s="232"/>
      <c r="I232" s="232"/>
      <c r="J232" s="232"/>
      <c r="K232" s="232"/>
      <c r="L232" s="232"/>
      <c r="M232" s="1292"/>
      <c r="O232" s="1237"/>
      <c r="P232" s="1237"/>
      <c r="Q232" s="1237"/>
      <c r="R232" s="1237"/>
      <c r="S232" s="1237"/>
      <c r="T232" s="1237"/>
      <c r="U232" s="1237"/>
      <c r="W232" s="1237" t="str">
        <f>'🔵クレーム'!C223</f>
        <v/>
      </c>
      <c r="X232" s="1237" t="str">
        <f>'🔵クレーム'!D223</f>
        <v/>
      </c>
      <c r="Y232" s="286" t="str">
        <f>'🔵クレーム'!I223</f>
        <v/>
      </c>
      <c r="Z232" s="1237" t="str">
        <f>'🔵クレーム'!J223</f>
        <v/>
      </c>
      <c r="AA232" s="1237" t="str">
        <f>'🔵クレーム'!K223</f>
        <v/>
      </c>
      <c r="AB232" s="1237" t="str">
        <f>'🔵クレーム'!L223</f>
        <v/>
      </c>
      <c r="AC232" s="1239" t="str">
        <f>'🔵クレーム'!N223</f>
        <v/>
      </c>
    </row>
    <row r="233" hidden="1" outlineLevel="1">
      <c r="B233" s="1294"/>
      <c r="C233" s="982"/>
      <c r="D233" s="982"/>
      <c r="E233" s="982"/>
      <c r="F233" s="982"/>
      <c r="G233" s="1291"/>
      <c r="H233" s="232"/>
      <c r="I233" s="232"/>
      <c r="J233" s="232"/>
      <c r="K233" s="232"/>
      <c r="L233" s="232"/>
      <c r="M233" s="1292"/>
      <c r="O233" s="1237"/>
      <c r="P233" s="1237"/>
      <c r="Q233" s="1237"/>
      <c r="R233" s="1237"/>
      <c r="S233" s="1237"/>
      <c r="T233" s="1237"/>
      <c r="U233" s="1237"/>
      <c r="W233" s="1237" t="str">
        <f>'🔵クレーム'!C224</f>
        <v/>
      </c>
      <c r="X233" s="1237" t="str">
        <f>'🔵クレーム'!D224</f>
        <v/>
      </c>
      <c r="Y233" s="286" t="str">
        <f>'🔵クレーム'!I224</f>
        <v/>
      </c>
      <c r="Z233" s="1237" t="str">
        <f>'🔵クレーム'!J224</f>
        <v/>
      </c>
      <c r="AA233" s="1237" t="str">
        <f>'🔵クレーム'!K224</f>
        <v/>
      </c>
      <c r="AB233" s="1237" t="str">
        <f>'🔵クレーム'!L224</f>
        <v/>
      </c>
      <c r="AC233" s="1239" t="str">
        <f>'🔵クレーム'!N224</f>
        <v/>
      </c>
    </row>
    <row r="234" hidden="1" outlineLevel="1">
      <c r="B234" s="1294"/>
      <c r="C234" s="982"/>
      <c r="D234" s="982"/>
      <c r="E234" s="982"/>
      <c r="F234" s="982"/>
      <c r="G234" s="1291"/>
      <c r="H234" s="232"/>
      <c r="I234" s="232"/>
      <c r="J234" s="232"/>
      <c r="K234" s="232"/>
      <c r="L234" s="232"/>
      <c r="M234" s="1292"/>
      <c r="O234" s="1237"/>
      <c r="P234" s="1237"/>
      <c r="Q234" s="1237"/>
      <c r="R234" s="1237"/>
      <c r="S234" s="1237"/>
      <c r="T234" s="1237"/>
      <c r="U234" s="1237"/>
      <c r="W234" s="1237" t="str">
        <f>'🔵クレーム'!C225</f>
        <v/>
      </c>
      <c r="X234" s="1237" t="str">
        <f>'🔵クレーム'!D225</f>
        <v/>
      </c>
      <c r="Y234" s="286" t="str">
        <f>'🔵クレーム'!I225</f>
        <v/>
      </c>
      <c r="Z234" s="1237" t="str">
        <f>'🔵クレーム'!J225</f>
        <v/>
      </c>
      <c r="AA234" s="1237" t="str">
        <f>'🔵クレーム'!K225</f>
        <v/>
      </c>
      <c r="AB234" s="1237" t="str">
        <f>'🔵クレーム'!L225</f>
        <v/>
      </c>
      <c r="AC234" s="1239" t="str">
        <f>'🔵クレーム'!N225</f>
        <v/>
      </c>
    </row>
    <row r="235" hidden="1" outlineLevel="1">
      <c r="B235" s="1294"/>
      <c r="C235" s="982"/>
      <c r="D235" s="982"/>
      <c r="E235" s="982"/>
      <c r="F235" s="982"/>
      <c r="G235" s="1291"/>
      <c r="H235" s="232"/>
      <c r="I235" s="232"/>
      <c r="J235" s="232"/>
      <c r="K235" s="232"/>
      <c r="L235" s="232"/>
      <c r="M235" s="1292"/>
      <c r="O235" s="1237"/>
      <c r="P235" s="1237"/>
      <c r="Q235" s="1237"/>
      <c r="R235" s="1237"/>
      <c r="S235" s="1237"/>
      <c r="T235" s="1237"/>
      <c r="U235" s="1237"/>
      <c r="W235" s="1237" t="str">
        <f>'🔵クレーム'!C226</f>
        <v/>
      </c>
      <c r="X235" s="1237" t="str">
        <f>'🔵クレーム'!D226</f>
        <v/>
      </c>
      <c r="Y235" s="286" t="str">
        <f>'🔵クレーム'!I226</f>
        <v/>
      </c>
      <c r="Z235" s="1237" t="str">
        <f>'🔵クレーム'!J226</f>
        <v/>
      </c>
      <c r="AA235" s="1237" t="str">
        <f>'🔵クレーム'!K226</f>
        <v/>
      </c>
      <c r="AB235" s="1237" t="str">
        <f>'🔵クレーム'!L226</f>
        <v/>
      </c>
      <c r="AC235" s="1239" t="str">
        <f>'🔵クレーム'!N226</f>
        <v/>
      </c>
    </row>
    <row r="236" hidden="1" outlineLevel="1">
      <c r="B236" s="1294"/>
      <c r="C236" s="982"/>
      <c r="D236" s="982"/>
      <c r="E236" s="982"/>
      <c r="F236" s="982"/>
      <c r="G236" s="1291"/>
      <c r="H236" s="232"/>
      <c r="I236" s="232"/>
      <c r="J236" s="232"/>
      <c r="K236" s="232"/>
      <c r="L236" s="232"/>
      <c r="M236" s="1292"/>
      <c r="O236" s="1237"/>
      <c r="P236" s="1237"/>
      <c r="Q236" s="1237"/>
      <c r="R236" s="1237"/>
      <c r="S236" s="1237"/>
      <c r="T236" s="1237"/>
      <c r="U236" s="1237"/>
      <c r="W236" s="1237" t="str">
        <f>'🔵クレーム'!C227</f>
        <v/>
      </c>
      <c r="X236" s="1237" t="str">
        <f>'🔵クレーム'!D227</f>
        <v/>
      </c>
      <c r="Y236" s="286" t="str">
        <f>'🔵クレーム'!I227</f>
        <v/>
      </c>
      <c r="Z236" s="1237" t="str">
        <f>'🔵クレーム'!J227</f>
        <v/>
      </c>
      <c r="AA236" s="1237" t="str">
        <f>'🔵クレーム'!K227</f>
        <v/>
      </c>
      <c r="AB236" s="1237" t="str">
        <f>'🔵クレーム'!L227</f>
        <v/>
      </c>
      <c r="AC236" s="1239" t="str">
        <f>'🔵クレーム'!N227</f>
        <v/>
      </c>
    </row>
    <row r="237" hidden="1" outlineLevel="1">
      <c r="B237" s="1294"/>
      <c r="C237" s="982"/>
      <c r="D237" s="982"/>
      <c r="E237" s="982"/>
      <c r="F237" s="982"/>
      <c r="G237" s="1291"/>
      <c r="H237" s="232"/>
      <c r="I237" s="232"/>
      <c r="J237" s="232"/>
      <c r="K237" s="232"/>
      <c r="L237" s="232"/>
      <c r="M237" s="1292"/>
      <c r="O237" s="1237"/>
      <c r="P237" s="1237"/>
      <c r="Q237" s="1237"/>
      <c r="R237" s="1237"/>
      <c r="S237" s="1237"/>
      <c r="T237" s="1237"/>
      <c r="U237" s="1237"/>
      <c r="W237" s="1237" t="str">
        <f>'🔵クレーム'!C228</f>
        <v/>
      </c>
      <c r="X237" s="1237" t="str">
        <f>'🔵クレーム'!D228</f>
        <v/>
      </c>
      <c r="Y237" s="286" t="str">
        <f>'🔵クレーム'!I228</f>
        <v/>
      </c>
      <c r="Z237" s="1237" t="str">
        <f>'🔵クレーム'!J228</f>
        <v/>
      </c>
      <c r="AA237" s="1237" t="str">
        <f>'🔵クレーム'!K228</f>
        <v/>
      </c>
      <c r="AB237" s="1237" t="str">
        <f>'🔵クレーム'!L228</f>
        <v/>
      </c>
      <c r="AC237" s="1239" t="str">
        <f>'🔵クレーム'!N228</f>
        <v/>
      </c>
    </row>
    <row r="238" hidden="1" outlineLevel="1">
      <c r="B238" s="1294"/>
      <c r="C238" s="982"/>
      <c r="D238" s="982"/>
      <c r="E238" s="982"/>
      <c r="F238" s="982"/>
      <c r="G238" s="1291"/>
      <c r="H238" s="232"/>
      <c r="I238" s="232"/>
      <c r="J238" s="232"/>
      <c r="K238" s="232"/>
      <c r="L238" s="232"/>
      <c r="M238" s="1292"/>
      <c r="O238" s="1237"/>
      <c r="P238" s="1237"/>
      <c r="Q238" s="1237"/>
      <c r="R238" s="1237"/>
      <c r="S238" s="1237"/>
      <c r="T238" s="1237"/>
      <c r="U238" s="1237"/>
      <c r="W238" s="1237" t="str">
        <f>'🔵クレーム'!C229</f>
        <v/>
      </c>
      <c r="X238" s="1237" t="str">
        <f>'🔵クレーム'!D229</f>
        <v/>
      </c>
      <c r="Y238" s="286" t="str">
        <f>'🔵クレーム'!I229</f>
        <v/>
      </c>
      <c r="Z238" s="1237" t="str">
        <f>'🔵クレーム'!J229</f>
        <v/>
      </c>
      <c r="AA238" s="1237" t="str">
        <f>'🔵クレーム'!K229</f>
        <v/>
      </c>
      <c r="AB238" s="1237" t="str">
        <f>'🔵クレーム'!L229</f>
        <v/>
      </c>
      <c r="AC238" s="1239" t="str">
        <f>'🔵クレーム'!N229</f>
        <v/>
      </c>
    </row>
    <row r="239" hidden="1" outlineLevel="1">
      <c r="B239" s="1294"/>
      <c r="C239" s="982"/>
      <c r="D239" s="982"/>
      <c r="E239" s="982"/>
      <c r="F239" s="982"/>
      <c r="G239" s="1291"/>
      <c r="H239" s="232"/>
      <c r="I239" s="232"/>
      <c r="J239" s="232"/>
      <c r="K239" s="232"/>
      <c r="L239" s="232"/>
      <c r="M239" s="1292"/>
      <c r="O239" s="1237"/>
      <c r="P239" s="1237"/>
      <c r="Q239" s="1237"/>
      <c r="R239" s="1237"/>
      <c r="S239" s="1237"/>
      <c r="T239" s="1237"/>
      <c r="U239" s="1237"/>
      <c r="W239" s="1237" t="str">
        <f>'🔵クレーム'!C230</f>
        <v/>
      </c>
      <c r="X239" s="1237" t="str">
        <f>'🔵クレーム'!D230</f>
        <v/>
      </c>
      <c r="Y239" s="286" t="str">
        <f>'🔵クレーム'!I230</f>
        <v/>
      </c>
      <c r="Z239" s="1237" t="str">
        <f>'🔵クレーム'!J230</f>
        <v/>
      </c>
      <c r="AA239" s="1237" t="str">
        <f>'🔵クレーム'!K230</f>
        <v/>
      </c>
      <c r="AB239" s="1237" t="str">
        <f>'🔵クレーム'!L230</f>
        <v/>
      </c>
      <c r="AC239" s="1239" t="str">
        <f>'🔵クレーム'!N230</f>
        <v/>
      </c>
    </row>
    <row r="240" hidden="1" outlineLevel="1">
      <c r="B240" s="1294"/>
      <c r="C240" s="982"/>
      <c r="D240" s="982"/>
      <c r="E240" s="982"/>
      <c r="F240" s="982"/>
      <c r="G240" s="1291"/>
      <c r="H240" s="232"/>
      <c r="I240" s="232"/>
      <c r="J240" s="232"/>
      <c r="K240" s="232"/>
      <c r="L240" s="232"/>
      <c r="M240" s="1292"/>
      <c r="O240" s="1237"/>
      <c r="P240" s="1237"/>
      <c r="Q240" s="1237"/>
      <c r="R240" s="1237"/>
      <c r="S240" s="1237"/>
      <c r="T240" s="1237"/>
      <c r="U240" s="1237"/>
      <c r="W240" s="1237" t="str">
        <f>'🔵クレーム'!C231</f>
        <v/>
      </c>
      <c r="X240" s="1237" t="str">
        <f>'🔵クレーム'!D231</f>
        <v/>
      </c>
      <c r="Y240" s="286" t="str">
        <f>'🔵クレーム'!I231</f>
        <v/>
      </c>
      <c r="Z240" s="1237" t="str">
        <f>'🔵クレーム'!J231</f>
        <v/>
      </c>
      <c r="AA240" s="1237" t="str">
        <f>'🔵クレーム'!K231</f>
        <v/>
      </c>
      <c r="AB240" s="1237" t="str">
        <f>'🔵クレーム'!L231</f>
        <v/>
      </c>
      <c r="AC240" s="1239" t="str">
        <f>'🔵クレーム'!N231</f>
        <v/>
      </c>
    </row>
    <row r="241" hidden="1" outlineLevel="1">
      <c r="B241" s="1294"/>
      <c r="C241" s="982"/>
      <c r="D241" s="982"/>
      <c r="E241" s="982"/>
      <c r="F241" s="982"/>
      <c r="G241" s="1291"/>
      <c r="H241" s="232"/>
      <c r="I241" s="232"/>
      <c r="J241" s="232"/>
      <c r="K241" s="232"/>
      <c r="L241" s="232"/>
      <c r="M241" s="1292"/>
      <c r="O241" s="1237"/>
      <c r="P241" s="1237"/>
      <c r="Q241" s="1237"/>
      <c r="R241" s="1237"/>
      <c r="S241" s="1237"/>
      <c r="T241" s="1237"/>
      <c r="U241" s="1237"/>
      <c r="W241" s="1237" t="str">
        <f>'🔵クレーム'!C232</f>
        <v/>
      </c>
      <c r="X241" s="1237" t="str">
        <f>'🔵クレーム'!D232</f>
        <v/>
      </c>
      <c r="Y241" s="286" t="str">
        <f>'🔵クレーム'!I232</f>
        <v/>
      </c>
      <c r="Z241" s="1237" t="str">
        <f>'🔵クレーム'!J232</f>
        <v/>
      </c>
      <c r="AA241" s="1237" t="str">
        <f>'🔵クレーム'!K232</f>
        <v/>
      </c>
      <c r="AB241" s="1237" t="str">
        <f>'🔵クレーム'!L232</f>
        <v/>
      </c>
      <c r="AC241" s="1239" t="str">
        <f>'🔵クレーム'!N232</f>
        <v/>
      </c>
    </row>
    <row r="242" hidden="1" outlineLevel="1">
      <c r="B242" s="1294"/>
      <c r="C242" s="982"/>
      <c r="D242" s="982"/>
      <c r="E242" s="982"/>
      <c r="F242" s="982"/>
      <c r="G242" s="1291"/>
      <c r="H242" s="232"/>
      <c r="I242" s="232"/>
      <c r="J242" s="232"/>
      <c r="K242" s="232"/>
      <c r="L242" s="232"/>
      <c r="M242" s="1292"/>
      <c r="O242" s="1237"/>
      <c r="P242" s="1237"/>
      <c r="Q242" s="1237"/>
      <c r="R242" s="1237"/>
      <c r="S242" s="1237"/>
      <c r="T242" s="1237"/>
      <c r="U242" s="1237"/>
      <c r="W242" s="1237" t="str">
        <f>'🔵クレーム'!C233</f>
        <v/>
      </c>
      <c r="X242" s="1237" t="str">
        <f>'🔵クレーム'!D233</f>
        <v/>
      </c>
      <c r="Y242" s="286" t="str">
        <f>'🔵クレーム'!I233</f>
        <v/>
      </c>
      <c r="Z242" s="1237" t="str">
        <f>'🔵クレーム'!J233</f>
        <v/>
      </c>
      <c r="AA242" s="1237" t="str">
        <f>'🔵クレーム'!K233</f>
        <v/>
      </c>
      <c r="AB242" s="1237" t="str">
        <f>'🔵クレーム'!L233</f>
        <v/>
      </c>
      <c r="AC242" s="1239" t="str">
        <f>'🔵クレーム'!N233</f>
        <v/>
      </c>
    </row>
    <row r="243" hidden="1" outlineLevel="1">
      <c r="B243" s="1294"/>
      <c r="C243" s="982"/>
      <c r="D243" s="982"/>
      <c r="E243" s="982"/>
      <c r="F243" s="982"/>
      <c r="G243" s="1291"/>
      <c r="H243" s="232"/>
      <c r="I243" s="232"/>
      <c r="J243" s="232"/>
      <c r="K243" s="232"/>
      <c r="L243" s="232"/>
      <c r="M243" s="1292"/>
      <c r="O243" s="1237"/>
      <c r="P243" s="1237"/>
      <c r="Q243" s="1237"/>
      <c r="R243" s="1237"/>
      <c r="S243" s="1237"/>
      <c r="T243" s="1237"/>
      <c r="U243" s="1237"/>
      <c r="W243" s="1237" t="str">
        <f>'🔵クレーム'!C234</f>
        <v/>
      </c>
      <c r="X243" s="1237" t="str">
        <f>'🔵クレーム'!D234</f>
        <v/>
      </c>
      <c r="Y243" s="286" t="str">
        <f>'🔵クレーム'!I234</f>
        <v/>
      </c>
      <c r="Z243" s="1237" t="str">
        <f>'🔵クレーム'!J234</f>
        <v/>
      </c>
      <c r="AA243" s="1237" t="str">
        <f>'🔵クレーム'!K234</f>
        <v/>
      </c>
      <c r="AB243" s="1237" t="str">
        <f>'🔵クレーム'!L234</f>
        <v/>
      </c>
      <c r="AC243" s="1239" t="str">
        <f>'🔵クレーム'!N234</f>
        <v/>
      </c>
    </row>
    <row r="244" hidden="1" outlineLevel="1">
      <c r="B244" s="1294"/>
      <c r="C244" s="982"/>
      <c r="D244" s="982"/>
      <c r="E244" s="982"/>
      <c r="F244" s="982"/>
      <c r="G244" s="1291"/>
      <c r="H244" s="232"/>
      <c r="I244" s="232"/>
      <c r="J244" s="232"/>
      <c r="K244" s="232"/>
      <c r="L244" s="232"/>
      <c r="M244" s="1292"/>
      <c r="O244" s="1237"/>
      <c r="P244" s="1237"/>
      <c r="Q244" s="1237"/>
      <c r="R244" s="1237"/>
      <c r="S244" s="1237"/>
      <c r="T244" s="1237"/>
      <c r="U244" s="1237"/>
      <c r="W244" s="1237" t="str">
        <f>'🔵クレーム'!C235</f>
        <v/>
      </c>
      <c r="X244" s="1237" t="str">
        <f>'🔵クレーム'!D235</f>
        <v/>
      </c>
      <c r="Y244" s="286" t="str">
        <f>'🔵クレーム'!I235</f>
        <v/>
      </c>
      <c r="Z244" s="1237" t="str">
        <f>'🔵クレーム'!J235</f>
        <v/>
      </c>
      <c r="AA244" s="1237" t="str">
        <f>'🔵クレーム'!K235</f>
        <v/>
      </c>
      <c r="AB244" s="1237" t="str">
        <f>'🔵クレーム'!L235</f>
        <v/>
      </c>
      <c r="AC244" s="1239" t="str">
        <f>'🔵クレーム'!N235</f>
        <v/>
      </c>
    </row>
    <row r="245" hidden="1" outlineLevel="1">
      <c r="B245" s="1294"/>
      <c r="C245" s="982"/>
      <c r="D245" s="982"/>
      <c r="E245" s="982"/>
      <c r="F245" s="982"/>
      <c r="G245" s="1291"/>
      <c r="H245" s="232"/>
      <c r="I245" s="232"/>
      <c r="J245" s="232"/>
      <c r="K245" s="232"/>
      <c r="L245" s="232"/>
      <c r="M245" s="1292"/>
      <c r="O245" s="1237"/>
      <c r="P245" s="1237"/>
      <c r="Q245" s="1237"/>
      <c r="R245" s="1237"/>
      <c r="S245" s="1237"/>
      <c r="T245" s="1237"/>
      <c r="U245" s="1237"/>
      <c r="W245" s="1237" t="str">
        <f>'🔵クレーム'!C236</f>
        <v/>
      </c>
      <c r="X245" s="1237" t="str">
        <f>'🔵クレーム'!D236</f>
        <v/>
      </c>
      <c r="Y245" s="286" t="str">
        <f>'🔵クレーム'!I236</f>
        <v/>
      </c>
      <c r="Z245" s="1237" t="str">
        <f>'🔵クレーム'!J236</f>
        <v/>
      </c>
      <c r="AA245" s="1237" t="str">
        <f>'🔵クレーム'!K236</f>
        <v/>
      </c>
      <c r="AB245" s="1237" t="str">
        <f>'🔵クレーム'!L236</f>
        <v/>
      </c>
      <c r="AC245" s="1239" t="str">
        <f>'🔵クレーム'!N236</f>
        <v/>
      </c>
    </row>
    <row r="246" hidden="1" outlineLevel="1">
      <c r="B246" s="1294"/>
      <c r="C246" s="982"/>
      <c r="D246" s="982"/>
      <c r="E246" s="982"/>
      <c r="F246" s="982"/>
      <c r="G246" s="1291"/>
      <c r="H246" s="232"/>
      <c r="I246" s="232"/>
      <c r="J246" s="232"/>
      <c r="K246" s="232"/>
      <c r="L246" s="232"/>
      <c r="M246" s="1292"/>
      <c r="O246" s="1237"/>
      <c r="P246" s="1237"/>
      <c r="Q246" s="1237"/>
      <c r="R246" s="1237"/>
      <c r="S246" s="1237"/>
      <c r="T246" s="1237"/>
      <c r="U246" s="1237"/>
      <c r="W246" s="1237" t="str">
        <f>'🔵クレーム'!C237</f>
        <v/>
      </c>
      <c r="X246" s="1237" t="str">
        <f>'🔵クレーム'!D237</f>
        <v/>
      </c>
      <c r="Y246" s="286" t="str">
        <f>'🔵クレーム'!I237</f>
        <v/>
      </c>
      <c r="Z246" s="1237" t="str">
        <f>'🔵クレーム'!J237</f>
        <v/>
      </c>
      <c r="AA246" s="1237" t="str">
        <f>'🔵クレーム'!K237</f>
        <v/>
      </c>
      <c r="AB246" s="1237" t="str">
        <f>'🔵クレーム'!L237</f>
        <v/>
      </c>
      <c r="AC246" s="1239" t="str">
        <f>'🔵クレーム'!N237</f>
        <v/>
      </c>
    </row>
    <row r="247" hidden="1" outlineLevel="1">
      <c r="B247" s="1294"/>
      <c r="C247" s="982"/>
      <c r="D247" s="982"/>
      <c r="E247" s="982"/>
      <c r="F247" s="982"/>
      <c r="G247" s="1291"/>
      <c r="H247" s="232"/>
      <c r="I247" s="232"/>
      <c r="J247" s="232"/>
      <c r="K247" s="232"/>
      <c r="L247" s="232"/>
      <c r="M247" s="1292"/>
      <c r="O247" s="1237"/>
      <c r="P247" s="1237"/>
      <c r="Q247" s="1237"/>
      <c r="R247" s="1237"/>
      <c r="S247" s="1237"/>
      <c r="T247" s="1237"/>
      <c r="U247" s="1237"/>
      <c r="W247" s="1237" t="str">
        <f>'🔵クレーム'!C238</f>
        <v/>
      </c>
      <c r="X247" s="1237" t="str">
        <f>'🔵クレーム'!D238</f>
        <v/>
      </c>
      <c r="Y247" s="286" t="str">
        <f>'🔵クレーム'!I238</f>
        <v/>
      </c>
      <c r="Z247" s="1237" t="str">
        <f>'🔵クレーム'!J238</f>
        <v/>
      </c>
      <c r="AA247" s="1237" t="str">
        <f>'🔵クレーム'!K238</f>
        <v/>
      </c>
      <c r="AB247" s="1237" t="str">
        <f>'🔵クレーム'!L238</f>
        <v/>
      </c>
      <c r="AC247" s="1239" t="str">
        <f>'🔵クレーム'!N238</f>
        <v/>
      </c>
    </row>
    <row r="248" hidden="1" outlineLevel="1">
      <c r="B248" s="1294"/>
      <c r="C248" s="982"/>
      <c r="D248" s="982"/>
      <c r="E248" s="982"/>
      <c r="F248" s="982"/>
      <c r="G248" s="1291"/>
      <c r="H248" s="232"/>
      <c r="I248" s="232"/>
      <c r="J248" s="232"/>
      <c r="K248" s="232"/>
      <c r="L248" s="232"/>
      <c r="M248" s="1292"/>
      <c r="O248" s="1237"/>
      <c r="P248" s="1237"/>
      <c r="Q248" s="1237"/>
      <c r="R248" s="1237"/>
      <c r="S248" s="1237"/>
      <c r="T248" s="1237"/>
      <c r="U248" s="1237"/>
      <c r="W248" s="1237" t="str">
        <f>'🔵クレーム'!C239</f>
        <v/>
      </c>
      <c r="X248" s="1237" t="str">
        <f>'🔵クレーム'!D239</f>
        <v/>
      </c>
      <c r="Y248" s="286" t="str">
        <f>'🔵クレーム'!I239</f>
        <v/>
      </c>
      <c r="Z248" s="1237" t="str">
        <f>'🔵クレーム'!J239</f>
        <v/>
      </c>
      <c r="AA248" s="1237" t="str">
        <f>'🔵クレーム'!K239</f>
        <v/>
      </c>
      <c r="AB248" s="1237" t="str">
        <f>'🔵クレーム'!L239</f>
        <v/>
      </c>
      <c r="AC248" s="1239" t="str">
        <f>'🔵クレーム'!N239</f>
        <v/>
      </c>
    </row>
    <row r="249" hidden="1" outlineLevel="1">
      <c r="B249" s="1294"/>
      <c r="C249" s="982"/>
      <c r="D249" s="982"/>
      <c r="E249" s="982"/>
      <c r="F249" s="982"/>
      <c r="G249" s="1291"/>
      <c r="H249" s="232"/>
      <c r="I249" s="232"/>
      <c r="J249" s="232"/>
      <c r="K249" s="232"/>
      <c r="L249" s="232"/>
      <c r="M249" s="1292"/>
      <c r="O249" s="1237"/>
      <c r="P249" s="1237"/>
      <c r="Q249" s="1237"/>
      <c r="R249" s="1237"/>
      <c r="S249" s="1237"/>
      <c r="T249" s="1237"/>
      <c r="U249" s="1237"/>
      <c r="W249" s="1237" t="str">
        <f>'🔵クレーム'!C240</f>
        <v/>
      </c>
      <c r="X249" s="1237" t="str">
        <f>'🔵クレーム'!D240</f>
        <v/>
      </c>
      <c r="Y249" s="286" t="str">
        <f>'🔵クレーム'!I240</f>
        <v/>
      </c>
      <c r="Z249" s="1237" t="str">
        <f>'🔵クレーム'!J240</f>
        <v/>
      </c>
      <c r="AA249" s="1237" t="str">
        <f>'🔵クレーム'!K240</f>
        <v/>
      </c>
      <c r="AB249" s="1237" t="str">
        <f>'🔵クレーム'!L240</f>
        <v/>
      </c>
      <c r="AC249" s="1239" t="str">
        <f>'🔵クレーム'!N240</f>
        <v/>
      </c>
    </row>
    <row r="250" hidden="1" outlineLevel="1">
      <c r="B250" s="1294"/>
      <c r="C250" s="982"/>
      <c r="D250" s="982"/>
      <c r="E250" s="982"/>
      <c r="F250" s="982"/>
      <c r="G250" s="1291"/>
      <c r="H250" s="232"/>
      <c r="I250" s="232"/>
      <c r="J250" s="232"/>
      <c r="K250" s="232"/>
      <c r="L250" s="232"/>
      <c r="M250" s="1292"/>
      <c r="O250" s="1237"/>
      <c r="P250" s="1237"/>
      <c r="Q250" s="1237"/>
      <c r="R250" s="1237"/>
      <c r="S250" s="1237"/>
      <c r="T250" s="1237"/>
      <c r="U250" s="1237"/>
      <c r="W250" s="1237" t="str">
        <f>'🔵クレーム'!C241</f>
        <v/>
      </c>
      <c r="X250" s="1237" t="str">
        <f>'🔵クレーム'!D241</f>
        <v/>
      </c>
      <c r="Y250" s="286" t="str">
        <f>'🔵クレーム'!I241</f>
        <v/>
      </c>
      <c r="Z250" s="1237" t="str">
        <f>'🔵クレーム'!J241</f>
        <v/>
      </c>
      <c r="AA250" s="1237" t="str">
        <f>'🔵クレーム'!K241</f>
        <v/>
      </c>
      <c r="AB250" s="1237" t="str">
        <f>'🔵クレーム'!L241</f>
        <v/>
      </c>
      <c r="AC250" s="1239" t="str">
        <f>'🔵クレーム'!N241</f>
        <v/>
      </c>
    </row>
    <row r="251" hidden="1" outlineLevel="1">
      <c r="B251" s="1294"/>
      <c r="C251" s="982"/>
      <c r="D251" s="982"/>
      <c r="E251" s="982"/>
      <c r="F251" s="982"/>
      <c r="G251" s="1291"/>
      <c r="H251" s="232"/>
      <c r="I251" s="232"/>
      <c r="J251" s="232"/>
      <c r="K251" s="232"/>
      <c r="L251" s="232"/>
      <c r="M251" s="1292"/>
      <c r="O251" s="1237"/>
      <c r="P251" s="1237"/>
      <c r="Q251" s="1237"/>
      <c r="R251" s="1237"/>
      <c r="S251" s="1237"/>
      <c r="T251" s="1237"/>
      <c r="U251" s="1237"/>
      <c r="W251" s="1237" t="str">
        <f>'🔵クレーム'!C242</f>
        <v/>
      </c>
      <c r="X251" s="1237" t="str">
        <f>'🔵クレーム'!D242</f>
        <v/>
      </c>
      <c r="Y251" s="286" t="str">
        <f>'🔵クレーム'!I242</f>
        <v/>
      </c>
      <c r="Z251" s="1237" t="str">
        <f>'🔵クレーム'!J242</f>
        <v/>
      </c>
      <c r="AA251" s="1237" t="str">
        <f>'🔵クレーム'!K242</f>
        <v/>
      </c>
      <c r="AB251" s="1237" t="str">
        <f>'🔵クレーム'!L242</f>
        <v/>
      </c>
      <c r="AC251" s="1239" t="str">
        <f>'🔵クレーム'!N242</f>
        <v/>
      </c>
    </row>
    <row r="252" hidden="1" outlineLevel="1">
      <c r="B252" s="1294"/>
      <c r="C252" s="982"/>
      <c r="D252" s="982"/>
      <c r="E252" s="982"/>
      <c r="F252" s="982"/>
      <c r="G252" s="1291"/>
      <c r="H252" s="232"/>
      <c r="I252" s="232"/>
      <c r="J252" s="232"/>
      <c r="K252" s="232"/>
      <c r="L252" s="232"/>
      <c r="M252" s="1292"/>
      <c r="O252" s="1237"/>
      <c r="P252" s="1237"/>
      <c r="Q252" s="1237"/>
      <c r="R252" s="1237"/>
      <c r="S252" s="1237"/>
      <c r="T252" s="1237"/>
      <c r="U252" s="1237"/>
      <c r="W252" s="1237" t="str">
        <f>'🔵クレーム'!C243</f>
        <v/>
      </c>
      <c r="X252" s="1237" t="str">
        <f>'🔵クレーム'!D243</f>
        <v/>
      </c>
      <c r="Y252" s="286" t="str">
        <f>'🔵クレーム'!I243</f>
        <v/>
      </c>
      <c r="Z252" s="1237" t="str">
        <f>'🔵クレーム'!J243</f>
        <v/>
      </c>
      <c r="AA252" s="1237" t="str">
        <f>'🔵クレーム'!K243</f>
        <v/>
      </c>
      <c r="AB252" s="1237" t="str">
        <f>'🔵クレーム'!L243</f>
        <v/>
      </c>
      <c r="AC252" s="1239" t="str">
        <f>'🔵クレーム'!N243</f>
        <v/>
      </c>
    </row>
    <row r="253" hidden="1" outlineLevel="1">
      <c r="B253" s="1294"/>
      <c r="C253" s="982"/>
      <c r="D253" s="982"/>
      <c r="E253" s="982"/>
      <c r="F253" s="982"/>
      <c r="G253" s="1291"/>
      <c r="H253" s="232"/>
      <c r="I253" s="232"/>
      <c r="J253" s="232"/>
      <c r="K253" s="232"/>
      <c r="L253" s="232"/>
      <c r="M253" s="1292"/>
      <c r="O253" s="1237"/>
      <c r="P253" s="1237"/>
      <c r="Q253" s="1237"/>
      <c r="R253" s="1237"/>
      <c r="S253" s="1237"/>
      <c r="T253" s="1237"/>
      <c r="U253" s="1237"/>
      <c r="W253" s="1237" t="str">
        <f>'🔵クレーム'!C244</f>
        <v/>
      </c>
      <c r="X253" s="1237" t="str">
        <f>'🔵クレーム'!D244</f>
        <v/>
      </c>
      <c r="Y253" s="286" t="str">
        <f>'🔵クレーム'!I244</f>
        <v/>
      </c>
      <c r="Z253" s="1237" t="str">
        <f>'🔵クレーム'!J244</f>
        <v/>
      </c>
      <c r="AA253" s="1237" t="str">
        <f>'🔵クレーム'!K244</f>
        <v/>
      </c>
      <c r="AB253" s="1237" t="str">
        <f>'🔵クレーム'!L244</f>
        <v/>
      </c>
      <c r="AC253" s="1239" t="str">
        <f>'🔵クレーム'!N244</f>
        <v/>
      </c>
    </row>
    <row r="254" hidden="1" outlineLevel="1">
      <c r="B254" s="1294"/>
      <c r="C254" s="982"/>
      <c r="D254" s="982"/>
      <c r="E254" s="982"/>
      <c r="F254" s="982"/>
      <c r="G254" s="1291"/>
      <c r="H254" s="232"/>
      <c r="I254" s="232"/>
      <c r="J254" s="232"/>
      <c r="K254" s="232"/>
      <c r="L254" s="232"/>
      <c r="M254" s="1292"/>
      <c r="O254" s="1237"/>
      <c r="P254" s="1237"/>
      <c r="Q254" s="1237"/>
      <c r="R254" s="1237"/>
      <c r="S254" s="1237"/>
      <c r="T254" s="1237"/>
      <c r="U254" s="1237"/>
      <c r="W254" s="1237" t="str">
        <f>'🔵クレーム'!C245</f>
        <v/>
      </c>
      <c r="X254" s="1237" t="str">
        <f>'🔵クレーム'!D245</f>
        <v/>
      </c>
      <c r="Y254" s="286" t="str">
        <f>'🔵クレーム'!I245</f>
        <v/>
      </c>
      <c r="Z254" s="1237" t="str">
        <f>'🔵クレーム'!J245</f>
        <v/>
      </c>
      <c r="AA254" s="1237" t="str">
        <f>'🔵クレーム'!K245</f>
        <v/>
      </c>
      <c r="AB254" s="1237" t="str">
        <f>'🔵クレーム'!L245</f>
        <v/>
      </c>
      <c r="AC254" s="1239" t="str">
        <f>'🔵クレーム'!N245</f>
        <v/>
      </c>
    </row>
    <row r="255" hidden="1" outlineLevel="1">
      <c r="B255" s="1294"/>
      <c r="C255" s="982"/>
      <c r="D255" s="982"/>
      <c r="E255" s="982"/>
      <c r="F255" s="982"/>
      <c r="G255" s="1291"/>
      <c r="H255" s="232"/>
      <c r="I255" s="232"/>
      <c r="J255" s="232"/>
      <c r="K255" s="232"/>
      <c r="L255" s="232"/>
      <c r="M255" s="1292"/>
      <c r="O255" s="1237"/>
      <c r="P255" s="1237"/>
      <c r="Q255" s="1237"/>
      <c r="R255" s="1237"/>
      <c r="S255" s="1237"/>
      <c r="T255" s="1237"/>
      <c r="U255" s="1237"/>
      <c r="W255" s="1237" t="str">
        <f>'🔵クレーム'!C246</f>
        <v/>
      </c>
      <c r="X255" s="1237" t="str">
        <f>'🔵クレーム'!D246</f>
        <v/>
      </c>
      <c r="Y255" s="286" t="str">
        <f>'🔵クレーム'!I246</f>
        <v/>
      </c>
      <c r="Z255" s="1237" t="str">
        <f>'🔵クレーム'!J246</f>
        <v/>
      </c>
      <c r="AA255" s="1237" t="str">
        <f>'🔵クレーム'!K246</f>
        <v/>
      </c>
      <c r="AB255" s="1237" t="str">
        <f>'🔵クレーム'!L246</f>
        <v/>
      </c>
      <c r="AC255" s="1239" t="str">
        <f>'🔵クレーム'!N246</f>
        <v/>
      </c>
    </row>
    <row r="256" hidden="1" outlineLevel="1">
      <c r="B256" s="1294"/>
      <c r="C256" s="982"/>
      <c r="D256" s="982"/>
      <c r="E256" s="982"/>
      <c r="F256" s="982"/>
      <c r="G256" s="1291"/>
      <c r="H256" s="232"/>
      <c r="I256" s="232"/>
      <c r="J256" s="232"/>
      <c r="K256" s="232"/>
      <c r="L256" s="232"/>
      <c r="M256" s="1292"/>
      <c r="O256" s="1237"/>
      <c r="P256" s="1237"/>
      <c r="Q256" s="1237"/>
      <c r="R256" s="1237"/>
      <c r="S256" s="1237"/>
      <c r="T256" s="1237"/>
      <c r="U256" s="1237"/>
      <c r="W256" s="1237" t="str">
        <f>'🔵クレーム'!C247</f>
        <v/>
      </c>
      <c r="X256" s="1237" t="str">
        <f>'🔵クレーム'!D247</f>
        <v/>
      </c>
      <c r="Y256" s="286" t="str">
        <f>'🔵クレーム'!I247</f>
        <v/>
      </c>
      <c r="Z256" s="1237" t="str">
        <f>'🔵クレーム'!J247</f>
        <v/>
      </c>
      <c r="AA256" s="1237" t="str">
        <f>'🔵クレーム'!K247</f>
        <v/>
      </c>
      <c r="AB256" s="1237" t="str">
        <f>'🔵クレーム'!L247</f>
        <v/>
      </c>
      <c r="AC256" s="1239" t="str">
        <f>'🔵クレーム'!N247</f>
        <v/>
      </c>
    </row>
    <row r="257" hidden="1" outlineLevel="1">
      <c r="B257" s="1294"/>
      <c r="C257" s="982"/>
      <c r="D257" s="982"/>
      <c r="E257" s="982"/>
      <c r="F257" s="982"/>
      <c r="G257" s="1291"/>
      <c r="H257" s="232"/>
      <c r="I257" s="232"/>
      <c r="J257" s="232"/>
      <c r="K257" s="232"/>
      <c r="L257" s="232"/>
      <c r="M257" s="1292"/>
      <c r="O257" s="1237"/>
      <c r="P257" s="1237"/>
      <c r="Q257" s="1237"/>
      <c r="R257" s="1237"/>
      <c r="S257" s="1237"/>
      <c r="T257" s="1237"/>
      <c r="U257" s="1237"/>
      <c r="W257" s="1237" t="str">
        <f>'🔵クレーム'!C248</f>
        <v/>
      </c>
      <c r="X257" s="1237" t="str">
        <f>'🔵クレーム'!D248</f>
        <v/>
      </c>
      <c r="Y257" s="286" t="str">
        <f>'🔵クレーム'!I248</f>
        <v/>
      </c>
      <c r="Z257" s="1237" t="str">
        <f>'🔵クレーム'!J248</f>
        <v/>
      </c>
      <c r="AA257" s="1237" t="str">
        <f>'🔵クレーム'!K248</f>
        <v/>
      </c>
      <c r="AB257" s="1237" t="str">
        <f>'🔵クレーム'!L248</f>
        <v/>
      </c>
      <c r="AC257" s="1239" t="str">
        <f>'🔵クレーム'!N248</f>
        <v/>
      </c>
    </row>
    <row r="258" hidden="1" outlineLevel="1">
      <c r="B258" s="1294"/>
      <c r="C258" s="982"/>
      <c r="D258" s="982"/>
      <c r="E258" s="982"/>
      <c r="F258" s="982"/>
      <c r="G258" s="1291"/>
      <c r="H258" s="232"/>
      <c r="I258" s="232"/>
      <c r="J258" s="232"/>
      <c r="K258" s="232"/>
      <c r="L258" s="232"/>
      <c r="M258" s="1292"/>
      <c r="O258" s="1237"/>
      <c r="P258" s="1237"/>
      <c r="Q258" s="1237"/>
      <c r="R258" s="1237"/>
      <c r="S258" s="1237"/>
      <c r="T258" s="1237"/>
      <c r="U258" s="1237"/>
      <c r="W258" s="1237" t="str">
        <f>'🔵クレーム'!C249</f>
        <v/>
      </c>
      <c r="X258" s="1237" t="str">
        <f>'🔵クレーム'!D249</f>
        <v/>
      </c>
      <c r="Y258" s="286" t="str">
        <f>'🔵クレーム'!I249</f>
        <v/>
      </c>
      <c r="Z258" s="1237" t="str">
        <f>'🔵クレーム'!J249</f>
        <v/>
      </c>
      <c r="AA258" s="1237" t="str">
        <f>'🔵クレーム'!K249</f>
        <v/>
      </c>
      <c r="AB258" s="1237" t="str">
        <f>'🔵クレーム'!L249</f>
        <v/>
      </c>
      <c r="AC258" s="1239" t="str">
        <f>'🔵クレーム'!N249</f>
        <v/>
      </c>
    </row>
    <row r="259" hidden="1" outlineLevel="1">
      <c r="B259" s="1294"/>
      <c r="C259" s="982"/>
      <c r="D259" s="982"/>
      <c r="E259" s="982"/>
      <c r="F259" s="982"/>
      <c r="G259" s="1291"/>
      <c r="H259" s="232"/>
      <c r="I259" s="232"/>
      <c r="J259" s="232"/>
      <c r="K259" s="232"/>
      <c r="L259" s="232"/>
      <c r="M259" s="1292"/>
      <c r="O259" s="1237"/>
      <c r="P259" s="1237"/>
      <c r="Q259" s="1237"/>
      <c r="R259" s="1237"/>
      <c r="S259" s="1237"/>
      <c r="T259" s="1237"/>
      <c r="U259" s="1237"/>
      <c r="W259" s="1237" t="str">
        <f>'🔵クレーム'!C250</f>
        <v/>
      </c>
      <c r="X259" s="1237" t="str">
        <f>'🔵クレーム'!D250</f>
        <v/>
      </c>
      <c r="Y259" s="286" t="str">
        <f>'🔵クレーム'!I250</f>
        <v/>
      </c>
      <c r="Z259" s="1237" t="str">
        <f>'🔵クレーム'!J250</f>
        <v/>
      </c>
      <c r="AA259" s="1237" t="str">
        <f>'🔵クレーム'!K250</f>
        <v/>
      </c>
      <c r="AB259" s="1237" t="str">
        <f>'🔵クレーム'!L250</f>
        <v/>
      </c>
      <c r="AC259" s="1239" t="str">
        <f>'🔵クレーム'!N250</f>
        <v/>
      </c>
    </row>
    <row r="260" hidden="1" outlineLevel="1">
      <c r="B260" s="1294"/>
      <c r="C260" s="982"/>
      <c r="D260" s="982"/>
      <c r="E260" s="982"/>
      <c r="F260" s="982"/>
      <c r="G260" s="1291"/>
      <c r="H260" s="232"/>
      <c r="I260" s="232"/>
      <c r="J260" s="232"/>
      <c r="K260" s="232"/>
      <c r="L260" s="232"/>
      <c r="M260" s="1292"/>
      <c r="O260" s="1237"/>
      <c r="P260" s="1237"/>
      <c r="Q260" s="1237"/>
      <c r="R260" s="1237"/>
      <c r="S260" s="1237"/>
      <c r="T260" s="1237"/>
      <c r="U260" s="1237"/>
      <c r="W260" s="1237" t="str">
        <f>'🔵クレーム'!C251</f>
        <v/>
      </c>
      <c r="X260" s="1237" t="str">
        <f>'🔵クレーム'!D251</f>
        <v/>
      </c>
      <c r="Y260" s="286" t="str">
        <f>'🔵クレーム'!I251</f>
        <v/>
      </c>
      <c r="Z260" s="1237" t="str">
        <f>'🔵クレーム'!J251</f>
        <v/>
      </c>
      <c r="AA260" s="1237" t="str">
        <f>'🔵クレーム'!K251</f>
        <v/>
      </c>
      <c r="AB260" s="1237" t="str">
        <f>'🔵クレーム'!L251</f>
        <v/>
      </c>
      <c r="AC260" s="1239" t="str">
        <f>'🔵クレーム'!N251</f>
        <v/>
      </c>
    </row>
    <row r="261" hidden="1" outlineLevel="1">
      <c r="B261" s="1294"/>
      <c r="C261" s="982"/>
      <c r="D261" s="982"/>
      <c r="E261" s="982"/>
      <c r="F261" s="982"/>
      <c r="G261" s="1291"/>
      <c r="H261" s="232"/>
      <c r="I261" s="232"/>
      <c r="J261" s="232"/>
      <c r="K261" s="232"/>
      <c r="L261" s="232"/>
      <c r="M261" s="1292"/>
      <c r="O261" s="1237"/>
      <c r="P261" s="1237"/>
      <c r="Q261" s="1237"/>
      <c r="R261" s="1237"/>
      <c r="S261" s="1237"/>
      <c r="T261" s="1237"/>
      <c r="U261" s="1237"/>
      <c r="W261" s="1237" t="str">
        <f>'🔵クレーム'!C252</f>
        <v/>
      </c>
      <c r="X261" s="1237" t="str">
        <f>'🔵クレーム'!D252</f>
        <v/>
      </c>
      <c r="Y261" s="286" t="str">
        <f>'🔵クレーム'!I252</f>
        <v/>
      </c>
      <c r="Z261" s="1237" t="str">
        <f>'🔵クレーム'!J252</f>
        <v/>
      </c>
      <c r="AA261" s="1237" t="str">
        <f>'🔵クレーム'!K252</f>
        <v/>
      </c>
      <c r="AB261" s="1237" t="str">
        <f>'🔵クレーム'!L252</f>
        <v/>
      </c>
      <c r="AC261" s="1239" t="str">
        <f>'🔵クレーム'!N252</f>
        <v/>
      </c>
    </row>
    <row r="262" hidden="1" outlineLevel="1">
      <c r="B262" s="1294"/>
      <c r="C262" s="982"/>
      <c r="D262" s="982"/>
      <c r="E262" s="982"/>
      <c r="F262" s="982"/>
      <c r="G262" s="1291"/>
      <c r="H262" s="232"/>
      <c r="I262" s="232"/>
      <c r="J262" s="232"/>
      <c r="K262" s="232"/>
      <c r="L262" s="232"/>
      <c r="M262" s="1292"/>
      <c r="O262" s="1237"/>
      <c r="P262" s="1237"/>
      <c r="Q262" s="1237"/>
      <c r="R262" s="1237"/>
      <c r="S262" s="1237"/>
      <c r="T262" s="1237"/>
      <c r="U262" s="1237"/>
      <c r="W262" s="1237" t="str">
        <f>'🔵クレーム'!C253</f>
        <v/>
      </c>
      <c r="X262" s="1237" t="str">
        <f>'🔵クレーム'!D253</f>
        <v/>
      </c>
      <c r="Y262" s="286" t="str">
        <f>'🔵クレーム'!I253</f>
        <v/>
      </c>
      <c r="Z262" s="1237" t="str">
        <f>'🔵クレーム'!J253</f>
        <v/>
      </c>
      <c r="AA262" s="1237" t="str">
        <f>'🔵クレーム'!K253</f>
        <v/>
      </c>
      <c r="AB262" s="1237" t="str">
        <f>'🔵クレーム'!L253</f>
        <v/>
      </c>
      <c r="AC262" s="1239" t="str">
        <f>'🔵クレーム'!N253</f>
        <v/>
      </c>
    </row>
    <row r="263" hidden="1" outlineLevel="1">
      <c r="B263" s="1294"/>
      <c r="C263" s="982"/>
      <c r="D263" s="982"/>
      <c r="E263" s="982"/>
      <c r="F263" s="982"/>
      <c r="G263" s="1291"/>
      <c r="H263" s="232"/>
      <c r="I263" s="232"/>
      <c r="J263" s="232"/>
      <c r="K263" s="232"/>
      <c r="L263" s="232"/>
      <c r="M263" s="1292"/>
      <c r="O263" s="1237"/>
      <c r="P263" s="1237"/>
      <c r="Q263" s="1237"/>
      <c r="R263" s="1237"/>
      <c r="S263" s="1237"/>
      <c r="T263" s="1237"/>
      <c r="U263" s="1237"/>
      <c r="W263" s="1237" t="str">
        <f>'🔵クレーム'!C254</f>
        <v/>
      </c>
      <c r="X263" s="1237" t="str">
        <f>'🔵クレーム'!D254</f>
        <v/>
      </c>
      <c r="Y263" s="286" t="str">
        <f>'🔵クレーム'!I254</f>
        <v/>
      </c>
      <c r="Z263" s="1237" t="str">
        <f>'🔵クレーム'!J254</f>
        <v/>
      </c>
      <c r="AA263" s="1237" t="str">
        <f>'🔵クレーム'!K254</f>
        <v/>
      </c>
      <c r="AB263" s="1237" t="str">
        <f>'🔵クレーム'!L254</f>
        <v/>
      </c>
      <c r="AC263" s="1239" t="str">
        <f>'🔵クレーム'!N254</f>
        <v/>
      </c>
    </row>
    <row r="264" hidden="1" outlineLevel="1">
      <c r="B264" s="1294"/>
      <c r="C264" s="982"/>
      <c r="D264" s="982"/>
      <c r="E264" s="982"/>
      <c r="F264" s="982"/>
      <c r="G264" s="1291"/>
      <c r="H264" s="232"/>
      <c r="I264" s="232"/>
      <c r="J264" s="232"/>
      <c r="K264" s="232"/>
      <c r="L264" s="232"/>
      <c r="M264" s="1292"/>
      <c r="O264" s="1237"/>
      <c r="P264" s="1237"/>
      <c r="Q264" s="1237"/>
      <c r="R264" s="1237"/>
      <c r="S264" s="1237"/>
      <c r="T264" s="1237"/>
      <c r="U264" s="1237"/>
      <c r="W264" s="1237" t="str">
        <f>'🔵クレーム'!C255</f>
        <v/>
      </c>
      <c r="X264" s="1237" t="str">
        <f>'🔵クレーム'!D255</f>
        <v/>
      </c>
      <c r="Y264" s="286" t="str">
        <f>'🔵クレーム'!I255</f>
        <v/>
      </c>
      <c r="Z264" s="1237" t="str">
        <f>'🔵クレーム'!J255</f>
        <v/>
      </c>
      <c r="AA264" s="1237" t="str">
        <f>'🔵クレーム'!K255</f>
        <v/>
      </c>
      <c r="AB264" s="1237" t="str">
        <f>'🔵クレーム'!L255</f>
        <v/>
      </c>
      <c r="AC264" s="1239" t="str">
        <f>'🔵クレーム'!N255</f>
        <v/>
      </c>
    </row>
    <row r="265" hidden="1" outlineLevel="1">
      <c r="B265" s="1294"/>
      <c r="C265" s="982"/>
      <c r="D265" s="982"/>
      <c r="E265" s="982"/>
      <c r="F265" s="982"/>
      <c r="G265" s="1291"/>
      <c r="H265" s="232"/>
      <c r="I265" s="232"/>
      <c r="J265" s="232"/>
      <c r="K265" s="232"/>
      <c r="L265" s="232"/>
      <c r="M265" s="1292"/>
      <c r="O265" s="1237"/>
      <c r="P265" s="1237"/>
      <c r="Q265" s="1237"/>
      <c r="R265" s="1237"/>
      <c r="S265" s="1237"/>
      <c r="T265" s="1237"/>
      <c r="U265" s="1237"/>
      <c r="W265" s="1237" t="str">
        <f>'🔵クレーム'!C256</f>
        <v/>
      </c>
      <c r="X265" s="1237" t="str">
        <f>'🔵クレーム'!D256</f>
        <v/>
      </c>
      <c r="Y265" s="286" t="str">
        <f>'🔵クレーム'!I256</f>
        <v/>
      </c>
      <c r="Z265" s="1237" t="str">
        <f>'🔵クレーム'!J256</f>
        <v/>
      </c>
      <c r="AA265" s="1237" t="str">
        <f>'🔵クレーム'!K256</f>
        <v/>
      </c>
      <c r="AB265" s="1237" t="str">
        <f>'🔵クレーム'!L256</f>
        <v/>
      </c>
      <c r="AC265" s="1239" t="str">
        <f>'🔵クレーム'!N256</f>
        <v/>
      </c>
    </row>
    <row r="266" hidden="1" outlineLevel="1">
      <c r="B266" s="1294"/>
      <c r="C266" s="982"/>
      <c r="D266" s="982"/>
      <c r="E266" s="982"/>
      <c r="F266" s="982"/>
      <c r="G266" s="1291"/>
      <c r="H266" s="232"/>
      <c r="I266" s="232"/>
      <c r="J266" s="232"/>
      <c r="K266" s="232"/>
      <c r="L266" s="232"/>
      <c r="M266" s="1292"/>
      <c r="O266" s="1237"/>
      <c r="P266" s="1237"/>
      <c r="Q266" s="1237"/>
      <c r="R266" s="1237"/>
      <c r="S266" s="1237"/>
      <c r="T266" s="1237"/>
      <c r="U266" s="1237"/>
      <c r="W266" s="1237" t="str">
        <f>'🔵クレーム'!C257</f>
        <v/>
      </c>
      <c r="X266" s="1237" t="str">
        <f>'🔵クレーム'!D257</f>
        <v/>
      </c>
      <c r="Y266" s="286" t="str">
        <f>'🔵クレーム'!I257</f>
        <v/>
      </c>
      <c r="Z266" s="1237" t="str">
        <f>'🔵クレーム'!J257</f>
        <v/>
      </c>
      <c r="AA266" s="1237" t="str">
        <f>'🔵クレーム'!K257</f>
        <v/>
      </c>
      <c r="AB266" s="1237" t="str">
        <f>'🔵クレーム'!L257</f>
        <v/>
      </c>
      <c r="AC266" s="1239" t="str">
        <f>'🔵クレーム'!N257</f>
        <v/>
      </c>
    </row>
    <row r="267" hidden="1" outlineLevel="1">
      <c r="B267" s="1294"/>
      <c r="C267" s="982"/>
      <c r="D267" s="982"/>
      <c r="E267" s="982"/>
      <c r="F267" s="982"/>
      <c r="G267" s="1291"/>
      <c r="H267" s="232"/>
      <c r="I267" s="232"/>
      <c r="J267" s="232"/>
      <c r="K267" s="232"/>
      <c r="L267" s="232"/>
      <c r="M267" s="1292"/>
      <c r="O267" s="1237"/>
      <c r="P267" s="1237"/>
      <c r="Q267" s="1237"/>
      <c r="R267" s="1237"/>
      <c r="S267" s="1237"/>
      <c r="T267" s="1237"/>
      <c r="U267" s="1237"/>
      <c r="W267" s="1237" t="str">
        <f>'🔵クレーム'!C258</f>
        <v/>
      </c>
      <c r="X267" s="1237" t="str">
        <f>'🔵クレーム'!D258</f>
        <v/>
      </c>
      <c r="Y267" s="286" t="str">
        <f>'🔵クレーム'!I258</f>
        <v/>
      </c>
      <c r="Z267" s="1237" t="str">
        <f>'🔵クレーム'!J258</f>
        <v/>
      </c>
      <c r="AA267" s="1237" t="str">
        <f>'🔵クレーム'!K258</f>
        <v/>
      </c>
      <c r="AB267" s="1237" t="str">
        <f>'🔵クレーム'!L258</f>
        <v/>
      </c>
      <c r="AC267" s="1239" t="str">
        <f>'🔵クレーム'!N258</f>
        <v/>
      </c>
    </row>
    <row r="268" hidden="1" outlineLevel="1">
      <c r="B268" s="1294"/>
      <c r="C268" s="982"/>
      <c r="D268" s="982"/>
      <c r="E268" s="982"/>
      <c r="F268" s="982"/>
      <c r="G268" s="1291"/>
      <c r="H268" s="232"/>
      <c r="I268" s="232"/>
      <c r="J268" s="232"/>
      <c r="K268" s="232"/>
      <c r="L268" s="232"/>
      <c r="M268" s="1292"/>
      <c r="O268" s="1237"/>
      <c r="P268" s="1237"/>
      <c r="Q268" s="1237"/>
      <c r="R268" s="1237"/>
      <c r="S268" s="1237"/>
      <c r="T268" s="1237"/>
      <c r="U268" s="1237"/>
      <c r="W268" s="1237" t="str">
        <f>'🔵クレーム'!C259</f>
        <v/>
      </c>
      <c r="X268" s="1237" t="str">
        <f>'🔵クレーム'!D259</f>
        <v/>
      </c>
      <c r="Y268" s="286" t="str">
        <f>'🔵クレーム'!I259</f>
        <v/>
      </c>
      <c r="Z268" s="1237" t="str">
        <f>'🔵クレーム'!J259</f>
        <v/>
      </c>
      <c r="AA268" s="1237" t="str">
        <f>'🔵クレーム'!K259</f>
        <v/>
      </c>
      <c r="AB268" s="1237" t="str">
        <f>'🔵クレーム'!L259</f>
        <v/>
      </c>
      <c r="AC268" s="1239" t="str">
        <f>'🔵クレーム'!N259</f>
        <v/>
      </c>
    </row>
    <row r="269" hidden="1" outlineLevel="1">
      <c r="B269" s="1294"/>
      <c r="C269" s="982"/>
      <c r="D269" s="982"/>
      <c r="E269" s="982"/>
      <c r="F269" s="982"/>
      <c r="G269" s="1291"/>
      <c r="H269" s="232"/>
      <c r="I269" s="232"/>
      <c r="J269" s="232"/>
      <c r="K269" s="232"/>
      <c r="L269" s="232"/>
      <c r="M269" s="1292"/>
      <c r="O269" s="1237"/>
      <c r="P269" s="1237"/>
      <c r="Q269" s="1237"/>
      <c r="R269" s="1237"/>
      <c r="S269" s="1237"/>
      <c r="T269" s="1237"/>
      <c r="U269" s="1237"/>
      <c r="W269" s="1237" t="str">
        <f>'🔵クレーム'!C260</f>
        <v/>
      </c>
      <c r="X269" s="1237" t="str">
        <f>'🔵クレーム'!D260</f>
        <v/>
      </c>
      <c r="Y269" s="286" t="str">
        <f>'🔵クレーム'!I260</f>
        <v/>
      </c>
      <c r="Z269" s="1237" t="str">
        <f>'🔵クレーム'!J260</f>
        <v/>
      </c>
      <c r="AA269" s="1237" t="str">
        <f>'🔵クレーム'!K260</f>
        <v/>
      </c>
      <c r="AB269" s="1237" t="str">
        <f>'🔵クレーム'!L260</f>
        <v/>
      </c>
      <c r="AC269" s="1239" t="str">
        <f>'🔵クレーム'!N260</f>
        <v/>
      </c>
    </row>
    <row r="270" hidden="1" outlineLevel="1">
      <c r="B270" s="1294"/>
      <c r="C270" s="982"/>
      <c r="D270" s="982"/>
      <c r="E270" s="982"/>
      <c r="F270" s="982"/>
      <c r="G270" s="1291"/>
      <c r="H270" s="232"/>
      <c r="I270" s="232"/>
      <c r="J270" s="232"/>
      <c r="K270" s="232"/>
      <c r="L270" s="232"/>
      <c r="M270" s="1292"/>
      <c r="O270" s="1237"/>
      <c r="P270" s="1237"/>
      <c r="Q270" s="1237"/>
      <c r="R270" s="1237"/>
      <c r="S270" s="1237"/>
      <c r="T270" s="1237"/>
      <c r="U270" s="1237"/>
      <c r="W270" s="1237" t="str">
        <f>'🔵クレーム'!C261</f>
        <v/>
      </c>
      <c r="X270" s="1237" t="str">
        <f>'🔵クレーム'!D261</f>
        <v/>
      </c>
      <c r="Y270" s="286" t="str">
        <f>'🔵クレーム'!I261</f>
        <v/>
      </c>
      <c r="Z270" s="1237" t="str">
        <f>'🔵クレーム'!J261</f>
        <v/>
      </c>
      <c r="AA270" s="1237" t="str">
        <f>'🔵クレーム'!K261</f>
        <v/>
      </c>
      <c r="AB270" s="1237" t="str">
        <f>'🔵クレーム'!L261</f>
        <v/>
      </c>
      <c r="AC270" s="1239" t="str">
        <f>'🔵クレーム'!N261</f>
        <v/>
      </c>
    </row>
    <row r="271" hidden="1" outlineLevel="1">
      <c r="B271" s="1294"/>
      <c r="C271" s="982"/>
      <c r="D271" s="982"/>
      <c r="E271" s="982"/>
      <c r="F271" s="982"/>
      <c r="G271" s="1291"/>
      <c r="H271" s="232"/>
      <c r="I271" s="232"/>
      <c r="J271" s="232"/>
      <c r="K271" s="232"/>
      <c r="L271" s="232"/>
      <c r="M271" s="1292"/>
      <c r="O271" s="1237"/>
      <c r="P271" s="1237"/>
      <c r="Q271" s="1237"/>
      <c r="R271" s="1237"/>
      <c r="S271" s="1237"/>
      <c r="T271" s="1237"/>
      <c r="U271" s="1237"/>
      <c r="W271" s="1237" t="str">
        <f>'🔵クレーム'!C262</f>
        <v/>
      </c>
      <c r="X271" s="1237" t="str">
        <f>'🔵クレーム'!D262</f>
        <v/>
      </c>
      <c r="Y271" s="286" t="str">
        <f>'🔵クレーム'!I262</f>
        <v/>
      </c>
      <c r="Z271" s="1237" t="str">
        <f>'🔵クレーム'!J262</f>
        <v/>
      </c>
      <c r="AA271" s="1237" t="str">
        <f>'🔵クレーム'!K262</f>
        <v/>
      </c>
      <c r="AB271" s="1237" t="str">
        <f>'🔵クレーム'!L262</f>
        <v/>
      </c>
      <c r="AC271" s="1239" t="str">
        <f>'🔵クレーム'!N262</f>
        <v/>
      </c>
    </row>
    <row r="272" hidden="1" outlineLevel="1">
      <c r="B272" s="1294"/>
      <c r="C272" s="982"/>
      <c r="D272" s="982"/>
      <c r="E272" s="982"/>
      <c r="F272" s="982"/>
      <c r="G272" s="1291"/>
      <c r="H272" s="232"/>
      <c r="I272" s="232"/>
      <c r="J272" s="232"/>
      <c r="K272" s="232"/>
      <c r="L272" s="232"/>
      <c r="M272" s="1292"/>
      <c r="O272" s="1237"/>
      <c r="P272" s="1237"/>
      <c r="Q272" s="1237"/>
      <c r="R272" s="1237"/>
      <c r="S272" s="1237"/>
      <c r="T272" s="1237"/>
      <c r="U272" s="1237"/>
      <c r="W272" s="1237" t="str">
        <f>'🔵クレーム'!C263</f>
        <v/>
      </c>
      <c r="X272" s="1237" t="str">
        <f>'🔵クレーム'!D263</f>
        <v/>
      </c>
      <c r="Y272" s="286" t="str">
        <f>'🔵クレーム'!I263</f>
        <v/>
      </c>
      <c r="Z272" s="1237" t="str">
        <f>'🔵クレーム'!J263</f>
        <v/>
      </c>
      <c r="AA272" s="1237" t="str">
        <f>'🔵クレーム'!K263</f>
        <v/>
      </c>
      <c r="AB272" s="1237" t="str">
        <f>'🔵クレーム'!L263</f>
        <v/>
      </c>
      <c r="AC272" s="1239" t="str">
        <f>'🔵クレーム'!N263</f>
        <v/>
      </c>
    </row>
    <row r="273" hidden="1" outlineLevel="1">
      <c r="B273" s="1294"/>
      <c r="C273" s="982"/>
      <c r="D273" s="982"/>
      <c r="E273" s="982"/>
      <c r="F273" s="982"/>
      <c r="G273" s="1291"/>
      <c r="H273" s="232"/>
      <c r="I273" s="232"/>
      <c r="J273" s="232"/>
      <c r="K273" s="232"/>
      <c r="L273" s="232"/>
      <c r="M273" s="1292"/>
      <c r="O273" s="1237"/>
      <c r="P273" s="1237"/>
      <c r="Q273" s="1237"/>
      <c r="R273" s="1237"/>
      <c r="S273" s="1237"/>
      <c r="T273" s="1237"/>
      <c r="U273" s="1237"/>
      <c r="W273" s="1237" t="str">
        <f>'🔵クレーム'!C264</f>
        <v/>
      </c>
      <c r="X273" s="1237" t="str">
        <f>'🔵クレーム'!D264</f>
        <v/>
      </c>
      <c r="Y273" s="286" t="str">
        <f>'🔵クレーム'!I264</f>
        <v/>
      </c>
      <c r="Z273" s="1237" t="str">
        <f>'🔵クレーム'!J264</f>
        <v/>
      </c>
      <c r="AA273" s="1237" t="str">
        <f>'🔵クレーム'!K264</f>
        <v/>
      </c>
      <c r="AB273" s="1237" t="str">
        <f>'🔵クレーム'!L264</f>
        <v/>
      </c>
      <c r="AC273" s="1239" t="str">
        <f>'🔵クレーム'!N264</f>
        <v/>
      </c>
    </row>
    <row r="274" hidden="1" outlineLevel="1">
      <c r="B274" s="1294"/>
      <c r="C274" s="982"/>
      <c r="D274" s="982"/>
      <c r="E274" s="982"/>
      <c r="F274" s="982"/>
      <c r="G274" s="1291"/>
      <c r="H274" s="232"/>
      <c r="I274" s="232"/>
      <c r="J274" s="232"/>
      <c r="K274" s="232"/>
      <c r="L274" s="232"/>
      <c r="M274" s="1292"/>
      <c r="O274" s="1237"/>
      <c r="P274" s="1237"/>
      <c r="Q274" s="1237"/>
      <c r="R274" s="1237"/>
      <c r="S274" s="1237"/>
      <c r="T274" s="1237"/>
      <c r="U274" s="1237"/>
      <c r="W274" s="1237" t="str">
        <f>'🔵クレーム'!C265</f>
        <v/>
      </c>
      <c r="X274" s="1237" t="str">
        <f>'🔵クレーム'!D265</f>
        <v/>
      </c>
      <c r="Y274" s="286" t="str">
        <f>'🔵クレーム'!I265</f>
        <v/>
      </c>
      <c r="Z274" s="1237" t="str">
        <f>'🔵クレーム'!J265</f>
        <v/>
      </c>
      <c r="AA274" s="1237" t="str">
        <f>'🔵クレーム'!K265</f>
        <v/>
      </c>
      <c r="AB274" s="1237" t="str">
        <f>'🔵クレーム'!L265</f>
        <v/>
      </c>
      <c r="AC274" s="1239" t="str">
        <f>'🔵クレーム'!N265</f>
        <v/>
      </c>
    </row>
    <row r="275" hidden="1" outlineLevel="1">
      <c r="B275" s="1294"/>
      <c r="C275" s="982"/>
      <c r="D275" s="982"/>
      <c r="E275" s="982"/>
      <c r="F275" s="982"/>
      <c r="G275" s="1291"/>
      <c r="H275" s="232"/>
      <c r="I275" s="232"/>
      <c r="J275" s="232"/>
      <c r="K275" s="232"/>
      <c r="L275" s="232"/>
      <c r="M275" s="1292"/>
      <c r="O275" s="1237"/>
      <c r="P275" s="1237"/>
      <c r="Q275" s="1237"/>
      <c r="R275" s="1237"/>
      <c r="S275" s="1237"/>
      <c r="T275" s="1237"/>
      <c r="U275" s="1237"/>
      <c r="W275" s="1237" t="str">
        <f>'🔵クレーム'!C266</f>
        <v/>
      </c>
      <c r="X275" s="1237" t="str">
        <f>'🔵クレーム'!D266</f>
        <v/>
      </c>
      <c r="Y275" s="286" t="str">
        <f>'🔵クレーム'!I266</f>
        <v/>
      </c>
      <c r="Z275" s="1237" t="str">
        <f>'🔵クレーム'!J266</f>
        <v/>
      </c>
      <c r="AA275" s="1237" t="str">
        <f>'🔵クレーム'!K266</f>
        <v/>
      </c>
      <c r="AB275" s="1237" t="str">
        <f>'🔵クレーム'!L266</f>
        <v/>
      </c>
      <c r="AC275" s="1239" t="str">
        <f>'🔵クレーム'!N266</f>
        <v/>
      </c>
    </row>
    <row r="276" hidden="1" outlineLevel="1">
      <c r="B276" s="1294"/>
      <c r="C276" s="982"/>
      <c r="D276" s="982"/>
      <c r="E276" s="982"/>
      <c r="F276" s="982"/>
      <c r="G276" s="1291"/>
      <c r="H276" s="232"/>
      <c r="I276" s="232"/>
      <c r="J276" s="232"/>
      <c r="K276" s="232"/>
      <c r="L276" s="232"/>
      <c r="M276" s="1292"/>
      <c r="O276" s="1237"/>
      <c r="P276" s="1237"/>
      <c r="Q276" s="1237"/>
      <c r="R276" s="1237"/>
      <c r="S276" s="1237"/>
      <c r="T276" s="1237"/>
      <c r="U276" s="1237"/>
      <c r="W276" s="1237" t="str">
        <f>'🔵クレーム'!C267</f>
        <v/>
      </c>
      <c r="X276" s="1237" t="str">
        <f>'🔵クレーム'!D267</f>
        <v/>
      </c>
      <c r="Y276" s="286" t="str">
        <f>'🔵クレーム'!I267</f>
        <v/>
      </c>
      <c r="Z276" s="1237" t="str">
        <f>'🔵クレーム'!J267</f>
        <v/>
      </c>
      <c r="AA276" s="1237" t="str">
        <f>'🔵クレーム'!K267</f>
        <v/>
      </c>
      <c r="AB276" s="1237" t="str">
        <f>'🔵クレーム'!L267</f>
        <v/>
      </c>
      <c r="AC276" s="1239" t="str">
        <f>'🔵クレーム'!N267</f>
        <v/>
      </c>
    </row>
    <row r="277" hidden="1" outlineLevel="1">
      <c r="B277" s="1294"/>
      <c r="C277" s="982"/>
      <c r="D277" s="982"/>
      <c r="E277" s="982"/>
      <c r="F277" s="982"/>
      <c r="G277" s="1291"/>
      <c r="H277" s="232"/>
      <c r="I277" s="232"/>
      <c r="J277" s="232"/>
      <c r="K277" s="232"/>
      <c r="L277" s="232"/>
      <c r="M277" s="1292"/>
      <c r="O277" s="1237"/>
      <c r="P277" s="1237"/>
      <c r="Q277" s="1237"/>
      <c r="R277" s="1237"/>
      <c r="S277" s="1237"/>
      <c r="T277" s="1237"/>
      <c r="U277" s="1237"/>
      <c r="W277" s="1237" t="str">
        <f>'🔵クレーム'!C268</f>
        <v/>
      </c>
      <c r="X277" s="1237" t="str">
        <f>'🔵クレーム'!D268</f>
        <v/>
      </c>
      <c r="Y277" s="286" t="str">
        <f>'🔵クレーム'!I268</f>
        <v/>
      </c>
      <c r="Z277" s="1237" t="str">
        <f>'🔵クレーム'!J268</f>
        <v/>
      </c>
      <c r="AA277" s="1237" t="str">
        <f>'🔵クレーム'!K268</f>
        <v/>
      </c>
      <c r="AB277" s="1237" t="str">
        <f>'🔵クレーム'!L268</f>
        <v/>
      </c>
      <c r="AC277" s="1239" t="str">
        <f>'🔵クレーム'!N268</f>
        <v/>
      </c>
    </row>
    <row r="278" hidden="1" outlineLevel="1">
      <c r="B278" s="1294"/>
      <c r="C278" s="982"/>
      <c r="D278" s="982"/>
      <c r="E278" s="982"/>
      <c r="F278" s="982"/>
      <c r="G278" s="1291"/>
      <c r="H278" s="232"/>
      <c r="I278" s="232"/>
      <c r="J278" s="232"/>
      <c r="K278" s="232"/>
      <c r="L278" s="232"/>
      <c r="M278" s="1292"/>
      <c r="O278" s="1237"/>
      <c r="P278" s="1237"/>
      <c r="Q278" s="1237"/>
      <c r="R278" s="1237"/>
      <c r="S278" s="1237"/>
      <c r="T278" s="1237"/>
      <c r="U278" s="1237"/>
      <c r="W278" s="1237" t="str">
        <f>'🔵クレーム'!C269</f>
        <v/>
      </c>
      <c r="X278" s="1237" t="str">
        <f>'🔵クレーム'!D269</f>
        <v/>
      </c>
      <c r="Y278" s="286" t="str">
        <f>'🔵クレーム'!I269</f>
        <v/>
      </c>
      <c r="Z278" s="1237" t="str">
        <f>'🔵クレーム'!J269</f>
        <v/>
      </c>
      <c r="AA278" s="1237" t="str">
        <f>'🔵クレーム'!K269</f>
        <v/>
      </c>
      <c r="AB278" s="1237" t="str">
        <f>'🔵クレーム'!L269</f>
        <v/>
      </c>
      <c r="AC278" s="1239" t="str">
        <f>'🔵クレーム'!N269</f>
        <v/>
      </c>
    </row>
    <row r="279" hidden="1" outlineLevel="1">
      <c r="B279" s="1294"/>
      <c r="C279" s="982"/>
      <c r="D279" s="982"/>
      <c r="E279" s="982"/>
      <c r="F279" s="982"/>
      <c r="G279" s="1291"/>
      <c r="H279" s="232"/>
      <c r="I279" s="232"/>
      <c r="J279" s="232"/>
      <c r="K279" s="232"/>
      <c r="L279" s="232"/>
      <c r="M279" s="1292"/>
      <c r="O279" s="1237"/>
      <c r="P279" s="1237"/>
      <c r="Q279" s="1237"/>
      <c r="R279" s="1237"/>
      <c r="S279" s="1237"/>
      <c r="T279" s="1237"/>
      <c r="U279" s="1237"/>
      <c r="W279" s="1237" t="str">
        <f>'🔵クレーム'!C270</f>
        <v/>
      </c>
      <c r="X279" s="1237" t="str">
        <f>'🔵クレーム'!D270</f>
        <v/>
      </c>
      <c r="Y279" s="286" t="str">
        <f>'🔵クレーム'!I270</f>
        <v/>
      </c>
      <c r="Z279" s="1237" t="str">
        <f>'🔵クレーム'!J270</f>
        <v/>
      </c>
      <c r="AA279" s="1237" t="str">
        <f>'🔵クレーム'!K270</f>
        <v/>
      </c>
      <c r="AB279" s="1237" t="str">
        <f>'🔵クレーム'!L270</f>
        <v/>
      </c>
      <c r="AC279" s="1239" t="str">
        <f>'🔵クレーム'!N270</f>
        <v/>
      </c>
    </row>
    <row r="280" hidden="1" outlineLevel="1">
      <c r="B280" s="1294"/>
      <c r="C280" s="982"/>
      <c r="D280" s="982"/>
      <c r="E280" s="982"/>
      <c r="F280" s="982"/>
      <c r="G280" s="1291"/>
      <c r="H280" s="232"/>
      <c r="I280" s="232"/>
      <c r="J280" s="232"/>
      <c r="K280" s="232"/>
      <c r="L280" s="232"/>
      <c r="M280" s="1292"/>
      <c r="O280" s="1237"/>
      <c r="P280" s="1237"/>
      <c r="Q280" s="1237"/>
      <c r="R280" s="1237"/>
      <c r="S280" s="1237"/>
      <c r="T280" s="1237"/>
      <c r="U280" s="1237"/>
      <c r="W280" s="1237" t="str">
        <f>'🔵クレーム'!C271</f>
        <v/>
      </c>
      <c r="X280" s="1237" t="str">
        <f>'🔵クレーム'!D271</f>
        <v/>
      </c>
      <c r="Y280" s="286" t="str">
        <f>'🔵クレーム'!I271</f>
        <v/>
      </c>
      <c r="Z280" s="1237" t="str">
        <f>'🔵クレーム'!J271</f>
        <v/>
      </c>
      <c r="AA280" s="1237" t="str">
        <f>'🔵クレーム'!K271</f>
        <v/>
      </c>
      <c r="AB280" s="1237" t="str">
        <f>'🔵クレーム'!L271</f>
        <v/>
      </c>
      <c r="AC280" s="1239" t="str">
        <f>'🔵クレーム'!N271</f>
        <v/>
      </c>
    </row>
    <row r="281" hidden="1" outlineLevel="1">
      <c r="B281" s="1294"/>
      <c r="C281" s="982"/>
      <c r="D281" s="982"/>
      <c r="E281" s="982"/>
      <c r="F281" s="982"/>
      <c r="G281" s="1291"/>
      <c r="H281" s="232"/>
      <c r="I281" s="232"/>
      <c r="J281" s="232"/>
      <c r="K281" s="232"/>
      <c r="L281" s="232"/>
      <c r="M281" s="1292"/>
      <c r="O281" s="1237"/>
      <c r="P281" s="1237"/>
      <c r="Q281" s="1237"/>
      <c r="R281" s="1237"/>
      <c r="S281" s="1237"/>
      <c r="T281" s="1237"/>
      <c r="U281" s="1237"/>
      <c r="W281" s="1237" t="str">
        <f>'🔵クレーム'!C272</f>
        <v/>
      </c>
      <c r="X281" s="1237" t="str">
        <f>'🔵クレーム'!D272</f>
        <v/>
      </c>
      <c r="Y281" s="286" t="str">
        <f>'🔵クレーム'!I272</f>
        <v/>
      </c>
      <c r="Z281" s="1237" t="str">
        <f>'🔵クレーム'!J272</f>
        <v/>
      </c>
      <c r="AA281" s="1237" t="str">
        <f>'🔵クレーム'!K272</f>
        <v/>
      </c>
      <c r="AB281" s="1237" t="str">
        <f>'🔵クレーム'!L272</f>
        <v/>
      </c>
      <c r="AC281" s="1239" t="str">
        <f>'🔵クレーム'!N272</f>
        <v/>
      </c>
    </row>
    <row r="282" hidden="1" outlineLevel="1">
      <c r="B282" s="1294"/>
      <c r="C282" s="982"/>
      <c r="D282" s="982"/>
      <c r="E282" s="982"/>
      <c r="F282" s="982"/>
      <c r="G282" s="1291"/>
      <c r="H282" s="232"/>
      <c r="I282" s="232"/>
      <c r="J282" s="232"/>
      <c r="K282" s="232"/>
      <c r="L282" s="232"/>
      <c r="M282" s="1292"/>
      <c r="O282" s="1237"/>
      <c r="P282" s="1237"/>
      <c r="Q282" s="1237"/>
      <c r="R282" s="1237"/>
      <c r="S282" s="1237"/>
      <c r="T282" s="1237"/>
      <c r="U282" s="1237"/>
      <c r="W282" s="1237" t="str">
        <f>'🔵クレーム'!C273</f>
        <v/>
      </c>
      <c r="X282" s="1237" t="str">
        <f>'🔵クレーム'!D273</f>
        <v/>
      </c>
      <c r="Y282" s="286" t="str">
        <f>'🔵クレーム'!I273</f>
        <v/>
      </c>
      <c r="Z282" s="1237" t="str">
        <f>'🔵クレーム'!J273</f>
        <v/>
      </c>
      <c r="AA282" s="1237" t="str">
        <f>'🔵クレーム'!K273</f>
        <v/>
      </c>
      <c r="AB282" s="1237" t="str">
        <f>'🔵クレーム'!L273</f>
        <v/>
      </c>
      <c r="AC282" s="1239" t="str">
        <f>'🔵クレーム'!N273</f>
        <v/>
      </c>
    </row>
    <row r="283" hidden="1" outlineLevel="1">
      <c r="B283" s="1294"/>
      <c r="C283" s="982"/>
      <c r="D283" s="982"/>
      <c r="E283" s="982"/>
      <c r="F283" s="982"/>
      <c r="G283" s="1291"/>
      <c r="H283" s="232"/>
      <c r="I283" s="232"/>
      <c r="J283" s="232"/>
      <c r="K283" s="232"/>
      <c r="L283" s="232"/>
      <c r="M283" s="1292"/>
      <c r="O283" s="1237"/>
      <c r="P283" s="1237"/>
      <c r="Q283" s="1237"/>
      <c r="R283" s="1237"/>
      <c r="S283" s="1237"/>
      <c r="T283" s="1237"/>
      <c r="U283" s="1237"/>
      <c r="W283" s="1237" t="str">
        <f>'🔵クレーム'!C274</f>
        <v/>
      </c>
      <c r="X283" s="1237" t="str">
        <f>'🔵クレーム'!D274</f>
        <v/>
      </c>
      <c r="Y283" s="286" t="str">
        <f>'🔵クレーム'!I274</f>
        <v/>
      </c>
      <c r="Z283" s="1237" t="str">
        <f>'🔵クレーム'!J274</f>
        <v/>
      </c>
      <c r="AA283" s="1237" t="str">
        <f>'🔵クレーム'!K274</f>
        <v/>
      </c>
      <c r="AB283" s="1237" t="str">
        <f>'🔵クレーム'!L274</f>
        <v/>
      </c>
      <c r="AC283" s="1239" t="str">
        <f>'🔵クレーム'!N274</f>
        <v/>
      </c>
    </row>
    <row r="284" hidden="1" outlineLevel="1">
      <c r="B284" s="1294"/>
      <c r="C284" s="982"/>
      <c r="D284" s="982"/>
      <c r="E284" s="982"/>
      <c r="F284" s="982"/>
      <c r="G284" s="1291"/>
      <c r="H284" s="232"/>
      <c r="I284" s="232"/>
      <c r="J284" s="232"/>
      <c r="K284" s="232"/>
      <c r="L284" s="232"/>
      <c r="M284" s="1292"/>
      <c r="O284" s="1237"/>
      <c r="P284" s="1237"/>
      <c r="Q284" s="1237"/>
      <c r="R284" s="1237"/>
      <c r="S284" s="1237"/>
      <c r="T284" s="1237"/>
      <c r="U284" s="1237"/>
      <c r="W284" s="1237" t="str">
        <f>'🔵クレーム'!C275</f>
        <v/>
      </c>
      <c r="X284" s="1237" t="str">
        <f>'🔵クレーム'!D275</f>
        <v/>
      </c>
      <c r="Y284" s="286" t="str">
        <f>'🔵クレーム'!I275</f>
        <v/>
      </c>
      <c r="Z284" s="1237" t="str">
        <f>'🔵クレーム'!J275</f>
        <v/>
      </c>
      <c r="AA284" s="1237" t="str">
        <f>'🔵クレーム'!K275</f>
        <v/>
      </c>
      <c r="AB284" s="1237" t="str">
        <f>'🔵クレーム'!L275</f>
        <v/>
      </c>
      <c r="AC284" s="1239" t="str">
        <f>'🔵クレーム'!N275</f>
        <v/>
      </c>
    </row>
    <row r="285" hidden="1" outlineLevel="1">
      <c r="B285" s="1294"/>
      <c r="C285" s="982"/>
      <c r="D285" s="982"/>
      <c r="E285" s="982"/>
      <c r="F285" s="982"/>
      <c r="G285" s="1291"/>
      <c r="H285" s="232"/>
      <c r="I285" s="232"/>
      <c r="J285" s="232"/>
      <c r="K285" s="232"/>
      <c r="L285" s="232"/>
      <c r="M285" s="1292"/>
      <c r="O285" s="1237"/>
      <c r="P285" s="1237"/>
      <c r="Q285" s="1237"/>
      <c r="R285" s="1237"/>
      <c r="S285" s="1237"/>
      <c r="T285" s="1237"/>
      <c r="U285" s="1237"/>
      <c r="W285" s="1237" t="str">
        <f>'🔵クレーム'!C276</f>
        <v/>
      </c>
      <c r="X285" s="1237" t="str">
        <f>'🔵クレーム'!D276</f>
        <v/>
      </c>
      <c r="Y285" s="286" t="str">
        <f>'🔵クレーム'!I276</f>
        <v/>
      </c>
      <c r="Z285" s="1237" t="str">
        <f>'🔵クレーム'!J276</f>
        <v/>
      </c>
      <c r="AA285" s="1237" t="str">
        <f>'🔵クレーム'!K276</f>
        <v/>
      </c>
      <c r="AB285" s="1237" t="str">
        <f>'🔵クレーム'!L276</f>
        <v/>
      </c>
      <c r="AC285" s="1239" t="str">
        <f>'🔵クレーム'!N276</f>
        <v/>
      </c>
    </row>
    <row r="286" hidden="1" outlineLevel="1">
      <c r="B286" s="1294"/>
      <c r="C286" s="982"/>
      <c r="D286" s="982"/>
      <c r="E286" s="982"/>
      <c r="F286" s="982"/>
      <c r="G286" s="1291"/>
      <c r="H286" s="232"/>
      <c r="I286" s="232"/>
      <c r="J286" s="232"/>
      <c r="K286" s="232"/>
      <c r="L286" s="232"/>
      <c r="M286" s="1292"/>
      <c r="O286" s="1237"/>
      <c r="P286" s="1237"/>
      <c r="Q286" s="1237"/>
      <c r="R286" s="1237"/>
      <c r="S286" s="1237"/>
      <c r="T286" s="1237"/>
      <c r="U286" s="1237"/>
      <c r="W286" s="1237" t="str">
        <f>'🔵クレーム'!C277</f>
        <v/>
      </c>
      <c r="X286" s="1237" t="str">
        <f>'🔵クレーム'!D277</f>
        <v/>
      </c>
      <c r="Y286" s="286" t="str">
        <f>'🔵クレーム'!I277</f>
        <v/>
      </c>
      <c r="Z286" s="1237" t="str">
        <f>'🔵クレーム'!J277</f>
        <v/>
      </c>
      <c r="AA286" s="1237" t="str">
        <f>'🔵クレーム'!K277</f>
        <v/>
      </c>
      <c r="AB286" s="1237" t="str">
        <f>'🔵クレーム'!L277</f>
        <v/>
      </c>
      <c r="AC286" s="1239" t="str">
        <f>'🔵クレーム'!N277</f>
        <v/>
      </c>
    </row>
    <row r="287" hidden="1" outlineLevel="1">
      <c r="B287" s="1294"/>
      <c r="C287" s="982"/>
      <c r="D287" s="982"/>
      <c r="E287" s="982"/>
      <c r="F287" s="982"/>
      <c r="G287" s="1291"/>
      <c r="H287" s="232"/>
      <c r="I287" s="232"/>
      <c r="J287" s="232"/>
      <c r="K287" s="232"/>
      <c r="L287" s="232"/>
      <c r="M287" s="1292"/>
      <c r="O287" s="1237"/>
      <c r="P287" s="1237"/>
      <c r="Q287" s="1237"/>
      <c r="R287" s="1237"/>
      <c r="S287" s="1237"/>
      <c r="T287" s="1237"/>
      <c r="U287" s="1237"/>
      <c r="W287" s="1237" t="str">
        <f>'🔵クレーム'!C278</f>
        <v/>
      </c>
      <c r="X287" s="1237" t="str">
        <f>'🔵クレーム'!D278</f>
        <v/>
      </c>
      <c r="Y287" s="286" t="str">
        <f>'🔵クレーム'!I278</f>
        <v/>
      </c>
      <c r="Z287" s="1237" t="str">
        <f>'🔵クレーム'!J278</f>
        <v/>
      </c>
      <c r="AA287" s="1237" t="str">
        <f>'🔵クレーム'!K278</f>
        <v/>
      </c>
      <c r="AB287" s="1237" t="str">
        <f>'🔵クレーム'!L278</f>
        <v/>
      </c>
      <c r="AC287" s="1239" t="str">
        <f>'🔵クレーム'!N278</f>
        <v/>
      </c>
    </row>
    <row r="288" hidden="1" outlineLevel="1">
      <c r="B288" s="1294"/>
      <c r="C288" s="982"/>
      <c r="D288" s="982"/>
      <c r="E288" s="982"/>
      <c r="F288" s="982"/>
      <c r="G288" s="1291"/>
      <c r="H288" s="232"/>
      <c r="I288" s="232"/>
      <c r="J288" s="232"/>
      <c r="K288" s="232"/>
      <c r="L288" s="232"/>
      <c r="M288" s="1292"/>
      <c r="O288" s="1237"/>
      <c r="P288" s="1237"/>
      <c r="Q288" s="1237"/>
      <c r="R288" s="1237"/>
      <c r="S288" s="1237"/>
      <c r="T288" s="1237"/>
      <c r="U288" s="1237"/>
      <c r="W288" s="1237" t="str">
        <f>'🔵クレーム'!C279</f>
        <v/>
      </c>
      <c r="X288" s="1237" t="str">
        <f>'🔵クレーム'!D279</f>
        <v/>
      </c>
      <c r="Y288" s="286" t="str">
        <f>'🔵クレーム'!I279</f>
        <v/>
      </c>
      <c r="Z288" s="1237" t="str">
        <f>'🔵クレーム'!J279</f>
        <v/>
      </c>
      <c r="AA288" s="1237" t="str">
        <f>'🔵クレーム'!K279</f>
        <v/>
      </c>
      <c r="AB288" s="1237" t="str">
        <f>'🔵クレーム'!L279</f>
        <v/>
      </c>
      <c r="AC288" s="1239" t="str">
        <f>'🔵クレーム'!N279</f>
        <v/>
      </c>
    </row>
    <row r="289" hidden="1" outlineLevel="1">
      <c r="B289" s="1294"/>
      <c r="C289" s="982"/>
      <c r="D289" s="982"/>
      <c r="E289" s="982"/>
      <c r="F289" s="982"/>
      <c r="G289" s="1291"/>
      <c r="H289" s="232"/>
      <c r="I289" s="232"/>
      <c r="J289" s="232"/>
      <c r="K289" s="232"/>
      <c r="L289" s="232"/>
      <c r="M289" s="1292"/>
      <c r="O289" s="1237"/>
      <c r="P289" s="1237"/>
      <c r="Q289" s="1237"/>
      <c r="R289" s="1237"/>
      <c r="S289" s="1237"/>
      <c r="T289" s="1237"/>
      <c r="U289" s="1237"/>
      <c r="W289" s="1237" t="str">
        <f>'🔵クレーム'!C280</f>
        <v/>
      </c>
      <c r="X289" s="1237" t="str">
        <f>'🔵クレーム'!D280</f>
        <v/>
      </c>
      <c r="Y289" s="286" t="str">
        <f>'🔵クレーム'!I280</f>
        <v/>
      </c>
      <c r="Z289" s="1237" t="str">
        <f>'🔵クレーム'!J280</f>
        <v/>
      </c>
      <c r="AA289" s="1237" t="str">
        <f>'🔵クレーム'!K280</f>
        <v/>
      </c>
      <c r="AB289" s="1237" t="str">
        <f>'🔵クレーム'!L280</f>
        <v/>
      </c>
      <c r="AC289" s="1239" t="str">
        <f>'🔵クレーム'!N280</f>
        <v/>
      </c>
    </row>
    <row r="290" hidden="1" outlineLevel="1">
      <c r="B290" s="1294"/>
      <c r="C290" s="982"/>
      <c r="D290" s="982"/>
      <c r="E290" s="982"/>
      <c r="F290" s="982"/>
      <c r="G290" s="1291"/>
      <c r="H290" s="232"/>
      <c r="I290" s="232"/>
      <c r="J290" s="232"/>
      <c r="K290" s="232"/>
      <c r="L290" s="232"/>
      <c r="M290" s="1292"/>
      <c r="O290" s="1237"/>
      <c r="P290" s="1237"/>
      <c r="Q290" s="1237"/>
      <c r="R290" s="1237"/>
      <c r="S290" s="1237"/>
      <c r="T290" s="1237"/>
      <c r="U290" s="1237"/>
      <c r="W290" s="1237" t="str">
        <f>'🔵クレーム'!C281</f>
        <v/>
      </c>
      <c r="X290" s="1237" t="str">
        <f>'🔵クレーム'!D281</f>
        <v/>
      </c>
      <c r="Y290" s="286" t="str">
        <f>'🔵クレーム'!I281</f>
        <v/>
      </c>
      <c r="Z290" s="1237" t="str">
        <f>'🔵クレーム'!J281</f>
        <v/>
      </c>
      <c r="AA290" s="1237" t="str">
        <f>'🔵クレーム'!K281</f>
        <v/>
      </c>
      <c r="AB290" s="1237" t="str">
        <f>'🔵クレーム'!L281</f>
        <v/>
      </c>
      <c r="AC290" s="1239" t="str">
        <f>'🔵クレーム'!N281</f>
        <v/>
      </c>
    </row>
    <row r="291" hidden="1" outlineLevel="1">
      <c r="B291" s="1294"/>
      <c r="C291" s="982"/>
      <c r="D291" s="982"/>
      <c r="E291" s="982"/>
      <c r="F291" s="982"/>
      <c r="G291" s="1291"/>
      <c r="H291" s="232"/>
      <c r="I291" s="232"/>
      <c r="J291" s="232"/>
      <c r="K291" s="232"/>
      <c r="L291" s="232"/>
      <c r="M291" s="1292"/>
      <c r="O291" s="1237"/>
      <c r="P291" s="1237"/>
      <c r="Q291" s="1237"/>
      <c r="R291" s="1237"/>
      <c r="S291" s="1237"/>
      <c r="T291" s="1237"/>
      <c r="U291" s="1237"/>
      <c r="W291" s="1237" t="str">
        <f>'🔵クレーム'!C282</f>
        <v/>
      </c>
      <c r="X291" s="1237" t="str">
        <f>'🔵クレーム'!D282</f>
        <v/>
      </c>
      <c r="Y291" s="286" t="str">
        <f>'🔵クレーム'!I282</f>
        <v/>
      </c>
      <c r="Z291" s="1237" t="str">
        <f>'🔵クレーム'!J282</f>
        <v/>
      </c>
      <c r="AA291" s="1237" t="str">
        <f>'🔵クレーム'!K282</f>
        <v/>
      </c>
      <c r="AB291" s="1237" t="str">
        <f>'🔵クレーム'!L282</f>
        <v/>
      </c>
      <c r="AC291" s="1239" t="str">
        <f>'🔵クレーム'!N282</f>
        <v/>
      </c>
    </row>
    <row r="292" hidden="1" outlineLevel="1">
      <c r="B292" s="1294"/>
      <c r="C292" s="982"/>
      <c r="D292" s="982"/>
      <c r="E292" s="982"/>
      <c r="F292" s="982"/>
      <c r="G292" s="1291"/>
      <c r="H292" s="232"/>
      <c r="I292" s="232"/>
      <c r="J292" s="232"/>
      <c r="K292" s="232"/>
      <c r="L292" s="232"/>
      <c r="M292" s="1292"/>
      <c r="O292" s="1237"/>
      <c r="P292" s="1237"/>
      <c r="Q292" s="1237"/>
      <c r="R292" s="1237"/>
      <c r="S292" s="1237"/>
      <c r="T292" s="1237"/>
      <c r="U292" s="1237"/>
      <c r="W292" s="1237" t="str">
        <f>'🔵クレーム'!C283</f>
        <v/>
      </c>
      <c r="X292" s="1237" t="str">
        <f>'🔵クレーム'!D283</f>
        <v/>
      </c>
      <c r="Y292" s="286" t="str">
        <f>'🔵クレーム'!I283</f>
        <v/>
      </c>
      <c r="Z292" s="1237" t="str">
        <f>'🔵クレーム'!J283</f>
        <v/>
      </c>
      <c r="AA292" s="1237" t="str">
        <f>'🔵クレーム'!K283</f>
        <v/>
      </c>
      <c r="AB292" s="1237" t="str">
        <f>'🔵クレーム'!L283</f>
        <v/>
      </c>
      <c r="AC292" s="1239" t="str">
        <f>'🔵クレーム'!N283</f>
        <v/>
      </c>
    </row>
    <row r="293" hidden="1" outlineLevel="1">
      <c r="B293" s="1294"/>
      <c r="C293" s="982"/>
      <c r="D293" s="982"/>
      <c r="E293" s="982"/>
      <c r="F293" s="982"/>
      <c r="G293" s="1291"/>
      <c r="H293" s="232"/>
      <c r="I293" s="232"/>
      <c r="J293" s="232"/>
      <c r="K293" s="232"/>
      <c r="L293" s="232"/>
      <c r="M293" s="1292"/>
      <c r="O293" s="1237"/>
      <c r="P293" s="1237"/>
      <c r="Q293" s="1237"/>
      <c r="R293" s="1237"/>
      <c r="S293" s="1237"/>
      <c r="T293" s="1237"/>
      <c r="U293" s="1237"/>
      <c r="W293" s="1237" t="str">
        <f>'🔵クレーム'!C284</f>
        <v/>
      </c>
      <c r="X293" s="1237" t="str">
        <f>'🔵クレーム'!D284</f>
        <v/>
      </c>
      <c r="Y293" s="286" t="str">
        <f>'🔵クレーム'!I284</f>
        <v/>
      </c>
      <c r="Z293" s="1237" t="str">
        <f>'🔵クレーム'!J284</f>
        <v/>
      </c>
      <c r="AA293" s="1237" t="str">
        <f>'🔵クレーム'!K284</f>
        <v/>
      </c>
      <c r="AB293" s="1237" t="str">
        <f>'🔵クレーム'!L284</f>
        <v/>
      </c>
      <c r="AC293" s="1239" t="str">
        <f>'🔵クレーム'!N284</f>
        <v/>
      </c>
    </row>
    <row r="294" hidden="1" outlineLevel="1">
      <c r="B294" s="1294"/>
      <c r="C294" s="982"/>
      <c r="D294" s="982"/>
      <c r="E294" s="982"/>
      <c r="F294" s="982"/>
      <c r="G294" s="1291"/>
      <c r="H294" s="232"/>
      <c r="I294" s="232"/>
      <c r="J294" s="232"/>
      <c r="K294" s="232"/>
      <c r="L294" s="232"/>
      <c r="M294" s="1292"/>
      <c r="O294" s="1237"/>
      <c r="P294" s="1237"/>
      <c r="Q294" s="1237"/>
      <c r="R294" s="1237"/>
      <c r="S294" s="1237"/>
      <c r="T294" s="1237"/>
      <c r="U294" s="1237"/>
      <c r="W294" s="1237" t="str">
        <f>'🔵クレーム'!C285</f>
        <v/>
      </c>
      <c r="X294" s="1237" t="str">
        <f>'🔵クレーム'!D285</f>
        <v/>
      </c>
      <c r="Y294" s="286" t="str">
        <f>'🔵クレーム'!I285</f>
        <v/>
      </c>
      <c r="Z294" s="1237" t="str">
        <f>'🔵クレーム'!J285</f>
        <v/>
      </c>
      <c r="AA294" s="1237" t="str">
        <f>'🔵クレーム'!K285</f>
        <v/>
      </c>
      <c r="AB294" s="1237" t="str">
        <f>'🔵クレーム'!L285</f>
        <v/>
      </c>
      <c r="AC294" s="1239" t="str">
        <f>'🔵クレーム'!N285</f>
        <v/>
      </c>
    </row>
    <row r="295" hidden="1" outlineLevel="1">
      <c r="B295" s="1294"/>
      <c r="C295" s="982"/>
      <c r="D295" s="982"/>
      <c r="E295" s="982"/>
      <c r="F295" s="982"/>
      <c r="G295" s="1291"/>
      <c r="H295" s="232"/>
      <c r="I295" s="232"/>
      <c r="J295" s="232"/>
      <c r="K295" s="232"/>
      <c r="L295" s="232"/>
      <c r="M295" s="1292"/>
      <c r="O295" s="1237"/>
      <c r="P295" s="1237"/>
      <c r="Q295" s="1237"/>
      <c r="R295" s="1237"/>
      <c r="S295" s="1237"/>
      <c r="T295" s="1237"/>
      <c r="U295" s="1237"/>
      <c r="W295" s="1237" t="str">
        <f>'🔵クレーム'!C286</f>
        <v/>
      </c>
      <c r="X295" s="1237" t="str">
        <f>'🔵クレーム'!D286</f>
        <v/>
      </c>
      <c r="Y295" s="286" t="str">
        <f>'🔵クレーム'!I286</f>
        <v/>
      </c>
      <c r="Z295" s="1237" t="str">
        <f>'🔵クレーム'!J286</f>
        <v/>
      </c>
      <c r="AA295" s="1237" t="str">
        <f>'🔵クレーム'!K286</f>
        <v/>
      </c>
      <c r="AB295" s="1237" t="str">
        <f>'🔵クレーム'!L286</f>
        <v/>
      </c>
      <c r="AC295" s="1239" t="str">
        <f>'🔵クレーム'!N286</f>
        <v/>
      </c>
    </row>
    <row r="296" hidden="1" outlineLevel="1">
      <c r="B296" s="1294"/>
      <c r="C296" s="982"/>
      <c r="D296" s="982"/>
      <c r="E296" s="982"/>
      <c r="F296" s="982"/>
      <c r="G296" s="1291"/>
      <c r="H296" s="232"/>
      <c r="I296" s="232"/>
      <c r="J296" s="232"/>
      <c r="K296" s="232"/>
      <c r="L296" s="232"/>
      <c r="M296" s="1292"/>
      <c r="O296" s="1237"/>
      <c r="P296" s="1237"/>
      <c r="Q296" s="1237"/>
      <c r="R296" s="1237"/>
      <c r="S296" s="1237"/>
      <c r="T296" s="1237"/>
      <c r="U296" s="1237"/>
      <c r="W296" s="1237" t="str">
        <f>'🔵クレーム'!C287</f>
        <v/>
      </c>
      <c r="X296" s="1237" t="str">
        <f>'🔵クレーム'!D287</f>
        <v/>
      </c>
      <c r="Y296" s="286" t="str">
        <f>'🔵クレーム'!I287</f>
        <v/>
      </c>
      <c r="Z296" s="1237" t="str">
        <f>'🔵クレーム'!J287</f>
        <v/>
      </c>
      <c r="AA296" s="1237" t="str">
        <f>'🔵クレーム'!K287</f>
        <v/>
      </c>
      <c r="AB296" s="1237" t="str">
        <f>'🔵クレーム'!L287</f>
        <v/>
      </c>
      <c r="AC296" s="1239" t="str">
        <f>'🔵クレーム'!N287</f>
        <v/>
      </c>
    </row>
    <row r="297" hidden="1" outlineLevel="1">
      <c r="B297" s="1294"/>
      <c r="C297" s="982"/>
      <c r="D297" s="982"/>
      <c r="E297" s="982"/>
      <c r="F297" s="982"/>
      <c r="G297" s="1291"/>
      <c r="H297" s="232"/>
      <c r="I297" s="232"/>
      <c r="J297" s="232"/>
      <c r="K297" s="232"/>
      <c r="L297" s="232"/>
      <c r="M297" s="1292"/>
      <c r="O297" s="1237"/>
      <c r="P297" s="1237"/>
      <c r="Q297" s="1237"/>
      <c r="R297" s="1237"/>
      <c r="S297" s="1237"/>
      <c r="T297" s="1237"/>
      <c r="U297" s="1237"/>
      <c r="W297" s="1237" t="str">
        <f>'🔵クレーム'!C288</f>
        <v/>
      </c>
      <c r="X297" s="1237" t="str">
        <f>'🔵クレーム'!D288</f>
        <v/>
      </c>
      <c r="Y297" s="286" t="str">
        <f>'🔵クレーム'!I288</f>
        <v/>
      </c>
      <c r="Z297" s="1237" t="str">
        <f>'🔵クレーム'!J288</f>
        <v/>
      </c>
      <c r="AA297" s="1237" t="str">
        <f>'🔵クレーム'!K288</f>
        <v/>
      </c>
      <c r="AB297" s="1237" t="str">
        <f>'🔵クレーム'!L288</f>
        <v/>
      </c>
      <c r="AC297" s="1239" t="str">
        <f>'🔵クレーム'!N288</f>
        <v/>
      </c>
    </row>
    <row r="298" hidden="1" outlineLevel="1">
      <c r="B298" s="1294"/>
      <c r="C298" s="982"/>
      <c r="D298" s="982"/>
      <c r="E298" s="982"/>
      <c r="F298" s="982"/>
      <c r="G298" s="1291"/>
      <c r="H298" s="232"/>
      <c r="I298" s="232"/>
      <c r="J298" s="232"/>
      <c r="K298" s="232"/>
      <c r="L298" s="232"/>
      <c r="M298" s="1292"/>
      <c r="O298" s="1237"/>
      <c r="P298" s="1237"/>
      <c r="Q298" s="1237"/>
      <c r="R298" s="1237"/>
      <c r="S298" s="1237"/>
      <c r="T298" s="1237"/>
      <c r="U298" s="1237"/>
      <c r="W298" s="1237" t="str">
        <f>'🔵クレーム'!C289</f>
        <v/>
      </c>
      <c r="X298" s="1237" t="str">
        <f>'🔵クレーム'!D289</f>
        <v/>
      </c>
      <c r="Y298" s="286" t="str">
        <f>'🔵クレーム'!I289</f>
        <v/>
      </c>
      <c r="Z298" s="1237" t="str">
        <f>'🔵クレーム'!J289</f>
        <v/>
      </c>
      <c r="AA298" s="1237" t="str">
        <f>'🔵クレーム'!K289</f>
        <v/>
      </c>
      <c r="AB298" s="1237" t="str">
        <f>'🔵クレーム'!L289</f>
        <v/>
      </c>
      <c r="AC298" s="1239" t="str">
        <f>'🔵クレーム'!N289</f>
        <v/>
      </c>
    </row>
    <row r="299" hidden="1" outlineLevel="1">
      <c r="B299" s="1294"/>
      <c r="C299" s="982"/>
      <c r="D299" s="982"/>
      <c r="E299" s="982"/>
      <c r="F299" s="982"/>
      <c r="G299" s="1291"/>
      <c r="H299" s="232"/>
      <c r="I299" s="232"/>
      <c r="J299" s="232"/>
      <c r="K299" s="232"/>
      <c r="L299" s="232"/>
      <c r="M299" s="1292"/>
      <c r="O299" s="1237"/>
      <c r="P299" s="1237"/>
      <c r="Q299" s="1237"/>
      <c r="R299" s="1237"/>
      <c r="S299" s="1237"/>
      <c r="T299" s="1237"/>
      <c r="U299" s="1237"/>
      <c r="W299" s="1237" t="str">
        <f>'🔵クレーム'!C290</f>
        <v/>
      </c>
      <c r="X299" s="1237" t="str">
        <f>'🔵クレーム'!D290</f>
        <v/>
      </c>
      <c r="Y299" s="286" t="str">
        <f>'🔵クレーム'!I290</f>
        <v/>
      </c>
      <c r="Z299" s="1237" t="str">
        <f>'🔵クレーム'!J290</f>
        <v/>
      </c>
      <c r="AA299" s="1237" t="str">
        <f>'🔵クレーム'!K290</f>
        <v/>
      </c>
      <c r="AB299" s="1237" t="str">
        <f>'🔵クレーム'!L290</f>
        <v/>
      </c>
      <c r="AC299" s="1239" t="str">
        <f>'🔵クレーム'!N290</f>
        <v/>
      </c>
    </row>
    <row r="300" hidden="1" outlineLevel="1">
      <c r="B300" s="1296"/>
      <c r="C300" s="1297"/>
      <c r="D300" s="1297"/>
      <c r="E300" s="1297"/>
      <c r="F300" s="1297"/>
      <c r="G300" s="1298"/>
      <c r="H300" s="264"/>
      <c r="I300" s="264"/>
      <c r="J300" s="264"/>
      <c r="K300" s="264"/>
      <c r="L300" s="264"/>
      <c r="M300" s="1299"/>
      <c r="O300" s="1237"/>
      <c r="P300" s="1237"/>
      <c r="Q300" s="1237"/>
      <c r="R300" s="1237"/>
      <c r="S300" s="1237"/>
      <c r="T300" s="1237"/>
      <c r="U300" s="1237"/>
      <c r="W300" s="1237" t="str">
        <f>'🔵クレーム'!C291</f>
        <v/>
      </c>
      <c r="X300" s="1237" t="str">
        <f>'🔵クレーム'!D291</f>
        <v/>
      </c>
      <c r="Y300" s="286" t="str">
        <f>'🔵クレーム'!I291</f>
        <v/>
      </c>
      <c r="Z300" s="1237" t="str">
        <f>'🔵クレーム'!J291</f>
        <v/>
      </c>
      <c r="AA300" s="1237" t="str">
        <f>'🔵クレーム'!K291</f>
        <v/>
      </c>
      <c r="AB300" s="1237" t="str">
        <f>'🔵クレーム'!L291</f>
        <v/>
      </c>
      <c r="AC300" s="1239" t="str">
        <f>'🔵クレーム'!N291</f>
        <v/>
      </c>
    </row>
    <row r="301">
      <c r="B301" s="17"/>
      <c r="C301" s="17"/>
      <c r="D301" s="17"/>
      <c r="E301" s="343"/>
      <c r="F301" s="17"/>
      <c r="G301" s="17"/>
      <c r="H301" s="17"/>
      <c r="I301" s="17"/>
      <c r="J301" s="17" t="s">
        <v>998</v>
      </c>
      <c r="K301" s="17"/>
      <c r="L301" s="17"/>
      <c r="O301" s="1237"/>
      <c r="P301" s="1237"/>
      <c r="Q301" s="1237"/>
      <c r="R301" s="1237"/>
      <c r="S301" s="1237"/>
      <c r="T301" s="1237"/>
      <c r="U301" s="1237"/>
      <c r="W301" s="1237" t="str">
        <f>'🔵クレーム'!C292</f>
        <v/>
      </c>
      <c r="X301" s="1237" t="str">
        <f>'🔵クレーム'!D292</f>
        <v/>
      </c>
      <c r="Y301" s="286" t="str">
        <f>'🔵クレーム'!I292</f>
        <v/>
      </c>
      <c r="Z301" s="1237" t="str">
        <f>'🔵クレーム'!J292</f>
        <v/>
      </c>
      <c r="AA301" s="1237" t="str">
        <f>'🔵クレーム'!K292</f>
        <v/>
      </c>
      <c r="AB301" s="1237" t="str">
        <f>'🔵クレーム'!L292</f>
        <v/>
      </c>
      <c r="AC301" s="1239" t="str">
        <f>'🔵クレーム'!N292</f>
        <v/>
      </c>
    </row>
    <row r="302">
      <c r="B302" s="17"/>
      <c r="C302" s="17"/>
      <c r="D302" s="17"/>
      <c r="E302" s="343"/>
      <c r="F302" s="17"/>
      <c r="G302" s="17"/>
      <c r="H302" s="17"/>
      <c r="I302" s="17"/>
      <c r="J302" s="17" t="s">
        <v>998</v>
      </c>
      <c r="K302" s="17"/>
      <c r="L302" s="17"/>
      <c r="O302" s="1237"/>
      <c r="P302" s="1237"/>
      <c r="Q302" s="1237"/>
      <c r="R302" s="1237"/>
      <c r="S302" s="1237"/>
      <c r="T302" s="1237"/>
      <c r="U302" s="1237"/>
      <c r="W302" s="1237" t="str">
        <f>'🔵クレーム'!C293</f>
        <v/>
      </c>
      <c r="X302" s="1237" t="str">
        <f>'🔵クレーム'!D293</f>
        <v/>
      </c>
      <c r="Y302" s="286" t="str">
        <f>'🔵クレーム'!I293</f>
        <v/>
      </c>
      <c r="Z302" s="1237" t="str">
        <f>'🔵クレーム'!J293</f>
        <v/>
      </c>
      <c r="AA302" s="1237" t="str">
        <f>'🔵クレーム'!K293</f>
        <v/>
      </c>
      <c r="AB302" s="1237" t="str">
        <f>'🔵クレーム'!L293</f>
        <v/>
      </c>
      <c r="AC302" s="1239" t="str">
        <f>'🔵クレーム'!N293</f>
        <v/>
      </c>
    </row>
    <row r="303">
      <c r="B303" s="17"/>
      <c r="C303" s="17"/>
      <c r="D303" s="17"/>
      <c r="E303" s="343"/>
      <c r="F303" s="17"/>
      <c r="G303" s="17"/>
      <c r="H303" s="17"/>
      <c r="I303" s="17"/>
      <c r="J303" s="17" t="s">
        <v>998</v>
      </c>
      <c r="K303" s="17"/>
      <c r="L303" s="17"/>
      <c r="O303" s="1237"/>
      <c r="P303" s="1237"/>
      <c r="Q303" s="1237"/>
      <c r="R303" s="1237"/>
      <c r="S303" s="1237"/>
      <c r="T303" s="1237"/>
      <c r="U303" s="1237"/>
      <c r="W303" s="1237" t="str">
        <f>'🔵クレーム'!C294</f>
        <v/>
      </c>
      <c r="X303" s="1237" t="str">
        <f>'🔵クレーム'!D294</f>
        <v/>
      </c>
      <c r="Y303" s="286" t="str">
        <f>'🔵クレーム'!I294</f>
        <v/>
      </c>
      <c r="Z303" s="1237" t="str">
        <f>'🔵クレーム'!J294</f>
        <v/>
      </c>
      <c r="AA303" s="1237" t="str">
        <f>'🔵クレーム'!K294</f>
        <v/>
      </c>
      <c r="AB303" s="1237" t="str">
        <f>'🔵クレーム'!L294</f>
        <v/>
      </c>
      <c r="AC303" s="1239" t="str">
        <f>'🔵クレーム'!N294</f>
        <v/>
      </c>
    </row>
    <row r="304">
      <c r="B304" s="17"/>
      <c r="C304" s="17"/>
      <c r="D304" s="17"/>
      <c r="E304" s="343"/>
      <c r="F304" s="17"/>
      <c r="G304" s="17"/>
      <c r="H304" s="17"/>
      <c r="I304" s="17"/>
      <c r="J304" s="17" t="s">
        <v>998</v>
      </c>
      <c r="K304" s="17"/>
      <c r="L304" s="17"/>
      <c r="O304" s="1237"/>
      <c r="P304" s="1237"/>
      <c r="Q304" s="1237"/>
      <c r="R304" s="1237"/>
      <c r="S304" s="1237"/>
      <c r="T304" s="1237"/>
      <c r="U304" s="1237"/>
      <c r="W304" s="1237" t="str">
        <f>'🔵クレーム'!C295</f>
        <v/>
      </c>
      <c r="X304" s="1237" t="str">
        <f>'🔵クレーム'!D295</f>
        <v/>
      </c>
      <c r="Y304" s="286" t="str">
        <f>'🔵クレーム'!I295</f>
        <v/>
      </c>
      <c r="Z304" s="1237" t="str">
        <f>'🔵クレーム'!J295</f>
        <v/>
      </c>
      <c r="AA304" s="1237" t="str">
        <f>'🔵クレーム'!K295</f>
        <v/>
      </c>
      <c r="AB304" s="1237" t="str">
        <f>'🔵クレーム'!L295</f>
        <v/>
      </c>
      <c r="AC304" s="1239" t="str">
        <f>'🔵クレーム'!N295</f>
        <v/>
      </c>
    </row>
    <row r="305">
      <c r="B305" s="17"/>
      <c r="C305" s="17"/>
      <c r="D305" s="17"/>
      <c r="E305" s="343"/>
      <c r="F305" s="17"/>
      <c r="G305" s="17"/>
      <c r="H305" s="17"/>
      <c r="I305" s="17"/>
      <c r="J305" s="17" t="s">
        <v>998</v>
      </c>
      <c r="K305" s="17"/>
      <c r="L305" s="17"/>
      <c r="O305" s="1237"/>
      <c r="P305" s="1237"/>
      <c r="Q305" s="1237"/>
      <c r="R305" s="1237"/>
      <c r="S305" s="1237"/>
      <c r="T305" s="1237"/>
      <c r="U305" s="1237"/>
      <c r="W305" s="1237" t="str">
        <f>'🔵クレーム'!C296</f>
        <v/>
      </c>
      <c r="X305" s="1237" t="str">
        <f>'🔵クレーム'!D296</f>
        <v/>
      </c>
      <c r="Y305" s="286" t="str">
        <f>'🔵クレーム'!I296</f>
        <v/>
      </c>
      <c r="Z305" s="1237" t="str">
        <f>'🔵クレーム'!J296</f>
        <v/>
      </c>
      <c r="AA305" s="1237" t="str">
        <f>'🔵クレーム'!K296</f>
        <v/>
      </c>
      <c r="AB305" s="1237" t="str">
        <f>'🔵クレーム'!L296</f>
        <v/>
      </c>
      <c r="AC305" s="1239" t="str">
        <f>'🔵クレーム'!N296</f>
        <v/>
      </c>
    </row>
    <row r="306">
      <c r="B306" s="17"/>
      <c r="C306" s="17"/>
      <c r="D306" s="17"/>
      <c r="E306" s="343"/>
      <c r="F306" s="17"/>
      <c r="G306" s="17"/>
      <c r="H306" s="17"/>
      <c r="I306" s="17"/>
      <c r="J306" s="17" t="s">
        <v>998</v>
      </c>
      <c r="K306" s="17"/>
      <c r="L306" s="17"/>
      <c r="O306" s="1237"/>
      <c r="P306" s="1237"/>
      <c r="Q306" s="1237"/>
      <c r="R306" s="1237"/>
      <c r="S306" s="1237"/>
      <c r="T306" s="1237"/>
      <c r="U306" s="1237"/>
      <c r="W306" s="1237" t="str">
        <f>'🔵クレーム'!C297</f>
        <v/>
      </c>
      <c r="X306" s="1237" t="str">
        <f>'🔵クレーム'!D297</f>
        <v/>
      </c>
      <c r="Y306" s="286" t="str">
        <f>'🔵クレーム'!I297</f>
        <v/>
      </c>
      <c r="Z306" s="1237" t="str">
        <f>'🔵クレーム'!J297</f>
        <v/>
      </c>
      <c r="AA306" s="1237" t="str">
        <f>'🔵クレーム'!K297</f>
        <v/>
      </c>
      <c r="AB306" s="1237" t="str">
        <f>'🔵クレーム'!L297</f>
        <v/>
      </c>
      <c r="AC306" s="1239" t="str">
        <f>'🔵クレーム'!N297</f>
        <v/>
      </c>
    </row>
    <row r="307">
      <c r="B307" s="17"/>
      <c r="C307" s="17"/>
      <c r="D307" s="17"/>
      <c r="E307" s="343"/>
      <c r="F307" s="17"/>
      <c r="G307" s="17"/>
      <c r="H307" s="17"/>
      <c r="I307" s="17"/>
      <c r="J307" s="17" t="s">
        <v>998</v>
      </c>
      <c r="K307" s="17"/>
      <c r="L307" s="17"/>
      <c r="O307" s="1237"/>
      <c r="P307" s="1237"/>
      <c r="Q307" s="1237"/>
      <c r="R307" s="1237"/>
      <c r="S307" s="1237"/>
      <c r="T307" s="1237"/>
      <c r="U307" s="1237"/>
      <c r="W307" s="1237" t="str">
        <f>'🔵クレーム'!C298</f>
        <v/>
      </c>
      <c r="X307" s="1237" t="str">
        <f>'🔵クレーム'!D298</f>
        <v/>
      </c>
      <c r="Y307" s="286" t="str">
        <f>'🔵クレーム'!I298</f>
        <v/>
      </c>
      <c r="Z307" s="1237" t="str">
        <f>'🔵クレーム'!J298</f>
        <v/>
      </c>
      <c r="AA307" s="1237" t="str">
        <f>'🔵クレーム'!K298</f>
        <v/>
      </c>
      <c r="AB307" s="1237" t="str">
        <f>'🔵クレーム'!L298</f>
        <v/>
      </c>
      <c r="AC307" s="1239" t="str">
        <f>'🔵クレーム'!N298</f>
        <v/>
      </c>
    </row>
    <row r="308">
      <c r="B308" s="17"/>
      <c r="C308" s="17"/>
      <c r="D308" s="17"/>
      <c r="E308" s="343"/>
      <c r="F308" s="17"/>
      <c r="G308" s="17"/>
      <c r="H308" s="17"/>
      <c r="I308" s="17"/>
      <c r="J308" s="17" t="s">
        <v>998</v>
      </c>
      <c r="K308" s="17"/>
      <c r="L308" s="17"/>
      <c r="O308" s="1237"/>
      <c r="P308" s="1237"/>
      <c r="Q308" s="1237"/>
      <c r="R308" s="1237"/>
      <c r="S308" s="1237"/>
      <c r="T308" s="1237"/>
      <c r="U308" s="1237"/>
      <c r="W308" s="1237" t="str">
        <f>'🔵クレーム'!C299</f>
        <v/>
      </c>
      <c r="X308" s="1237" t="str">
        <f>'🔵クレーム'!D299</f>
        <v/>
      </c>
      <c r="Y308" s="286" t="str">
        <f>'🔵クレーム'!I299</f>
        <v/>
      </c>
      <c r="Z308" s="1237" t="str">
        <f>'🔵クレーム'!J299</f>
        <v/>
      </c>
      <c r="AA308" s="1237" t="str">
        <f>'🔵クレーム'!K299</f>
        <v/>
      </c>
      <c r="AB308" s="1237" t="str">
        <f>'🔵クレーム'!L299</f>
        <v/>
      </c>
      <c r="AC308" s="1239" t="str">
        <f>'🔵クレーム'!N299</f>
        <v/>
      </c>
    </row>
    <row r="309">
      <c r="B309" s="17"/>
      <c r="C309" s="17"/>
      <c r="D309" s="17"/>
      <c r="E309" s="343"/>
      <c r="F309" s="17"/>
      <c r="G309" s="17"/>
      <c r="H309" s="17"/>
      <c r="I309" s="17"/>
      <c r="J309" s="17" t="s">
        <v>998</v>
      </c>
      <c r="K309" s="17"/>
      <c r="L309" s="17"/>
      <c r="O309" s="1237"/>
      <c r="P309" s="1237"/>
      <c r="Q309" s="1237"/>
      <c r="R309" s="1237"/>
      <c r="S309" s="1237"/>
      <c r="T309" s="1237"/>
      <c r="U309" s="1237"/>
      <c r="W309" s="1237" t="str">
        <f>'🔵クレーム'!C300</f>
        <v/>
      </c>
      <c r="X309" s="1237" t="str">
        <f>'🔵クレーム'!D300</f>
        <v/>
      </c>
      <c r="Y309" s="286" t="str">
        <f>'🔵クレーム'!I300</f>
        <v/>
      </c>
      <c r="Z309" s="1237" t="str">
        <f>'🔵クレーム'!J300</f>
        <v/>
      </c>
      <c r="AA309" s="1237" t="str">
        <f>'🔵クレーム'!K300</f>
        <v/>
      </c>
      <c r="AB309" s="1237" t="str">
        <f>'🔵クレーム'!L300</f>
        <v/>
      </c>
      <c r="AC309" s="1239" t="str">
        <f>'🔵クレーム'!N300</f>
        <v/>
      </c>
    </row>
    <row r="310">
      <c r="B310" s="17"/>
      <c r="C310" s="17"/>
      <c r="D310" s="17"/>
      <c r="E310" s="343"/>
      <c r="F310" s="17"/>
      <c r="G310" s="17"/>
      <c r="H310" s="17"/>
      <c r="I310" s="17"/>
      <c r="J310" s="17" t="s">
        <v>998</v>
      </c>
      <c r="K310" s="17"/>
      <c r="L310" s="17"/>
      <c r="O310" s="1237"/>
      <c r="P310" s="1237"/>
      <c r="Q310" s="1237"/>
      <c r="R310" s="1237"/>
      <c r="S310" s="1237"/>
      <c r="T310" s="1237"/>
      <c r="U310" s="1237"/>
      <c r="W310" s="1237" t="str">
        <f>'🔵クレーム'!C301</f>
        <v/>
      </c>
      <c r="X310" s="1237" t="str">
        <f>'🔵クレーム'!D301</f>
        <v/>
      </c>
      <c r="Y310" s="286" t="str">
        <f>'🔵クレーム'!I301</f>
        <v/>
      </c>
      <c r="Z310" s="1237" t="str">
        <f>'🔵クレーム'!J301</f>
        <v/>
      </c>
      <c r="AA310" s="1237" t="str">
        <f>'🔵クレーム'!K301</f>
        <v/>
      </c>
      <c r="AB310" s="1237" t="str">
        <f>'🔵クレーム'!L301</f>
        <v/>
      </c>
      <c r="AC310" s="1239" t="str">
        <f>'🔵クレーム'!N301</f>
        <v/>
      </c>
    </row>
    <row r="311">
      <c r="B311" s="17"/>
      <c r="C311" s="17"/>
      <c r="D311" s="17"/>
      <c r="E311" s="343"/>
      <c r="F311" s="17"/>
      <c r="G311" s="17"/>
      <c r="H311" s="17"/>
      <c r="I311" s="17"/>
      <c r="J311" s="17" t="s">
        <v>998</v>
      </c>
      <c r="K311" s="17"/>
      <c r="L311" s="17"/>
      <c r="O311" s="1237"/>
      <c r="P311" s="1237"/>
      <c r="Q311" s="1237"/>
      <c r="R311" s="1237"/>
      <c r="S311" s="1237"/>
      <c r="T311" s="1237"/>
      <c r="U311" s="1237"/>
      <c r="W311" s="1237" t="str">
        <f>'🔵クレーム'!C302</f>
        <v/>
      </c>
      <c r="X311" s="1237" t="str">
        <f>'🔵クレーム'!D302</f>
        <v/>
      </c>
      <c r="Y311" s="286" t="str">
        <f>'🔵クレーム'!I302</f>
        <v/>
      </c>
      <c r="Z311" s="1237" t="str">
        <f>'🔵クレーム'!J302</f>
        <v/>
      </c>
      <c r="AA311" s="1237" t="str">
        <f>'🔵クレーム'!K302</f>
        <v/>
      </c>
      <c r="AB311" s="1237" t="str">
        <f>'🔵クレーム'!L302</f>
        <v/>
      </c>
      <c r="AC311" s="1239" t="str">
        <f>'🔵クレーム'!N302</f>
        <v/>
      </c>
    </row>
    <row r="312">
      <c r="B312" s="17"/>
      <c r="C312" s="17"/>
      <c r="D312" s="17"/>
      <c r="E312" s="343"/>
      <c r="F312" s="17"/>
      <c r="G312" s="17"/>
      <c r="H312" s="17"/>
      <c r="I312" s="17"/>
      <c r="J312" s="17" t="s">
        <v>998</v>
      </c>
      <c r="K312" s="17"/>
      <c r="L312" s="17"/>
      <c r="O312" s="1237"/>
      <c r="P312" s="1237"/>
      <c r="Q312" s="1237"/>
      <c r="R312" s="1237"/>
      <c r="S312" s="1237"/>
      <c r="T312" s="1237"/>
      <c r="U312" s="1237"/>
      <c r="W312" s="1237" t="str">
        <f>'🔵クレーム'!C303</f>
        <v/>
      </c>
      <c r="X312" s="1237" t="str">
        <f>'🔵クレーム'!D303</f>
        <v/>
      </c>
      <c r="Y312" s="286" t="str">
        <f>'🔵クレーム'!I303</f>
        <v/>
      </c>
      <c r="Z312" s="1237" t="str">
        <f>'🔵クレーム'!J303</f>
        <v/>
      </c>
      <c r="AA312" s="1237" t="str">
        <f>'🔵クレーム'!K303</f>
        <v/>
      </c>
      <c r="AB312" s="1237" t="str">
        <f>'🔵クレーム'!L303</f>
        <v/>
      </c>
      <c r="AC312" s="1239" t="str">
        <f>'🔵クレーム'!N303</f>
        <v/>
      </c>
    </row>
    <row r="313">
      <c r="B313" s="17"/>
      <c r="C313" s="17"/>
      <c r="D313" s="17"/>
      <c r="E313" s="343"/>
      <c r="F313" s="17"/>
      <c r="G313" s="17"/>
      <c r="H313" s="17"/>
      <c r="I313" s="17"/>
      <c r="J313" s="17" t="s">
        <v>998</v>
      </c>
      <c r="K313" s="17"/>
      <c r="L313" s="17"/>
      <c r="O313" s="1237"/>
      <c r="P313" s="1237"/>
      <c r="Q313" s="1237"/>
      <c r="R313" s="1237"/>
      <c r="S313" s="1237"/>
      <c r="T313" s="1237"/>
      <c r="U313" s="1237"/>
      <c r="W313" s="1237" t="str">
        <f>'🔵クレーム'!C304</f>
        <v/>
      </c>
      <c r="X313" s="1237" t="str">
        <f>'🔵クレーム'!D304</f>
        <v/>
      </c>
      <c r="Y313" s="286" t="str">
        <f>'🔵クレーム'!I304</f>
        <v/>
      </c>
      <c r="Z313" s="1237" t="str">
        <f>'🔵クレーム'!J304</f>
        <v/>
      </c>
      <c r="AA313" s="1237" t="str">
        <f>'🔵クレーム'!K304</f>
        <v/>
      </c>
      <c r="AB313" s="1237" t="str">
        <f>'🔵クレーム'!L304</f>
        <v/>
      </c>
      <c r="AC313" s="1239" t="str">
        <f>'🔵クレーム'!N304</f>
        <v/>
      </c>
    </row>
    <row r="314">
      <c r="B314" s="17"/>
      <c r="C314" s="17"/>
      <c r="D314" s="17"/>
      <c r="E314" s="343"/>
      <c r="F314" s="17"/>
      <c r="G314" s="17"/>
      <c r="H314" s="17"/>
      <c r="I314" s="17"/>
      <c r="J314" s="17" t="s">
        <v>998</v>
      </c>
      <c r="K314" s="17"/>
      <c r="L314" s="17"/>
      <c r="O314" s="1237"/>
      <c r="P314" s="1237"/>
      <c r="Q314" s="1237"/>
      <c r="R314" s="1237"/>
      <c r="S314" s="1237"/>
      <c r="T314" s="1237"/>
      <c r="U314" s="1237"/>
      <c r="W314" s="1237" t="str">
        <f>'🔵クレーム'!C305</f>
        <v/>
      </c>
      <c r="X314" s="1237" t="str">
        <f>'🔵クレーム'!D305</f>
        <v/>
      </c>
      <c r="Y314" s="286" t="str">
        <f>'🔵クレーム'!I305</f>
        <v/>
      </c>
      <c r="Z314" s="1237" t="str">
        <f>'🔵クレーム'!J305</f>
        <v/>
      </c>
      <c r="AA314" s="1237" t="str">
        <f>'🔵クレーム'!K305</f>
        <v/>
      </c>
      <c r="AB314" s="1237" t="str">
        <f>'🔵クレーム'!L305</f>
        <v/>
      </c>
      <c r="AC314" s="1239" t="str">
        <f>'🔵クレーム'!N305</f>
        <v/>
      </c>
    </row>
    <row r="315">
      <c r="B315" s="17"/>
      <c r="C315" s="17"/>
      <c r="D315" s="17"/>
      <c r="E315" s="343"/>
      <c r="F315" s="17"/>
      <c r="G315" s="17"/>
      <c r="H315" s="17"/>
      <c r="I315" s="17"/>
      <c r="J315" s="17" t="s">
        <v>998</v>
      </c>
      <c r="K315" s="17"/>
      <c r="L315" s="17"/>
      <c r="O315" s="1237"/>
      <c r="P315" s="1237"/>
      <c r="Q315" s="1237"/>
      <c r="R315" s="1237"/>
      <c r="S315" s="1237"/>
      <c r="T315" s="1237"/>
      <c r="U315" s="1237"/>
      <c r="W315" s="1237" t="str">
        <f>'🔵クレーム'!C306</f>
        <v/>
      </c>
      <c r="X315" s="1237" t="str">
        <f>'🔵クレーム'!D306</f>
        <v/>
      </c>
      <c r="Y315" s="286" t="str">
        <f>'🔵クレーム'!I306</f>
        <v/>
      </c>
      <c r="Z315" s="1237" t="str">
        <f>'🔵クレーム'!J306</f>
        <v/>
      </c>
      <c r="AA315" s="1237" t="str">
        <f>'🔵クレーム'!K306</f>
        <v/>
      </c>
      <c r="AB315" s="1237" t="str">
        <f>'🔵クレーム'!L306</f>
        <v/>
      </c>
      <c r="AC315" s="1239" t="str">
        <f>'🔵クレーム'!N306</f>
        <v/>
      </c>
    </row>
    <row r="316">
      <c r="B316" s="17"/>
      <c r="C316" s="17"/>
      <c r="D316" s="17"/>
      <c r="E316" s="343"/>
      <c r="F316" s="17"/>
      <c r="G316" s="17"/>
      <c r="H316" s="17"/>
      <c r="I316" s="17"/>
      <c r="J316" s="17" t="s">
        <v>998</v>
      </c>
      <c r="K316" s="17"/>
      <c r="L316" s="17"/>
      <c r="O316" s="1237"/>
      <c r="P316" s="1237"/>
      <c r="Q316" s="1237"/>
      <c r="R316" s="1237"/>
      <c r="S316" s="1237"/>
      <c r="T316" s="1237"/>
      <c r="U316" s="1237"/>
      <c r="W316" s="1237" t="str">
        <f>'🔵クレーム'!C307</f>
        <v/>
      </c>
      <c r="X316" s="1237" t="str">
        <f>'🔵クレーム'!D307</f>
        <v/>
      </c>
      <c r="Y316" s="286" t="str">
        <f>'🔵クレーム'!I307</f>
        <v/>
      </c>
      <c r="Z316" s="1237" t="str">
        <f>'🔵クレーム'!J307</f>
        <v/>
      </c>
      <c r="AA316" s="1237" t="str">
        <f>'🔵クレーム'!K307</f>
        <v/>
      </c>
      <c r="AB316" s="1237" t="str">
        <f>'🔵クレーム'!L307</f>
        <v/>
      </c>
      <c r="AC316" s="1239" t="str">
        <f>'🔵クレーム'!N307</f>
        <v/>
      </c>
    </row>
    <row r="317">
      <c r="B317" s="17"/>
      <c r="C317" s="17"/>
      <c r="D317" s="17"/>
      <c r="E317" s="343"/>
      <c r="F317" s="17"/>
      <c r="G317" s="17"/>
      <c r="H317" s="17"/>
      <c r="I317" s="17"/>
      <c r="J317" s="17" t="s">
        <v>998</v>
      </c>
      <c r="K317" s="17"/>
      <c r="L317" s="17"/>
      <c r="O317" s="1237"/>
      <c r="P317" s="1237"/>
      <c r="Q317" s="1237"/>
      <c r="R317" s="1237"/>
      <c r="S317" s="1237"/>
      <c r="T317" s="1237"/>
      <c r="U317" s="1237"/>
      <c r="W317" s="1237" t="str">
        <f>'🔵クレーム'!C308</f>
        <v/>
      </c>
      <c r="X317" s="1237" t="str">
        <f>'🔵クレーム'!D308</f>
        <v/>
      </c>
      <c r="Y317" s="286" t="str">
        <f>'🔵クレーム'!I308</f>
        <v/>
      </c>
      <c r="Z317" s="1237" t="str">
        <f>'🔵クレーム'!J308</f>
        <v/>
      </c>
      <c r="AA317" s="1237" t="str">
        <f>'🔵クレーム'!K308</f>
        <v/>
      </c>
      <c r="AB317" s="1237" t="str">
        <f>'🔵クレーム'!L308</f>
        <v/>
      </c>
      <c r="AC317" s="1239" t="str">
        <f>'🔵クレーム'!N308</f>
        <v/>
      </c>
    </row>
    <row r="318">
      <c r="B318" s="17"/>
      <c r="C318" s="17"/>
      <c r="D318" s="17"/>
      <c r="E318" s="343"/>
      <c r="F318" s="17"/>
      <c r="G318" s="17"/>
      <c r="H318" s="17"/>
      <c r="I318" s="17"/>
      <c r="J318" s="17" t="s">
        <v>998</v>
      </c>
      <c r="K318" s="17"/>
      <c r="L318" s="17"/>
      <c r="O318" s="1237"/>
      <c r="P318" s="1237"/>
      <c r="Q318" s="1237"/>
      <c r="R318" s="1237"/>
      <c r="S318" s="1237"/>
      <c r="T318" s="1237"/>
      <c r="U318" s="1237"/>
      <c r="W318" s="1237" t="str">
        <f>'🔵クレーム'!C309</f>
        <v/>
      </c>
      <c r="X318" s="1237" t="str">
        <f>'🔵クレーム'!D309</f>
        <v/>
      </c>
      <c r="Y318" s="286" t="str">
        <f>'🔵クレーム'!I309</f>
        <v/>
      </c>
      <c r="Z318" s="1237" t="str">
        <f>'🔵クレーム'!J309</f>
        <v/>
      </c>
      <c r="AA318" s="1237" t="str">
        <f>'🔵クレーム'!K309</f>
        <v/>
      </c>
      <c r="AB318" s="1237" t="str">
        <f>'🔵クレーム'!L309</f>
        <v/>
      </c>
      <c r="AC318" s="1239" t="str">
        <f>'🔵クレーム'!N309</f>
        <v/>
      </c>
    </row>
    <row r="319">
      <c r="B319" s="17"/>
      <c r="C319" s="17"/>
      <c r="D319" s="17"/>
      <c r="E319" s="343"/>
      <c r="F319" s="17"/>
      <c r="G319" s="17"/>
      <c r="H319" s="17"/>
      <c r="I319" s="17"/>
      <c r="J319" s="17" t="s">
        <v>998</v>
      </c>
      <c r="K319" s="17"/>
      <c r="L319" s="17"/>
      <c r="O319" s="1237"/>
      <c r="P319" s="1237"/>
      <c r="Q319" s="1237"/>
      <c r="R319" s="1237"/>
      <c r="S319" s="1237"/>
      <c r="T319" s="1237"/>
      <c r="U319" s="1237"/>
      <c r="W319" s="1237" t="str">
        <f>'🔵クレーム'!C310</f>
        <v/>
      </c>
      <c r="X319" s="1237" t="str">
        <f>'🔵クレーム'!D310</f>
        <v/>
      </c>
      <c r="Y319" s="286" t="str">
        <f>'🔵クレーム'!I310</f>
        <v/>
      </c>
      <c r="Z319" s="1237" t="str">
        <f>'🔵クレーム'!J310</f>
        <v/>
      </c>
      <c r="AA319" s="1237" t="str">
        <f>'🔵クレーム'!K310</f>
        <v/>
      </c>
      <c r="AB319" s="1237" t="str">
        <f>'🔵クレーム'!L310</f>
        <v/>
      </c>
      <c r="AC319" s="1239" t="str">
        <f>'🔵クレーム'!N310</f>
        <v/>
      </c>
    </row>
    <row r="320">
      <c r="B320" s="17"/>
      <c r="C320" s="17"/>
      <c r="D320" s="17"/>
      <c r="E320" s="343"/>
      <c r="F320" s="17"/>
      <c r="G320" s="17"/>
      <c r="H320" s="17"/>
      <c r="I320" s="17"/>
      <c r="J320" s="17" t="s">
        <v>998</v>
      </c>
      <c r="K320" s="17"/>
      <c r="L320" s="17"/>
      <c r="O320" s="1237"/>
      <c r="P320" s="1237"/>
      <c r="Q320" s="1237"/>
      <c r="R320" s="1237"/>
      <c r="S320" s="1237"/>
      <c r="T320" s="1237"/>
      <c r="U320" s="1237"/>
      <c r="W320" s="1237" t="str">
        <f>'🔵クレーム'!C311</f>
        <v/>
      </c>
      <c r="X320" s="1237" t="str">
        <f>'🔵クレーム'!D311</f>
        <v/>
      </c>
      <c r="Y320" s="286" t="str">
        <f>'🔵クレーム'!I311</f>
        <v/>
      </c>
      <c r="Z320" s="1237" t="str">
        <f>'🔵クレーム'!J311</f>
        <v/>
      </c>
      <c r="AA320" s="1237" t="str">
        <f>'🔵クレーム'!K311</f>
        <v/>
      </c>
      <c r="AB320" s="1237" t="str">
        <f>'🔵クレーム'!L311</f>
        <v/>
      </c>
      <c r="AC320" s="1239" t="str">
        <f>'🔵クレーム'!N311</f>
        <v/>
      </c>
    </row>
    <row r="321">
      <c r="B321" s="17"/>
      <c r="C321" s="17"/>
      <c r="D321" s="17"/>
      <c r="E321" s="343"/>
      <c r="F321" s="17"/>
      <c r="G321" s="17"/>
      <c r="H321" s="17"/>
      <c r="I321" s="17"/>
      <c r="J321" s="17" t="s">
        <v>998</v>
      </c>
      <c r="K321" s="17"/>
      <c r="L321" s="17"/>
      <c r="O321" s="1237"/>
      <c r="P321" s="1237"/>
      <c r="Q321" s="1237"/>
      <c r="R321" s="1237"/>
      <c r="S321" s="1237"/>
      <c r="T321" s="1237"/>
      <c r="U321" s="1237"/>
      <c r="W321" s="1237" t="str">
        <f>'🔵クレーム'!C312</f>
        <v/>
      </c>
      <c r="X321" s="1237" t="str">
        <f>'🔵クレーム'!D312</f>
        <v/>
      </c>
      <c r="Y321" s="286" t="str">
        <f>'🔵クレーム'!I312</f>
        <v/>
      </c>
      <c r="Z321" s="1237" t="str">
        <f>'🔵クレーム'!J312</f>
        <v/>
      </c>
      <c r="AA321" s="1237" t="str">
        <f>'🔵クレーム'!K312</f>
        <v/>
      </c>
      <c r="AB321" s="1237" t="str">
        <f>'🔵クレーム'!L312</f>
        <v/>
      </c>
      <c r="AC321" s="1239" t="str">
        <f>'🔵クレーム'!N312</f>
        <v/>
      </c>
    </row>
    <row r="322">
      <c r="B322" s="17"/>
      <c r="C322" s="17"/>
      <c r="D322" s="17"/>
      <c r="E322" s="343"/>
      <c r="F322" s="17"/>
      <c r="G322" s="17"/>
      <c r="H322" s="17"/>
      <c r="I322" s="17"/>
      <c r="J322" s="17" t="s">
        <v>998</v>
      </c>
      <c r="K322" s="17"/>
      <c r="L322" s="17"/>
      <c r="O322" s="1237"/>
      <c r="P322" s="1237"/>
      <c r="Q322" s="1237"/>
      <c r="R322" s="1237"/>
      <c r="S322" s="1237"/>
      <c r="T322" s="1237"/>
      <c r="U322" s="1237"/>
      <c r="W322" s="1237" t="str">
        <f>'🔵クレーム'!C313</f>
        <v/>
      </c>
      <c r="X322" s="1237" t="str">
        <f>'🔵クレーム'!D313</f>
        <v/>
      </c>
      <c r="Y322" s="286" t="str">
        <f>'🔵クレーム'!I313</f>
        <v/>
      </c>
      <c r="Z322" s="1237" t="str">
        <f>'🔵クレーム'!J313</f>
        <v/>
      </c>
      <c r="AA322" s="1237" t="str">
        <f>'🔵クレーム'!K313</f>
        <v/>
      </c>
      <c r="AB322" s="1237" t="str">
        <f>'🔵クレーム'!L313</f>
        <v/>
      </c>
      <c r="AC322" s="1239" t="str">
        <f>'🔵クレーム'!N313</f>
        <v/>
      </c>
    </row>
    <row r="323">
      <c r="B323" s="17"/>
      <c r="C323" s="17"/>
      <c r="D323" s="17"/>
      <c r="E323" s="343"/>
      <c r="F323" s="17"/>
      <c r="G323" s="17"/>
      <c r="H323" s="17"/>
      <c r="I323" s="17"/>
      <c r="J323" s="17" t="s">
        <v>998</v>
      </c>
      <c r="K323" s="17"/>
      <c r="L323" s="17"/>
      <c r="O323" s="1237"/>
      <c r="P323" s="1237"/>
      <c r="Q323" s="1237"/>
      <c r="R323" s="1237"/>
      <c r="S323" s="1237"/>
      <c r="T323" s="1237"/>
      <c r="U323" s="1237"/>
      <c r="W323" s="1237" t="str">
        <f>'🔵クレーム'!C314</f>
        <v/>
      </c>
      <c r="X323" s="1237" t="str">
        <f>'🔵クレーム'!D314</f>
        <v/>
      </c>
      <c r="Y323" s="286" t="str">
        <f>'🔵クレーム'!I314</f>
        <v/>
      </c>
      <c r="Z323" s="1237" t="str">
        <f>'🔵クレーム'!J314</f>
        <v/>
      </c>
      <c r="AA323" s="1237" t="str">
        <f>'🔵クレーム'!K314</f>
        <v/>
      </c>
      <c r="AB323" s="1237" t="str">
        <f>'🔵クレーム'!L314</f>
        <v/>
      </c>
      <c r="AC323" s="1239" t="str">
        <f>'🔵クレーム'!N314</f>
        <v/>
      </c>
    </row>
    <row r="324">
      <c r="B324" s="17"/>
      <c r="C324" s="17"/>
      <c r="D324" s="17"/>
      <c r="E324" s="343"/>
      <c r="F324" s="17"/>
      <c r="G324" s="17"/>
      <c r="H324" s="17"/>
      <c r="I324" s="17"/>
      <c r="J324" s="17" t="s">
        <v>998</v>
      </c>
      <c r="K324" s="17"/>
      <c r="L324" s="17"/>
      <c r="O324" s="1237"/>
      <c r="P324" s="1237"/>
      <c r="Q324" s="1237"/>
      <c r="R324" s="1237"/>
      <c r="S324" s="1237"/>
      <c r="T324" s="1237"/>
      <c r="U324" s="1237"/>
      <c r="W324" s="1237" t="str">
        <f>'🔵クレーム'!C315</f>
        <v/>
      </c>
      <c r="X324" s="1237" t="str">
        <f>'🔵クレーム'!D315</f>
        <v/>
      </c>
      <c r="Y324" s="286" t="str">
        <f>'🔵クレーム'!I315</f>
        <v/>
      </c>
      <c r="Z324" s="1237" t="str">
        <f>'🔵クレーム'!J315</f>
        <v/>
      </c>
      <c r="AA324" s="1237" t="str">
        <f>'🔵クレーム'!K315</f>
        <v/>
      </c>
      <c r="AB324" s="1237" t="str">
        <f>'🔵クレーム'!L315</f>
        <v/>
      </c>
      <c r="AC324" s="1239" t="str">
        <f>'🔵クレーム'!N315</f>
        <v/>
      </c>
    </row>
    <row r="325">
      <c r="B325" s="17"/>
      <c r="C325" s="17"/>
      <c r="D325" s="17"/>
      <c r="E325" s="343"/>
      <c r="F325" s="17"/>
      <c r="G325" s="17"/>
      <c r="H325" s="17"/>
      <c r="I325" s="17"/>
      <c r="J325" s="17" t="s">
        <v>998</v>
      </c>
      <c r="K325" s="17"/>
      <c r="L325" s="17"/>
      <c r="O325" s="1237"/>
      <c r="P325" s="1237"/>
      <c r="Q325" s="1237"/>
      <c r="R325" s="1237"/>
      <c r="S325" s="1237"/>
      <c r="T325" s="1237"/>
      <c r="U325" s="1237"/>
      <c r="W325" s="1237" t="str">
        <f>'🔵クレーム'!C316</f>
        <v/>
      </c>
      <c r="X325" s="1237" t="str">
        <f>'🔵クレーム'!D316</f>
        <v/>
      </c>
      <c r="Y325" s="286" t="str">
        <f>'🔵クレーム'!I316</f>
        <v/>
      </c>
      <c r="Z325" s="1237" t="str">
        <f>'🔵クレーム'!J316</f>
        <v/>
      </c>
      <c r="AA325" s="1237" t="str">
        <f>'🔵クレーム'!K316</f>
        <v/>
      </c>
      <c r="AB325" s="1237" t="str">
        <f>'🔵クレーム'!L316</f>
        <v/>
      </c>
      <c r="AC325" s="1239" t="str">
        <f>'🔵クレーム'!N316</f>
        <v/>
      </c>
    </row>
    <row r="326">
      <c r="B326" s="17"/>
      <c r="C326" s="17"/>
      <c r="D326" s="17"/>
      <c r="E326" s="343"/>
      <c r="F326" s="17"/>
      <c r="G326" s="17"/>
      <c r="H326" s="17"/>
      <c r="I326" s="17"/>
      <c r="J326" s="17" t="s">
        <v>998</v>
      </c>
      <c r="K326" s="17"/>
      <c r="L326" s="17"/>
      <c r="O326" s="1237"/>
      <c r="P326" s="1237"/>
      <c r="Q326" s="1237"/>
      <c r="R326" s="1237"/>
      <c r="S326" s="1237"/>
      <c r="T326" s="1237"/>
      <c r="U326" s="1237"/>
      <c r="W326" s="1237" t="str">
        <f>'🔵クレーム'!C317</f>
        <v/>
      </c>
      <c r="X326" s="1237" t="str">
        <f>'🔵クレーム'!D317</f>
        <v/>
      </c>
      <c r="Y326" s="286" t="str">
        <f>'🔵クレーム'!I317</f>
        <v/>
      </c>
      <c r="Z326" s="1237" t="str">
        <f>'🔵クレーム'!J317</f>
        <v/>
      </c>
      <c r="AA326" s="1237" t="str">
        <f>'🔵クレーム'!K317</f>
        <v/>
      </c>
      <c r="AB326" s="1237" t="str">
        <f>'🔵クレーム'!L317</f>
        <v/>
      </c>
      <c r="AC326" s="1239" t="str">
        <f>'🔵クレーム'!N317</f>
        <v/>
      </c>
    </row>
    <row r="327">
      <c r="B327" s="17"/>
      <c r="C327" s="17"/>
      <c r="D327" s="17"/>
      <c r="E327" s="343"/>
      <c r="F327" s="17"/>
      <c r="G327" s="17"/>
      <c r="H327" s="17"/>
      <c r="I327" s="17"/>
      <c r="J327" s="17" t="s">
        <v>998</v>
      </c>
      <c r="K327" s="17"/>
      <c r="L327" s="17"/>
      <c r="O327" s="1237"/>
      <c r="P327" s="1237"/>
      <c r="Q327" s="1237"/>
      <c r="R327" s="1237"/>
      <c r="S327" s="1237"/>
      <c r="T327" s="1237"/>
      <c r="U327" s="1237"/>
      <c r="W327" s="1237" t="str">
        <f>'🔵クレーム'!C318</f>
        <v/>
      </c>
      <c r="X327" s="1237" t="str">
        <f>'🔵クレーム'!D318</f>
        <v/>
      </c>
      <c r="Y327" s="286" t="str">
        <f>'🔵クレーム'!I318</f>
        <v/>
      </c>
      <c r="Z327" s="1237" t="str">
        <f>'🔵クレーム'!J318</f>
        <v/>
      </c>
      <c r="AA327" s="1237" t="str">
        <f>'🔵クレーム'!K318</f>
        <v/>
      </c>
      <c r="AB327" s="1237" t="str">
        <f>'🔵クレーム'!L318</f>
        <v/>
      </c>
      <c r="AC327" s="1239" t="str">
        <f>'🔵クレーム'!N318</f>
        <v/>
      </c>
    </row>
    <row r="328">
      <c r="B328" s="17"/>
      <c r="C328" s="17"/>
      <c r="D328" s="17"/>
      <c r="E328" s="343"/>
      <c r="F328" s="17"/>
      <c r="G328" s="17"/>
      <c r="H328" s="17"/>
      <c r="I328" s="17"/>
      <c r="J328" s="17" t="s">
        <v>998</v>
      </c>
      <c r="K328" s="17"/>
      <c r="L328" s="17"/>
      <c r="O328" s="1237"/>
      <c r="P328" s="1237"/>
      <c r="Q328" s="1237"/>
      <c r="R328" s="1237"/>
      <c r="S328" s="1237"/>
      <c r="T328" s="1237"/>
      <c r="U328" s="1237"/>
      <c r="W328" s="1237" t="str">
        <f>'🔵クレーム'!C319</f>
        <v/>
      </c>
      <c r="X328" s="1237" t="str">
        <f>'🔵クレーム'!D319</f>
        <v/>
      </c>
      <c r="Y328" s="286" t="str">
        <f>'🔵クレーム'!I319</f>
        <v/>
      </c>
      <c r="Z328" s="1237" t="str">
        <f>'🔵クレーム'!J319</f>
        <v/>
      </c>
      <c r="AA328" s="1237" t="str">
        <f>'🔵クレーム'!K319</f>
        <v/>
      </c>
      <c r="AB328" s="1237" t="str">
        <f>'🔵クレーム'!L319</f>
        <v/>
      </c>
      <c r="AC328" s="1239" t="str">
        <f>'🔵クレーム'!N319</f>
        <v/>
      </c>
    </row>
    <row r="329">
      <c r="B329" s="17"/>
      <c r="C329" s="17"/>
      <c r="D329" s="17"/>
      <c r="E329" s="343"/>
      <c r="F329" s="17"/>
      <c r="G329" s="17"/>
      <c r="H329" s="17"/>
      <c r="I329" s="17"/>
      <c r="J329" s="17" t="s">
        <v>998</v>
      </c>
      <c r="K329" s="17"/>
      <c r="L329" s="17"/>
      <c r="O329" s="1237"/>
      <c r="P329" s="1237"/>
      <c r="Q329" s="1237"/>
      <c r="R329" s="1237"/>
      <c r="S329" s="1237"/>
      <c r="T329" s="1237"/>
      <c r="U329" s="1237"/>
      <c r="W329" s="1237" t="str">
        <f>'🔵クレーム'!C320</f>
        <v/>
      </c>
      <c r="X329" s="1237" t="str">
        <f>'🔵クレーム'!D320</f>
        <v/>
      </c>
      <c r="Y329" s="286" t="str">
        <f>'🔵クレーム'!I320</f>
        <v/>
      </c>
      <c r="Z329" s="1237" t="str">
        <f>'🔵クレーム'!J320</f>
        <v/>
      </c>
      <c r="AA329" s="1237" t="str">
        <f>'🔵クレーム'!K320</f>
        <v/>
      </c>
      <c r="AB329" s="1237" t="str">
        <f>'🔵クレーム'!L320</f>
        <v/>
      </c>
      <c r="AC329" s="1239" t="str">
        <f>'🔵クレーム'!N320</f>
        <v/>
      </c>
    </row>
    <row r="330">
      <c r="B330" s="17"/>
      <c r="C330" s="17"/>
      <c r="D330" s="17"/>
      <c r="E330" s="343"/>
      <c r="F330" s="17"/>
      <c r="G330" s="17"/>
      <c r="H330" s="17"/>
      <c r="I330" s="17"/>
      <c r="J330" s="17" t="s">
        <v>998</v>
      </c>
      <c r="K330" s="17"/>
      <c r="L330" s="17"/>
      <c r="O330" s="1237"/>
      <c r="P330" s="1237"/>
      <c r="Q330" s="1237"/>
      <c r="R330" s="1237"/>
      <c r="S330" s="1237"/>
      <c r="T330" s="1237"/>
      <c r="U330" s="1237"/>
      <c r="W330" s="1237" t="str">
        <f>'🔵クレーム'!C321</f>
        <v/>
      </c>
      <c r="X330" s="1237" t="str">
        <f>'🔵クレーム'!D321</f>
        <v/>
      </c>
      <c r="Y330" s="286" t="str">
        <f>'🔵クレーム'!I321</f>
        <v/>
      </c>
      <c r="Z330" s="1237" t="str">
        <f>'🔵クレーム'!J321</f>
        <v/>
      </c>
      <c r="AA330" s="1237" t="str">
        <f>'🔵クレーム'!K321</f>
        <v/>
      </c>
      <c r="AB330" s="1237" t="str">
        <f>'🔵クレーム'!L321</f>
        <v/>
      </c>
      <c r="AC330" s="1239" t="str">
        <f>'🔵クレーム'!N321</f>
        <v/>
      </c>
    </row>
    <row r="331">
      <c r="B331" s="17"/>
      <c r="C331" s="17"/>
      <c r="D331" s="17"/>
      <c r="E331" s="343"/>
      <c r="F331" s="17"/>
      <c r="G331" s="17"/>
      <c r="H331" s="17"/>
      <c r="I331" s="17"/>
      <c r="J331" s="17" t="s">
        <v>998</v>
      </c>
      <c r="K331" s="17"/>
      <c r="L331" s="17"/>
      <c r="O331" s="1237"/>
      <c r="P331" s="1237"/>
      <c r="Q331" s="1237"/>
      <c r="R331" s="1237"/>
      <c r="S331" s="1237"/>
      <c r="T331" s="1237"/>
      <c r="U331" s="1237"/>
      <c r="W331" s="1237" t="str">
        <f>'🔵クレーム'!C322</f>
        <v/>
      </c>
      <c r="X331" s="1237" t="str">
        <f>'🔵クレーム'!D322</f>
        <v/>
      </c>
      <c r="Y331" s="286" t="str">
        <f>'🔵クレーム'!I322</f>
        <v/>
      </c>
      <c r="Z331" s="1237" t="str">
        <f>'🔵クレーム'!J322</f>
        <v/>
      </c>
      <c r="AA331" s="1237" t="str">
        <f>'🔵クレーム'!K322</f>
        <v/>
      </c>
      <c r="AB331" s="1237" t="str">
        <f>'🔵クレーム'!L322</f>
        <v/>
      </c>
      <c r="AC331" s="1239" t="str">
        <f>'🔵クレーム'!N322</f>
        <v/>
      </c>
    </row>
    <row r="332">
      <c r="B332" s="17"/>
      <c r="C332" s="17"/>
      <c r="D332" s="17"/>
      <c r="E332" s="343"/>
      <c r="F332" s="17"/>
      <c r="G332" s="17"/>
      <c r="H332" s="17"/>
      <c r="I332" s="17"/>
      <c r="J332" s="17" t="s">
        <v>998</v>
      </c>
      <c r="K332" s="17"/>
      <c r="L332" s="17"/>
      <c r="O332" s="1237"/>
      <c r="P332" s="1237"/>
      <c r="Q332" s="1237"/>
      <c r="R332" s="1237"/>
      <c r="S332" s="1237"/>
      <c r="T332" s="1237"/>
      <c r="U332" s="1237"/>
      <c r="W332" s="1237" t="str">
        <f>'🔵クレーム'!C323</f>
        <v/>
      </c>
      <c r="X332" s="1237" t="str">
        <f>'🔵クレーム'!D323</f>
        <v/>
      </c>
      <c r="Y332" s="286" t="str">
        <f>'🔵クレーム'!I323</f>
        <v/>
      </c>
      <c r="Z332" s="1237" t="str">
        <f>'🔵クレーム'!J323</f>
        <v/>
      </c>
      <c r="AA332" s="1237" t="str">
        <f>'🔵クレーム'!K323</f>
        <v/>
      </c>
      <c r="AB332" s="1237" t="str">
        <f>'🔵クレーム'!L323</f>
        <v/>
      </c>
      <c r="AC332" s="1239" t="str">
        <f>'🔵クレーム'!N323</f>
        <v/>
      </c>
    </row>
    <row r="333">
      <c r="B333" s="17"/>
      <c r="C333" s="17"/>
      <c r="D333" s="17"/>
      <c r="E333" s="343"/>
      <c r="F333" s="17"/>
      <c r="G333" s="17"/>
      <c r="H333" s="17"/>
      <c r="I333" s="17"/>
      <c r="J333" s="17" t="s">
        <v>998</v>
      </c>
      <c r="K333" s="17"/>
      <c r="L333" s="17"/>
      <c r="O333" s="1237"/>
      <c r="P333" s="1237"/>
      <c r="Q333" s="1237"/>
      <c r="R333" s="1237"/>
      <c r="S333" s="1237"/>
      <c r="T333" s="1237"/>
      <c r="U333" s="1237"/>
      <c r="W333" s="1237" t="str">
        <f>'🔵クレーム'!C324</f>
        <v/>
      </c>
      <c r="X333" s="1237" t="str">
        <f>'🔵クレーム'!D324</f>
        <v/>
      </c>
      <c r="Y333" s="286" t="str">
        <f>'🔵クレーム'!I324</f>
        <v/>
      </c>
      <c r="Z333" s="1237" t="str">
        <f>'🔵クレーム'!J324</f>
        <v/>
      </c>
      <c r="AA333" s="1237" t="str">
        <f>'🔵クレーム'!K324</f>
        <v/>
      </c>
      <c r="AB333" s="1237" t="str">
        <f>'🔵クレーム'!L324</f>
        <v/>
      </c>
      <c r="AC333" s="1239" t="str">
        <f>'🔵クレーム'!N324</f>
        <v/>
      </c>
    </row>
    <row r="334">
      <c r="B334" s="17"/>
      <c r="C334" s="17"/>
      <c r="D334" s="17"/>
      <c r="E334" s="343"/>
      <c r="F334" s="17"/>
      <c r="G334" s="17"/>
      <c r="H334" s="17"/>
      <c r="I334" s="17"/>
      <c r="J334" s="17" t="s">
        <v>998</v>
      </c>
      <c r="K334" s="17"/>
      <c r="L334" s="17"/>
      <c r="O334" s="1237"/>
      <c r="P334" s="1237"/>
      <c r="Q334" s="1237"/>
      <c r="R334" s="1237"/>
      <c r="S334" s="1237"/>
      <c r="T334" s="1237"/>
      <c r="U334" s="1237"/>
      <c r="W334" s="1237" t="str">
        <f>'🔵クレーム'!C325</f>
        <v/>
      </c>
      <c r="X334" s="1237" t="str">
        <f>'🔵クレーム'!D325</f>
        <v/>
      </c>
      <c r="Y334" s="286" t="str">
        <f>'🔵クレーム'!I325</f>
        <v/>
      </c>
      <c r="Z334" s="1237" t="str">
        <f>'🔵クレーム'!J325</f>
        <v/>
      </c>
      <c r="AA334" s="1237" t="str">
        <f>'🔵クレーム'!K325</f>
        <v/>
      </c>
      <c r="AB334" s="1237" t="str">
        <f>'🔵クレーム'!L325</f>
        <v/>
      </c>
      <c r="AC334" s="1239" t="str">
        <f>'🔵クレーム'!N325</f>
        <v/>
      </c>
    </row>
    <row r="335">
      <c r="B335" s="17"/>
      <c r="C335" s="17"/>
      <c r="D335" s="17"/>
      <c r="E335" s="343"/>
      <c r="F335" s="17"/>
      <c r="G335" s="17"/>
      <c r="H335" s="17"/>
      <c r="I335" s="17"/>
      <c r="J335" s="17" t="s">
        <v>998</v>
      </c>
      <c r="K335" s="17"/>
      <c r="L335" s="17"/>
      <c r="O335" s="1237"/>
      <c r="P335" s="1237"/>
      <c r="Q335" s="1237"/>
      <c r="R335" s="1237"/>
      <c r="S335" s="1237"/>
      <c r="T335" s="1237"/>
      <c r="U335" s="1237"/>
      <c r="W335" s="1237" t="str">
        <f>'🔵クレーム'!C326</f>
        <v/>
      </c>
      <c r="X335" s="1237" t="str">
        <f>'🔵クレーム'!D326</f>
        <v/>
      </c>
      <c r="Y335" s="286" t="str">
        <f>'🔵クレーム'!I326</f>
        <v/>
      </c>
      <c r="Z335" s="1237" t="str">
        <f>'🔵クレーム'!J326</f>
        <v/>
      </c>
      <c r="AA335" s="1237" t="str">
        <f>'🔵クレーム'!K326</f>
        <v/>
      </c>
      <c r="AB335" s="1237" t="str">
        <f>'🔵クレーム'!L326</f>
        <v/>
      </c>
      <c r="AC335" s="1239" t="str">
        <f>'🔵クレーム'!N326</f>
        <v/>
      </c>
    </row>
    <row r="336">
      <c r="B336" s="17"/>
      <c r="C336" s="17"/>
      <c r="D336" s="17"/>
      <c r="E336" s="343"/>
      <c r="F336" s="17"/>
      <c r="G336" s="17"/>
      <c r="H336" s="17"/>
      <c r="I336" s="17"/>
      <c r="J336" s="17" t="s">
        <v>998</v>
      </c>
      <c r="K336" s="17"/>
      <c r="L336" s="17"/>
      <c r="O336" s="1237"/>
      <c r="P336" s="1237"/>
      <c r="Q336" s="1237"/>
      <c r="R336" s="1237"/>
      <c r="S336" s="1237"/>
      <c r="T336" s="1237"/>
      <c r="U336" s="1237"/>
      <c r="W336" s="1237" t="str">
        <f>'🔵クレーム'!C327</f>
        <v/>
      </c>
      <c r="X336" s="1237" t="str">
        <f>'🔵クレーム'!D327</f>
        <v/>
      </c>
      <c r="Y336" s="286" t="str">
        <f>'🔵クレーム'!I327</f>
        <v/>
      </c>
      <c r="Z336" s="1237" t="str">
        <f>'🔵クレーム'!J327</f>
        <v/>
      </c>
      <c r="AA336" s="1237" t="str">
        <f>'🔵クレーム'!K327</f>
        <v/>
      </c>
      <c r="AB336" s="1237" t="str">
        <f>'🔵クレーム'!L327</f>
        <v/>
      </c>
      <c r="AC336" s="1239" t="str">
        <f>'🔵クレーム'!N327</f>
        <v/>
      </c>
    </row>
    <row r="337">
      <c r="B337" s="17"/>
      <c r="C337" s="17"/>
      <c r="D337" s="17"/>
      <c r="E337" s="343"/>
      <c r="F337" s="17"/>
      <c r="G337" s="17"/>
      <c r="H337" s="17"/>
      <c r="I337" s="17"/>
      <c r="J337" s="17" t="s">
        <v>998</v>
      </c>
      <c r="K337" s="17"/>
      <c r="L337" s="17"/>
      <c r="O337" s="1237"/>
      <c r="P337" s="1237"/>
      <c r="Q337" s="1237"/>
      <c r="R337" s="1237"/>
      <c r="S337" s="1237"/>
      <c r="T337" s="1237"/>
      <c r="U337" s="1237"/>
      <c r="W337" s="1237" t="str">
        <f>'🔵クレーム'!C328</f>
        <v/>
      </c>
      <c r="X337" s="1237" t="str">
        <f>'🔵クレーム'!D328</f>
        <v/>
      </c>
      <c r="Y337" s="286" t="str">
        <f>'🔵クレーム'!I328</f>
        <v/>
      </c>
      <c r="Z337" s="1237" t="str">
        <f>'🔵クレーム'!J328</f>
        <v/>
      </c>
      <c r="AA337" s="1237" t="str">
        <f>'🔵クレーム'!K328</f>
        <v/>
      </c>
      <c r="AB337" s="1237" t="str">
        <f>'🔵クレーム'!L328</f>
        <v/>
      </c>
      <c r="AC337" s="1239" t="str">
        <f>'🔵クレーム'!N328</f>
        <v/>
      </c>
    </row>
    <row r="338">
      <c r="B338" s="17"/>
      <c r="C338" s="17"/>
      <c r="D338" s="17"/>
      <c r="E338" s="343"/>
      <c r="F338" s="17"/>
      <c r="G338" s="17"/>
      <c r="H338" s="17"/>
      <c r="I338" s="17"/>
      <c r="J338" s="17" t="s">
        <v>998</v>
      </c>
      <c r="K338" s="17"/>
      <c r="L338" s="17"/>
      <c r="O338" s="1237"/>
      <c r="P338" s="1237"/>
      <c r="Q338" s="1237"/>
      <c r="R338" s="1237"/>
      <c r="S338" s="1237"/>
      <c r="T338" s="1237"/>
      <c r="U338" s="1237"/>
      <c r="W338" s="1237" t="str">
        <f>'🔵クレーム'!C329</f>
        <v/>
      </c>
      <c r="X338" s="1237" t="str">
        <f>'🔵クレーム'!D329</f>
        <v/>
      </c>
      <c r="Y338" s="286" t="str">
        <f>'🔵クレーム'!I329</f>
        <v/>
      </c>
      <c r="Z338" s="1237" t="str">
        <f>'🔵クレーム'!J329</f>
        <v/>
      </c>
      <c r="AA338" s="1237" t="str">
        <f>'🔵クレーム'!K329</f>
        <v/>
      </c>
      <c r="AB338" s="1237" t="str">
        <f>'🔵クレーム'!L329</f>
        <v/>
      </c>
      <c r="AC338" s="1239" t="str">
        <f>'🔵クレーム'!N329</f>
        <v/>
      </c>
    </row>
    <row r="339">
      <c r="B339" s="17"/>
      <c r="C339" s="17"/>
      <c r="D339" s="17"/>
      <c r="E339" s="343"/>
      <c r="F339" s="17"/>
      <c r="G339" s="17"/>
      <c r="H339" s="17"/>
      <c r="I339" s="17"/>
      <c r="J339" s="17" t="s">
        <v>998</v>
      </c>
      <c r="K339" s="17"/>
      <c r="L339" s="17"/>
      <c r="O339" s="1237"/>
      <c r="P339" s="1237"/>
      <c r="Q339" s="1237"/>
      <c r="R339" s="1237"/>
      <c r="S339" s="1237"/>
      <c r="T339" s="1237"/>
      <c r="U339" s="1237"/>
      <c r="W339" s="1237" t="str">
        <f>'🔵クレーム'!C330</f>
        <v/>
      </c>
      <c r="X339" s="1237" t="str">
        <f>'🔵クレーム'!D330</f>
        <v/>
      </c>
      <c r="Y339" s="286" t="str">
        <f>'🔵クレーム'!I330</f>
        <v/>
      </c>
      <c r="Z339" s="1237" t="str">
        <f>'🔵クレーム'!J330</f>
        <v/>
      </c>
      <c r="AA339" s="1237" t="str">
        <f>'🔵クレーム'!K330</f>
        <v/>
      </c>
      <c r="AB339" s="1237" t="str">
        <f>'🔵クレーム'!L330</f>
        <v/>
      </c>
      <c r="AC339" s="1239" t="str">
        <f>'🔵クレーム'!N330</f>
        <v/>
      </c>
    </row>
    <row r="340">
      <c r="B340" s="17"/>
      <c r="C340" s="17"/>
      <c r="D340" s="17"/>
      <c r="E340" s="343"/>
      <c r="F340" s="17"/>
      <c r="G340" s="17"/>
      <c r="H340" s="17"/>
      <c r="I340" s="17"/>
      <c r="J340" s="17" t="s">
        <v>998</v>
      </c>
      <c r="K340" s="17"/>
      <c r="L340" s="17"/>
      <c r="O340" s="1237"/>
      <c r="P340" s="1237"/>
      <c r="Q340" s="1237"/>
      <c r="R340" s="1237"/>
      <c r="S340" s="1237"/>
      <c r="T340" s="1237"/>
      <c r="U340" s="1237"/>
      <c r="W340" s="1237" t="str">
        <f>'🔵クレーム'!C331</f>
        <v/>
      </c>
      <c r="X340" s="1237" t="str">
        <f>'🔵クレーム'!D331</f>
        <v/>
      </c>
      <c r="Y340" s="286" t="str">
        <f>'🔵クレーム'!I331</f>
        <v/>
      </c>
      <c r="Z340" s="1237" t="str">
        <f>'🔵クレーム'!J331</f>
        <v/>
      </c>
      <c r="AA340" s="1237" t="str">
        <f>'🔵クレーム'!K331</f>
        <v/>
      </c>
      <c r="AB340" s="1237" t="str">
        <f>'🔵クレーム'!L331</f>
        <v/>
      </c>
      <c r="AC340" s="1239" t="str">
        <f>'🔵クレーム'!N331</f>
        <v/>
      </c>
    </row>
    <row r="341">
      <c r="B341" s="17"/>
      <c r="C341" s="17"/>
      <c r="D341" s="17"/>
      <c r="E341" s="343"/>
      <c r="F341" s="17"/>
      <c r="G341" s="17"/>
      <c r="H341" s="17"/>
      <c r="I341" s="17"/>
      <c r="J341" s="17" t="s">
        <v>998</v>
      </c>
      <c r="K341" s="17"/>
      <c r="L341" s="17"/>
      <c r="O341" s="1237"/>
      <c r="P341" s="1237"/>
      <c r="Q341" s="1237"/>
      <c r="R341" s="1237"/>
      <c r="S341" s="1237"/>
      <c r="T341" s="1237"/>
      <c r="U341" s="1237"/>
      <c r="W341" s="1237" t="str">
        <f>'🔵クレーム'!C332</f>
        <v/>
      </c>
      <c r="X341" s="1237" t="str">
        <f>'🔵クレーム'!D332</f>
        <v/>
      </c>
      <c r="Y341" s="286" t="str">
        <f>'🔵クレーム'!I332</f>
        <v/>
      </c>
      <c r="Z341" s="1237" t="str">
        <f>'🔵クレーム'!J332</f>
        <v/>
      </c>
      <c r="AA341" s="1237" t="str">
        <f>'🔵クレーム'!K332</f>
        <v/>
      </c>
      <c r="AB341" s="1237" t="str">
        <f>'🔵クレーム'!L332</f>
        <v/>
      </c>
      <c r="AC341" s="1239" t="str">
        <f>'🔵クレーム'!N332</f>
        <v/>
      </c>
    </row>
    <row r="342">
      <c r="B342" s="17"/>
      <c r="C342" s="17"/>
      <c r="D342" s="17"/>
      <c r="E342" s="343"/>
      <c r="F342" s="17"/>
      <c r="G342" s="17"/>
      <c r="H342" s="17"/>
      <c r="I342" s="17"/>
      <c r="J342" s="17" t="s">
        <v>998</v>
      </c>
      <c r="K342" s="17"/>
      <c r="L342" s="17"/>
      <c r="O342" s="1237"/>
      <c r="P342" s="1237"/>
      <c r="Q342" s="1237"/>
      <c r="R342" s="1237"/>
      <c r="S342" s="1237"/>
      <c r="T342" s="1237"/>
      <c r="U342" s="1237"/>
      <c r="W342" s="1237" t="str">
        <f>'🔵クレーム'!C333</f>
        <v/>
      </c>
      <c r="X342" s="1237" t="str">
        <f>'🔵クレーム'!D333</f>
        <v/>
      </c>
      <c r="Y342" s="286" t="str">
        <f>'🔵クレーム'!I333</f>
        <v/>
      </c>
      <c r="Z342" s="1237" t="str">
        <f>'🔵クレーム'!J333</f>
        <v/>
      </c>
      <c r="AA342" s="1237" t="str">
        <f>'🔵クレーム'!K333</f>
        <v/>
      </c>
      <c r="AB342" s="1237" t="str">
        <f>'🔵クレーム'!L333</f>
        <v/>
      </c>
      <c r="AC342" s="1239" t="str">
        <f>'🔵クレーム'!N333</f>
        <v/>
      </c>
    </row>
    <row r="343">
      <c r="B343" s="17"/>
      <c r="C343" s="17"/>
      <c r="D343" s="17"/>
      <c r="E343" s="343"/>
      <c r="F343" s="17"/>
      <c r="G343" s="17"/>
      <c r="H343" s="17"/>
      <c r="I343" s="17"/>
      <c r="J343" s="17" t="s">
        <v>998</v>
      </c>
      <c r="K343" s="17"/>
      <c r="L343" s="17"/>
      <c r="O343" s="1237"/>
      <c r="P343" s="1237"/>
      <c r="Q343" s="1237"/>
      <c r="R343" s="1237"/>
      <c r="S343" s="1237"/>
      <c r="T343" s="1237"/>
      <c r="U343" s="1237"/>
      <c r="W343" s="1237" t="str">
        <f>'🔵クレーム'!C334</f>
        <v/>
      </c>
      <c r="X343" s="1237" t="str">
        <f>'🔵クレーム'!D334</f>
        <v/>
      </c>
      <c r="Y343" s="286" t="str">
        <f>'🔵クレーム'!I334</f>
        <v/>
      </c>
      <c r="Z343" s="1237" t="str">
        <f>'🔵クレーム'!J334</f>
        <v/>
      </c>
      <c r="AA343" s="1237" t="str">
        <f>'🔵クレーム'!K334</f>
        <v/>
      </c>
      <c r="AB343" s="1237" t="str">
        <f>'🔵クレーム'!L334</f>
        <v/>
      </c>
      <c r="AC343" s="1239" t="str">
        <f>'🔵クレーム'!N334</f>
        <v/>
      </c>
    </row>
    <row r="344">
      <c r="B344" s="17"/>
      <c r="C344" s="17"/>
      <c r="D344" s="17"/>
      <c r="E344" s="343"/>
      <c r="F344" s="17"/>
      <c r="G344" s="17"/>
      <c r="H344" s="17"/>
      <c r="I344" s="17"/>
      <c r="J344" s="17" t="s">
        <v>998</v>
      </c>
      <c r="K344" s="17"/>
      <c r="L344" s="17"/>
      <c r="O344" s="1237"/>
      <c r="P344" s="1237"/>
      <c r="Q344" s="1237"/>
      <c r="R344" s="1237"/>
      <c r="S344" s="1237"/>
      <c r="T344" s="1237"/>
      <c r="U344" s="1237"/>
      <c r="W344" s="1237" t="str">
        <f>'🔵クレーム'!C335</f>
        <v/>
      </c>
      <c r="X344" s="1237" t="str">
        <f>'🔵クレーム'!D335</f>
        <v/>
      </c>
      <c r="Y344" s="286" t="str">
        <f>'🔵クレーム'!I335</f>
        <v/>
      </c>
      <c r="Z344" s="1237" t="str">
        <f>'🔵クレーム'!J335</f>
        <v/>
      </c>
      <c r="AA344" s="1237" t="str">
        <f>'🔵クレーム'!K335</f>
        <v/>
      </c>
      <c r="AB344" s="1237" t="str">
        <f>'🔵クレーム'!L335</f>
        <v/>
      </c>
      <c r="AC344" s="1239" t="str">
        <f>'🔵クレーム'!N335</f>
        <v/>
      </c>
    </row>
    <row r="345">
      <c r="B345" s="17"/>
      <c r="C345" s="17"/>
      <c r="D345" s="17"/>
      <c r="E345" s="343"/>
      <c r="F345" s="17"/>
      <c r="G345" s="17"/>
      <c r="H345" s="17"/>
      <c r="I345" s="17"/>
      <c r="J345" s="17" t="s">
        <v>998</v>
      </c>
      <c r="K345" s="17"/>
      <c r="L345" s="17"/>
      <c r="O345" s="1237"/>
      <c r="P345" s="1237"/>
      <c r="Q345" s="1237"/>
      <c r="R345" s="1237"/>
      <c r="S345" s="1237"/>
      <c r="T345" s="1237"/>
      <c r="U345" s="1237"/>
      <c r="W345" s="1237" t="str">
        <f>'🔵クレーム'!C336</f>
        <v/>
      </c>
      <c r="X345" s="1237" t="str">
        <f>'🔵クレーム'!D336</f>
        <v/>
      </c>
      <c r="Y345" s="286" t="str">
        <f>'🔵クレーム'!I336</f>
        <v/>
      </c>
      <c r="Z345" s="1237" t="str">
        <f>'🔵クレーム'!J336</f>
        <v/>
      </c>
      <c r="AA345" s="1237" t="str">
        <f>'🔵クレーム'!K336</f>
        <v/>
      </c>
      <c r="AB345" s="1237" t="str">
        <f>'🔵クレーム'!L336</f>
        <v/>
      </c>
      <c r="AC345" s="1239" t="str">
        <f>'🔵クレーム'!N336</f>
        <v/>
      </c>
    </row>
    <row r="346">
      <c r="B346" s="17"/>
      <c r="C346" s="17"/>
      <c r="D346" s="17"/>
      <c r="E346" s="343"/>
      <c r="F346" s="17"/>
      <c r="G346" s="17"/>
      <c r="H346" s="17"/>
      <c r="I346" s="17"/>
      <c r="J346" s="17" t="s">
        <v>998</v>
      </c>
      <c r="K346" s="17"/>
      <c r="L346" s="17"/>
      <c r="O346" s="1237"/>
      <c r="P346" s="1237"/>
      <c r="Q346" s="1237"/>
      <c r="R346" s="1237"/>
      <c r="S346" s="1237"/>
      <c r="T346" s="1237"/>
      <c r="U346" s="1237"/>
      <c r="W346" s="1237" t="str">
        <f>'🔵クレーム'!C337</f>
        <v/>
      </c>
      <c r="X346" s="1237" t="str">
        <f>'🔵クレーム'!D337</f>
        <v/>
      </c>
      <c r="Y346" s="286" t="str">
        <f>'🔵クレーム'!I337</f>
        <v/>
      </c>
      <c r="Z346" s="1237" t="str">
        <f>'🔵クレーム'!J337</f>
        <v/>
      </c>
      <c r="AA346" s="1237" t="str">
        <f>'🔵クレーム'!K337</f>
        <v/>
      </c>
      <c r="AB346" s="1237" t="str">
        <f>'🔵クレーム'!L337</f>
        <v/>
      </c>
      <c r="AC346" s="1239" t="str">
        <f>'🔵クレーム'!N337</f>
        <v/>
      </c>
    </row>
    <row r="347">
      <c r="B347" s="17"/>
      <c r="C347" s="17"/>
      <c r="D347" s="17"/>
      <c r="E347" s="343"/>
      <c r="F347" s="17"/>
      <c r="G347" s="17"/>
      <c r="H347" s="17"/>
      <c r="I347" s="17"/>
      <c r="J347" s="17" t="s">
        <v>998</v>
      </c>
      <c r="K347" s="17"/>
      <c r="L347" s="17"/>
      <c r="O347" s="1237"/>
      <c r="P347" s="1237"/>
      <c r="Q347" s="1237"/>
      <c r="R347" s="1237"/>
      <c r="S347" s="1237"/>
      <c r="T347" s="1237"/>
      <c r="U347" s="1237"/>
      <c r="W347" s="1237" t="str">
        <f>'🔵クレーム'!C338</f>
        <v/>
      </c>
      <c r="X347" s="1237" t="str">
        <f>'🔵クレーム'!D338</f>
        <v/>
      </c>
      <c r="Y347" s="286" t="str">
        <f>'🔵クレーム'!I338</f>
        <v/>
      </c>
      <c r="Z347" s="1237" t="str">
        <f>'🔵クレーム'!J338</f>
        <v/>
      </c>
      <c r="AA347" s="1237" t="str">
        <f>'🔵クレーム'!K338</f>
        <v/>
      </c>
      <c r="AB347" s="1237" t="str">
        <f>'🔵クレーム'!L338</f>
        <v/>
      </c>
      <c r="AC347" s="1239" t="str">
        <f>'🔵クレーム'!N338</f>
        <v/>
      </c>
    </row>
    <row r="348">
      <c r="B348" s="17"/>
      <c r="C348" s="17"/>
      <c r="D348" s="17"/>
      <c r="E348" s="343"/>
      <c r="F348" s="17"/>
      <c r="G348" s="17"/>
      <c r="H348" s="17"/>
      <c r="I348" s="17"/>
      <c r="J348" s="17" t="s">
        <v>998</v>
      </c>
      <c r="K348" s="17"/>
      <c r="L348" s="17"/>
      <c r="O348" s="1237"/>
      <c r="P348" s="1237"/>
      <c r="Q348" s="1237"/>
      <c r="R348" s="1237"/>
      <c r="S348" s="1237"/>
      <c r="T348" s="1237"/>
      <c r="U348" s="1237"/>
      <c r="W348" s="1237" t="str">
        <f>'🔵クレーム'!C339</f>
        <v/>
      </c>
      <c r="X348" s="1237" t="str">
        <f>'🔵クレーム'!D339</f>
        <v/>
      </c>
      <c r="Y348" s="286" t="str">
        <f>'🔵クレーム'!I339</f>
        <v/>
      </c>
      <c r="Z348" s="1237" t="str">
        <f>'🔵クレーム'!J339</f>
        <v/>
      </c>
      <c r="AA348" s="1237" t="str">
        <f>'🔵クレーム'!K339</f>
        <v/>
      </c>
      <c r="AB348" s="1237" t="str">
        <f>'🔵クレーム'!L339</f>
        <v/>
      </c>
      <c r="AC348" s="1239" t="str">
        <f>'🔵クレーム'!N339</f>
        <v/>
      </c>
    </row>
    <row r="349">
      <c r="B349" s="17"/>
      <c r="C349" s="17"/>
      <c r="D349" s="17"/>
      <c r="E349" s="343"/>
      <c r="F349" s="17"/>
      <c r="G349" s="17"/>
      <c r="H349" s="17"/>
      <c r="I349" s="17"/>
      <c r="J349" s="17" t="s">
        <v>998</v>
      </c>
      <c r="K349" s="17"/>
      <c r="L349" s="17"/>
      <c r="O349" s="1237"/>
      <c r="P349" s="1237"/>
      <c r="Q349" s="1237"/>
      <c r="R349" s="1237"/>
      <c r="S349" s="1237"/>
      <c r="T349" s="1237"/>
      <c r="U349" s="1237"/>
      <c r="W349" s="1237" t="str">
        <f>'🔵クレーム'!C340</f>
        <v/>
      </c>
      <c r="X349" s="1237" t="str">
        <f>'🔵クレーム'!D340</f>
        <v/>
      </c>
      <c r="Y349" s="286" t="str">
        <f>'🔵クレーム'!I340</f>
        <v/>
      </c>
      <c r="Z349" s="1237" t="str">
        <f>'🔵クレーム'!J340</f>
        <v/>
      </c>
      <c r="AA349" s="1237" t="str">
        <f>'🔵クレーム'!K340</f>
        <v/>
      </c>
      <c r="AB349" s="1237" t="str">
        <f>'🔵クレーム'!L340</f>
        <v/>
      </c>
      <c r="AC349" s="1239" t="str">
        <f>'🔵クレーム'!N340</f>
        <v/>
      </c>
    </row>
    <row r="350">
      <c r="B350" s="17"/>
      <c r="C350" s="17"/>
      <c r="D350" s="17"/>
      <c r="E350" s="343"/>
      <c r="F350" s="17"/>
      <c r="G350" s="17"/>
      <c r="H350" s="17"/>
      <c r="I350" s="17"/>
      <c r="J350" s="17" t="s">
        <v>998</v>
      </c>
      <c r="K350" s="17"/>
      <c r="L350" s="17"/>
      <c r="O350" s="1237"/>
      <c r="P350" s="1237"/>
      <c r="Q350" s="1237"/>
      <c r="R350" s="1237"/>
      <c r="S350" s="1237"/>
      <c r="T350" s="1237"/>
      <c r="U350" s="1237"/>
      <c r="W350" s="1237" t="str">
        <f>'🔵クレーム'!C341</f>
        <v/>
      </c>
      <c r="X350" s="1237" t="str">
        <f>'🔵クレーム'!D341</f>
        <v/>
      </c>
      <c r="Y350" s="286" t="str">
        <f>'🔵クレーム'!I341</f>
        <v/>
      </c>
      <c r="Z350" s="1237" t="str">
        <f>'🔵クレーム'!J341</f>
        <v/>
      </c>
      <c r="AA350" s="1237" t="str">
        <f>'🔵クレーム'!K341</f>
        <v/>
      </c>
      <c r="AB350" s="1237" t="str">
        <f>'🔵クレーム'!L341</f>
        <v/>
      </c>
      <c r="AC350" s="1239" t="str">
        <f>'🔵クレーム'!N341</f>
        <v/>
      </c>
    </row>
    <row r="351">
      <c r="B351" s="17"/>
      <c r="C351" s="17"/>
      <c r="D351" s="17"/>
      <c r="E351" s="343"/>
      <c r="F351" s="17"/>
      <c r="G351" s="17"/>
      <c r="H351" s="17"/>
      <c r="I351" s="17"/>
      <c r="J351" s="17" t="s">
        <v>998</v>
      </c>
      <c r="K351" s="17"/>
      <c r="L351" s="17"/>
      <c r="O351" s="1237"/>
      <c r="P351" s="1237"/>
      <c r="Q351" s="1237"/>
      <c r="R351" s="1237"/>
      <c r="S351" s="1237"/>
      <c r="T351" s="1237"/>
      <c r="U351" s="1237"/>
      <c r="W351" s="1237" t="str">
        <f>'🔵クレーム'!C342</f>
        <v/>
      </c>
      <c r="X351" s="1237" t="str">
        <f>'🔵クレーム'!D342</f>
        <v/>
      </c>
      <c r="Y351" s="286" t="str">
        <f>'🔵クレーム'!I342</f>
        <v/>
      </c>
      <c r="Z351" s="1237" t="str">
        <f>'🔵クレーム'!J342</f>
        <v/>
      </c>
      <c r="AA351" s="1237" t="str">
        <f>'🔵クレーム'!K342</f>
        <v/>
      </c>
      <c r="AB351" s="1237" t="str">
        <f>'🔵クレーム'!L342</f>
        <v/>
      </c>
      <c r="AC351" s="1239" t="str">
        <f>'🔵クレーム'!N342</f>
        <v/>
      </c>
    </row>
    <row r="352">
      <c r="B352" s="17"/>
      <c r="C352" s="17"/>
      <c r="D352" s="17"/>
      <c r="E352" s="343"/>
      <c r="F352" s="17"/>
      <c r="G352" s="17"/>
      <c r="H352" s="17"/>
      <c r="I352" s="17"/>
      <c r="J352" s="17" t="s">
        <v>998</v>
      </c>
      <c r="K352" s="17"/>
      <c r="L352" s="17"/>
      <c r="O352" s="1237"/>
      <c r="P352" s="1237"/>
      <c r="Q352" s="1237"/>
      <c r="R352" s="1237"/>
      <c r="S352" s="1237"/>
      <c r="T352" s="1237"/>
      <c r="U352" s="1237"/>
      <c r="W352" s="1237" t="str">
        <f>'🔵クレーム'!C343</f>
        <v/>
      </c>
      <c r="X352" s="1237" t="str">
        <f>'🔵クレーム'!D343</f>
        <v/>
      </c>
      <c r="Y352" s="286" t="str">
        <f>'🔵クレーム'!I343</f>
        <v/>
      </c>
      <c r="Z352" s="1237" t="str">
        <f>'🔵クレーム'!J343</f>
        <v/>
      </c>
      <c r="AA352" s="1237" t="str">
        <f>'🔵クレーム'!K343</f>
        <v/>
      </c>
      <c r="AB352" s="1237" t="str">
        <f>'🔵クレーム'!L343</f>
        <v/>
      </c>
      <c r="AC352" s="1239" t="str">
        <f>'🔵クレーム'!N343</f>
        <v/>
      </c>
    </row>
    <row r="353">
      <c r="B353" s="17"/>
      <c r="C353" s="17"/>
      <c r="D353" s="17"/>
      <c r="E353" s="343"/>
      <c r="F353" s="17"/>
      <c r="G353" s="17"/>
      <c r="H353" s="17"/>
      <c r="I353" s="17"/>
      <c r="J353" s="17" t="s">
        <v>998</v>
      </c>
      <c r="K353" s="17"/>
      <c r="L353" s="17"/>
      <c r="O353" s="1237"/>
      <c r="P353" s="1237"/>
      <c r="Q353" s="1237"/>
      <c r="R353" s="1237"/>
      <c r="S353" s="1237"/>
      <c r="T353" s="1237"/>
      <c r="U353" s="1237"/>
      <c r="W353" s="1237" t="str">
        <f>'🔵クレーム'!C344</f>
        <v/>
      </c>
      <c r="X353" s="1237" t="str">
        <f>'🔵クレーム'!D344</f>
        <v/>
      </c>
      <c r="Y353" s="286" t="str">
        <f>'🔵クレーム'!I344</f>
        <v/>
      </c>
      <c r="Z353" s="1237" t="str">
        <f>'🔵クレーム'!J344</f>
        <v/>
      </c>
      <c r="AA353" s="1237" t="str">
        <f>'🔵クレーム'!K344</f>
        <v/>
      </c>
      <c r="AB353" s="1237" t="str">
        <f>'🔵クレーム'!L344</f>
        <v/>
      </c>
      <c r="AC353" s="1239" t="str">
        <f>'🔵クレーム'!N344</f>
        <v/>
      </c>
    </row>
    <row r="354">
      <c r="B354" s="17"/>
      <c r="C354" s="17"/>
      <c r="D354" s="17"/>
      <c r="E354" s="343"/>
      <c r="F354" s="17"/>
      <c r="G354" s="17"/>
      <c r="H354" s="17"/>
      <c r="I354" s="17"/>
      <c r="J354" s="17" t="s">
        <v>998</v>
      </c>
      <c r="K354" s="17"/>
      <c r="L354" s="17"/>
      <c r="O354" s="1237"/>
      <c r="P354" s="1237"/>
      <c r="Q354" s="1237"/>
      <c r="R354" s="1237"/>
      <c r="S354" s="1237"/>
      <c r="T354" s="1237"/>
      <c r="U354" s="1237"/>
      <c r="W354" s="1237" t="str">
        <f>'🔵クレーム'!C345</f>
        <v/>
      </c>
      <c r="X354" s="1237" t="str">
        <f>'🔵クレーム'!D345</f>
        <v/>
      </c>
      <c r="Y354" s="286" t="str">
        <f>'🔵クレーム'!I345</f>
        <v/>
      </c>
      <c r="Z354" s="1237" t="str">
        <f>'🔵クレーム'!J345</f>
        <v/>
      </c>
      <c r="AA354" s="1237" t="str">
        <f>'🔵クレーム'!K345</f>
        <v/>
      </c>
      <c r="AB354" s="1237" t="str">
        <f>'🔵クレーム'!L345</f>
        <v/>
      </c>
      <c r="AC354" s="1239" t="str">
        <f>'🔵クレーム'!N345</f>
        <v/>
      </c>
    </row>
    <row r="355">
      <c r="B355" s="17"/>
      <c r="C355" s="17"/>
      <c r="D355" s="17"/>
      <c r="E355" s="343"/>
      <c r="F355" s="17"/>
      <c r="G355" s="17"/>
      <c r="H355" s="17"/>
      <c r="I355" s="17"/>
      <c r="J355" s="17" t="s">
        <v>998</v>
      </c>
      <c r="K355" s="17"/>
      <c r="L355" s="17"/>
      <c r="O355" s="1237"/>
      <c r="P355" s="1237"/>
      <c r="Q355" s="1237"/>
      <c r="R355" s="1237"/>
      <c r="S355" s="1237"/>
      <c r="T355" s="1237"/>
      <c r="U355" s="1237"/>
      <c r="W355" s="1237" t="str">
        <f>'🔵クレーム'!C346</f>
        <v/>
      </c>
      <c r="X355" s="1237" t="str">
        <f>'🔵クレーム'!D346</f>
        <v/>
      </c>
      <c r="Y355" s="286" t="str">
        <f>'🔵クレーム'!I346</f>
        <v/>
      </c>
      <c r="Z355" s="1237" t="str">
        <f>'🔵クレーム'!J346</f>
        <v/>
      </c>
      <c r="AA355" s="1237" t="str">
        <f>'🔵クレーム'!K346</f>
        <v/>
      </c>
      <c r="AB355" s="1237" t="str">
        <f>'🔵クレーム'!L346</f>
        <v/>
      </c>
      <c r="AC355" s="1239" t="str">
        <f>'🔵クレーム'!N346</f>
        <v/>
      </c>
    </row>
    <row r="356">
      <c r="B356" s="17"/>
      <c r="C356" s="17"/>
      <c r="D356" s="17"/>
      <c r="E356" s="343"/>
      <c r="F356" s="17"/>
      <c r="G356" s="17"/>
      <c r="H356" s="17"/>
      <c r="I356" s="17"/>
      <c r="J356" s="17" t="s">
        <v>998</v>
      </c>
      <c r="K356" s="17"/>
      <c r="L356" s="17"/>
      <c r="O356" s="1237"/>
      <c r="P356" s="1237"/>
      <c r="Q356" s="1237"/>
      <c r="R356" s="1237"/>
      <c r="S356" s="1237"/>
      <c r="T356" s="1237"/>
      <c r="U356" s="1237"/>
      <c r="W356" s="1237" t="str">
        <f>'🔵クレーム'!C347</f>
        <v/>
      </c>
      <c r="X356" s="1237" t="str">
        <f>'🔵クレーム'!D347</f>
        <v/>
      </c>
      <c r="Y356" s="286" t="str">
        <f>'🔵クレーム'!I347</f>
        <v/>
      </c>
      <c r="Z356" s="1237" t="str">
        <f>'🔵クレーム'!J347</f>
        <v/>
      </c>
      <c r="AA356" s="1237" t="str">
        <f>'🔵クレーム'!K347</f>
        <v/>
      </c>
      <c r="AB356" s="1237" t="str">
        <f>'🔵クレーム'!L347</f>
        <v/>
      </c>
      <c r="AC356" s="1239" t="str">
        <f>'🔵クレーム'!N347</f>
        <v/>
      </c>
    </row>
    <row r="357">
      <c r="B357" s="17"/>
      <c r="C357" s="17"/>
      <c r="D357" s="17"/>
      <c r="E357" s="343"/>
      <c r="F357" s="17"/>
      <c r="G357" s="17"/>
      <c r="H357" s="17"/>
      <c r="I357" s="17"/>
      <c r="J357" s="17" t="s">
        <v>998</v>
      </c>
      <c r="K357" s="17"/>
      <c r="L357" s="17"/>
      <c r="O357" s="1237"/>
      <c r="P357" s="1237"/>
      <c r="Q357" s="1237"/>
      <c r="R357" s="1237"/>
      <c r="S357" s="1237"/>
      <c r="T357" s="1237"/>
      <c r="U357" s="1237"/>
      <c r="W357" s="1237" t="str">
        <f>'🔵クレーム'!C348</f>
        <v/>
      </c>
      <c r="X357" s="1237" t="str">
        <f>'🔵クレーム'!D348</f>
        <v/>
      </c>
      <c r="Y357" s="286" t="str">
        <f>'🔵クレーム'!I348</f>
        <v/>
      </c>
      <c r="Z357" s="1237" t="str">
        <f>'🔵クレーム'!J348</f>
        <v/>
      </c>
      <c r="AA357" s="1237" t="str">
        <f>'🔵クレーム'!K348</f>
        <v/>
      </c>
      <c r="AB357" s="1237" t="str">
        <f>'🔵クレーム'!L348</f>
        <v/>
      </c>
      <c r="AC357" s="1239" t="str">
        <f>'🔵クレーム'!N348</f>
        <v/>
      </c>
    </row>
    <row r="358">
      <c r="B358" s="17"/>
      <c r="C358" s="17"/>
      <c r="D358" s="17"/>
      <c r="E358" s="343"/>
      <c r="F358" s="17"/>
      <c r="G358" s="17"/>
      <c r="H358" s="17"/>
      <c r="I358" s="17"/>
      <c r="J358" s="17" t="s">
        <v>998</v>
      </c>
      <c r="K358" s="17"/>
      <c r="L358" s="17"/>
      <c r="O358" s="1237"/>
      <c r="P358" s="1237"/>
      <c r="Q358" s="1237"/>
      <c r="R358" s="1237"/>
      <c r="S358" s="1237"/>
      <c r="T358" s="1237"/>
      <c r="U358" s="1237"/>
      <c r="W358" s="1237" t="str">
        <f>'🔵クレーム'!C349</f>
        <v/>
      </c>
      <c r="X358" s="1237" t="str">
        <f>'🔵クレーム'!D349</f>
        <v/>
      </c>
      <c r="Y358" s="286" t="str">
        <f>'🔵クレーム'!I349</f>
        <v/>
      </c>
      <c r="Z358" s="1237" t="str">
        <f>'🔵クレーム'!J349</f>
        <v/>
      </c>
      <c r="AA358" s="1237" t="str">
        <f>'🔵クレーム'!K349</f>
        <v/>
      </c>
      <c r="AB358" s="1237" t="str">
        <f>'🔵クレーム'!L349</f>
        <v/>
      </c>
      <c r="AC358" s="1239" t="str">
        <f>'🔵クレーム'!N349</f>
        <v/>
      </c>
    </row>
    <row r="359">
      <c r="B359" s="17"/>
      <c r="C359" s="17"/>
      <c r="D359" s="17"/>
      <c r="E359" s="343"/>
      <c r="F359" s="17"/>
      <c r="G359" s="17"/>
      <c r="H359" s="17"/>
      <c r="I359" s="17"/>
      <c r="J359" s="17" t="s">
        <v>998</v>
      </c>
      <c r="K359" s="17"/>
      <c r="L359" s="17"/>
      <c r="O359" s="1237"/>
      <c r="P359" s="1237"/>
      <c r="Q359" s="1237"/>
      <c r="R359" s="1237"/>
      <c r="S359" s="1237"/>
      <c r="T359" s="1237"/>
      <c r="U359" s="1237"/>
      <c r="W359" s="1237" t="str">
        <f>'🔵クレーム'!C350</f>
        <v/>
      </c>
      <c r="X359" s="1237" t="str">
        <f>'🔵クレーム'!D350</f>
        <v/>
      </c>
      <c r="Y359" s="286" t="str">
        <f>'🔵クレーム'!I350</f>
        <v/>
      </c>
      <c r="Z359" s="1237" t="str">
        <f>'🔵クレーム'!J350</f>
        <v/>
      </c>
      <c r="AA359" s="1237" t="str">
        <f>'🔵クレーム'!K350</f>
        <v/>
      </c>
      <c r="AB359" s="1237" t="str">
        <f>'🔵クレーム'!L350</f>
        <v/>
      </c>
      <c r="AC359" s="1239" t="str">
        <f>'🔵クレーム'!N350</f>
        <v/>
      </c>
    </row>
    <row r="360">
      <c r="B360" s="17"/>
      <c r="C360" s="17"/>
      <c r="D360" s="17"/>
      <c r="E360" s="343"/>
      <c r="F360" s="17"/>
      <c r="G360" s="17"/>
      <c r="H360" s="17"/>
      <c r="I360" s="17"/>
      <c r="J360" s="17" t="s">
        <v>998</v>
      </c>
      <c r="K360" s="17"/>
      <c r="L360" s="17"/>
      <c r="O360" s="1237"/>
      <c r="P360" s="1237"/>
      <c r="Q360" s="1237"/>
      <c r="R360" s="1237"/>
      <c r="S360" s="1237"/>
      <c r="T360" s="1237"/>
      <c r="U360" s="1237"/>
      <c r="W360" s="1237" t="str">
        <f>'🔵クレーム'!C351</f>
        <v/>
      </c>
      <c r="X360" s="1237" t="str">
        <f>'🔵クレーム'!D351</f>
        <v/>
      </c>
      <c r="Y360" s="286" t="str">
        <f>'🔵クレーム'!I351</f>
        <v/>
      </c>
      <c r="Z360" s="1237" t="str">
        <f>'🔵クレーム'!J351</f>
        <v/>
      </c>
      <c r="AA360" s="1237" t="str">
        <f>'🔵クレーム'!K351</f>
        <v/>
      </c>
      <c r="AB360" s="1237" t="str">
        <f>'🔵クレーム'!L351</f>
        <v/>
      </c>
      <c r="AC360" s="1239" t="str">
        <f>'🔵クレーム'!N351</f>
        <v/>
      </c>
    </row>
    <row r="361">
      <c r="B361" s="17"/>
      <c r="C361" s="17"/>
      <c r="D361" s="17"/>
      <c r="E361" s="343"/>
      <c r="F361" s="17"/>
      <c r="G361" s="17"/>
      <c r="H361" s="17"/>
      <c r="I361" s="17"/>
      <c r="J361" s="17" t="s">
        <v>998</v>
      </c>
      <c r="K361" s="17"/>
      <c r="L361" s="17"/>
      <c r="O361" s="1237"/>
      <c r="P361" s="1237"/>
      <c r="Q361" s="1237"/>
      <c r="R361" s="1237"/>
      <c r="S361" s="1237"/>
      <c r="T361" s="1237"/>
      <c r="U361" s="1237"/>
      <c r="W361" s="1237" t="str">
        <f>'🔵クレーム'!C352</f>
        <v/>
      </c>
      <c r="X361" s="1237" t="str">
        <f>'🔵クレーム'!D352</f>
        <v/>
      </c>
      <c r="Y361" s="286" t="str">
        <f>'🔵クレーム'!I352</f>
        <v/>
      </c>
      <c r="Z361" s="1237" t="str">
        <f>'🔵クレーム'!J352</f>
        <v/>
      </c>
      <c r="AA361" s="1237" t="str">
        <f>'🔵クレーム'!K352</f>
        <v/>
      </c>
      <c r="AB361" s="1237" t="str">
        <f>'🔵クレーム'!L352</f>
        <v/>
      </c>
      <c r="AC361" s="1239" t="str">
        <f>'🔵クレーム'!N352</f>
        <v/>
      </c>
    </row>
    <row r="362">
      <c r="B362" s="17"/>
      <c r="C362" s="17"/>
      <c r="D362" s="17"/>
      <c r="E362" s="343"/>
      <c r="F362" s="17"/>
      <c r="G362" s="17"/>
      <c r="H362" s="17"/>
      <c r="I362" s="17"/>
      <c r="J362" s="17" t="s">
        <v>998</v>
      </c>
      <c r="K362" s="17"/>
      <c r="L362" s="17"/>
      <c r="O362" s="1237"/>
      <c r="P362" s="1237"/>
      <c r="Q362" s="1237"/>
      <c r="R362" s="1237"/>
      <c r="S362" s="1237"/>
      <c r="T362" s="1237"/>
      <c r="U362" s="1237"/>
      <c r="W362" s="1237" t="str">
        <f>'🔵クレーム'!C353</f>
        <v/>
      </c>
      <c r="X362" s="1237" t="str">
        <f>'🔵クレーム'!D353</f>
        <v/>
      </c>
      <c r="Y362" s="286" t="str">
        <f>'🔵クレーム'!I353</f>
        <v/>
      </c>
      <c r="Z362" s="1237" t="str">
        <f>'🔵クレーム'!J353</f>
        <v/>
      </c>
      <c r="AA362" s="1237" t="str">
        <f>'🔵クレーム'!K353</f>
        <v/>
      </c>
      <c r="AB362" s="1237" t="str">
        <f>'🔵クレーム'!L353</f>
        <v/>
      </c>
      <c r="AC362" s="1239" t="str">
        <f>'🔵クレーム'!N353</f>
        <v/>
      </c>
    </row>
    <row r="363">
      <c r="B363" s="17"/>
      <c r="C363" s="17"/>
      <c r="D363" s="17"/>
      <c r="E363" s="343"/>
      <c r="F363" s="17"/>
      <c r="G363" s="17"/>
      <c r="H363" s="17"/>
      <c r="I363" s="17"/>
      <c r="J363" s="17" t="s">
        <v>998</v>
      </c>
      <c r="K363" s="17"/>
      <c r="L363" s="17"/>
      <c r="O363" s="1237"/>
      <c r="P363" s="1237"/>
      <c r="Q363" s="1237"/>
      <c r="R363" s="1237"/>
      <c r="S363" s="1237"/>
      <c r="T363" s="1237"/>
      <c r="U363" s="1237"/>
      <c r="W363" s="1237" t="str">
        <f>'🔵クレーム'!C354</f>
        <v/>
      </c>
      <c r="X363" s="1237" t="str">
        <f>'🔵クレーム'!D354</f>
        <v/>
      </c>
      <c r="Y363" s="286" t="str">
        <f>'🔵クレーム'!I354</f>
        <v/>
      </c>
      <c r="Z363" s="1237" t="str">
        <f>'🔵クレーム'!J354</f>
        <v/>
      </c>
      <c r="AA363" s="1237" t="str">
        <f>'🔵クレーム'!K354</f>
        <v/>
      </c>
      <c r="AB363" s="1237" t="str">
        <f>'🔵クレーム'!L354</f>
        <v/>
      </c>
      <c r="AC363" s="1239" t="str">
        <f>'🔵クレーム'!N354</f>
        <v/>
      </c>
    </row>
    <row r="364">
      <c r="B364" s="17"/>
      <c r="C364" s="17"/>
      <c r="D364" s="17"/>
      <c r="E364" s="343"/>
      <c r="F364" s="17"/>
      <c r="G364" s="17"/>
      <c r="H364" s="17"/>
      <c r="I364" s="17"/>
      <c r="J364" s="17" t="s">
        <v>998</v>
      </c>
      <c r="K364" s="17"/>
      <c r="L364" s="17"/>
      <c r="O364" s="1237"/>
      <c r="P364" s="1237"/>
      <c r="Q364" s="1237"/>
      <c r="R364" s="1237"/>
      <c r="S364" s="1237"/>
      <c r="T364" s="1237"/>
      <c r="U364" s="1237"/>
      <c r="W364" s="1237" t="str">
        <f>'🔵クレーム'!C355</f>
        <v/>
      </c>
      <c r="X364" s="1237" t="str">
        <f>'🔵クレーム'!D355</f>
        <v/>
      </c>
      <c r="Y364" s="286" t="str">
        <f>'🔵クレーム'!I355</f>
        <v/>
      </c>
      <c r="Z364" s="1237" t="str">
        <f>'🔵クレーム'!J355</f>
        <v/>
      </c>
      <c r="AA364" s="1237" t="str">
        <f>'🔵クレーム'!K355</f>
        <v/>
      </c>
      <c r="AB364" s="1237" t="str">
        <f>'🔵クレーム'!L355</f>
        <v/>
      </c>
      <c r="AC364" s="1239" t="str">
        <f>'🔵クレーム'!N355</f>
        <v/>
      </c>
    </row>
    <row r="365">
      <c r="B365" s="17"/>
      <c r="C365" s="17"/>
      <c r="D365" s="17"/>
      <c r="E365" s="343"/>
      <c r="F365" s="17"/>
      <c r="G365" s="17"/>
      <c r="H365" s="17"/>
      <c r="I365" s="17"/>
      <c r="J365" s="17" t="s">
        <v>998</v>
      </c>
      <c r="K365" s="17"/>
      <c r="L365" s="17"/>
      <c r="O365" s="1237"/>
      <c r="P365" s="1237"/>
      <c r="Q365" s="1237"/>
      <c r="R365" s="1237"/>
      <c r="S365" s="1237"/>
      <c r="T365" s="1237"/>
      <c r="U365" s="1237"/>
      <c r="W365" s="1237" t="str">
        <f>'🔵クレーム'!C356</f>
        <v/>
      </c>
      <c r="X365" s="1237" t="str">
        <f>'🔵クレーム'!D356</f>
        <v/>
      </c>
      <c r="Y365" s="286" t="str">
        <f>'🔵クレーム'!I356</f>
        <v/>
      </c>
      <c r="Z365" s="1237" t="str">
        <f>'🔵クレーム'!J356</f>
        <v/>
      </c>
      <c r="AA365" s="1237" t="str">
        <f>'🔵クレーム'!K356</f>
        <v/>
      </c>
      <c r="AB365" s="1237" t="str">
        <f>'🔵クレーム'!L356</f>
        <v/>
      </c>
      <c r="AC365" s="1239" t="str">
        <f>'🔵クレーム'!N356</f>
        <v/>
      </c>
    </row>
    <row r="366">
      <c r="B366" s="17"/>
      <c r="C366" s="17"/>
      <c r="D366" s="17"/>
      <c r="E366" s="343"/>
      <c r="F366" s="17"/>
      <c r="G366" s="17"/>
      <c r="H366" s="17"/>
      <c r="I366" s="17"/>
      <c r="J366" s="17" t="s">
        <v>998</v>
      </c>
      <c r="K366" s="17"/>
      <c r="L366" s="17"/>
      <c r="O366" s="1237"/>
      <c r="P366" s="1237"/>
      <c r="Q366" s="1237"/>
      <c r="R366" s="1237"/>
      <c r="S366" s="1237"/>
      <c r="T366" s="1237"/>
      <c r="U366" s="1237"/>
      <c r="W366" s="1237" t="str">
        <f>'🔵クレーム'!C357</f>
        <v/>
      </c>
      <c r="X366" s="1237" t="str">
        <f>'🔵クレーム'!D357</f>
        <v/>
      </c>
      <c r="Y366" s="286" t="str">
        <f>'🔵クレーム'!I357</f>
        <v/>
      </c>
      <c r="Z366" s="1237" t="str">
        <f>'🔵クレーム'!J357</f>
        <v/>
      </c>
      <c r="AA366" s="1237" t="str">
        <f>'🔵クレーム'!K357</f>
        <v/>
      </c>
      <c r="AB366" s="1237" t="str">
        <f>'🔵クレーム'!L357</f>
        <v/>
      </c>
      <c r="AC366" s="1239" t="str">
        <f>'🔵クレーム'!N357</f>
        <v/>
      </c>
    </row>
    <row r="367">
      <c r="B367" s="17"/>
      <c r="C367" s="17"/>
      <c r="D367" s="17"/>
      <c r="E367" s="343"/>
      <c r="F367" s="17"/>
      <c r="G367" s="17"/>
      <c r="H367" s="17"/>
      <c r="I367" s="17"/>
      <c r="J367" s="17" t="s">
        <v>998</v>
      </c>
      <c r="K367" s="17"/>
      <c r="L367" s="17"/>
      <c r="O367" s="1237"/>
      <c r="P367" s="1237"/>
      <c r="Q367" s="1237"/>
      <c r="R367" s="1237"/>
      <c r="S367" s="1237"/>
      <c r="T367" s="1237"/>
      <c r="U367" s="1237"/>
      <c r="W367" s="1237" t="str">
        <f>'🔵クレーム'!C358</f>
        <v/>
      </c>
      <c r="X367" s="1237" t="str">
        <f>'🔵クレーム'!D358</f>
        <v/>
      </c>
      <c r="Y367" s="286" t="str">
        <f>'🔵クレーム'!I358</f>
        <v/>
      </c>
      <c r="Z367" s="1237" t="str">
        <f>'🔵クレーム'!J358</f>
        <v/>
      </c>
      <c r="AA367" s="1237" t="str">
        <f>'🔵クレーム'!K358</f>
        <v/>
      </c>
      <c r="AB367" s="1237" t="str">
        <f>'🔵クレーム'!L358</f>
        <v/>
      </c>
      <c r="AC367" s="1239" t="str">
        <f>'🔵クレーム'!N358</f>
        <v/>
      </c>
    </row>
    <row r="368">
      <c r="B368" s="17"/>
      <c r="C368" s="17"/>
      <c r="D368" s="17"/>
      <c r="E368" s="343"/>
      <c r="F368" s="17"/>
      <c r="G368" s="17"/>
      <c r="H368" s="17"/>
      <c r="I368" s="17"/>
      <c r="J368" s="17" t="s">
        <v>998</v>
      </c>
      <c r="K368" s="17"/>
      <c r="L368" s="17"/>
      <c r="O368" s="1237"/>
      <c r="P368" s="1237"/>
      <c r="Q368" s="1237"/>
      <c r="R368" s="1237"/>
      <c r="S368" s="1237"/>
      <c r="T368" s="1237"/>
      <c r="U368" s="1237"/>
      <c r="W368" s="1237" t="str">
        <f>'🔵クレーム'!C359</f>
        <v/>
      </c>
      <c r="X368" s="1237" t="str">
        <f>'🔵クレーム'!D359</f>
        <v/>
      </c>
      <c r="Y368" s="286" t="str">
        <f>'🔵クレーム'!I359</f>
        <v/>
      </c>
      <c r="Z368" s="1237" t="str">
        <f>'🔵クレーム'!J359</f>
        <v/>
      </c>
      <c r="AA368" s="1237" t="str">
        <f>'🔵クレーム'!K359</f>
        <v/>
      </c>
      <c r="AB368" s="1237" t="str">
        <f>'🔵クレーム'!L359</f>
        <v/>
      </c>
      <c r="AC368" s="1239" t="str">
        <f>'🔵クレーム'!N359</f>
        <v/>
      </c>
    </row>
    <row r="369">
      <c r="B369" s="17"/>
      <c r="C369" s="17"/>
      <c r="D369" s="17"/>
      <c r="E369" s="343"/>
      <c r="F369" s="17"/>
      <c r="G369" s="17"/>
      <c r="H369" s="17"/>
      <c r="I369" s="17"/>
      <c r="J369" s="17" t="s">
        <v>998</v>
      </c>
      <c r="K369" s="17"/>
      <c r="L369" s="17"/>
      <c r="O369" s="1237"/>
      <c r="P369" s="1237"/>
      <c r="Q369" s="1237"/>
      <c r="R369" s="1237"/>
      <c r="S369" s="1237"/>
      <c r="T369" s="1237"/>
      <c r="U369" s="1237"/>
      <c r="W369" s="1237" t="str">
        <f>'🔵クレーム'!C360</f>
        <v/>
      </c>
      <c r="X369" s="1237" t="str">
        <f>'🔵クレーム'!D360</f>
        <v/>
      </c>
      <c r="Y369" s="286" t="str">
        <f>'🔵クレーム'!I360</f>
        <v/>
      </c>
      <c r="Z369" s="1237" t="str">
        <f>'🔵クレーム'!J360</f>
        <v/>
      </c>
      <c r="AA369" s="1237" t="str">
        <f>'🔵クレーム'!K360</f>
        <v/>
      </c>
      <c r="AB369" s="1237" t="str">
        <f>'🔵クレーム'!L360</f>
        <v/>
      </c>
      <c r="AC369" s="1239" t="str">
        <f>'🔵クレーム'!N360</f>
        <v/>
      </c>
    </row>
    <row r="370">
      <c r="B370" s="17"/>
      <c r="C370" s="17"/>
      <c r="D370" s="17"/>
      <c r="E370" s="343"/>
      <c r="F370" s="17"/>
      <c r="G370" s="17"/>
      <c r="H370" s="17"/>
      <c r="I370" s="17"/>
      <c r="J370" s="17" t="s">
        <v>998</v>
      </c>
      <c r="K370" s="17"/>
      <c r="L370" s="17"/>
      <c r="O370" s="1237"/>
      <c r="P370" s="1237"/>
      <c r="Q370" s="1237"/>
      <c r="R370" s="1237"/>
      <c r="S370" s="1237"/>
      <c r="T370" s="1237"/>
      <c r="U370" s="1237"/>
      <c r="W370" s="1237" t="str">
        <f>'🔵クレーム'!C361</f>
        <v/>
      </c>
      <c r="X370" s="1237" t="str">
        <f>'🔵クレーム'!D361</f>
        <v/>
      </c>
      <c r="Y370" s="286" t="str">
        <f>'🔵クレーム'!I361</f>
        <v/>
      </c>
      <c r="Z370" s="1237" t="str">
        <f>'🔵クレーム'!J361</f>
        <v/>
      </c>
      <c r="AA370" s="1237" t="str">
        <f>'🔵クレーム'!K361</f>
        <v/>
      </c>
      <c r="AB370" s="1237" t="str">
        <f>'🔵クレーム'!L361</f>
        <v/>
      </c>
      <c r="AC370" s="1239" t="str">
        <f>'🔵クレーム'!N361</f>
        <v/>
      </c>
    </row>
    <row r="371">
      <c r="B371" s="17"/>
      <c r="C371" s="17"/>
      <c r="D371" s="17"/>
      <c r="E371" s="343"/>
      <c r="F371" s="17"/>
      <c r="G371" s="17"/>
      <c r="H371" s="17"/>
      <c r="I371" s="17"/>
      <c r="J371" s="17" t="s">
        <v>998</v>
      </c>
      <c r="K371" s="17"/>
      <c r="L371" s="17"/>
      <c r="O371" s="1237"/>
      <c r="P371" s="1237"/>
      <c r="Q371" s="1237"/>
      <c r="R371" s="1237"/>
      <c r="S371" s="1237"/>
      <c r="T371" s="1237"/>
      <c r="U371" s="1237"/>
      <c r="W371" s="1237" t="str">
        <f>'🔵クレーム'!C362</f>
        <v/>
      </c>
      <c r="X371" s="1237" t="str">
        <f>'🔵クレーム'!D362</f>
        <v/>
      </c>
      <c r="Y371" s="286" t="str">
        <f>'🔵クレーム'!I362</f>
        <v/>
      </c>
      <c r="Z371" s="1237" t="str">
        <f>'🔵クレーム'!J362</f>
        <v/>
      </c>
      <c r="AA371" s="1237" t="str">
        <f>'🔵クレーム'!K362</f>
        <v/>
      </c>
      <c r="AB371" s="1237" t="str">
        <f>'🔵クレーム'!L362</f>
        <v/>
      </c>
      <c r="AC371" s="1239" t="str">
        <f>'🔵クレーム'!N362</f>
        <v/>
      </c>
    </row>
    <row r="372">
      <c r="B372" s="17"/>
      <c r="C372" s="17"/>
      <c r="D372" s="17"/>
      <c r="E372" s="343"/>
      <c r="F372" s="17"/>
      <c r="G372" s="17"/>
      <c r="H372" s="17"/>
      <c r="I372" s="17"/>
      <c r="J372" s="17" t="s">
        <v>998</v>
      </c>
      <c r="K372" s="17"/>
      <c r="L372" s="17"/>
      <c r="O372" s="1237"/>
      <c r="P372" s="1237"/>
      <c r="Q372" s="1237"/>
      <c r="R372" s="1237"/>
      <c r="S372" s="1237"/>
      <c r="T372" s="1237"/>
      <c r="U372" s="1237"/>
      <c r="W372" s="1237" t="str">
        <f>'🔵クレーム'!C363</f>
        <v/>
      </c>
      <c r="X372" s="1237" t="str">
        <f>'🔵クレーム'!D363</f>
        <v/>
      </c>
      <c r="Y372" s="286" t="str">
        <f>'🔵クレーム'!I363</f>
        <v/>
      </c>
      <c r="Z372" s="1237" t="str">
        <f>'🔵クレーム'!J363</f>
        <v/>
      </c>
      <c r="AA372" s="1237" t="str">
        <f>'🔵クレーム'!K363</f>
        <v/>
      </c>
      <c r="AB372" s="1237" t="str">
        <f>'🔵クレーム'!L363</f>
        <v/>
      </c>
      <c r="AC372" s="1239" t="str">
        <f>'🔵クレーム'!N363</f>
        <v/>
      </c>
    </row>
    <row r="373">
      <c r="B373" s="17"/>
      <c r="C373" s="17"/>
      <c r="D373" s="17"/>
      <c r="E373" s="343"/>
      <c r="F373" s="17"/>
      <c r="G373" s="17"/>
      <c r="H373" s="17"/>
      <c r="I373" s="17"/>
      <c r="J373" s="17" t="s">
        <v>998</v>
      </c>
      <c r="K373" s="17"/>
      <c r="L373" s="17"/>
      <c r="O373" s="1237"/>
      <c r="P373" s="1237"/>
      <c r="Q373" s="1237"/>
      <c r="R373" s="1237"/>
      <c r="S373" s="1237"/>
      <c r="T373" s="1237"/>
      <c r="U373" s="1237"/>
      <c r="W373" s="1237" t="str">
        <f>'🔵クレーム'!C364</f>
        <v/>
      </c>
      <c r="X373" s="1237" t="str">
        <f>'🔵クレーム'!D364</f>
        <v/>
      </c>
      <c r="Y373" s="286" t="str">
        <f>'🔵クレーム'!I364</f>
        <v/>
      </c>
      <c r="Z373" s="1237" t="str">
        <f>'🔵クレーム'!J364</f>
        <v/>
      </c>
      <c r="AA373" s="1237" t="str">
        <f>'🔵クレーム'!K364</f>
        <v/>
      </c>
      <c r="AB373" s="1237" t="str">
        <f>'🔵クレーム'!L364</f>
        <v/>
      </c>
      <c r="AC373" s="1239" t="str">
        <f>'🔵クレーム'!N364</f>
        <v/>
      </c>
    </row>
    <row r="374">
      <c r="B374" s="17"/>
      <c r="C374" s="17"/>
      <c r="D374" s="17"/>
      <c r="E374" s="343"/>
      <c r="F374" s="17"/>
      <c r="G374" s="17"/>
      <c r="H374" s="17"/>
      <c r="I374" s="17"/>
      <c r="J374" s="17" t="s">
        <v>998</v>
      </c>
      <c r="K374" s="17"/>
      <c r="L374" s="17"/>
      <c r="O374" s="1237"/>
      <c r="P374" s="1237"/>
      <c r="Q374" s="1237"/>
      <c r="R374" s="1237"/>
      <c r="S374" s="1237"/>
      <c r="T374" s="1237"/>
      <c r="U374" s="1237"/>
      <c r="W374" s="1237" t="str">
        <f>'🔵クレーム'!C365</f>
        <v/>
      </c>
      <c r="X374" s="1237" t="str">
        <f>'🔵クレーム'!D365</f>
        <v/>
      </c>
      <c r="Y374" s="286" t="str">
        <f>'🔵クレーム'!I365</f>
        <v/>
      </c>
      <c r="Z374" s="1237" t="str">
        <f>'🔵クレーム'!J365</f>
        <v/>
      </c>
      <c r="AA374" s="1237" t="str">
        <f>'🔵クレーム'!K365</f>
        <v/>
      </c>
      <c r="AB374" s="1237" t="str">
        <f>'🔵クレーム'!L365</f>
        <v/>
      </c>
      <c r="AC374" s="1239" t="str">
        <f>'🔵クレーム'!N365</f>
        <v/>
      </c>
    </row>
    <row r="375">
      <c r="B375" s="17"/>
      <c r="C375" s="17"/>
      <c r="D375" s="17"/>
      <c r="E375" s="343"/>
      <c r="F375" s="17"/>
      <c r="G375" s="17"/>
      <c r="H375" s="17"/>
      <c r="I375" s="17"/>
      <c r="J375" s="17" t="s">
        <v>998</v>
      </c>
      <c r="K375" s="17"/>
      <c r="L375" s="17"/>
      <c r="O375" s="1237"/>
      <c r="P375" s="1237"/>
      <c r="Q375" s="1237"/>
      <c r="R375" s="1237"/>
      <c r="S375" s="1237"/>
      <c r="T375" s="1237"/>
      <c r="U375" s="1237"/>
      <c r="W375" s="1237" t="str">
        <f>'🔵クレーム'!C366</f>
        <v/>
      </c>
      <c r="X375" s="1237" t="str">
        <f>'🔵クレーム'!D366</f>
        <v/>
      </c>
      <c r="Y375" s="286" t="str">
        <f>'🔵クレーム'!I366</f>
        <v/>
      </c>
      <c r="Z375" s="1237" t="str">
        <f>'🔵クレーム'!J366</f>
        <v/>
      </c>
      <c r="AA375" s="1237" t="str">
        <f>'🔵クレーム'!K366</f>
        <v/>
      </c>
      <c r="AB375" s="1237" t="str">
        <f>'🔵クレーム'!L366</f>
        <v/>
      </c>
      <c r="AC375" s="1239" t="str">
        <f>'🔵クレーム'!N366</f>
        <v/>
      </c>
    </row>
    <row r="376">
      <c r="B376" s="17"/>
      <c r="C376" s="17"/>
      <c r="D376" s="17"/>
      <c r="E376" s="343"/>
      <c r="F376" s="17"/>
      <c r="G376" s="17"/>
      <c r="H376" s="17"/>
      <c r="I376" s="17"/>
      <c r="J376" s="17" t="s">
        <v>998</v>
      </c>
      <c r="K376" s="17"/>
      <c r="L376" s="17"/>
      <c r="O376" s="1237"/>
      <c r="P376" s="1237"/>
      <c r="Q376" s="1237"/>
      <c r="R376" s="1237"/>
      <c r="S376" s="1237"/>
      <c r="T376" s="1237"/>
      <c r="U376" s="1237"/>
      <c r="W376" s="1237" t="str">
        <f>'🔵クレーム'!C367</f>
        <v/>
      </c>
      <c r="X376" s="1237" t="str">
        <f>'🔵クレーム'!D367</f>
        <v/>
      </c>
      <c r="Y376" s="286" t="str">
        <f>'🔵クレーム'!I367</f>
        <v/>
      </c>
      <c r="Z376" s="1237" t="str">
        <f>'🔵クレーム'!J367</f>
        <v/>
      </c>
      <c r="AA376" s="1237" t="str">
        <f>'🔵クレーム'!K367</f>
        <v/>
      </c>
      <c r="AB376" s="1237" t="str">
        <f>'🔵クレーム'!L367</f>
        <v/>
      </c>
      <c r="AC376" s="1239" t="str">
        <f>'🔵クレーム'!N367</f>
        <v/>
      </c>
    </row>
    <row r="377">
      <c r="B377" s="17"/>
      <c r="C377" s="17"/>
      <c r="D377" s="17"/>
      <c r="E377" s="343"/>
      <c r="F377" s="17"/>
      <c r="G377" s="17"/>
      <c r="H377" s="17"/>
      <c r="I377" s="17"/>
      <c r="J377" s="17" t="s">
        <v>998</v>
      </c>
      <c r="K377" s="17"/>
      <c r="L377" s="17"/>
      <c r="O377" s="1237"/>
      <c r="P377" s="1237"/>
      <c r="Q377" s="1237"/>
      <c r="R377" s="1237"/>
      <c r="S377" s="1237"/>
      <c r="T377" s="1237"/>
      <c r="U377" s="1237"/>
      <c r="W377" s="1237" t="str">
        <f>'🔵クレーム'!C368</f>
        <v/>
      </c>
      <c r="X377" s="1237" t="str">
        <f>'🔵クレーム'!D368</f>
        <v/>
      </c>
      <c r="Y377" s="286" t="str">
        <f>'🔵クレーム'!I368</f>
        <v/>
      </c>
      <c r="Z377" s="1237" t="str">
        <f>'🔵クレーム'!J368</f>
        <v/>
      </c>
      <c r="AA377" s="1237" t="str">
        <f>'🔵クレーム'!K368</f>
        <v/>
      </c>
      <c r="AB377" s="1237" t="str">
        <f>'🔵クレーム'!L368</f>
        <v/>
      </c>
      <c r="AC377" s="1239" t="str">
        <f>'🔵クレーム'!N368</f>
        <v/>
      </c>
    </row>
    <row r="378">
      <c r="B378" s="17"/>
      <c r="C378" s="17"/>
      <c r="D378" s="17"/>
      <c r="E378" s="343"/>
      <c r="F378" s="17"/>
      <c r="G378" s="17"/>
      <c r="H378" s="17"/>
      <c r="I378" s="17"/>
      <c r="J378" s="17" t="s">
        <v>998</v>
      </c>
      <c r="K378" s="17"/>
      <c r="L378" s="17"/>
      <c r="O378" s="1237"/>
      <c r="P378" s="1237"/>
      <c r="Q378" s="1237"/>
      <c r="R378" s="1237"/>
      <c r="S378" s="1237"/>
      <c r="T378" s="1237"/>
      <c r="U378" s="1237"/>
      <c r="W378" s="1237" t="str">
        <f>'🔵クレーム'!C369</f>
        <v/>
      </c>
      <c r="X378" s="1237" t="str">
        <f>'🔵クレーム'!D369</f>
        <v/>
      </c>
      <c r="Y378" s="286" t="str">
        <f>'🔵クレーム'!I369</f>
        <v/>
      </c>
      <c r="Z378" s="1237" t="str">
        <f>'🔵クレーム'!J369</f>
        <v/>
      </c>
      <c r="AA378" s="1237" t="str">
        <f>'🔵クレーム'!K369</f>
        <v/>
      </c>
      <c r="AB378" s="1237" t="str">
        <f>'🔵クレーム'!L369</f>
        <v/>
      </c>
      <c r="AC378" s="1239" t="str">
        <f>'🔵クレーム'!N369</f>
        <v/>
      </c>
    </row>
    <row r="379">
      <c r="B379" s="17"/>
      <c r="C379" s="17"/>
      <c r="D379" s="17"/>
      <c r="E379" s="343"/>
      <c r="F379" s="17"/>
      <c r="G379" s="17"/>
      <c r="H379" s="17"/>
      <c r="I379" s="17"/>
      <c r="J379" s="17" t="s">
        <v>998</v>
      </c>
      <c r="K379" s="17"/>
      <c r="L379" s="17"/>
      <c r="O379" s="1237"/>
      <c r="P379" s="1237"/>
      <c r="Q379" s="1237"/>
      <c r="R379" s="1237"/>
      <c r="S379" s="1237"/>
      <c r="T379" s="1237"/>
      <c r="U379" s="1237"/>
      <c r="W379" s="1237" t="str">
        <f>'🔵クレーム'!C370</f>
        <v/>
      </c>
      <c r="X379" s="1237" t="str">
        <f>'🔵クレーム'!D370</f>
        <v/>
      </c>
      <c r="Y379" s="286" t="str">
        <f>'🔵クレーム'!I370</f>
        <v/>
      </c>
      <c r="Z379" s="1237" t="str">
        <f>'🔵クレーム'!J370</f>
        <v/>
      </c>
      <c r="AA379" s="1237" t="str">
        <f>'🔵クレーム'!K370</f>
        <v/>
      </c>
      <c r="AB379" s="1237" t="str">
        <f>'🔵クレーム'!L370</f>
        <v/>
      </c>
      <c r="AC379" s="1239" t="str">
        <f>'🔵クレーム'!N370</f>
        <v/>
      </c>
    </row>
    <row r="380">
      <c r="B380" s="17"/>
      <c r="C380" s="17"/>
      <c r="D380" s="17"/>
      <c r="E380" s="343"/>
      <c r="F380" s="17"/>
      <c r="G380" s="17"/>
      <c r="H380" s="17"/>
      <c r="I380" s="17"/>
      <c r="J380" s="17" t="s">
        <v>998</v>
      </c>
      <c r="K380" s="17"/>
      <c r="L380" s="17"/>
      <c r="O380" s="1237"/>
      <c r="P380" s="1237"/>
      <c r="Q380" s="1237"/>
      <c r="R380" s="1237"/>
      <c r="S380" s="1237"/>
      <c r="T380" s="1237"/>
      <c r="U380" s="1237"/>
      <c r="W380" s="1237" t="str">
        <f>'🔵クレーム'!C371</f>
        <v/>
      </c>
      <c r="X380" s="1237" t="str">
        <f>'🔵クレーム'!D371</f>
        <v/>
      </c>
      <c r="Y380" s="286" t="str">
        <f>'🔵クレーム'!I371</f>
        <v/>
      </c>
      <c r="Z380" s="1237" t="str">
        <f>'🔵クレーム'!J371</f>
        <v/>
      </c>
      <c r="AA380" s="1237" t="str">
        <f>'🔵クレーム'!K371</f>
        <v/>
      </c>
      <c r="AB380" s="1237" t="str">
        <f>'🔵クレーム'!L371</f>
        <v/>
      </c>
      <c r="AC380" s="1239" t="str">
        <f>'🔵クレーム'!N371</f>
        <v/>
      </c>
    </row>
    <row r="381">
      <c r="B381" s="17"/>
      <c r="C381" s="17"/>
      <c r="D381" s="17"/>
      <c r="E381" s="343"/>
      <c r="F381" s="17"/>
      <c r="G381" s="17"/>
      <c r="H381" s="17"/>
      <c r="I381" s="17"/>
      <c r="J381" s="17" t="s">
        <v>998</v>
      </c>
      <c r="K381" s="17"/>
      <c r="L381" s="17"/>
      <c r="O381" s="1237"/>
      <c r="P381" s="1237"/>
      <c r="Q381" s="1237"/>
      <c r="R381" s="1237"/>
      <c r="S381" s="1237"/>
      <c r="T381" s="1237"/>
      <c r="U381" s="1237"/>
      <c r="W381" s="1237" t="str">
        <f>'🔵クレーム'!C372</f>
        <v/>
      </c>
      <c r="X381" s="1237" t="str">
        <f>'🔵クレーム'!D372</f>
        <v/>
      </c>
      <c r="Y381" s="286" t="str">
        <f>'🔵クレーム'!I372</f>
        <v/>
      </c>
      <c r="Z381" s="1237" t="str">
        <f>'🔵クレーム'!J372</f>
        <v/>
      </c>
      <c r="AA381" s="1237" t="str">
        <f>'🔵クレーム'!K372</f>
        <v/>
      </c>
      <c r="AB381" s="1237" t="str">
        <f>'🔵クレーム'!L372</f>
        <v/>
      </c>
      <c r="AC381" s="1239" t="str">
        <f>'🔵クレーム'!N372</f>
        <v/>
      </c>
    </row>
    <row r="382">
      <c r="B382" s="17"/>
      <c r="C382" s="17"/>
      <c r="D382" s="17"/>
      <c r="E382" s="343"/>
      <c r="F382" s="17"/>
      <c r="G382" s="17"/>
      <c r="H382" s="17"/>
      <c r="I382" s="17"/>
      <c r="J382" s="17" t="s">
        <v>998</v>
      </c>
      <c r="K382" s="17"/>
      <c r="L382" s="17"/>
      <c r="O382" s="1237"/>
      <c r="P382" s="1237"/>
      <c r="Q382" s="1237"/>
      <c r="R382" s="1237"/>
      <c r="S382" s="1237"/>
      <c r="T382" s="1237"/>
      <c r="U382" s="1237"/>
      <c r="W382" s="1237" t="str">
        <f>'🔵クレーム'!C373</f>
        <v/>
      </c>
      <c r="X382" s="1237" t="str">
        <f>'🔵クレーム'!D373</f>
        <v/>
      </c>
      <c r="Y382" s="286" t="str">
        <f>'🔵クレーム'!I373</f>
        <v/>
      </c>
      <c r="Z382" s="1237" t="str">
        <f>'🔵クレーム'!J373</f>
        <v/>
      </c>
      <c r="AA382" s="1237" t="str">
        <f>'🔵クレーム'!K373</f>
        <v/>
      </c>
      <c r="AB382" s="1237" t="str">
        <f>'🔵クレーム'!L373</f>
        <v/>
      </c>
      <c r="AC382" s="1239" t="str">
        <f>'🔵クレーム'!N373</f>
        <v/>
      </c>
    </row>
    <row r="383">
      <c r="B383" s="17"/>
      <c r="C383" s="17"/>
      <c r="D383" s="17"/>
      <c r="E383" s="343"/>
      <c r="F383" s="17"/>
      <c r="G383" s="17"/>
      <c r="H383" s="17"/>
      <c r="I383" s="17"/>
      <c r="J383" s="17" t="s">
        <v>998</v>
      </c>
      <c r="K383" s="17"/>
      <c r="L383" s="17"/>
      <c r="O383" s="1237"/>
      <c r="P383" s="1237"/>
      <c r="Q383" s="1237"/>
      <c r="R383" s="1237"/>
      <c r="S383" s="1237"/>
      <c r="T383" s="1237"/>
      <c r="U383" s="1237"/>
      <c r="W383" s="1237" t="str">
        <f>'🔵クレーム'!C374</f>
        <v/>
      </c>
      <c r="X383" s="1237" t="str">
        <f>'🔵クレーム'!D374</f>
        <v/>
      </c>
      <c r="Y383" s="286" t="str">
        <f>'🔵クレーム'!I374</f>
        <v/>
      </c>
      <c r="Z383" s="1237" t="str">
        <f>'🔵クレーム'!J374</f>
        <v/>
      </c>
      <c r="AA383" s="1237" t="str">
        <f>'🔵クレーム'!K374</f>
        <v/>
      </c>
      <c r="AB383" s="1237" t="str">
        <f>'🔵クレーム'!L374</f>
        <v/>
      </c>
      <c r="AC383" s="1239" t="str">
        <f>'🔵クレーム'!N374</f>
        <v/>
      </c>
    </row>
    <row r="384">
      <c r="B384" s="17"/>
      <c r="C384" s="17"/>
      <c r="D384" s="17"/>
      <c r="E384" s="343"/>
      <c r="F384" s="17"/>
      <c r="G384" s="17"/>
      <c r="H384" s="17"/>
      <c r="I384" s="17"/>
      <c r="J384" s="17" t="s">
        <v>998</v>
      </c>
      <c r="K384" s="17"/>
      <c r="L384" s="17"/>
      <c r="O384" s="1237"/>
      <c r="P384" s="1237"/>
      <c r="Q384" s="1237"/>
      <c r="R384" s="1237"/>
      <c r="S384" s="1237"/>
      <c r="T384" s="1237"/>
      <c r="U384" s="1237"/>
      <c r="W384" s="1237" t="str">
        <f>'🔵クレーム'!C375</f>
        <v/>
      </c>
      <c r="X384" s="1237" t="str">
        <f>'🔵クレーム'!D375</f>
        <v/>
      </c>
      <c r="Y384" s="286" t="str">
        <f>'🔵クレーム'!I375</f>
        <v/>
      </c>
      <c r="Z384" s="1237" t="str">
        <f>'🔵クレーム'!J375</f>
        <v/>
      </c>
      <c r="AA384" s="1237" t="str">
        <f>'🔵クレーム'!K375</f>
        <v/>
      </c>
      <c r="AB384" s="1237" t="str">
        <f>'🔵クレーム'!L375</f>
        <v/>
      </c>
      <c r="AC384" s="1239" t="str">
        <f>'🔵クレーム'!N375</f>
        <v/>
      </c>
    </row>
    <row r="385">
      <c r="B385" s="17"/>
      <c r="C385" s="17"/>
      <c r="D385" s="17"/>
      <c r="E385" s="343"/>
      <c r="F385" s="17"/>
      <c r="G385" s="17"/>
      <c r="H385" s="17"/>
      <c r="I385" s="17"/>
      <c r="J385" s="17" t="s">
        <v>998</v>
      </c>
      <c r="K385" s="17"/>
      <c r="L385" s="17"/>
      <c r="O385" s="1237"/>
      <c r="P385" s="1237"/>
      <c r="Q385" s="1237"/>
      <c r="R385" s="1237"/>
      <c r="S385" s="1237"/>
      <c r="T385" s="1237"/>
      <c r="U385" s="1237"/>
      <c r="W385" s="1237" t="str">
        <f>'🔵クレーム'!C376</f>
        <v/>
      </c>
      <c r="X385" s="1237" t="str">
        <f>'🔵クレーム'!D376</f>
        <v/>
      </c>
      <c r="Y385" s="286" t="str">
        <f>'🔵クレーム'!I376</f>
        <v/>
      </c>
      <c r="Z385" s="1237" t="str">
        <f>'🔵クレーム'!J376</f>
        <v/>
      </c>
      <c r="AA385" s="1237" t="str">
        <f>'🔵クレーム'!K376</f>
        <v/>
      </c>
      <c r="AB385" s="1237" t="str">
        <f>'🔵クレーム'!L376</f>
        <v/>
      </c>
      <c r="AC385" s="1239" t="str">
        <f>'🔵クレーム'!N376</f>
        <v/>
      </c>
    </row>
    <row r="386">
      <c r="B386" s="17"/>
      <c r="C386" s="17"/>
      <c r="D386" s="17"/>
      <c r="E386" s="343"/>
      <c r="F386" s="17"/>
      <c r="G386" s="17"/>
      <c r="H386" s="17"/>
      <c r="I386" s="17"/>
      <c r="J386" s="17" t="s">
        <v>998</v>
      </c>
      <c r="K386" s="17"/>
      <c r="L386" s="17"/>
      <c r="O386" s="1237"/>
      <c r="P386" s="1237"/>
      <c r="Q386" s="1237"/>
      <c r="R386" s="1237"/>
      <c r="S386" s="1237"/>
      <c r="T386" s="1237"/>
      <c r="U386" s="1237"/>
      <c r="W386" s="1237" t="str">
        <f>'🔵クレーム'!C377</f>
        <v/>
      </c>
      <c r="X386" s="1237" t="str">
        <f>'🔵クレーム'!D377</f>
        <v/>
      </c>
      <c r="Y386" s="286" t="str">
        <f>'🔵クレーム'!I377</f>
        <v/>
      </c>
      <c r="Z386" s="1237" t="str">
        <f>'🔵クレーム'!J377</f>
        <v/>
      </c>
      <c r="AA386" s="1237" t="str">
        <f>'🔵クレーム'!K377</f>
        <v/>
      </c>
      <c r="AB386" s="1237" t="str">
        <f>'🔵クレーム'!L377</f>
        <v/>
      </c>
      <c r="AC386" s="1239" t="str">
        <f>'🔵クレーム'!N377</f>
        <v/>
      </c>
    </row>
    <row r="387">
      <c r="B387" s="17"/>
      <c r="C387" s="17"/>
      <c r="D387" s="17"/>
      <c r="E387" s="343"/>
      <c r="F387" s="17"/>
      <c r="G387" s="17"/>
      <c r="H387" s="17"/>
      <c r="I387" s="17"/>
      <c r="J387" s="17" t="s">
        <v>998</v>
      </c>
      <c r="K387" s="17"/>
      <c r="L387" s="17"/>
      <c r="O387" s="1237"/>
      <c r="P387" s="1237"/>
      <c r="Q387" s="1237"/>
      <c r="R387" s="1237"/>
      <c r="S387" s="1237"/>
      <c r="T387" s="1237"/>
      <c r="U387" s="1237"/>
      <c r="W387" s="1237" t="str">
        <f>'🔵クレーム'!C378</f>
        <v/>
      </c>
      <c r="X387" s="1237" t="str">
        <f>'🔵クレーム'!D378</f>
        <v/>
      </c>
      <c r="Y387" s="286" t="str">
        <f>'🔵クレーム'!I378</f>
        <v/>
      </c>
      <c r="Z387" s="1237" t="str">
        <f>'🔵クレーム'!J378</f>
        <v/>
      </c>
      <c r="AA387" s="1237" t="str">
        <f>'🔵クレーム'!K378</f>
        <v/>
      </c>
      <c r="AB387" s="1237" t="str">
        <f>'🔵クレーム'!L378</f>
        <v/>
      </c>
      <c r="AC387" s="1239" t="str">
        <f>'🔵クレーム'!N378</f>
        <v/>
      </c>
    </row>
    <row r="388">
      <c r="B388" s="17"/>
      <c r="C388" s="17"/>
      <c r="D388" s="17"/>
      <c r="E388" s="343"/>
      <c r="F388" s="17"/>
      <c r="G388" s="17"/>
      <c r="H388" s="17"/>
      <c r="I388" s="17"/>
      <c r="J388" s="17" t="s">
        <v>998</v>
      </c>
      <c r="K388" s="17"/>
      <c r="L388" s="17"/>
      <c r="O388" s="1237"/>
      <c r="P388" s="1237"/>
      <c r="Q388" s="1237"/>
      <c r="R388" s="1237"/>
      <c r="S388" s="1237"/>
      <c r="T388" s="1237"/>
      <c r="U388" s="1237"/>
      <c r="W388" s="1237" t="str">
        <f>'🔵クレーム'!C379</f>
        <v/>
      </c>
      <c r="X388" s="1237" t="str">
        <f>'🔵クレーム'!D379</f>
        <v/>
      </c>
      <c r="Y388" s="286" t="str">
        <f>'🔵クレーム'!I379</f>
        <v/>
      </c>
      <c r="Z388" s="1237" t="str">
        <f>'🔵クレーム'!J379</f>
        <v/>
      </c>
      <c r="AA388" s="1237" t="str">
        <f>'🔵クレーム'!K379</f>
        <v/>
      </c>
      <c r="AB388" s="1237" t="str">
        <f>'🔵クレーム'!L379</f>
        <v/>
      </c>
      <c r="AC388" s="1239" t="str">
        <f>'🔵クレーム'!N379</f>
        <v/>
      </c>
    </row>
    <row r="389">
      <c r="B389" s="17"/>
      <c r="C389" s="17"/>
      <c r="D389" s="17"/>
      <c r="E389" s="343"/>
      <c r="F389" s="17"/>
      <c r="G389" s="17"/>
      <c r="H389" s="17"/>
      <c r="I389" s="17"/>
      <c r="J389" s="17" t="s">
        <v>998</v>
      </c>
      <c r="K389" s="17"/>
      <c r="L389" s="17"/>
      <c r="O389" s="1237"/>
      <c r="P389" s="1237"/>
      <c r="Q389" s="1237"/>
      <c r="R389" s="1237"/>
      <c r="S389" s="1237"/>
      <c r="T389" s="1237"/>
      <c r="U389" s="1237"/>
      <c r="W389" s="1237" t="str">
        <f>'🔵クレーム'!C380</f>
        <v/>
      </c>
      <c r="X389" s="1237" t="str">
        <f>'🔵クレーム'!D380</f>
        <v/>
      </c>
      <c r="Y389" s="286" t="str">
        <f>'🔵クレーム'!I380</f>
        <v/>
      </c>
      <c r="Z389" s="1237" t="str">
        <f>'🔵クレーム'!J380</f>
        <v/>
      </c>
      <c r="AA389" s="1237" t="str">
        <f>'🔵クレーム'!K380</f>
        <v/>
      </c>
      <c r="AB389" s="1237" t="str">
        <f>'🔵クレーム'!L380</f>
        <v/>
      </c>
      <c r="AC389" s="1239" t="str">
        <f>'🔵クレーム'!N380</f>
        <v/>
      </c>
    </row>
    <row r="390">
      <c r="B390" s="17"/>
      <c r="C390" s="17"/>
      <c r="D390" s="17"/>
      <c r="E390" s="343"/>
      <c r="F390" s="17"/>
      <c r="G390" s="17"/>
      <c r="H390" s="17"/>
      <c r="I390" s="17"/>
      <c r="J390" s="17" t="s">
        <v>998</v>
      </c>
      <c r="K390" s="17"/>
      <c r="L390" s="17"/>
      <c r="O390" s="1237"/>
      <c r="P390" s="1237"/>
      <c r="Q390" s="1237"/>
      <c r="R390" s="1237"/>
      <c r="S390" s="1237"/>
      <c r="T390" s="1237"/>
      <c r="U390" s="1237"/>
      <c r="W390" s="1237" t="str">
        <f>'🔵クレーム'!C381</f>
        <v/>
      </c>
      <c r="X390" s="1237" t="str">
        <f>'🔵クレーム'!D381</f>
        <v/>
      </c>
      <c r="Y390" s="286" t="str">
        <f>'🔵クレーム'!I381</f>
        <v/>
      </c>
      <c r="Z390" s="1237" t="str">
        <f>'🔵クレーム'!J381</f>
        <v/>
      </c>
      <c r="AA390" s="1237" t="str">
        <f>'🔵クレーム'!K381</f>
        <v/>
      </c>
      <c r="AB390" s="1237" t="str">
        <f>'🔵クレーム'!L381</f>
        <v/>
      </c>
      <c r="AC390" s="1239" t="str">
        <f>'🔵クレーム'!N381</f>
        <v/>
      </c>
    </row>
    <row r="391">
      <c r="B391" s="17"/>
      <c r="C391" s="17"/>
      <c r="D391" s="17"/>
      <c r="E391" s="343"/>
      <c r="F391" s="17"/>
      <c r="G391" s="17"/>
      <c r="H391" s="17"/>
      <c r="I391" s="17"/>
      <c r="J391" s="17" t="s">
        <v>998</v>
      </c>
      <c r="K391" s="17"/>
      <c r="L391" s="17"/>
      <c r="O391" s="1237"/>
      <c r="P391" s="1237"/>
      <c r="Q391" s="1237"/>
      <c r="R391" s="1237"/>
      <c r="S391" s="1237"/>
      <c r="T391" s="1237"/>
      <c r="U391" s="1237"/>
      <c r="W391" s="1237" t="str">
        <f>'🔵クレーム'!C382</f>
        <v/>
      </c>
      <c r="X391" s="1237" t="str">
        <f>'🔵クレーム'!D382</f>
        <v/>
      </c>
      <c r="Y391" s="286" t="str">
        <f>'🔵クレーム'!I382</f>
        <v/>
      </c>
      <c r="Z391" s="1237" t="str">
        <f>'🔵クレーム'!J382</f>
        <v/>
      </c>
      <c r="AA391" s="1237" t="str">
        <f>'🔵クレーム'!K382</f>
        <v/>
      </c>
      <c r="AB391" s="1237" t="str">
        <f>'🔵クレーム'!L382</f>
        <v/>
      </c>
      <c r="AC391" s="1239" t="str">
        <f>'🔵クレーム'!N382</f>
        <v/>
      </c>
    </row>
    <row r="392">
      <c r="B392" s="17"/>
      <c r="C392" s="17"/>
      <c r="D392" s="17"/>
      <c r="E392" s="343"/>
      <c r="F392" s="17"/>
      <c r="G392" s="17"/>
      <c r="H392" s="17"/>
      <c r="I392" s="17"/>
      <c r="J392" s="17" t="s">
        <v>998</v>
      </c>
      <c r="K392" s="17"/>
      <c r="L392" s="17"/>
      <c r="O392" s="1237"/>
      <c r="P392" s="1237"/>
      <c r="Q392" s="1237"/>
      <c r="R392" s="1237"/>
      <c r="S392" s="1237"/>
      <c r="T392" s="1237"/>
      <c r="U392" s="1237"/>
      <c r="W392" s="1237" t="str">
        <f>'🔵クレーム'!C383</f>
        <v/>
      </c>
      <c r="X392" s="1237" t="str">
        <f>'🔵クレーム'!D383</f>
        <v/>
      </c>
      <c r="Y392" s="286" t="str">
        <f>'🔵クレーム'!I383</f>
        <v/>
      </c>
      <c r="Z392" s="1237" t="str">
        <f>'🔵クレーム'!J383</f>
        <v/>
      </c>
      <c r="AA392" s="1237" t="str">
        <f>'🔵クレーム'!K383</f>
        <v/>
      </c>
      <c r="AB392" s="1237" t="str">
        <f>'🔵クレーム'!L383</f>
        <v/>
      </c>
      <c r="AC392" s="1239" t="str">
        <f>'🔵クレーム'!N383</f>
        <v/>
      </c>
    </row>
    <row r="393">
      <c r="B393" s="17"/>
      <c r="C393" s="17"/>
      <c r="D393" s="17"/>
      <c r="E393" s="343"/>
      <c r="F393" s="17"/>
      <c r="G393" s="17"/>
      <c r="H393" s="17"/>
      <c r="I393" s="17"/>
      <c r="J393" s="17" t="s">
        <v>998</v>
      </c>
      <c r="K393" s="17"/>
      <c r="L393" s="17"/>
      <c r="O393" s="1237"/>
      <c r="P393" s="1237"/>
      <c r="Q393" s="1237"/>
      <c r="R393" s="1237"/>
      <c r="S393" s="1237"/>
      <c r="T393" s="1237"/>
      <c r="U393" s="1237"/>
      <c r="W393" s="1237" t="str">
        <f>'🔵クレーム'!C384</f>
        <v/>
      </c>
      <c r="X393" s="1237" t="str">
        <f>'🔵クレーム'!D384</f>
        <v/>
      </c>
      <c r="Y393" s="286" t="str">
        <f>'🔵クレーム'!I384</f>
        <v/>
      </c>
      <c r="Z393" s="1237" t="str">
        <f>'🔵クレーム'!J384</f>
        <v/>
      </c>
      <c r="AA393" s="1237" t="str">
        <f>'🔵クレーム'!K384</f>
        <v/>
      </c>
      <c r="AB393" s="1237" t="str">
        <f>'🔵クレーム'!L384</f>
        <v/>
      </c>
      <c r="AC393" s="1239" t="str">
        <f>'🔵クレーム'!N384</f>
        <v/>
      </c>
    </row>
    <row r="394">
      <c r="B394" s="17"/>
      <c r="C394" s="17"/>
      <c r="D394" s="17"/>
      <c r="E394" s="343"/>
      <c r="F394" s="17"/>
      <c r="G394" s="17"/>
      <c r="H394" s="17"/>
      <c r="I394" s="17"/>
      <c r="J394" s="17" t="s">
        <v>998</v>
      </c>
      <c r="K394" s="17"/>
      <c r="L394" s="17"/>
      <c r="O394" s="1237"/>
      <c r="P394" s="1237"/>
      <c r="Q394" s="1237"/>
      <c r="R394" s="1237"/>
      <c r="S394" s="1237"/>
      <c r="T394" s="1237"/>
      <c r="U394" s="1237"/>
      <c r="W394" s="1237" t="str">
        <f>'🔵クレーム'!C385</f>
        <v/>
      </c>
      <c r="X394" s="1237" t="str">
        <f>'🔵クレーム'!D385</f>
        <v/>
      </c>
      <c r="Y394" s="286" t="str">
        <f>'🔵クレーム'!I385</f>
        <v/>
      </c>
      <c r="Z394" s="1237" t="str">
        <f>'🔵クレーム'!J385</f>
        <v/>
      </c>
      <c r="AA394" s="1237" t="str">
        <f>'🔵クレーム'!K385</f>
        <v/>
      </c>
      <c r="AB394" s="1237" t="str">
        <f>'🔵クレーム'!L385</f>
        <v/>
      </c>
      <c r="AC394" s="1239" t="str">
        <f>'🔵クレーム'!N385</f>
        <v/>
      </c>
    </row>
    <row r="395">
      <c r="B395" s="17"/>
      <c r="C395" s="17"/>
      <c r="D395" s="17"/>
      <c r="E395" s="343"/>
      <c r="F395" s="17"/>
      <c r="G395" s="17"/>
      <c r="H395" s="17"/>
      <c r="I395" s="17"/>
      <c r="J395" s="17" t="s">
        <v>998</v>
      </c>
      <c r="K395" s="17"/>
      <c r="L395" s="17"/>
      <c r="O395" s="1237"/>
      <c r="P395" s="1237"/>
      <c r="Q395" s="1237"/>
      <c r="R395" s="1237"/>
      <c r="S395" s="1237"/>
      <c r="T395" s="1237"/>
      <c r="U395" s="1237"/>
      <c r="W395" s="1237" t="str">
        <f>'🔵クレーム'!C386</f>
        <v/>
      </c>
      <c r="X395" s="1237" t="str">
        <f>'🔵クレーム'!D386</f>
        <v/>
      </c>
      <c r="Y395" s="286" t="str">
        <f>'🔵クレーム'!I386</f>
        <v/>
      </c>
      <c r="Z395" s="1237" t="str">
        <f>'🔵クレーム'!J386</f>
        <v/>
      </c>
      <c r="AA395" s="1237" t="str">
        <f>'🔵クレーム'!K386</f>
        <v/>
      </c>
      <c r="AB395" s="1237" t="str">
        <f>'🔵クレーム'!L386</f>
        <v/>
      </c>
      <c r="AC395" s="1239" t="str">
        <f>'🔵クレーム'!N386</f>
        <v/>
      </c>
    </row>
    <row r="396">
      <c r="B396" s="17"/>
      <c r="C396" s="17"/>
      <c r="D396" s="17"/>
      <c r="E396" s="343"/>
      <c r="F396" s="17"/>
      <c r="G396" s="17"/>
      <c r="H396" s="17"/>
      <c r="I396" s="17"/>
      <c r="J396" s="17" t="s">
        <v>998</v>
      </c>
      <c r="K396" s="17"/>
      <c r="L396" s="17"/>
      <c r="O396" s="1237"/>
      <c r="P396" s="1237"/>
      <c r="Q396" s="1237"/>
      <c r="R396" s="1237"/>
      <c r="S396" s="1237"/>
      <c r="T396" s="1237"/>
      <c r="U396" s="1237"/>
      <c r="W396" s="1237" t="str">
        <f>'🔵クレーム'!C387</f>
        <v/>
      </c>
      <c r="X396" s="1237" t="str">
        <f>'🔵クレーム'!D387</f>
        <v/>
      </c>
      <c r="Y396" s="286" t="str">
        <f>'🔵クレーム'!I387</f>
        <v/>
      </c>
      <c r="Z396" s="1237" t="str">
        <f>'🔵クレーム'!J387</f>
        <v/>
      </c>
      <c r="AA396" s="1237" t="str">
        <f>'🔵クレーム'!K387</f>
        <v/>
      </c>
      <c r="AB396" s="1237" t="str">
        <f>'🔵クレーム'!L387</f>
        <v/>
      </c>
      <c r="AC396" s="1239" t="str">
        <f>'🔵クレーム'!N387</f>
        <v/>
      </c>
    </row>
    <row r="397">
      <c r="B397" s="17"/>
      <c r="C397" s="17"/>
      <c r="D397" s="17"/>
      <c r="E397" s="343"/>
      <c r="F397" s="17"/>
      <c r="G397" s="17"/>
      <c r="H397" s="17"/>
      <c r="I397" s="17"/>
      <c r="J397" s="17" t="s">
        <v>998</v>
      </c>
      <c r="K397" s="17"/>
      <c r="L397" s="17"/>
      <c r="O397" s="1237"/>
      <c r="P397" s="1237"/>
      <c r="Q397" s="1237"/>
      <c r="R397" s="1237"/>
      <c r="S397" s="1237"/>
      <c r="T397" s="1237"/>
      <c r="U397" s="1237"/>
      <c r="W397" s="1237" t="str">
        <f>'🔵クレーム'!C388</f>
        <v/>
      </c>
      <c r="X397" s="1237" t="str">
        <f>'🔵クレーム'!D388</f>
        <v/>
      </c>
      <c r="Y397" s="286" t="str">
        <f>'🔵クレーム'!I388</f>
        <v/>
      </c>
      <c r="Z397" s="1237" t="str">
        <f>'🔵クレーム'!J388</f>
        <v/>
      </c>
      <c r="AA397" s="1237" t="str">
        <f>'🔵クレーム'!K388</f>
        <v/>
      </c>
      <c r="AB397" s="1237" t="str">
        <f>'🔵クレーム'!L388</f>
        <v/>
      </c>
      <c r="AC397" s="1239" t="str">
        <f>'🔵クレーム'!N388</f>
        <v/>
      </c>
    </row>
    <row r="398">
      <c r="B398" s="17"/>
      <c r="C398" s="17"/>
      <c r="D398" s="17"/>
      <c r="E398" s="343"/>
      <c r="F398" s="17"/>
      <c r="G398" s="17"/>
      <c r="H398" s="17"/>
      <c r="I398" s="17"/>
      <c r="J398" s="17" t="s">
        <v>998</v>
      </c>
      <c r="K398" s="17"/>
      <c r="L398" s="17"/>
      <c r="O398" s="1237"/>
      <c r="P398" s="1237"/>
      <c r="Q398" s="1237"/>
      <c r="R398" s="1237"/>
      <c r="S398" s="1237"/>
      <c r="T398" s="1237"/>
      <c r="U398" s="1237"/>
      <c r="W398" s="1237" t="str">
        <f>'🔵クレーム'!C389</f>
        <v/>
      </c>
      <c r="X398" s="1237" t="str">
        <f>'🔵クレーム'!D389</f>
        <v/>
      </c>
      <c r="Y398" s="286" t="str">
        <f>'🔵クレーム'!I389</f>
        <v/>
      </c>
      <c r="Z398" s="1237" t="str">
        <f>'🔵クレーム'!J389</f>
        <v/>
      </c>
      <c r="AA398" s="1237" t="str">
        <f>'🔵クレーム'!K389</f>
        <v/>
      </c>
      <c r="AB398" s="1237" t="str">
        <f>'🔵クレーム'!L389</f>
        <v/>
      </c>
      <c r="AC398" s="1239" t="str">
        <f>'🔵クレーム'!N389</f>
        <v/>
      </c>
    </row>
    <row r="399">
      <c r="B399" s="17"/>
      <c r="C399" s="17"/>
      <c r="D399" s="17"/>
      <c r="E399" s="343"/>
      <c r="F399" s="17"/>
      <c r="G399" s="17"/>
      <c r="H399" s="17"/>
      <c r="I399" s="17"/>
      <c r="J399" s="17" t="s">
        <v>998</v>
      </c>
      <c r="K399" s="17"/>
      <c r="L399" s="17"/>
      <c r="O399" s="1237"/>
      <c r="P399" s="1237"/>
      <c r="Q399" s="1237"/>
      <c r="R399" s="1237"/>
      <c r="S399" s="1237"/>
      <c r="T399" s="1237"/>
      <c r="U399" s="1237"/>
      <c r="W399" s="1237" t="str">
        <f>'🔵クレーム'!C390</f>
        <v/>
      </c>
      <c r="X399" s="1237" t="str">
        <f>'🔵クレーム'!D390</f>
        <v/>
      </c>
      <c r="Y399" s="286" t="str">
        <f>'🔵クレーム'!I390</f>
        <v/>
      </c>
      <c r="Z399" s="1237" t="str">
        <f>'🔵クレーム'!J390</f>
        <v/>
      </c>
      <c r="AA399" s="1237" t="str">
        <f>'🔵クレーム'!K390</f>
        <v/>
      </c>
      <c r="AB399" s="1237" t="str">
        <f>'🔵クレーム'!L390</f>
        <v/>
      </c>
      <c r="AC399" s="1239" t="str">
        <f>'🔵クレーム'!N390</f>
        <v/>
      </c>
    </row>
    <row r="400">
      <c r="B400" s="17"/>
      <c r="C400" s="17"/>
      <c r="D400" s="17"/>
      <c r="E400" s="343"/>
      <c r="F400" s="17"/>
      <c r="G400" s="17"/>
      <c r="H400" s="17"/>
      <c r="I400" s="17"/>
      <c r="J400" s="17" t="s">
        <v>998</v>
      </c>
      <c r="K400" s="17"/>
      <c r="L400" s="17"/>
      <c r="O400" s="1237"/>
      <c r="P400" s="1237"/>
      <c r="Q400" s="1237"/>
      <c r="R400" s="1237"/>
      <c r="S400" s="1237"/>
      <c r="T400" s="1237"/>
      <c r="U400" s="1237"/>
      <c r="W400" s="1237" t="str">
        <f>'🔵クレーム'!C391</f>
        <v/>
      </c>
      <c r="X400" s="1237" t="str">
        <f>'🔵クレーム'!D391</f>
        <v/>
      </c>
      <c r="Y400" s="286" t="str">
        <f>'🔵クレーム'!I391</f>
        <v/>
      </c>
      <c r="Z400" s="1237" t="str">
        <f>'🔵クレーム'!J391</f>
        <v/>
      </c>
      <c r="AA400" s="1237" t="str">
        <f>'🔵クレーム'!K391</f>
        <v/>
      </c>
      <c r="AB400" s="1237" t="str">
        <f>'🔵クレーム'!L391</f>
        <v/>
      </c>
      <c r="AC400" s="1239" t="str">
        <f>'🔵クレーム'!N391</f>
        <v/>
      </c>
    </row>
    <row r="401">
      <c r="B401" s="17"/>
      <c r="C401" s="17"/>
      <c r="D401" s="17"/>
      <c r="E401" s="343"/>
      <c r="F401" s="17"/>
      <c r="G401" s="17"/>
      <c r="H401" s="17"/>
      <c r="I401" s="17"/>
      <c r="J401" s="17" t="s">
        <v>998</v>
      </c>
      <c r="K401" s="17"/>
      <c r="L401" s="17"/>
      <c r="O401" s="1237"/>
      <c r="P401" s="1237"/>
      <c r="Q401" s="1237"/>
      <c r="R401" s="1237"/>
      <c r="S401" s="1237"/>
      <c r="T401" s="1237"/>
      <c r="U401" s="1237"/>
      <c r="W401" s="1237" t="str">
        <f>'🔵クレーム'!C392</f>
        <v/>
      </c>
      <c r="X401" s="1237" t="str">
        <f>'🔵クレーム'!D392</f>
        <v/>
      </c>
      <c r="Y401" s="286" t="str">
        <f>'🔵クレーム'!I392</f>
        <v/>
      </c>
      <c r="Z401" s="1237" t="str">
        <f>'🔵クレーム'!J392</f>
        <v/>
      </c>
      <c r="AA401" s="1237" t="str">
        <f>'🔵クレーム'!K392</f>
        <v/>
      </c>
      <c r="AB401" s="1237" t="str">
        <f>'🔵クレーム'!L392</f>
        <v/>
      </c>
      <c r="AC401" s="1239" t="str">
        <f>'🔵クレーム'!N392</f>
        <v/>
      </c>
    </row>
    <row r="402">
      <c r="B402" s="17"/>
      <c r="C402" s="17"/>
      <c r="D402" s="17"/>
      <c r="E402" s="343"/>
      <c r="F402" s="17"/>
      <c r="G402" s="17"/>
      <c r="H402" s="17"/>
      <c r="I402" s="17"/>
      <c r="J402" s="17" t="s">
        <v>998</v>
      </c>
      <c r="K402" s="17"/>
      <c r="L402" s="17"/>
      <c r="O402" s="1237"/>
      <c r="P402" s="1237"/>
      <c r="Q402" s="1237"/>
      <c r="R402" s="1237"/>
      <c r="S402" s="1237"/>
      <c r="T402" s="1237"/>
      <c r="U402" s="1237"/>
      <c r="W402" s="1237" t="str">
        <f>'🔵クレーム'!C393</f>
        <v/>
      </c>
      <c r="X402" s="1237" t="str">
        <f>'🔵クレーム'!D393</f>
        <v/>
      </c>
      <c r="Y402" s="286" t="str">
        <f>'🔵クレーム'!I393</f>
        <v/>
      </c>
      <c r="Z402" s="1237" t="str">
        <f>'🔵クレーム'!J393</f>
        <v/>
      </c>
      <c r="AA402" s="1237" t="str">
        <f>'🔵クレーム'!K393</f>
        <v/>
      </c>
      <c r="AB402" s="1237" t="str">
        <f>'🔵クレーム'!L393</f>
        <v/>
      </c>
      <c r="AC402" s="1239" t="str">
        <f>'🔵クレーム'!N393</f>
        <v/>
      </c>
    </row>
    <row r="403">
      <c r="B403" s="17"/>
      <c r="C403" s="17"/>
      <c r="D403" s="17"/>
      <c r="E403" s="343"/>
      <c r="F403" s="17"/>
      <c r="G403" s="17"/>
      <c r="H403" s="17"/>
      <c r="I403" s="17"/>
      <c r="J403" s="17" t="s">
        <v>998</v>
      </c>
      <c r="K403" s="17"/>
      <c r="L403" s="17"/>
      <c r="O403" s="1237"/>
      <c r="P403" s="1237"/>
      <c r="Q403" s="1237"/>
      <c r="R403" s="1237"/>
      <c r="S403" s="1237"/>
      <c r="T403" s="1237"/>
      <c r="U403" s="1237"/>
      <c r="W403" s="1237" t="str">
        <f>'🔵クレーム'!C394</f>
        <v/>
      </c>
      <c r="X403" s="1237" t="str">
        <f>'🔵クレーム'!D394</f>
        <v/>
      </c>
      <c r="Y403" s="286" t="str">
        <f>'🔵クレーム'!I394</f>
        <v/>
      </c>
      <c r="Z403" s="1237" t="str">
        <f>'🔵クレーム'!J394</f>
        <v/>
      </c>
      <c r="AA403" s="1237" t="str">
        <f>'🔵クレーム'!K394</f>
        <v/>
      </c>
      <c r="AB403" s="1237" t="str">
        <f>'🔵クレーム'!L394</f>
        <v/>
      </c>
      <c r="AC403" s="1239" t="str">
        <f>'🔵クレーム'!N394</f>
        <v/>
      </c>
    </row>
    <row r="404">
      <c r="B404" s="17"/>
      <c r="C404" s="17"/>
      <c r="D404" s="17"/>
      <c r="E404" s="343"/>
      <c r="F404" s="17"/>
      <c r="G404" s="17"/>
      <c r="H404" s="17"/>
      <c r="I404" s="17"/>
      <c r="J404" s="17" t="s">
        <v>998</v>
      </c>
      <c r="K404" s="17"/>
      <c r="L404" s="17"/>
      <c r="O404" s="1237"/>
      <c r="P404" s="1237"/>
      <c r="Q404" s="1237"/>
      <c r="R404" s="1237"/>
      <c r="S404" s="1237"/>
      <c r="T404" s="1237"/>
      <c r="U404" s="1237"/>
      <c r="W404" s="1237" t="str">
        <f>'🔵クレーム'!C395</f>
        <v/>
      </c>
      <c r="X404" s="1237" t="str">
        <f>'🔵クレーム'!D395</f>
        <v/>
      </c>
      <c r="Y404" s="286" t="str">
        <f>'🔵クレーム'!I395</f>
        <v/>
      </c>
      <c r="Z404" s="1237" t="str">
        <f>'🔵クレーム'!J395</f>
        <v/>
      </c>
      <c r="AA404" s="1237" t="str">
        <f>'🔵クレーム'!K395</f>
        <v/>
      </c>
      <c r="AB404" s="1237" t="str">
        <f>'🔵クレーム'!L395</f>
        <v/>
      </c>
      <c r="AC404" s="1239" t="str">
        <f>'🔵クレーム'!N395</f>
        <v/>
      </c>
    </row>
    <row r="405">
      <c r="B405" s="17"/>
      <c r="C405" s="17"/>
      <c r="D405" s="17"/>
      <c r="E405" s="343"/>
      <c r="F405" s="17"/>
      <c r="G405" s="17"/>
      <c r="H405" s="17"/>
      <c r="I405" s="17"/>
      <c r="J405" s="17" t="s">
        <v>998</v>
      </c>
      <c r="K405" s="17"/>
      <c r="L405" s="17"/>
      <c r="O405" s="1237"/>
      <c r="P405" s="1237"/>
      <c r="Q405" s="1237"/>
      <c r="R405" s="1237"/>
      <c r="S405" s="1237"/>
      <c r="T405" s="1237"/>
      <c r="U405" s="1237"/>
      <c r="W405" s="1237" t="str">
        <f>'🔵クレーム'!C396</f>
        <v/>
      </c>
      <c r="X405" s="1237" t="str">
        <f>'🔵クレーム'!D396</f>
        <v/>
      </c>
      <c r="Y405" s="286" t="str">
        <f>'🔵クレーム'!I396</f>
        <v/>
      </c>
      <c r="Z405" s="1237" t="str">
        <f>'🔵クレーム'!J396</f>
        <v/>
      </c>
      <c r="AA405" s="1237" t="str">
        <f>'🔵クレーム'!K396</f>
        <v/>
      </c>
      <c r="AB405" s="1237" t="str">
        <f>'🔵クレーム'!L396</f>
        <v/>
      </c>
      <c r="AC405" s="1239" t="str">
        <f>'🔵クレーム'!N396</f>
        <v/>
      </c>
    </row>
    <row r="406">
      <c r="B406" s="17"/>
      <c r="C406" s="17"/>
      <c r="D406" s="17"/>
      <c r="E406" s="343"/>
      <c r="F406" s="17"/>
      <c r="G406" s="17"/>
      <c r="H406" s="17"/>
      <c r="I406" s="17"/>
      <c r="J406" s="17" t="s">
        <v>998</v>
      </c>
      <c r="K406" s="17"/>
      <c r="L406" s="17"/>
      <c r="O406" s="1237"/>
      <c r="P406" s="1237"/>
      <c r="Q406" s="1237"/>
      <c r="R406" s="1237"/>
      <c r="S406" s="1237"/>
      <c r="T406" s="1237"/>
      <c r="U406" s="1237"/>
      <c r="W406" s="1237" t="str">
        <f>'🔵クレーム'!C397</f>
        <v/>
      </c>
      <c r="X406" s="1237" t="str">
        <f>'🔵クレーム'!D397</f>
        <v/>
      </c>
      <c r="Y406" s="286" t="str">
        <f>'🔵クレーム'!I397</f>
        <v/>
      </c>
      <c r="Z406" s="1237" t="str">
        <f>'🔵クレーム'!J397</f>
        <v/>
      </c>
      <c r="AA406" s="1237" t="str">
        <f>'🔵クレーム'!K397</f>
        <v/>
      </c>
      <c r="AB406" s="1237" t="str">
        <f>'🔵クレーム'!L397</f>
        <v/>
      </c>
      <c r="AC406" s="1239" t="str">
        <f>'🔵クレーム'!N397</f>
        <v/>
      </c>
    </row>
    <row r="407">
      <c r="B407" s="17"/>
      <c r="C407" s="17"/>
      <c r="D407" s="17"/>
      <c r="E407" s="343"/>
      <c r="F407" s="17"/>
      <c r="G407" s="17"/>
      <c r="H407" s="17"/>
      <c r="I407" s="17"/>
      <c r="J407" s="17" t="s">
        <v>998</v>
      </c>
      <c r="K407" s="17"/>
      <c r="L407" s="17"/>
      <c r="O407" s="1237"/>
      <c r="P407" s="1237"/>
      <c r="Q407" s="1237"/>
      <c r="R407" s="1237"/>
      <c r="S407" s="1237"/>
      <c r="T407" s="1237"/>
      <c r="U407" s="1237"/>
      <c r="W407" s="1237" t="str">
        <f>'🔵クレーム'!C398</f>
        <v/>
      </c>
      <c r="X407" s="1237" t="str">
        <f>'🔵クレーム'!D398</f>
        <v/>
      </c>
      <c r="Y407" s="286" t="str">
        <f>'🔵クレーム'!I398</f>
        <v/>
      </c>
      <c r="Z407" s="1237" t="str">
        <f>'🔵クレーム'!J398</f>
        <v/>
      </c>
      <c r="AA407" s="1237" t="str">
        <f>'🔵クレーム'!K398</f>
        <v/>
      </c>
      <c r="AB407" s="1237" t="str">
        <f>'🔵クレーム'!L398</f>
        <v/>
      </c>
      <c r="AC407" s="1239" t="str">
        <f>'🔵クレーム'!N398</f>
        <v/>
      </c>
    </row>
    <row r="408">
      <c r="B408" s="17"/>
      <c r="C408" s="17"/>
      <c r="D408" s="17"/>
      <c r="E408" s="343"/>
      <c r="F408" s="17"/>
      <c r="G408" s="17"/>
      <c r="H408" s="17"/>
      <c r="I408" s="17"/>
      <c r="J408" s="17" t="s">
        <v>998</v>
      </c>
      <c r="K408" s="17"/>
      <c r="L408" s="17"/>
      <c r="O408" s="1237"/>
      <c r="P408" s="1237"/>
      <c r="Q408" s="1237"/>
      <c r="R408" s="1237"/>
      <c r="S408" s="1237"/>
      <c r="T408" s="1237"/>
      <c r="U408" s="1237"/>
      <c r="W408" s="1237" t="str">
        <f>'🔵クレーム'!C399</f>
        <v/>
      </c>
      <c r="X408" s="1237" t="str">
        <f>'🔵クレーム'!D399</f>
        <v/>
      </c>
      <c r="Y408" s="286" t="str">
        <f>'🔵クレーム'!I399</f>
        <v/>
      </c>
      <c r="Z408" s="1237" t="str">
        <f>'🔵クレーム'!J399</f>
        <v/>
      </c>
      <c r="AA408" s="1237" t="str">
        <f>'🔵クレーム'!K399</f>
        <v/>
      </c>
      <c r="AB408" s="1237" t="str">
        <f>'🔵クレーム'!L399</f>
        <v/>
      </c>
      <c r="AC408" s="1239" t="str">
        <f>'🔵クレーム'!N399</f>
        <v/>
      </c>
    </row>
    <row r="409">
      <c r="B409" s="17"/>
      <c r="C409" s="17"/>
      <c r="D409" s="17"/>
      <c r="E409" s="343"/>
      <c r="F409" s="17"/>
      <c r="G409" s="17"/>
      <c r="H409" s="17"/>
      <c r="I409" s="17"/>
      <c r="J409" s="17" t="s">
        <v>998</v>
      </c>
      <c r="K409" s="17"/>
      <c r="L409" s="17"/>
      <c r="O409" s="1237"/>
      <c r="P409" s="1237"/>
      <c r="Q409" s="1237"/>
      <c r="R409" s="1237"/>
      <c r="S409" s="1237"/>
      <c r="T409" s="1237"/>
      <c r="U409" s="1237"/>
      <c r="W409" s="1237" t="str">
        <f>'🔵クレーム'!C400</f>
        <v/>
      </c>
      <c r="X409" s="1237" t="str">
        <f>'🔵クレーム'!D400</f>
        <v/>
      </c>
      <c r="Y409" s="286" t="str">
        <f>'🔵クレーム'!I400</f>
        <v/>
      </c>
      <c r="Z409" s="1237" t="str">
        <f>'🔵クレーム'!J400</f>
        <v/>
      </c>
      <c r="AA409" s="1237" t="str">
        <f>'🔵クレーム'!K400</f>
        <v/>
      </c>
      <c r="AB409" s="1237" t="str">
        <f>'🔵クレーム'!L400</f>
        <v/>
      </c>
      <c r="AC409" s="1239" t="str">
        <f>'🔵クレーム'!N400</f>
        <v/>
      </c>
    </row>
    <row r="410">
      <c r="B410" s="17"/>
      <c r="C410" s="17"/>
      <c r="D410" s="17"/>
      <c r="E410" s="343"/>
      <c r="F410" s="17"/>
      <c r="G410" s="17"/>
      <c r="H410" s="17"/>
      <c r="I410" s="17"/>
      <c r="J410" s="17" t="s">
        <v>998</v>
      </c>
      <c r="K410" s="17"/>
      <c r="L410" s="17"/>
      <c r="O410" s="1237"/>
      <c r="P410" s="1237"/>
      <c r="Q410" s="1237"/>
      <c r="R410" s="1237"/>
      <c r="S410" s="1237"/>
      <c r="T410" s="1237"/>
      <c r="U410" s="1237"/>
      <c r="W410" s="1237" t="str">
        <f>'🔵クレーム'!C401</f>
        <v/>
      </c>
      <c r="X410" s="1237" t="str">
        <f>'🔵クレーム'!D401</f>
        <v/>
      </c>
      <c r="Y410" s="286" t="str">
        <f>'🔵クレーム'!I401</f>
        <v/>
      </c>
      <c r="Z410" s="1237" t="str">
        <f>'🔵クレーム'!J401</f>
        <v/>
      </c>
      <c r="AA410" s="1237" t="str">
        <f>'🔵クレーム'!K401</f>
        <v/>
      </c>
      <c r="AB410" s="1237" t="str">
        <f>'🔵クレーム'!L401</f>
        <v/>
      </c>
      <c r="AC410" s="1239" t="str">
        <f>'🔵クレーム'!N401</f>
        <v/>
      </c>
    </row>
    <row r="411">
      <c r="B411" s="17"/>
      <c r="C411" s="17"/>
      <c r="D411" s="17"/>
      <c r="E411" s="343"/>
      <c r="F411" s="17"/>
      <c r="G411" s="17"/>
      <c r="H411" s="17"/>
      <c r="I411" s="17"/>
      <c r="J411" s="17" t="s">
        <v>998</v>
      </c>
      <c r="K411" s="17"/>
      <c r="L411" s="17"/>
      <c r="O411" s="1237"/>
      <c r="P411" s="1237"/>
      <c r="Q411" s="1237"/>
      <c r="R411" s="1237"/>
      <c r="S411" s="1237"/>
      <c r="T411" s="1237"/>
      <c r="U411" s="1237"/>
      <c r="W411" s="1237" t="str">
        <f>'🔵クレーム'!C402</f>
        <v/>
      </c>
      <c r="X411" s="1237" t="str">
        <f>'🔵クレーム'!D402</f>
        <v/>
      </c>
      <c r="Y411" s="286" t="str">
        <f>'🔵クレーム'!I402</f>
        <v/>
      </c>
      <c r="Z411" s="1237" t="str">
        <f>'🔵クレーム'!J402</f>
        <v/>
      </c>
      <c r="AA411" s="1237" t="str">
        <f>'🔵クレーム'!K402</f>
        <v/>
      </c>
      <c r="AB411" s="1237" t="str">
        <f>'🔵クレーム'!L402</f>
        <v/>
      </c>
      <c r="AC411" s="1239" t="str">
        <f>'🔵クレーム'!N402</f>
        <v/>
      </c>
    </row>
    <row r="412">
      <c r="B412" s="17"/>
      <c r="C412" s="17"/>
      <c r="D412" s="17"/>
      <c r="E412" s="343"/>
      <c r="F412" s="17"/>
      <c r="G412" s="17"/>
      <c r="H412" s="17"/>
      <c r="I412" s="17"/>
      <c r="J412" s="17" t="s">
        <v>998</v>
      </c>
      <c r="K412" s="17"/>
      <c r="L412" s="17"/>
      <c r="O412" s="1237"/>
      <c r="P412" s="1237"/>
      <c r="Q412" s="1237"/>
      <c r="R412" s="1237"/>
      <c r="S412" s="1237"/>
      <c r="T412" s="1237"/>
      <c r="U412" s="1237"/>
      <c r="W412" s="1237" t="str">
        <f>'🔵クレーム'!C403</f>
        <v/>
      </c>
      <c r="X412" s="1237" t="str">
        <f>'🔵クレーム'!D403</f>
        <v/>
      </c>
      <c r="Y412" s="286" t="str">
        <f>'🔵クレーム'!I403</f>
        <v/>
      </c>
      <c r="Z412" s="1237" t="str">
        <f>'🔵クレーム'!J403</f>
        <v/>
      </c>
      <c r="AA412" s="1237" t="str">
        <f>'🔵クレーム'!K403</f>
        <v/>
      </c>
      <c r="AB412" s="1237" t="str">
        <f>'🔵クレーム'!L403</f>
        <v/>
      </c>
      <c r="AC412" s="1239" t="str">
        <f>'🔵クレーム'!N403</f>
        <v/>
      </c>
    </row>
    <row r="413">
      <c r="B413" s="17"/>
      <c r="C413" s="17"/>
      <c r="D413" s="17"/>
      <c r="E413" s="343"/>
      <c r="F413" s="17"/>
      <c r="G413" s="17"/>
      <c r="H413" s="17"/>
      <c r="I413" s="17"/>
      <c r="J413" s="17" t="s">
        <v>998</v>
      </c>
      <c r="K413" s="17"/>
      <c r="L413" s="17"/>
      <c r="O413" s="1237"/>
      <c r="P413" s="1237"/>
      <c r="Q413" s="1237"/>
      <c r="R413" s="1237"/>
      <c r="S413" s="1237"/>
      <c r="T413" s="1237"/>
      <c r="U413" s="1237"/>
      <c r="W413" s="1237" t="str">
        <f>'🔵クレーム'!C404</f>
        <v/>
      </c>
      <c r="X413" s="1237" t="str">
        <f>'🔵クレーム'!D404</f>
        <v/>
      </c>
      <c r="Y413" s="286" t="str">
        <f>'🔵クレーム'!I404</f>
        <v/>
      </c>
      <c r="Z413" s="1237" t="str">
        <f>'🔵クレーム'!J404</f>
        <v/>
      </c>
      <c r="AA413" s="1237" t="str">
        <f>'🔵クレーム'!K404</f>
        <v/>
      </c>
      <c r="AB413" s="1237" t="str">
        <f>'🔵クレーム'!L404</f>
        <v/>
      </c>
      <c r="AC413" s="1239" t="str">
        <f>'🔵クレーム'!N404</f>
        <v/>
      </c>
    </row>
    <row r="414">
      <c r="B414" s="17"/>
      <c r="C414" s="17"/>
      <c r="D414" s="17"/>
      <c r="E414" s="343"/>
      <c r="F414" s="17"/>
      <c r="G414" s="17"/>
      <c r="H414" s="17"/>
      <c r="I414" s="17"/>
      <c r="J414" s="17" t="s">
        <v>998</v>
      </c>
      <c r="K414" s="17"/>
      <c r="L414" s="17"/>
      <c r="O414" s="1237"/>
      <c r="P414" s="1237"/>
      <c r="Q414" s="1237"/>
      <c r="R414" s="1237"/>
      <c r="S414" s="1237"/>
      <c r="T414" s="1237"/>
      <c r="U414" s="1237"/>
      <c r="W414" s="1237" t="str">
        <f>'🔵クレーム'!C405</f>
        <v/>
      </c>
      <c r="X414" s="1237" t="str">
        <f>'🔵クレーム'!D405</f>
        <v/>
      </c>
      <c r="Y414" s="286" t="str">
        <f>'🔵クレーム'!I405</f>
        <v/>
      </c>
      <c r="Z414" s="1237" t="str">
        <f>'🔵クレーム'!J405</f>
        <v/>
      </c>
      <c r="AA414" s="1237" t="str">
        <f>'🔵クレーム'!K405</f>
        <v/>
      </c>
      <c r="AB414" s="1237" t="str">
        <f>'🔵クレーム'!L405</f>
        <v/>
      </c>
      <c r="AC414" s="1239" t="str">
        <f>'🔵クレーム'!N405</f>
        <v/>
      </c>
    </row>
    <row r="415">
      <c r="B415" s="17"/>
      <c r="C415" s="17"/>
      <c r="D415" s="17"/>
      <c r="E415" s="343"/>
      <c r="F415" s="17"/>
      <c r="G415" s="17"/>
      <c r="H415" s="17"/>
      <c r="I415" s="17"/>
      <c r="J415" s="17" t="s">
        <v>998</v>
      </c>
      <c r="K415" s="17"/>
      <c r="L415" s="17"/>
      <c r="O415" s="1237"/>
      <c r="P415" s="1237"/>
      <c r="Q415" s="1237"/>
      <c r="R415" s="1237"/>
      <c r="S415" s="1237"/>
      <c r="T415" s="1237"/>
      <c r="U415" s="1237"/>
      <c r="W415" s="1237" t="str">
        <f>'🔵クレーム'!C406</f>
        <v/>
      </c>
      <c r="X415" s="1237" t="str">
        <f>'🔵クレーム'!D406</f>
        <v/>
      </c>
      <c r="Y415" s="286" t="str">
        <f>'🔵クレーム'!I406</f>
        <v/>
      </c>
      <c r="Z415" s="1237" t="str">
        <f>'🔵クレーム'!J406</f>
        <v/>
      </c>
      <c r="AA415" s="1237" t="str">
        <f>'🔵クレーム'!K406</f>
        <v/>
      </c>
      <c r="AB415" s="1237" t="str">
        <f>'🔵クレーム'!L406</f>
        <v/>
      </c>
      <c r="AC415" s="1239" t="str">
        <f>'🔵クレーム'!N406</f>
        <v/>
      </c>
    </row>
    <row r="416">
      <c r="B416" s="17"/>
      <c r="C416" s="17"/>
      <c r="D416" s="17"/>
      <c r="E416" s="343"/>
      <c r="F416" s="17"/>
      <c r="G416" s="17"/>
      <c r="H416" s="17"/>
      <c r="I416" s="17"/>
      <c r="J416" s="17" t="s">
        <v>998</v>
      </c>
      <c r="K416" s="17"/>
      <c r="L416" s="17"/>
      <c r="O416" s="1237"/>
      <c r="P416" s="1237"/>
      <c r="Q416" s="1237"/>
      <c r="R416" s="1237"/>
      <c r="S416" s="1237"/>
      <c r="T416" s="1237"/>
      <c r="U416" s="1237"/>
      <c r="W416" s="1237" t="str">
        <f>'🔵クレーム'!C407</f>
        <v/>
      </c>
      <c r="X416" s="1237" t="str">
        <f>'🔵クレーム'!D407</f>
        <v/>
      </c>
      <c r="Y416" s="286" t="str">
        <f>'🔵クレーム'!I407</f>
        <v/>
      </c>
      <c r="Z416" s="1237" t="str">
        <f>'🔵クレーム'!J407</f>
        <v/>
      </c>
      <c r="AA416" s="1237" t="str">
        <f>'🔵クレーム'!K407</f>
        <v/>
      </c>
      <c r="AB416" s="1237" t="str">
        <f>'🔵クレーム'!L407</f>
        <v/>
      </c>
      <c r="AC416" s="1239" t="str">
        <f>'🔵クレーム'!N407</f>
        <v/>
      </c>
    </row>
    <row r="417">
      <c r="B417" s="17"/>
      <c r="C417" s="17"/>
      <c r="D417" s="17"/>
      <c r="E417" s="343"/>
      <c r="F417" s="17"/>
      <c r="G417" s="17"/>
      <c r="H417" s="17"/>
      <c r="I417" s="17"/>
      <c r="J417" s="17" t="s">
        <v>998</v>
      </c>
      <c r="K417" s="17"/>
      <c r="L417" s="17"/>
      <c r="AC417" s="1300"/>
    </row>
    <row r="418">
      <c r="B418" s="17"/>
      <c r="C418" s="17"/>
      <c r="D418" s="17"/>
      <c r="E418" s="343"/>
      <c r="F418" s="17"/>
      <c r="G418" s="17"/>
      <c r="H418" s="17"/>
      <c r="I418" s="17"/>
      <c r="J418" s="17" t="s">
        <v>998</v>
      </c>
      <c r="K418" s="17"/>
      <c r="L418" s="17"/>
      <c r="AC418" s="1300"/>
    </row>
    <row r="419">
      <c r="B419" s="17"/>
      <c r="C419" s="17"/>
      <c r="D419" s="17"/>
      <c r="E419" s="343"/>
      <c r="F419" s="17"/>
      <c r="G419" s="17"/>
      <c r="H419" s="17"/>
      <c r="I419" s="17"/>
      <c r="J419" s="17" t="s">
        <v>998</v>
      </c>
      <c r="K419" s="17"/>
      <c r="L419" s="17"/>
      <c r="AC419" s="1300"/>
    </row>
    <row r="420">
      <c r="B420" s="17"/>
      <c r="C420" s="17"/>
      <c r="D420" s="17"/>
      <c r="E420" s="343"/>
      <c r="F420" s="17"/>
      <c r="G420" s="17"/>
      <c r="H420" s="17"/>
      <c r="I420" s="17"/>
      <c r="J420" s="17" t="s">
        <v>998</v>
      </c>
      <c r="K420" s="17"/>
      <c r="L420" s="17"/>
      <c r="AC420" s="1300"/>
    </row>
    <row r="421">
      <c r="B421" s="17"/>
      <c r="C421" s="17"/>
      <c r="D421" s="17"/>
      <c r="E421" s="343"/>
      <c r="F421" s="17"/>
      <c r="G421" s="17"/>
      <c r="H421" s="17"/>
      <c r="I421" s="17"/>
      <c r="J421" s="17" t="s">
        <v>998</v>
      </c>
      <c r="K421" s="17"/>
      <c r="L421" s="17"/>
      <c r="AC421" s="1300"/>
    </row>
    <row r="422">
      <c r="B422" s="17"/>
      <c r="C422" s="17"/>
      <c r="D422" s="17"/>
      <c r="E422" s="343"/>
      <c r="F422" s="17"/>
      <c r="G422" s="17"/>
      <c r="H422" s="17"/>
      <c r="I422" s="17"/>
      <c r="J422" s="17" t="s">
        <v>998</v>
      </c>
      <c r="K422" s="17"/>
      <c r="L422" s="17"/>
      <c r="AC422" s="1300"/>
    </row>
    <row r="423">
      <c r="B423" s="17"/>
      <c r="C423" s="17"/>
      <c r="D423" s="17"/>
      <c r="E423" s="343"/>
      <c r="F423" s="17"/>
      <c r="G423" s="17"/>
      <c r="H423" s="17"/>
      <c r="I423" s="17"/>
      <c r="J423" s="17" t="s">
        <v>998</v>
      </c>
      <c r="K423" s="17"/>
      <c r="L423" s="17"/>
      <c r="AC423" s="1300"/>
    </row>
    <row r="424">
      <c r="B424" s="17"/>
      <c r="C424" s="17"/>
      <c r="D424" s="17"/>
      <c r="E424" s="343"/>
      <c r="F424" s="17"/>
      <c r="G424" s="17"/>
      <c r="H424" s="17"/>
      <c r="I424" s="17"/>
      <c r="J424" s="17" t="s">
        <v>998</v>
      </c>
      <c r="K424" s="17"/>
      <c r="L424" s="17"/>
      <c r="AC424" s="1300"/>
    </row>
    <row r="425">
      <c r="B425" s="17"/>
      <c r="C425" s="17"/>
      <c r="D425" s="17"/>
      <c r="E425" s="343"/>
      <c r="F425" s="17"/>
      <c r="G425" s="17"/>
      <c r="H425" s="17"/>
      <c r="I425" s="17"/>
      <c r="J425" s="17" t="s">
        <v>998</v>
      </c>
      <c r="K425" s="17"/>
      <c r="L425" s="17"/>
      <c r="AC425" s="1300"/>
    </row>
    <row r="426">
      <c r="B426" s="17"/>
      <c r="C426" s="17"/>
      <c r="D426" s="17"/>
      <c r="E426" s="343"/>
      <c r="F426" s="17"/>
      <c r="G426" s="17"/>
      <c r="H426" s="17"/>
      <c r="I426" s="17"/>
      <c r="J426" s="17" t="s">
        <v>998</v>
      </c>
      <c r="K426" s="17"/>
      <c r="L426" s="17"/>
      <c r="AC426" s="1300"/>
    </row>
    <row r="427">
      <c r="B427" s="17"/>
      <c r="C427" s="17"/>
      <c r="D427" s="17"/>
      <c r="E427" s="343"/>
      <c r="F427" s="17"/>
      <c r="G427" s="17"/>
      <c r="H427" s="17"/>
      <c r="I427" s="17"/>
      <c r="J427" s="17" t="s">
        <v>998</v>
      </c>
      <c r="K427" s="17"/>
      <c r="L427" s="17"/>
      <c r="AC427" s="1300"/>
    </row>
    <row r="428">
      <c r="B428" s="17"/>
      <c r="C428" s="17"/>
      <c r="D428" s="17"/>
      <c r="E428" s="343"/>
      <c r="F428" s="17"/>
      <c r="G428" s="17"/>
      <c r="H428" s="17"/>
      <c r="I428" s="17"/>
      <c r="J428" s="17" t="s">
        <v>998</v>
      </c>
      <c r="K428" s="17"/>
      <c r="L428" s="17"/>
      <c r="AC428" s="1300"/>
    </row>
    <row r="429">
      <c r="B429" s="17"/>
      <c r="C429" s="17"/>
      <c r="D429" s="17"/>
      <c r="E429" s="343"/>
      <c r="F429" s="17"/>
      <c r="G429" s="17"/>
      <c r="H429" s="17"/>
      <c r="I429" s="17"/>
      <c r="J429" s="17" t="s">
        <v>998</v>
      </c>
      <c r="K429" s="17"/>
      <c r="L429" s="17"/>
      <c r="AC429" s="1300"/>
    </row>
    <row r="430">
      <c r="B430" s="17"/>
      <c r="C430" s="17"/>
      <c r="D430" s="17"/>
      <c r="E430" s="343"/>
      <c r="F430" s="17"/>
      <c r="G430" s="17"/>
      <c r="H430" s="17"/>
      <c r="I430" s="17"/>
      <c r="J430" s="17" t="s">
        <v>998</v>
      </c>
      <c r="K430" s="17"/>
      <c r="L430" s="17"/>
      <c r="AC430" s="1300"/>
    </row>
    <row r="431">
      <c r="B431" s="17"/>
      <c r="C431" s="17"/>
      <c r="D431" s="17"/>
      <c r="E431" s="343"/>
      <c r="F431" s="17"/>
      <c r="G431" s="17"/>
      <c r="H431" s="17"/>
      <c r="I431" s="17"/>
      <c r="J431" s="17" t="s">
        <v>998</v>
      </c>
      <c r="K431" s="17"/>
      <c r="L431" s="17"/>
      <c r="AC431" s="1300"/>
    </row>
    <row r="432">
      <c r="B432" s="17"/>
      <c r="C432" s="17"/>
      <c r="D432" s="17"/>
      <c r="E432" s="343"/>
      <c r="F432" s="17"/>
      <c r="G432" s="17"/>
      <c r="H432" s="17"/>
      <c r="I432" s="17"/>
      <c r="J432" s="17" t="s">
        <v>998</v>
      </c>
      <c r="K432" s="17"/>
      <c r="L432" s="17"/>
      <c r="AC432" s="1300"/>
    </row>
    <row r="433">
      <c r="B433" s="17"/>
      <c r="C433" s="17"/>
      <c r="D433" s="17"/>
      <c r="E433" s="343"/>
      <c r="F433" s="17"/>
      <c r="G433" s="17"/>
      <c r="H433" s="17"/>
      <c r="I433" s="17"/>
      <c r="J433" s="17" t="s">
        <v>998</v>
      </c>
      <c r="K433" s="17"/>
      <c r="L433" s="17"/>
      <c r="AC433" s="1300"/>
    </row>
    <row r="434">
      <c r="B434" s="17"/>
      <c r="C434" s="17"/>
      <c r="D434" s="17"/>
      <c r="E434" s="343"/>
      <c r="F434" s="17"/>
      <c r="G434" s="17"/>
      <c r="H434" s="17"/>
      <c r="I434" s="17"/>
      <c r="J434" s="17" t="s">
        <v>998</v>
      </c>
      <c r="K434" s="17"/>
      <c r="L434" s="17"/>
      <c r="AC434" s="1300"/>
    </row>
    <row r="435">
      <c r="B435" s="17"/>
      <c r="C435" s="17"/>
      <c r="D435" s="17"/>
      <c r="E435" s="343"/>
      <c r="F435" s="17"/>
      <c r="G435" s="17"/>
      <c r="H435" s="17"/>
      <c r="I435" s="17"/>
      <c r="J435" s="17" t="s">
        <v>998</v>
      </c>
      <c r="K435" s="17"/>
      <c r="L435" s="17"/>
      <c r="AC435" s="1300"/>
    </row>
    <row r="436">
      <c r="B436" s="17"/>
      <c r="C436" s="17"/>
      <c r="D436" s="17"/>
      <c r="E436" s="343"/>
      <c r="F436" s="17"/>
      <c r="G436" s="17"/>
      <c r="H436" s="17"/>
      <c r="I436" s="17"/>
      <c r="J436" s="17" t="s">
        <v>998</v>
      </c>
      <c r="K436" s="17"/>
      <c r="L436" s="17"/>
      <c r="AC436" s="1300"/>
    </row>
    <row r="437">
      <c r="B437" s="17"/>
      <c r="C437" s="17"/>
      <c r="D437" s="17"/>
      <c r="E437" s="343"/>
      <c r="F437" s="17"/>
      <c r="G437" s="17"/>
      <c r="H437" s="17"/>
      <c r="I437" s="17"/>
      <c r="J437" s="17" t="s">
        <v>998</v>
      </c>
      <c r="K437" s="17"/>
      <c r="L437" s="17"/>
      <c r="AC437" s="1300"/>
    </row>
    <row r="438">
      <c r="B438" s="17"/>
      <c r="C438" s="17"/>
      <c r="D438" s="17"/>
      <c r="E438" s="343"/>
      <c r="F438" s="17"/>
      <c r="G438" s="17"/>
      <c r="H438" s="17"/>
      <c r="I438" s="17"/>
      <c r="J438" s="17" t="s">
        <v>998</v>
      </c>
      <c r="K438" s="17"/>
      <c r="L438" s="17"/>
      <c r="AC438" s="1300"/>
    </row>
    <row r="439">
      <c r="B439" s="17"/>
      <c r="C439" s="17"/>
      <c r="D439" s="17"/>
      <c r="E439" s="343"/>
      <c r="F439" s="17"/>
      <c r="G439" s="17"/>
      <c r="H439" s="17"/>
      <c r="I439" s="17"/>
      <c r="J439" s="17" t="s">
        <v>998</v>
      </c>
      <c r="K439" s="17"/>
      <c r="L439" s="17"/>
      <c r="AC439" s="1300"/>
    </row>
    <row r="440">
      <c r="B440" s="17"/>
      <c r="C440" s="17"/>
      <c r="D440" s="17"/>
      <c r="E440" s="343"/>
      <c r="F440" s="17"/>
      <c r="G440" s="17"/>
      <c r="H440" s="17"/>
      <c r="I440" s="17"/>
      <c r="J440" s="17" t="s">
        <v>998</v>
      </c>
      <c r="K440" s="17"/>
      <c r="L440" s="17"/>
      <c r="AC440" s="1300"/>
    </row>
    <row r="441">
      <c r="B441" s="17"/>
      <c r="C441" s="17"/>
      <c r="D441" s="17"/>
      <c r="E441" s="343"/>
      <c r="F441" s="17"/>
      <c r="G441" s="17"/>
      <c r="H441" s="17"/>
      <c r="I441" s="17"/>
      <c r="J441" s="17" t="s">
        <v>998</v>
      </c>
      <c r="K441" s="17"/>
      <c r="L441" s="17"/>
      <c r="AC441" s="1300"/>
    </row>
    <row r="442">
      <c r="B442" s="17"/>
      <c r="C442" s="17"/>
      <c r="D442" s="17"/>
      <c r="E442" s="343"/>
      <c r="F442" s="17"/>
      <c r="G442" s="17"/>
      <c r="H442" s="17"/>
      <c r="I442" s="17"/>
      <c r="J442" s="17" t="s">
        <v>998</v>
      </c>
      <c r="K442" s="17"/>
      <c r="L442" s="17"/>
      <c r="AC442" s="1300"/>
    </row>
    <row r="443">
      <c r="B443" s="17"/>
      <c r="C443" s="17"/>
      <c r="D443" s="17"/>
      <c r="E443" s="343"/>
      <c r="F443" s="17"/>
      <c r="G443" s="17"/>
      <c r="H443" s="17"/>
      <c r="I443" s="17"/>
      <c r="J443" s="17" t="s">
        <v>998</v>
      </c>
      <c r="K443" s="17"/>
      <c r="L443" s="17"/>
      <c r="AC443" s="1300"/>
    </row>
    <row r="444">
      <c r="B444" s="17"/>
      <c r="C444" s="17"/>
      <c r="D444" s="17"/>
      <c r="E444" s="343"/>
      <c r="F444" s="17"/>
      <c r="G444" s="17"/>
      <c r="H444" s="17"/>
      <c r="I444" s="17"/>
      <c r="J444" s="17" t="s">
        <v>998</v>
      </c>
      <c r="K444" s="17"/>
      <c r="L444" s="17"/>
      <c r="AC444" s="1300"/>
    </row>
    <row r="445">
      <c r="B445" s="17"/>
      <c r="C445" s="17"/>
      <c r="D445" s="17"/>
      <c r="E445" s="343"/>
      <c r="F445" s="17"/>
      <c r="G445" s="17"/>
      <c r="H445" s="17"/>
      <c r="I445" s="17"/>
      <c r="J445" s="17" t="s">
        <v>998</v>
      </c>
      <c r="K445" s="17"/>
      <c r="L445" s="17"/>
      <c r="AC445" s="1300"/>
    </row>
    <row r="446">
      <c r="B446" s="17"/>
      <c r="C446" s="17"/>
      <c r="D446" s="17"/>
      <c r="E446" s="343"/>
      <c r="F446" s="17"/>
      <c r="G446" s="17"/>
      <c r="H446" s="17"/>
      <c r="I446" s="17"/>
      <c r="J446" s="17" t="s">
        <v>998</v>
      </c>
      <c r="K446" s="17"/>
      <c r="L446" s="17"/>
      <c r="AC446" s="1300"/>
    </row>
    <row r="447">
      <c r="B447" s="17"/>
      <c r="C447" s="17"/>
      <c r="D447" s="17"/>
      <c r="E447" s="343"/>
      <c r="F447" s="17"/>
      <c r="G447" s="17"/>
      <c r="H447" s="17"/>
      <c r="I447" s="17"/>
      <c r="J447" s="17" t="s">
        <v>998</v>
      </c>
      <c r="K447" s="17"/>
      <c r="L447" s="17"/>
      <c r="AC447" s="1300"/>
    </row>
    <row r="448">
      <c r="B448" s="17"/>
      <c r="C448" s="17"/>
      <c r="D448" s="17"/>
      <c r="E448" s="343"/>
      <c r="F448" s="17"/>
      <c r="G448" s="17"/>
      <c r="H448" s="17"/>
      <c r="I448" s="17"/>
      <c r="J448" s="17" t="s">
        <v>998</v>
      </c>
      <c r="K448" s="17"/>
      <c r="L448" s="17"/>
      <c r="AC448" s="1300"/>
    </row>
    <row r="449">
      <c r="B449" s="17"/>
      <c r="C449" s="17"/>
      <c r="D449" s="17"/>
      <c r="E449" s="343"/>
      <c r="F449" s="17"/>
      <c r="G449" s="17"/>
      <c r="H449" s="17"/>
      <c r="I449" s="17"/>
      <c r="J449" s="17" t="s">
        <v>998</v>
      </c>
      <c r="K449" s="17"/>
      <c r="L449" s="17"/>
      <c r="AC449" s="1300"/>
    </row>
    <row r="450">
      <c r="B450" s="17"/>
      <c r="C450" s="17"/>
      <c r="D450" s="17"/>
      <c r="E450" s="343"/>
      <c r="F450" s="17"/>
      <c r="G450" s="17"/>
      <c r="H450" s="17"/>
      <c r="I450" s="17"/>
      <c r="J450" s="17" t="s">
        <v>998</v>
      </c>
      <c r="K450" s="17"/>
      <c r="L450" s="17"/>
      <c r="AC450" s="1300"/>
    </row>
    <row r="451">
      <c r="B451" s="17"/>
      <c r="C451" s="17"/>
      <c r="D451" s="17"/>
      <c r="E451" s="343"/>
      <c r="F451" s="17"/>
      <c r="G451" s="17"/>
      <c r="H451" s="17"/>
      <c r="I451" s="17"/>
      <c r="J451" s="17" t="s">
        <v>998</v>
      </c>
      <c r="K451" s="17"/>
      <c r="L451" s="17"/>
      <c r="AC451" s="1300"/>
    </row>
    <row r="452">
      <c r="B452" s="17"/>
      <c r="C452" s="17"/>
      <c r="D452" s="17"/>
      <c r="E452" s="343"/>
      <c r="F452" s="17"/>
      <c r="G452" s="17"/>
      <c r="H452" s="17"/>
      <c r="I452" s="17"/>
      <c r="J452" s="17" t="s">
        <v>998</v>
      </c>
      <c r="K452" s="17"/>
      <c r="L452" s="17"/>
      <c r="AC452" s="1300"/>
    </row>
    <row r="453">
      <c r="B453" s="17"/>
      <c r="C453" s="17"/>
      <c r="D453" s="17"/>
      <c r="E453" s="343"/>
      <c r="F453" s="17"/>
      <c r="G453" s="17"/>
      <c r="H453" s="17"/>
      <c r="I453" s="17"/>
      <c r="J453" s="17" t="s">
        <v>998</v>
      </c>
      <c r="K453" s="17"/>
      <c r="L453" s="17"/>
      <c r="AC453" s="1300"/>
    </row>
    <row r="454">
      <c r="B454" s="17"/>
      <c r="C454" s="17"/>
      <c r="D454" s="17"/>
      <c r="E454" s="343"/>
      <c r="F454" s="17"/>
      <c r="G454" s="17"/>
      <c r="H454" s="17"/>
      <c r="I454" s="17"/>
      <c r="J454" s="17" t="s">
        <v>998</v>
      </c>
      <c r="K454" s="17"/>
      <c r="L454" s="17"/>
      <c r="AC454" s="1300"/>
    </row>
    <row r="455">
      <c r="B455" s="17"/>
      <c r="C455" s="17"/>
      <c r="D455" s="17"/>
      <c r="E455" s="343"/>
      <c r="F455" s="17"/>
      <c r="G455" s="17"/>
      <c r="H455" s="17"/>
      <c r="I455" s="17"/>
      <c r="J455" s="17" t="s">
        <v>998</v>
      </c>
      <c r="K455" s="17"/>
      <c r="L455" s="17"/>
      <c r="AC455" s="1300"/>
    </row>
    <row r="456">
      <c r="B456" s="17"/>
      <c r="C456" s="17"/>
      <c r="D456" s="17"/>
      <c r="E456" s="343"/>
      <c r="F456" s="17"/>
      <c r="G456" s="17"/>
      <c r="H456" s="17"/>
      <c r="I456" s="17"/>
      <c r="J456" s="17" t="s">
        <v>998</v>
      </c>
      <c r="K456" s="17"/>
      <c r="L456" s="17"/>
      <c r="AC456" s="1300"/>
    </row>
    <row r="457">
      <c r="B457" s="17"/>
      <c r="C457" s="17"/>
      <c r="D457" s="17"/>
      <c r="E457" s="343"/>
      <c r="F457" s="17"/>
      <c r="G457" s="17"/>
      <c r="H457" s="17"/>
      <c r="I457" s="17"/>
      <c r="J457" s="17" t="s">
        <v>998</v>
      </c>
      <c r="K457" s="17"/>
      <c r="L457" s="17"/>
      <c r="AC457" s="1300"/>
    </row>
    <row r="458">
      <c r="B458" s="17"/>
      <c r="C458" s="17"/>
      <c r="D458" s="17"/>
      <c r="E458" s="343"/>
      <c r="F458" s="17"/>
      <c r="G458" s="17"/>
      <c r="H458" s="17"/>
      <c r="I458" s="17"/>
      <c r="J458" s="17" t="s">
        <v>998</v>
      </c>
      <c r="K458" s="17"/>
      <c r="L458" s="17"/>
      <c r="AC458" s="1300"/>
    </row>
    <row r="459">
      <c r="B459" s="17"/>
      <c r="C459" s="17"/>
      <c r="D459" s="17"/>
      <c r="E459" s="343"/>
      <c r="F459" s="17"/>
      <c r="G459" s="17"/>
      <c r="H459" s="17"/>
      <c r="I459" s="17"/>
      <c r="J459" s="17" t="s">
        <v>998</v>
      </c>
      <c r="K459" s="17"/>
      <c r="L459" s="17"/>
      <c r="AC459" s="1300"/>
    </row>
    <row r="460">
      <c r="B460" s="17"/>
      <c r="C460" s="17"/>
      <c r="D460" s="17"/>
      <c r="E460" s="343"/>
      <c r="F460" s="17"/>
      <c r="G460" s="17"/>
      <c r="H460" s="17"/>
      <c r="I460" s="17"/>
      <c r="J460" s="17" t="s">
        <v>998</v>
      </c>
      <c r="K460" s="17"/>
      <c r="L460" s="17"/>
      <c r="AC460" s="1300"/>
    </row>
    <row r="461">
      <c r="B461" s="17"/>
      <c r="C461" s="17"/>
      <c r="D461" s="17"/>
      <c r="E461" s="343"/>
      <c r="F461" s="17"/>
      <c r="G461" s="17"/>
      <c r="H461" s="17"/>
      <c r="I461" s="17"/>
      <c r="J461" s="17" t="s">
        <v>998</v>
      </c>
      <c r="K461" s="17"/>
      <c r="L461" s="17"/>
      <c r="AC461" s="1300"/>
    </row>
    <row r="462">
      <c r="B462" s="17"/>
      <c r="C462" s="17"/>
      <c r="D462" s="17"/>
      <c r="E462" s="343"/>
      <c r="F462" s="17"/>
      <c r="G462" s="17"/>
      <c r="H462" s="17"/>
      <c r="I462" s="17"/>
      <c r="J462" s="17" t="s">
        <v>998</v>
      </c>
      <c r="K462" s="17"/>
      <c r="L462" s="17"/>
      <c r="AC462" s="1300"/>
    </row>
    <row r="463">
      <c r="B463" s="17"/>
      <c r="C463" s="17"/>
      <c r="D463" s="17"/>
      <c r="E463" s="343"/>
      <c r="F463" s="17"/>
      <c r="G463" s="17"/>
      <c r="H463" s="17"/>
      <c r="I463" s="17"/>
      <c r="J463" s="17" t="s">
        <v>998</v>
      </c>
      <c r="K463" s="17"/>
      <c r="L463" s="17"/>
      <c r="AC463" s="1300"/>
    </row>
    <row r="464">
      <c r="B464" s="17"/>
      <c r="C464" s="17"/>
      <c r="D464" s="17"/>
      <c r="E464" s="343"/>
      <c r="F464" s="17"/>
      <c r="G464" s="17"/>
      <c r="H464" s="17"/>
      <c r="I464" s="17"/>
      <c r="J464" s="17" t="s">
        <v>998</v>
      </c>
      <c r="K464" s="17"/>
      <c r="L464" s="17"/>
      <c r="AC464" s="1300"/>
    </row>
    <row r="465">
      <c r="B465" s="17"/>
      <c r="C465" s="17"/>
      <c r="D465" s="17"/>
      <c r="E465" s="343"/>
      <c r="F465" s="17"/>
      <c r="G465" s="17"/>
      <c r="H465" s="17"/>
      <c r="I465" s="17"/>
      <c r="J465" s="17" t="s">
        <v>998</v>
      </c>
      <c r="K465" s="17"/>
      <c r="L465" s="17"/>
      <c r="AC465" s="1300"/>
    </row>
    <row r="466">
      <c r="B466" s="17"/>
      <c r="C466" s="17"/>
      <c r="D466" s="17"/>
      <c r="E466" s="343"/>
      <c r="F466" s="17"/>
      <c r="G466" s="17"/>
      <c r="H466" s="17"/>
      <c r="I466" s="17"/>
      <c r="J466" s="17" t="s">
        <v>998</v>
      </c>
      <c r="K466" s="17"/>
      <c r="L466" s="17"/>
      <c r="AC466" s="1300"/>
    </row>
    <row r="467">
      <c r="B467" s="17"/>
      <c r="C467" s="17"/>
      <c r="D467" s="17"/>
      <c r="E467" s="343"/>
      <c r="F467" s="17"/>
      <c r="G467" s="17"/>
      <c r="H467" s="17"/>
      <c r="I467" s="17"/>
      <c r="J467" s="17" t="s">
        <v>998</v>
      </c>
      <c r="K467" s="17"/>
      <c r="L467" s="17"/>
      <c r="AC467" s="1300"/>
    </row>
    <row r="468">
      <c r="B468" s="17"/>
      <c r="C468" s="17"/>
      <c r="D468" s="17"/>
      <c r="E468" s="343"/>
      <c r="F468" s="17"/>
      <c r="G468" s="17"/>
      <c r="H468" s="17"/>
      <c r="I468" s="17"/>
      <c r="J468" s="17" t="s">
        <v>998</v>
      </c>
      <c r="K468" s="17"/>
      <c r="L468" s="17"/>
      <c r="AC468" s="1300"/>
    </row>
    <row r="469">
      <c r="B469" s="17"/>
      <c r="C469" s="17"/>
      <c r="D469" s="17"/>
      <c r="E469" s="343"/>
      <c r="F469" s="17"/>
      <c r="G469" s="17"/>
      <c r="H469" s="17"/>
      <c r="I469" s="17"/>
      <c r="J469" s="17" t="s">
        <v>998</v>
      </c>
      <c r="K469" s="17"/>
      <c r="L469" s="17"/>
      <c r="AC469" s="1300"/>
    </row>
    <row r="470">
      <c r="B470" s="17"/>
      <c r="C470" s="17"/>
      <c r="D470" s="17"/>
      <c r="E470" s="343"/>
      <c r="F470" s="17"/>
      <c r="G470" s="17"/>
      <c r="H470" s="17"/>
      <c r="I470" s="17"/>
      <c r="J470" s="17" t="s">
        <v>998</v>
      </c>
      <c r="K470" s="17"/>
      <c r="L470" s="17"/>
      <c r="AC470" s="1300"/>
    </row>
    <row r="471">
      <c r="B471" s="17"/>
      <c r="C471" s="17"/>
      <c r="D471" s="17"/>
      <c r="E471" s="343"/>
      <c r="F471" s="17"/>
      <c r="G471" s="17"/>
      <c r="H471" s="17"/>
      <c r="I471" s="17"/>
      <c r="J471" s="17" t="s">
        <v>998</v>
      </c>
      <c r="K471" s="17"/>
      <c r="L471" s="17"/>
      <c r="AC471" s="1300"/>
    </row>
    <row r="472">
      <c r="B472" s="17"/>
      <c r="C472" s="17"/>
      <c r="D472" s="17"/>
      <c r="E472" s="343"/>
      <c r="F472" s="17"/>
      <c r="G472" s="17"/>
      <c r="H472" s="17"/>
      <c r="I472" s="17"/>
      <c r="J472" s="17" t="s">
        <v>998</v>
      </c>
      <c r="K472" s="17"/>
      <c r="L472" s="17"/>
      <c r="AC472" s="1300"/>
    </row>
    <row r="473">
      <c r="B473" s="17"/>
      <c r="C473" s="17"/>
      <c r="D473" s="17"/>
      <c r="E473" s="343"/>
      <c r="F473" s="17"/>
      <c r="G473" s="17"/>
      <c r="H473" s="17"/>
      <c r="I473" s="17"/>
      <c r="J473" s="17" t="s">
        <v>998</v>
      </c>
      <c r="K473" s="17"/>
      <c r="L473" s="17"/>
      <c r="AC473" s="1300"/>
    </row>
    <row r="474">
      <c r="B474" s="17"/>
      <c r="C474" s="17"/>
      <c r="D474" s="17"/>
      <c r="E474" s="343"/>
      <c r="F474" s="17"/>
      <c r="G474" s="17"/>
      <c r="H474" s="17"/>
      <c r="I474" s="17"/>
      <c r="J474" s="17" t="s">
        <v>998</v>
      </c>
      <c r="K474" s="17"/>
      <c r="L474" s="17"/>
      <c r="AC474" s="1300"/>
    </row>
    <row r="475">
      <c r="B475" s="17"/>
      <c r="C475" s="17"/>
      <c r="D475" s="17"/>
      <c r="E475" s="343"/>
      <c r="F475" s="17"/>
      <c r="G475" s="17"/>
      <c r="H475" s="17"/>
      <c r="I475" s="17"/>
      <c r="J475" s="17" t="s">
        <v>998</v>
      </c>
      <c r="K475" s="17"/>
      <c r="L475" s="17"/>
      <c r="AC475" s="1300"/>
    </row>
    <row r="476">
      <c r="B476" s="17"/>
      <c r="C476" s="17"/>
      <c r="D476" s="17"/>
      <c r="E476" s="343"/>
      <c r="F476" s="17"/>
      <c r="G476" s="17"/>
      <c r="H476" s="17"/>
      <c r="I476" s="17"/>
      <c r="J476" s="17" t="s">
        <v>998</v>
      </c>
      <c r="K476" s="17"/>
      <c r="L476" s="17"/>
      <c r="AC476" s="1300"/>
    </row>
    <row r="477">
      <c r="B477" s="17"/>
      <c r="C477" s="17"/>
      <c r="D477" s="17"/>
      <c r="E477" s="343"/>
      <c r="F477" s="17"/>
      <c r="G477" s="17"/>
      <c r="H477" s="17"/>
      <c r="I477" s="17"/>
      <c r="J477" s="17" t="s">
        <v>998</v>
      </c>
      <c r="K477" s="17"/>
      <c r="L477" s="17"/>
      <c r="AC477" s="1300"/>
    </row>
    <row r="478">
      <c r="B478" s="17"/>
      <c r="C478" s="17"/>
      <c r="D478" s="17"/>
      <c r="E478" s="343"/>
      <c r="F478" s="17"/>
      <c r="G478" s="17"/>
      <c r="H478" s="17"/>
      <c r="I478" s="17"/>
      <c r="J478" s="17" t="s">
        <v>998</v>
      </c>
      <c r="K478" s="17"/>
      <c r="L478" s="17"/>
      <c r="AC478" s="1300"/>
    </row>
    <row r="479">
      <c r="B479" s="17"/>
      <c r="C479" s="17"/>
      <c r="D479" s="17"/>
      <c r="E479" s="343"/>
      <c r="F479" s="17"/>
      <c r="G479" s="17"/>
      <c r="H479" s="17"/>
      <c r="I479" s="17"/>
      <c r="J479" s="17" t="s">
        <v>998</v>
      </c>
      <c r="K479" s="17"/>
      <c r="L479" s="17"/>
      <c r="AC479" s="1300"/>
    </row>
    <row r="480">
      <c r="B480" s="17"/>
      <c r="C480" s="17"/>
      <c r="D480" s="17"/>
      <c r="E480" s="343"/>
      <c r="F480" s="17"/>
      <c r="G480" s="17"/>
      <c r="H480" s="17"/>
      <c r="I480" s="17"/>
      <c r="J480" s="17" t="s">
        <v>998</v>
      </c>
      <c r="K480" s="17"/>
      <c r="L480" s="17"/>
      <c r="AC480" s="1300"/>
    </row>
    <row r="481">
      <c r="B481" s="17"/>
      <c r="C481" s="17"/>
      <c r="D481" s="17"/>
      <c r="E481" s="343"/>
      <c r="F481" s="17"/>
      <c r="G481" s="17"/>
      <c r="H481" s="17"/>
      <c r="I481" s="17"/>
      <c r="J481" s="17" t="s">
        <v>998</v>
      </c>
      <c r="K481" s="17"/>
      <c r="L481" s="17"/>
      <c r="AC481" s="1300"/>
    </row>
    <row r="482">
      <c r="B482" s="17"/>
      <c r="C482" s="17"/>
      <c r="D482" s="17"/>
      <c r="E482" s="343"/>
      <c r="F482" s="17"/>
      <c r="G482" s="17"/>
      <c r="H482" s="17"/>
      <c r="I482" s="17"/>
      <c r="J482" s="17" t="s">
        <v>998</v>
      </c>
      <c r="K482" s="17"/>
      <c r="L482" s="17"/>
      <c r="AC482" s="1300"/>
    </row>
    <row r="483">
      <c r="B483" s="17"/>
      <c r="C483" s="17"/>
      <c r="D483" s="17"/>
      <c r="E483" s="343"/>
      <c r="F483" s="17"/>
      <c r="G483" s="17"/>
      <c r="H483" s="17"/>
      <c r="I483" s="17"/>
      <c r="J483" s="17" t="s">
        <v>998</v>
      </c>
      <c r="K483" s="17"/>
      <c r="L483" s="17"/>
      <c r="AC483" s="1300"/>
    </row>
    <row r="484">
      <c r="B484" s="17"/>
      <c r="C484" s="17"/>
      <c r="D484" s="17"/>
      <c r="E484" s="343"/>
      <c r="F484" s="17"/>
      <c r="G484" s="17"/>
      <c r="H484" s="17"/>
      <c r="I484" s="17"/>
      <c r="J484" s="17" t="s">
        <v>998</v>
      </c>
      <c r="K484" s="17"/>
      <c r="L484" s="17"/>
      <c r="AC484" s="1300"/>
    </row>
    <row r="485">
      <c r="B485" s="17"/>
      <c r="C485" s="17"/>
      <c r="D485" s="17"/>
      <c r="E485" s="343"/>
      <c r="F485" s="17"/>
      <c r="G485" s="17"/>
      <c r="H485" s="17"/>
      <c r="I485" s="17"/>
      <c r="J485" s="17" t="s">
        <v>998</v>
      </c>
      <c r="K485" s="17"/>
      <c r="L485" s="17"/>
      <c r="AC485" s="1300"/>
    </row>
    <row r="486">
      <c r="B486" s="17"/>
      <c r="C486" s="17"/>
      <c r="D486" s="17"/>
      <c r="E486" s="343"/>
      <c r="F486" s="17"/>
      <c r="G486" s="17"/>
      <c r="H486" s="17"/>
      <c r="I486" s="17"/>
      <c r="J486" s="17" t="s">
        <v>998</v>
      </c>
      <c r="K486" s="17"/>
      <c r="L486" s="17"/>
      <c r="AC486" s="1300"/>
    </row>
    <row r="487">
      <c r="B487" s="17"/>
      <c r="C487" s="17"/>
      <c r="D487" s="17"/>
      <c r="E487" s="343"/>
      <c r="F487" s="17"/>
      <c r="G487" s="17"/>
      <c r="H487" s="17"/>
      <c r="I487" s="17"/>
      <c r="J487" s="17" t="s">
        <v>998</v>
      </c>
      <c r="K487" s="17"/>
      <c r="L487" s="17"/>
      <c r="AC487" s="1300"/>
    </row>
    <row r="488">
      <c r="B488" s="17"/>
      <c r="C488" s="17"/>
      <c r="D488" s="17"/>
      <c r="E488" s="343"/>
      <c r="F488" s="17"/>
      <c r="G488" s="17"/>
      <c r="H488" s="17"/>
      <c r="I488" s="17"/>
      <c r="J488" s="17" t="s">
        <v>998</v>
      </c>
      <c r="K488" s="17"/>
      <c r="L488" s="17"/>
      <c r="AC488" s="1300"/>
    </row>
    <row r="489">
      <c r="B489" s="17"/>
      <c r="C489" s="17"/>
      <c r="D489" s="17"/>
      <c r="E489" s="343"/>
      <c r="F489" s="17"/>
      <c r="G489" s="17"/>
      <c r="H489" s="17"/>
      <c r="I489" s="17"/>
      <c r="J489" s="17" t="s">
        <v>998</v>
      </c>
      <c r="K489" s="17"/>
      <c r="L489" s="17"/>
      <c r="AC489" s="1300"/>
    </row>
    <row r="490">
      <c r="B490" s="17"/>
      <c r="C490" s="17"/>
      <c r="D490" s="17"/>
      <c r="E490" s="343"/>
      <c r="F490" s="17"/>
      <c r="G490" s="17"/>
      <c r="H490" s="17"/>
      <c r="I490" s="17"/>
      <c r="J490" s="17" t="s">
        <v>998</v>
      </c>
      <c r="K490" s="17"/>
      <c r="L490" s="17"/>
      <c r="AC490" s="1300"/>
    </row>
    <row r="491">
      <c r="B491" s="17"/>
      <c r="C491" s="17"/>
      <c r="D491" s="17"/>
      <c r="E491" s="343"/>
      <c r="F491" s="17"/>
      <c r="G491" s="17"/>
      <c r="H491" s="17"/>
      <c r="I491" s="17"/>
      <c r="J491" s="17" t="s">
        <v>998</v>
      </c>
      <c r="K491" s="17"/>
      <c r="L491" s="17"/>
      <c r="AC491" s="1300"/>
    </row>
    <row r="492">
      <c r="B492" s="17"/>
      <c r="C492" s="17"/>
      <c r="D492" s="17"/>
      <c r="E492" s="343"/>
      <c r="F492" s="17"/>
      <c r="G492" s="17"/>
      <c r="H492" s="17"/>
      <c r="I492" s="17"/>
      <c r="J492" s="17" t="s">
        <v>998</v>
      </c>
      <c r="K492" s="17"/>
      <c r="L492" s="17"/>
      <c r="AC492" s="1300"/>
    </row>
    <row r="493">
      <c r="B493" s="17"/>
      <c r="C493" s="17"/>
      <c r="D493" s="17"/>
      <c r="E493" s="343"/>
      <c r="F493" s="17"/>
      <c r="G493" s="17"/>
      <c r="H493" s="17"/>
      <c r="I493" s="17"/>
      <c r="J493" s="17" t="s">
        <v>998</v>
      </c>
      <c r="K493" s="17"/>
      <c r="L493" s="17"/>
      <c r="AC493" s="1300"/>
    </row>
    <row r="494">
      <c r="B494" s="17"/>
      <c r="C494" s="17"/>
      <c r="D494" s="17"/>
      <c r="E494" s="343"/>
      <c r="F494" s="17"/>
      <c r="G494" s="17"/>
      <c r="H494" s="17"/>
      <c r="I494" s="17"/>
      <c r="J494" s="17" t="s">
        <v>998</v>
      </c>
      <c r="K494" s="17"/>
      <c r="L494" s="17"/>
      <c r="AC494" s="1300"/>
    </row>
    <row r="495">
      <c r="B495" s="17"/>
      <c r="C495" s="17"/>
      <c r="D495" s="17"/>
      <c r="E495" s="343"/>
      <c r="F495" s="17"/>
      <c r="G495" s="17"/>
      <c r="H495" s="17"/>
      <c r="I495" s="17"/>
      <c r="J495" s="17" t="s">
        <v>998</v>
      </c>
      <c r="K495" s="17"/>
      <c r="L495" s="17"/>
      <c r="AC495" s="1300"/>
    </row>
    <row r="496">
      <c r="B496" s="17"/>
      <c r="C496" s="17"/>
      <c r="D496" s="17"/>
      <c r="E496" s="343"/>
      <c r="F496" s="17"/>
      <c r="G496" s="17"/>
      <c r="H496" s="17"/>
      <c r="I496" s="17"/>
      <c r="J496" s="17" t="s">
        <v>998</v>
      </c>
      <c r="K496" s="17"/>
      <c r="L496" s="17"/>
      <c r="AC496" s="1300"/>
    </row>
    <row r="497">
      <c r="B497" s="17"/>
      <c r="C497" s="17"/>
      <c r="D497" s="17"/>
      <c r="E497" s="343"/>
      <c r="F497" s="17"/>
      <c r="G497" s="17"/>
      <c r="H497" s="17"/>
      <c r="I497" s="17"/>
      <c r="J497" s="17" t="s">
        <v>998</v>
      </c>
      <c r="K497" s="17"/>
      <c r="L497" s="17"/>
      <c r="AC497" s="1300"/>
    </row>
    <row r="498">
      <c r="B498" s="17"/>
      <c r="C498" s="17"/>
      <c r="D498" s="17"/>
      <c r="E498" s="343"/>
      <c r="F498" s="17"/>
      <c r="G498" s="17"/>
      <c r="H498" s="17"/>
      <c r="I498" s="17"/>
      <c r="J498" s="17" t="s">
        <v>998</v>
      </c>
      <c r="K498" s="17"/>
      <c r="L498" s="17"/>
      <c r="AC498" s="1300"/>
    </row>
    <row r="499">
      <c r="B499" s="17"/>
      <c r="C499" s="17"/>
      <c r="D499" s="17"/>
      <c r="E499" s="343"/>
      <c r="F499" s="17"/>
      <c r="G499" s="17"/>
      <c r="H499" s="17"/>
      <c r="I499" s="17"/>
      <c r="J499" s="17" t="s">
        <v>998</v>
      </c>
      <c r="K499" s="17"/>
      <c r="L499" s="17"/>
      <c r="AC499" s="1300"/>
    </row>
    <row r="500">
      <c r="B500" s="17"/>
      <c r="C500" s="17"/>
      <c r="D500" s="17"/>
      <c r="E500" s="343"/>
      <c r="F500" s="17"/>
      <c r="G500" s="17"/>
      <c r="H500" s="17"/>
      <c r="I500" s="17"/>
      <c r="J500" s="17" t="s">
        <v>998</v>
      </c>
      <c r="K500" s="17"/>
      <c r="L500" s="17"/>
      <c r="AC500" s="1300"/>
    </row>
    <row r="501">
      <c r="B501" s="17"/>
      <c r="C501" s="17"/>
      <c r="D501" s="17"/>
      <c r="E501" s="343"/>
      <c r="F501" s="17"/>
      <c r="G501" s="17"/>
      <c r="H501" s="17"/>
      <c r="I501" s="17"/>
      <c r="J501" s="17" t="s">
        <v>998</v>
      </c>
      <c r="K501" s="17"/>
      <c r="L501" s="17"/>
      <c r="AC501" s="1300"/>
    </row>
    <row r="502">
      <c r="B502" s="17"/>
      <c r="C502" s="17"/>
      <c r="D502" s="17"/>
      <c r="E502" s="343"/>
      <c r="F502" s="17"/>
      <c r="G502" s="17"/>
      <c r="H502" s="17"/>
      <c r="I502" s="17"/>
      <c r="J502" s="17" t="s">
        <v>998</v>
      </c>
      <c r="K502" s="17"/>
      <c r="L502" s="17"/>
      <c r="AC502" s="1300"/>
    </row>
    <row r="503">
      <c r="B503" s="17"/>
      <c r="C503" s="17"/>
      <c r="D503" s="17"/>
      <c r="E503" s="343"/>
      <c r="F503" s="17"/>
      <c r="G503" s="17"/>
      <c r="H503" s="17"/>
      <c r="I503" s="17"/>
      <c r="J503" s="17" t="s">
        <v>998</v>
      </c>
      <c r="K503" s="17"/>
      <c r="L503" s="17"/>
      <c r="AC503" s="1300"/>
    </row>
    <row r="504">
      <c r="B504" s="17"/>
      <c r="C504" s="17"/>
      <c r="D504" s="17"/>
      <c r="E504" s="343"/>
      <c r="F504" s="17"/>
      <c r="G504" s="17"/>
      <c r="H504" s="17"/>
      <c r="I504" s="17"/>
      <c r="J504" s="17" t="s">
        <v>998</v>
      </c>
      <c r="K504" s="17"/>
      <c r="L504" s="17"/>
      <c r="AC504" s="1300"/>
    </row>
    <row r="505">
      <c r="B505" s="17"/>
      <c r="C505" s="17"/>
      <c r="D505" s="17"/>
      <c r="E505" s="343"/>
      <c r="F505" s="17"/>
      <c r="G505" s="17"/>
      <c r="H505" s="17"/>
      <c r="I505" s="17"/>
      <c r="J505" s="17" t="s">
        <v>998</v>
      </c>
      <c r="K505" s="17"/>
      <c r="L505" s="17"/>
      <c r="AC505" s="1300"/>
    </row>
    <row r="506">
      <c r="B506" s="17"/>
      <c r="C506" s="17"/>
      <c r="D506" s="17"/>
      <c r="E506" s="343"/>
      <c r="F506" s="17"/>
      <c r="G506" s="17"/>
      <c r="H506" s="17"/>
      <c r="I506" s="17"/>
      <c r="J506" s="17" t="s">
        <v>998</v>
      </c>
      <c r="K506" s="17"/>
      <c r="L506" s="17"/>
      <c r="AC506" s="1300"/>
    </row>
    <row r="507">
      <c r="B507" s="17"/>
      <c r="C507" s="17"/>
      <c r="D507" s="17"/>
      <c r="E507" s="343"/>
      <c r="F507" s="17"/>
      <c r="G507" s="17"/>
      <c r="H507" s="17"/>
      <c r="I507" s="17"/>
      <c r="J507" s="17" t="s">
        <v>998</v>
      </c>
      <c r="K507" s="17"/>
      <c r="L507" s="17"/>
      <c r="AC507" s="1300"/>
    </row>
    <row r="508">
      <c r="B508" s="17"/>
      <c r="C508" s="17"/>
      <c r="D508" s="17"/>
      <c r="E508" s="343"/>
      <c r="F508" s="17"/>
      <c r="G508" s="17"/>
      <c r="H508" s="17"/>
      <c r="I508" s="17"/>
      <c r="J508" s="17" t="s">
        <v>998</v>
      </c>
      <c r="K508" s="17"/>
      <c r="L508" s="17"/>
      <c r="AC508" s="1300"/>
    </row>
    <row r="509">
      <c r="B509" s="17"/>
      <c r="C509" s="17"/>
      <c r="D509" s="17"/>
      <c r="E509" s="343"/>
      <c r="F509" s="17"/>
      <c r="G509" s="17"/>
      <c r="H509" s="17"/>
      <c r="I509" s="17"/>
      <c r="J509" s="17" t="s">
        <v>998</v>
      </c>
      <c r="K509" s="17"/>
      <c r="L509" s="17"/>
      <c r="AC509" s="1300"/>
    </row>
    <row r="510">
      <c r="B510" s="17"/>
      <c r="C510" s="17"/>
      <c r="D510" s="17"/>
      <c r="E510" s="343"/>
      <c r="F510" s="17"/>
      <c r="G510" s="17"/>
      <c r="H510" s="17"/>
      <c r="I510" s="17"/>
      <c r="J510" s="17" t="s">
        <v>998</v>
      </c>
      <c r="K510" s="17"/>
      <c r="L510" s="17"/>
      <c r="AC510" s="1300"/>
    </row>
    <row r="511">
      <c r="B511" s="17"/>
      <c r="C511" s="17"/>
      <c r="D511" s="17"/>
      <c r="E511" s="343"/>
      <c r="F511" s="17"/>
      <c r="G511" s="17"/>
      <c r="H511" s="17"/>
      <c r="I511" s="17"/>
      <c r="J511" s="17" t="s">
        <v>998</v>
      </c>
      <c r="K511" s="17"/>
      <c r="L511" s="17"/>
      <c r="AC511" s="1300"/>
    </row>
    <row r="512">
      <c r="B512" s="17"/>
      <c r="C512" s="17"/>
      <c r="D512" s="17"/>
      <c r="E512" s="343"/>
      <c r="F512" s="17"/>
      <c r="G512" s="17"/>
      <c r="H512" s="17"/>
      <c r="I512" s="17"/>
      <c r="J512" s="17" t="s">
        <v>998</v>
      </c>
      <c r="K512" s="17"/>
      <c r="L512" s="17"/>
      <c r="AC512" s="1300"/>
    </row>
    <row r="513">
      <c r="B513" s="17"/>
      <c r="C513" s="17"/>
      <c r="D513" s="17"/>
      <c r="E513" s="343"/>
      <c r="F513" s="17"/>
      <c r="G513" s="17"/>
      <c r="H513" s="17"/>
      <c r="I513" s="17"/>
      <c r="J513" s="17" t="s">
        <v>998</v>
      </c>
      <c r="K513" s="17"/>
      <c r="L513" s="17"/>
      <c r="AC513" s="1300"/>
    </row>
    <row r="514">
      <c r="B514" s="17"/>
      <c r="C514" s="17"/>
      <c r="D514" s="17"/>
      <c r="E514" s="343"/>
      <c r="F514" s="17"/>
      <c r="G514" s="17"/>
      <c r="H514" s="17"/>
      <c r="I514" s="17"/>
      <c r="J514" s="17" t="s">
        <v>998</v>
      </c>
      <c r="K514" s="17"/>
      <c r="L514" s="17"/>
      <c r="AC514" s="1300"/>
    </row>
    <row r="515">
      <c r="B515" s="17"/>
      <c r="C515" s="17"/>
      <c r="D515" s="17"/>
      <c r="E515" s="343"/>
      <c r="F515" s="17"/>
      <c r="G515" s="17"/>
      <c r="H515" s="17"/>
      <c r="I515" s="17"/>
      <c r="J515" s="17" t="s">
        <v>998</v>
      </c>
      <c r="K515" s="17"/>
      <c r="L515" s="17"/>
      <c r="AC515" s="1300"/>
    </row>
    <row r="516">
      <c r="B516" s="17"/>
      <c r="C516" s="17"/>
      <c r="D516" s="17"/>
      <c r="E516" s="343"/>
      <c r="F516" s="17"/>
      <c r="G516" s="17"/>
      <c r="H516" s="17"/>
      <c r="I516" s="17"/>
      <c r="J516" s="17" t="s">
        <v>998</v>
      </c>
      <c r="K516" s="17"/>
      <c r="L516" s="17"/>
      <c r="AC516" s="1300"/>
    </row>
    <row r="517">
      <c r="B517" s="17"/>
      <c r="C517" s="17"/>
      <c r="D517" s="17"/>
      <c r="E517" s="343"/>
      <c r="F517" s="17"/>
      <c r="G517" s="17"/>
      <c r="H517" s="17"/>
      <c r="I517" s="17"/>
      <c r="J517" s="17" t="s">
        <v>998</v>
      </c>
      <c r="K517" s="17"/>
      <c r="L517" s="17"/>
      <c r="AC517" s="1300"/>
    </row>
    <row r="518">
      <c r="B518" s="17"/>
      <c r="C518" s="17"/>
      <c r="D518" s="17"/>
      <c r="E518" s="343"/>
      <c r="F518" s="17"/>
      <c r="G518" s="17"/>
      <c r="H518" s="17"/>
      <c r="I518" s="17"/>
      <c r="J518" s="17" t="s">
        <v>998</v>
      </c>
      <c r="K518" s="17"/>
      <c r="L518" s="17"/>
      <c r="AC518" s="1300"/>
    </row>
    <row r="519">
      <c r="B519" s="17"/>
      <c r="C519" s="17"/>
      <c r="D519" s="17"/>
      <c r="E519" s="343"/>
      <c r="F519" s="17"/>
      <c r="G519" s="17"/>
      <c r="H519" s="17"/>
      <c r="I519" s="17"/>
      <c r="J519" s="17" t="s">
        <v>998</v>
      </c>
      <c r="K519" s="17"/>
      <c r="L519" s="17"/>
      <c r="AC519" s="1300"/>
    </row>
    <row r="520">
      <c r="B520" s="17"/>
      <c r="C520" s="17"/>
      <c r="D520" s="17"/>
      <c r="E520" s="343"/>
      <c r="F520" s="17"/>
      <c r="G520" s="17"/>
      <c r="H520" s="17"/>
      <c r="I520" s="17"/>
      <c r="J520" s="17" t="s">
        <v>998</v>
      </c>
      <c r="K520" s="17"/>
      <c r="L520" s="17"/>
      <c r="AC520" s="1300"/>
    </row>
    <row r="521">
      <c r="B521" s="17"/>
      <c r="C521" s="17"/>
      <c r="D521" s="17"/>
      <c r="E521" s="343"/>
      <c r="F521" s="17"/>
      <c r="G521" s="17"/>
      <c r="H521" s="17"/>
      <c r="I521" s="17"/>
      <c r="J521" s="17" t="s">
        <v>998</v>
      </c>
      <c r="K521" s="17"/>
      <c r="L521" s="17"/>
      <c r="AC521" s="1300"/>
    </row>
    <row r="522">
      <c r="B522" s="17"/>
      <c r="C522" s="17"/>
      <c r="D522" s="17"/>
      <c r="E522" s="343"/>
      <c r="F522" s="17"/>
      <c r="G522" s="17"/>
      <c r="H522" s="17"/>
      <c r="I522" s="17"/>
      <c r="J522" s="17" t="s">
        <v>998</v>
      </c>
      <c r="K522" s="17"/>
      <c r="L522" s="17"/>
      <c r="AC522" s="1300"/>
    </row>
    <row r="523">
      <c r="B523" s="17"/>
      <c r="C523" s="17"/>
      <c r="D523" s="17"/>
      <c r="E523" s="343"/>
      <c r="F523" s="17"/>
      <c r="G523" s="17"/>
      <c r="H523" s="17"/>
      <c r="I523" s="17"/>
      <c r="J523" s="17" t="s">
        <v>998</v>
      </c>
      <c r="K523" s="17"/>
      <c r="L523" s="17"/>
      <c r="AC523" s="1300"/>
    </row>
    <row r="524">
      <c r="B524" s="17"/>
      <c r="C524" s="17"/>
      <c r="D524" s="17"/>
      <c r="E524" s="343"/>
      <c r="F524" s="17"/>
      <c r="G524" s="17"/>
      <c r="H524" s="17"/>
      <c r="I524" s="17"/>
      <c r="J524" s="17" t="s">
        <v>998</v>
      </c>
      <c r="K524" s="17"/>
      <c r="L524" s="17"/>
      <c r="AC524" s="1300"/>
    </row>
    <row r="525">
      <c r="B525" s="17"/>
      <c r="C525" s="17"/>
      <c r="D525" s="17"/>
      <c r="E525" s="343"/>
      <c r="F525" s="17"/>
      <c r="G525" s="17"/>
      <c r="H525" s="17"/>
      <c r="I525" s="17"/>
      <c r="J525" s="17" t="s">
        <v>998</v>
      </c>
      <c r="K525" s="17"/>
      <c r="L525" s="17"/>
      <c r="AC525" s="1300"/>
    </row>
    <row r="526">
      <c r="B526" s="17"/>
      <c r="C526" s="17"/>
      <c r="D526" s="17"/>
      <c r="E526" s="343"/>
      <c r="F526" s="17"/>
      <c r="G526" s="17"/>
      <c r="H526" s="17"/>
      <c r="I526" s="17"/>
      <c r="J526" s="17" t="s">
        <v>998</v>
      </c>
      <c r="K526" s="17"/>
      <c r="L526" s="17"/>
      <c r="AC526" s="1300"/>
    </row>
    <row r="527">
      <c r="B527" s="17"/>
      <c r="C527" s="17"/>
      <c r="D527" s="17"/>
      <c r="E527" s="343"/>
      <c r="F527" s="17"/>
      <c r="G527" s="17"/>
      <c r="H527" s="17"/>
      <c r="I527" s="17"/>
      <c r="J527" s="17" t="s">
        <v>998</v>
      </c>
      <c r="K527" s="17"/>
      <c r="L527" s="17"/>
      <c r="AC527" s="1300"/>
    </row>
    <row r="528">
      <c r="B528" s="17"/>
      <c r="C528" s="17"/>
      <c r="D528" s="17"/>
      <c r="E528" s="343"/>
      <c r="F528" s="17"/>
      <c r="G528" s="17"/>
      <c r="H528" s="17"/>
      <c r="I528" s="17"/>
      <c r="J528" s="17" t="s">
        <v>998</v>
      </c>
      <c r="K528" s="17"/>
      <c r="L528" s="17"/>
      <c r="AC528" s="1300"/>
    </row>
    <row r="529">
      <c r="B529" s="17"/>
      <c r="C529" s="17"/>
      <c r="D529" s="17"/>
      <c r="E529" s="343"/>
      <c r="F529" s="17"/>
      <c r="G529" s="17"/>
      <c r="H529" s="17"/>
      <c r="I529" s="17"/>
      <c r="J529" s="17" t="s">
        <v>998</v>
      </c>
      <c r="K529" s="17"/>
      <c r="L529" s="17"/>
      <c r="AC529" s="1300"/>
    </row>
    <row r="530">
      <c r="B530" s="17"/>
      <c r="C530" s="17"/>
      <c r="D530" s="17"/>
      <c r="E530" s="343"/>
      <c r="F530" s="17"/>
      <c r="G530" s="17"/>
      <c r="H530" s="17"/>
      <c r="I530" s="17"/>
      <c r="J530" s="17" t="s">
        <v>998</v>
      </c>
      <c r="K530" s="17"/>
      <c r="L530" s="17"/>
      <c r="AC530" s="1300"/>
    </row>
    <row r="531">
      <c r="B531" s="17"/>
      <c r="C531" s="17"/>
      <c r="D531" s="17"/>
      <c r="E531" s="343"/>
      <c r="F531" s="17"/>
      <c r="G531" s="17"/>
      <c r="H531" s="17"/>
      <c r="I531" s="17"/>
      <c r="J531" s="17" t="s">
        <v>998</v>
      </c>
      <c r="K531" s="17"/>
      <c r="L531" s="17"/>
      <c r="AC531" s="1300"/>
    </row>
    <row r="532">
      <c r="B532" s="17"/>
      <c r="C532" s="17"/>
      <c r="D532" s="17"/>
      <c r="E532" s="343"/>
      <c r="F532" s="17"/>
      <c r="G532" s="17"/>
      <c r="H532" s="17"/>
      <c r="I532" s="17"/>
      <c r="J532" s="17" t="s">
        <v>998</v>
      </c>
      <c r="K532" s="17"/>
      <c r="L532" s="17"/>
      <c r="AC532" s="1300"/>
    </row>
    <row r="533">
      <c r="B533" s="17"/>
      <c r="C533" s="17"/>
      <c r="D533" s="17"/>
      <c r="E533" s="343"/>
      <c r="F533" s="17"/>
      <c r="G533" s="17"/>
      <c r="H533" s="17"/>
      <c r="I533" s="17"/>
      <c r="J533" s="17" t="s">
        <v>998</v>
      </c>
      <c r="K533" s="17"/>
      <c r="L533" s="17"/>
      <c r="AC533" s="1300"/>
    </row>
    <row r="534">
      <c r="B534" s="17"/>
      <c r="C534" s="17"/>
      <c r="D534" s="17"/>
      <c r="E534" s="343"/>
      <c r="F534" s="17"/>
      <c r="G534" s="17"/>
      <c r="H534" s="17"/>
      <c r="I534" s="17"/>
      <c r="J534" s="17" t="s">
        <v>998</v>
      </c>
      <c r="K534" s="17"/>
      <c r="L534" s="17"/>
      <c r="AC534" s="1300"/>
    </row>
    <row r="535">
      <c r="B535" s="17"/>
      <c r="C535" s="17"/>
      <c r="D535" s="17"/>
      <c r="E535" s="343"/>
      <c r="F535" s="17"/>
      <c r="G535" s="17"/>
      <c r="H535" s="17"/>
      <c r="I535" s="17"/>
      <c r="J535" s="17" t="s">
        <v>998</v>
      </c>
      <c r="K535" s="17"/>
      <c r="L535" s="17"/>
      <c r="AC535" s="1300"/>
    </row>
    <row r="536">
      <c r="B536" s="17"/>
      <c r="C536" s="17"/>
      <c r="D536" s="17"/>
      <c r="E536" s="343"/>
      <c r="F536" s="17"/>
      <c r="G536" s="17"/>
      <c r="H536" s="17"/>
      <c r="I536" s="17"/>
      <c r="J536" s="17" t="s">
        <v>998</v>
      </c>
      <c r="K536" s="17"/>
      <c r="L536" s="17"/>
      <c r="AC536" s="1300"/>
    </row>
    <row r="537">
      <c r="B537" s="17"/>
      <c r="C537" s="17"/>
      <c r="D537" s="17"/>
      <c r="E537" s="343"/>
      <c r="F537" s="17"/>
      <c r="G537" s="17"/>
      <c r="H537" s="17"/>
      <c r="I537" s="17"/>
      <c r="J537" s="17" t="s">
        <v>998</v>
      </c>
      <c r="K537" s="17"/>
      <c r="L537" s="17"/>
      <c r="AC537" s="1300"/>
    </row>
    <row r="538">
      <c r="B538" s="17"/>
      <c r="C538" s="17"/>
      <c r="D538" s="17"/>
      <c r="E538" s="343"/>
      <c r="F538" s="17"/>
      <c r="G538" s="17"/>
      <c r="H538" s="17"/>
      <c r="I538" s="17"/>
      <c r="J538" s="17" t="s">
        <v>998</v>
      </c>
      <c r="K538" s="17"/>
      <c r="L538" s="17"/>
      <c r="AC538" s="1300"/>
    </row>
    <row r="539">
      <c r="B539" s="17"/>
      <c r="C539" s="17"/>
      <c r="D539" s="17"/>
      <c r="E539" s="343"/>
      <c r="F539" s="17"/>
      <c r="G539" s="17"/>
      <c r="H539" s="17"/>
      <c r="I539" s="17"/>
      <c r="J539" s="17" t="s">
        <v>998</v>
      </c>
      <c r="K539" s="17"/>
      <c r="L539" s="17"/>
      <c r="AC539" s="1300"/>
    </row>
    <row r="540">
      <c r="B540" s="17"/>
      <c r="C540" s="17"/>
      <c r="D540" s="17"/>
      <c r="E540" s="343"/>
      <c r="F540" s="17"/>
      <c r="G540" s="17"/>
      <c r="H540" s="17"/>
      <c r="I540" s="17"/>
      <c r="J540" s="17" t="s">
        <v>998</v>
      </c>
      <c r="K540" s="17"/>
      <c r="L540" s="17"/>
      <c r="AC540" s="1300"/>
    </row>
    <row r="541">
      <c r="B541" s="17"/>
      <c r="C541" s="17"/>
      <c r="D541" s="17"/>
      <c r="E541" s="343"/>
      <c r="F541" s="17"/>
      <c r="G541" s="17"/>
      <c r="H541" s="17"/>
      <c r="I541" s="17"/>
      <c r="J541" s="17" t="s">
        <v>998</v>
      </c>
      <c r="K541" s="17"/>
      <c r="L541" s="17"/>
      <c r="AC541" s="1300"/>
    </row>
    <row r="542">
      <c r="B542" s="17"/>
      <c r="C542" s="17"/>
      <c r="D542" s="17"/>
      <c r="E542" s="343"/>
      <c r="F542" s="17"/>
      <c r="G542" s="17"/>
      <c r="H542" s="17"/>
      <c r="I542" s="17"/>
      <c r="J542" s="17" t="s">
        <v>998</v>
      </c>
      <c r="K542" s="17"/>
      <c r="L542" s="17"/>
      <c r="AC542" s="1300"/>
    </row>
    <row r="543">
      <c r="B543" s="17"/>
      <c r="C543" s="17"/>
      <c r="D543" s="17"/>
      <c r="E543" s="343"/>
      <c r="F543" s="17"/>
      <c r="G543" s="17"/>
      <c r="H543" s="17"/>
      <c r="I543" s="17"/>
      <c r="J543" s="17" t="s">
        <v>998</v>
      </c>
      <c r="K543" s="17"/>
      <c r="L543" s="17"/>
      <c r="AC543" s="1300"/>
    </row>
    <row r="544">
      <c r="B544" s="17"/>
      <c r="C544" s="17"/>
      <c r="D544" s="17"/>
      <c r="E544" s="343"/>
      <c r="F544" s="17"/>
      <c r="G544" s="17"/>
      <c r="H544" s="17"/>
      <c r="I544" s="17"/>
      <c r="J544" s="17" t="s">
        <v>998</v>
      </c>
      <c r="K544" s="17"/>
      <c r="L544" s="17"/>
      <c r="AC544" s="1300"/>
    </row>
    <row r="545">
      <c r="B545" s="17"/>
      <c r="C545" s="17"/>
      <c r="D545" s="17"/>
      <c r="E545" s="343"/>
      <c r="F545" s="17"/>
      <c r="G545" s="17"/>
      <c r="H545" s="17"/>
      <c r="I545" s="17"/>
      <c r="J545" s="17" t="s">
        <v>998</v>
      </c>
      <c r="K545" s="17"/>
      <c r="L545" s="17"/>
      <c r="AC545" s="1300"/>
    </row>
    <row r="546">
      <c r="B546" s="17"/>
      <c r="C546" s="17"/>
      <c r="D546" s="17"/>
      <c r="E546" s="343"/>
      <c r="F546" s="17"/>
      <c r="G546" s="17"/>
      <c r="H546" s="17"/>
      <c r="I546" s="17"/>
      <c r="J546" s="17" t="s">
        <v>998</v>
      </c>
      <c r="K546" s="17"/>
      <c r="L546" s="17"/>
      <c r="AC546" s="1300"/>
    </row>
    <row r="547">
      <c r="B547" s="17"/>
      <c r="C547" s="17"/>
      <c r="D547" s="17"/>
      <c r="E547" s="343"/>
      <c r="F547" s="17"/>
      <c r="G547" s="17"/>
      <c r="H547" s="17"/>
      <c r="I547" s="17"/>
      <c r="J547" s="17" t="s">
        <v>998</v>
      </c>
      <c r="K547" s="17"/>
      <c r="L547" s="17"/>
      <c r="AC547" s="1300"/>
    </row>
    <row r="548">
      <c r="B548" s="17"/>
      <c r="C548" s="17"/>
      <c r="D548" s="17"/>
      <c r="E548" s="343"/>
      <c r="F548" s="17"/>
      <c r="G548" s="17"/>
      <c r="H548" s="17"/>
      <c r="I548" s="17"/>
      <c r="J548" s="17" t="s">
        <v>998</v>
      </c>
      <c r="K548" s="17"/>
      <c r="L548" s="17"/>
      <c r="AC548" s="1300"/>
    </row>
    <row r="549">
      <c r="B549" s="17"/>
      <c r="C549" s="17"/>
      <c r="D549" s="17"/>
      <c r="E549" s="343"/>
      <c r="F549" s="17"/>
      <c r="G549" s="17"/>
      <c r="H549" s="17"/>
      <c r="I549" s="17"/>
      <c r="J549" s="17" t="s">
        <v>998</v>
      </c>
      <c r="K549" s="17"/>
      <c r="L549" s="17"/>
      <c r="AC549" s="1300"/>
    </row>
    <row r="550">
      <c r="B550" s="17"/>
      <c r="C550" s="17"/>
      <c r="D550" s="17"/>
      <c r="E550" s="343"/>
      <c r="F550" s="17"/>
      <c r="G550" s="17"/>
      <c r="H550" s="17"/>
      <c r="I550" s="17"/>
      <c r="J550" s="17" t="s">
        <v>998</v>
      </c>
      <c r="K550" s="17"/>
      <c r="L550" s="17"/>
      <c r="AC550" s="1300"/>
    </row>
    <row r="551">
      <c r="B551" s="17"/>
      <c r="C551" s="17"/>
      <c r="D551" s="17"/>
      <c r="E551" s="343"/>
      <c r="F551" s="17"/>
      <c r="G551" s="17"/>
      <c r="H551" s="17"/>
      <c r="I551" s="17"/>
      <c r="J551" s="17" t="s">
        <v>998</v>
      </c>
      <c r="K551" s="17"/>
      <c r="L551" s="17"/>
      <c r="AC551" s="1300"/>
    </row>
    <row r="552">
      <c r="B552" s="17"/>
      <c r="C552" s="17"/>
      <c r="D552" s="17"/>
      <c r="E552" s="343"/>
      <c r="F552" s="17"/>
      <c r="G552" s="17"/>
      <c r="H552" s="17"/>
      <c r="I552" s="17"/>
      <c r="J552" s="17" t="s">
        <v>998</v>
      </c>
      <c r="K552" s="17"/>
      <c r="L552" s="17"/>
      <c r="AC552" s="1300"/>
    </row>
    <row r="553">
      <c r="B553" s="17"/>
      <c r="C553" s="17"/>
      <c r="D553" s="17"/>
      <c r="E553" s="343"/>
      <c r="F553" s="17"/>
      <c r="G553" s="17"/>
      <c r="H553" s="17"/>
      <c r="I553" s="17"/>
      <c r="J553" s="17" t="s">
        <v>998</v>
      </c>
      <c r="K553" s="17"/>
      <c r="L553" s="17"/>
      <c r="AC553" s="1300"/>
    </row>
    <row r="554">
      <c r="B554" s="17"/>
      <c r="C554" s="17"/>
      <c r="D554" s="17"/>
      <c r="E554" s="343"/>
      <c r="F554" s="17"/>
      <c r="G554" s="17"/>
      <c r="H554" s="17"/>
      <c r="I554" s="17"/>
      <c r="J554" s="17" t="s">
        <v>998</v>
      </c>
      <c r="K554" s="17"/>
      <c r="L554" s="17"/>
      <c r="AC554" s="1300"/>
    </row>
    <row r="555">
      <c r="B555" s="17"/>
      <c r="C555" s="17"/>
      <c r="D555" s="17"/>
      <c r="E555" s="343"/>
      <c r="F555" s="17"/>
      <c r="G555" s="17"/>
      <c r="H555" s="17"/>
      <c r="I555" s="17"/>
      <c r="J555" s="17" t="s">
        <v>998</v>
      </c>
      <c r="K555" s="17"/>
      <c r="L555" s="17"/>
      <c r="AC555" s="1300"/>
    </row>
    <row r="556">
      <c r="B556" s="17"/>
      <c r="C556" s="17"/>
      <c r="D556" s="17"/>
      <c r="E556" s="343"/>
      <c r="F556" s="17"/>
      <c r="G556" s="17"/>
      <c r="H556" s="17"/>
      <c r="I556" s="17"/>
      <c r="J556" s="17" t="s">
        <v>998</v>
      </c>
      <c r="K556" s="17"/>
      <c r="L556" s="17"/>
      <c r="AC556" s="1300"/>
    </row>
    <row r="557">
      <c r="B557" s="17"/>
      <c r="C557" s="17"/>
      <c r="D557" s="17"/>
      <c r="E557" s="343"/>
      <c r="F557" s="17"/>
      <c r="G557" s="17"/>
      <c r="H557" s="17"/>
      <c r="I557" s="17"/>
      <c r="J557" s="17" t="s">
        <v>998</v>
      </c>
      <c r="K557" s="17"/>
      <c r="L557" s="17"/>
      <c r="AC557" s="1300"/>
    </row>
    <row r="558">
      <c r="B558" s="17"/>
      <c r="C558" s="17"/>
      <c r="D558" s="17"/>
      <c r="E558" s="343"/>
      <c r="F558" s="17"/>
      <c r="G558" s="17"/>
      <c r="H558" s="17"/>
      <c r="I558" s="17"/>
      <c r="J558" s="17" t="s">
        <v>998</v>
      </c>
      <c r="K558" s="17"/>
      <c r="L558" s="17"/>
      <c r="AC558" s="1300"/>
    </row>
    <row r="559">
      <c r="B559" s="17"/>
      <c r="C559" s="17"/>
      <c r="D559" s="17"/>
      <c r="E559" s="343"/>
      <c r="F559" s="17"/>
      <c r="G559" s="17"/>
      <c r="H559" s="17"/>
      <c r="I559" s="17"/>
      <c r="J559" s="17" t="s">
        <v>998</v>
      </c>
      <c r="K559" s="17"/>
      <c r="L559" s="17"/>
      <c r="AC559" s="1300"/>
    </row>
    <row r="560">
      <c r="B560" s="17"/>
      <c r="C560" s="17"/>
      <c r="D560" s="17"/>
      <c r="E560" s="343"/>
      <c r="F560" s="17"/>
      <c r="G560" s="17"/>
      <c r="H560" s="17"/>
      <c r="I560" s="17"/>
      <c r="J560" s="17" t="s">
        <v>998</v>
      </c>
      <c r="K560" s="17"/>
      <c r="L560" s="17"/>
      <c r="AC560" s="1300"/>
    </row>
    <row r="561">
      <c r="B561" s="17"/>
      <c r="C561" s="17"/>
      <c r="D561" s="17"/>
      <c r="E561" s="343"/>
      <c r="F561" s="17"/>
      <c r="G561" s="17"/>
      <c r="H561" s="17"/>
      <c r="I561" s="17"/>
      <c r="J561" s="17" t="s">
        <v>998</v>
      </c>
      <c r="K561" s="17"/>
      <c r="L561" s="17"/>
      <c r="AC561" s="1300"/>
    </row>
    <row r="562">
      <c r="B562" s="17"/>
      <c r="C562" s="17"/>
      <c r="D562" s="17"/>
      <c r="E562" s="343"/>
      <c r="F562" s="17"/>
      <c r="G562" s="17"/>
      <c r="H562" s="17"/>
      <c r="I562" s="17"/>
      <c r="J562" s="17" t="s">
        <v>998</v>
      </c>
      <c r="K562" s="17"/>
      <c r="L562" s="17"/>
      <c r="AC562" s="1300"/>
    </row>
    <row r="563">
      <c r="B563" s="17"/>
      <c r="C563" s="17"/>
      <c r="D563" s="17"/>
      <c r="E563" s="343"/>
      <c r="F563" s="17"/>
      <c r="G563" s="17"/>
      <c r="H563" s="17"/>
      <c r="I563" s="17"/>
      <c r="J563" s="17" t="s">
        <v>998</v>
      </c>
      <c r="K563" s="17"/>
      <c r="L563" s="17"/>
      <c r="AC563" s="1300"/>
    </row>
    <row r="564">
      <c r="B564" s="17"/>
      <c r="C564" s="17"/>
      <c r="D564" s="17"/>
      <c r="E564" s="343"/>
      <c r="F564" s="17"/>
      <c r="G564" s="17"/>
      <c r="H564" s="17"/>
      <c r="I564" s="17"/>
      <c r="J564" s="17" t="s">
        <v>998</v>
      </c>
      <c r="K564" s="17"/>
      <c r="L564" s="17"/>
      <c r="AC564" s="1300"/>
    </row>
    <row r="565">
      <c r="B565" s="17"/>
      <c r="C565" s="17"/>
      <c r="D565" s="17"/>
      <c r="E565" s="343"/>
      <c r="F565" s="17"/>
      <c r="G565" s="17"/>
      <c r="H565" s="17"/>
      <c r="I565" s="17"/>
      <c r="J565" s="17" t="s">
        <v>998</v>
      </c>
      <c r="K565" s="17"/>
      <c r="L565" s="17"/>
      <c r="AC565" s="1300"/>
    </row>
    <row r="566">
      <c r="B566" s="17"/>
      <c r="C566" s="17"/>
      <c r="D566" s="17"/>
      <c r="E566" s="343"/>
      <c r="F566" s="17"/>
      <c r="G566" s="17"/>
      <c r="H566" s="17"/>
      <c r="I566" s="17"/>
      <c r="J566" s="17" t="s">
        <v>998</v>
      </c>
      <c r="K566" s="17"/>
      <c r="L566" s="17"/>
      <c r="AC566" s="1300"/>
    </row>
    <row r="567">
      <c r="B567" s="17"/>
      <c r="C567" s="17"/>
      <c r="D567" s="17"/>
      <c r="E567" s="343"/>
      <c r="F567" s="17"/>
      <c r="G567" s="17"/>
      <c r="H567" s="17"/>
      <c r="I567" s="17"/>
      <c r="J567" s="17" t="s">
        <v>998</v>
      </c>
      <c r="K567" s="17"/>
      <c r="L567" s="17"/>
      <c r="AC567" s="1300"/>
    </row>
    <row r="568">
      <c r="B568" s="17"/>
      <c r="C568" s="17"/>
      <c r="D568" s="17"/>
      <c r="E568" s="343"/>
      <c r="F568" s="17"/>
      <c r="G568" s="17"/>
      <c r="H568" s="17"/>
      <c r="I568" s="17"/>
      <c r="J568" s="17" t="s">
        <v>998</v>
      </c>
      <c r="K568" s="17"/>
      <c r="L568" s="17"/>
      <c r="AC568" s="1300"/>
    </row>
    <row r="569">
      <c r="B569" s="17"/>
      <c r="C569" s="17"/>
      <c r="D569" s="17"/>
      <c r="E569" s="343"/>
      <c r="F569" s="17"/>
      <c r="G569" s="17"/>
      <c r="H569" s="17"/>
      <c r="I569" s="17"/>
      <c r="J569" s="17" t="s">
        <v>998</v>
      </c>
      <c r="K569" s="17"/>
      <c r="L569" s="17"/>
      <c r="AC569" s="1300"/>
    </row>
    <row r="570">
      <c r="B570" s="17"/>
      <c r="C570" s="17"/>
      <c r="D570" s="17"/>
      <c r="E570" s="343"/>
      <c r="F570" s="17"/>
      <c r="G570" s="17"/>
      <c r="H570" s="17"/>
      <c r="I570" s="17"/>
      <c r="J570" s="17" t="s">
        <v>998</v>
      </c>
      <c r="K570" s="17"/>
      <c r="L570" s="17"/>
      <c r="AC570" s="1300"/>
    </row>
    <row r="571">
      <c r="B571" s="17"/>
      <c r="C571" s="17"/>
      <c r="D571" s="17"/>
      <c r="E571" s="343"/>
      <c r="F571" s="17"/>
      <c r="G571" s="17"/>
      <c r="H571" s="17"/>
      <c r="I571" s="17"/>
      <c r="J571" s="17" t="s">
        <v>998</v>
      </c>
      <c r="K571" s="17"/>
      <c r="L571" s="17"/>
      <c r="AC571" s="1300"/>
    </row>
    <row r="572">
      <c r="B572" s="17"/>
      <c r="C572" s="17"/>
      <c r="D572" s="17"/>
      <c r="E572" s="343"/>
      <c r="F572" s="17"/>
      <c r="G572" s="17"/>
      <c r="H572" s="17"/>
      <c r="I572" s="17"/>
      <c r="J572" s="17" t="s">
        <v>998</v>
      </c>
      <c r="K572" s="17"/>
      <c r="L572" s="17"/>
      <c r="AC572" s="1300"/>
    </row>
    <row r="573">
      <c r="B573" s="17"/>
      <c r="C573" s="17"/>
      <c r="D573" s="17"/>
      <c r="E573" s="343"/>
      <c r="F573" s="17"/>
      <c r="G573" s="17"/>
      <c r="H573" s="17"/>
      <c r="I573" s="17"/>
      <c r="J573" s="17" t="s">
        <v>998</v>
      </c>
      <c r="K573" s="17"/>
      <c r="L573" s="17"/>
      <c r="AC573" s="1300"/>
    </row>
    <row r="574">
      <c r="B574" s="17"/>
      <c r="C574" s="17"/>
      <c r="D574" s="17"/>
      <c r="E574" s="343"/>
      <c r="F574" s="17"/>
      <c r="G574" s="17"/>
      <c r="H574" s="17"/>
      <c r="I574" s="17"/>
      <c r="J574" s="17" t="s">
        <v>998</v>
      </c>
      <c r="K574" s="17"/>
      <c r="L574" s="17"/>
      <c r="AC574" s="1300"/>
    </row>
    <row r="575">
      <c r="B575" s="17"/>
      <c r="C575" s="17"/>
      <c r="D575" s="17"/>
      <c r="E575" s="343"/>
      <c r="F575" s="17"/>
      <c r="G575" s="17"/>
      <c r="H575" s="17"/>
      <c r="I575" s="17"/>
      <c r="J575" s="17" t="s">
        <v>998</v>
      </c>
      <c r="K575" s="17"/>
      <c r="L575" s="17"/>
      <c r="AC575" s="1300"/>
    </row>
    <row r="576">
      <c r="B576" s="17"/>
      <c r="C576" s="17"/>
      <c r="D576" s="17"/>
      <c r="E576" s="343"/>
      <c r="F576" s="17"/>
      <c r="G576" s="17"/>
      <c r="H576" s="17"/>
      <c r="I576" s="17"/>
      <c r="J576" s="17" t="s">
        <v>998</v>
      </c>
      <c r="K576" s="17"/>
      <c r="L576" s="17"/>
      <c r="AC576" s="1300"/>
    </row>
    <row r="577">
      <c r="B577" s="17"/>
      <c r="C577" s="17"/>
      <c r="D577" s="17"/>
      <c r="E577" s="343"/>
      <c r="F577" s="17"/>
      <c r="G577" s="17"/>
      <c r="H577" s="17"/>
      <c r="I577" s="17"/>
      <c r="J577" s="17" t="s">
        <v>998</v>
      </c>
      <c r="K577" s="17"/>
      <c r="L577" s="17"/>
      <c r="AC577" s="1300"/>
    </row>
    <row r="578">
      <c r="B578" s="17"/>
      <c r="C578" s="17"/>
      <c r="D578" s="17"/>
      <c r="E578" s="343"/>
      <c r="F578" s="17"/>
      <c r="G578" s="17"/>
      <c r="H578" s="17"/>
      <c r="I578" s="17"/>
      <c r="J578" s="17" t="s">
        <v>998</v>
      </c>
      <c r="K578" s="17"/>
      <c r="L578" s="17"/>
      <c r="AC578" s="1300"/>
    </row>
    <row r="579">
      <c r="B579" s="17"/>
      <c r="C579" s="17"/>
      <c r="D579" s="17"/>
      <c r="E579" s="343"/>
      <c r="F579" s="17"/>
      <c r="G579" s="17"/>
      <c r="H579" s="17"/>
      <c r="I579" s="17"/>
      <c r="J579" s="17" t="s">
        <v>998</v>
      </c>
      <c r="K579" s="17"/>
      <c r="L579" s="17"/>
      <c r="AC579" s="1300"/>
    </row>
    <row r="580">
      <c r="B580" s="17"/>
      <c r="C580" s="17"/>
      <c r="D580" s="17"/>
      <c r="E580" s="343"/>
      <c r="F580" s="17"/>
      <c r="G580" s="17"/>
      <c r="H580" s="17"/>
      <c r="I580" s="17"/>
      <c r="J580" s="17" t="s">
        <v>998</v>
      </c>
      <c r="K580" s="17"/>
      <c r="L580" s="17"/>
      <c r="AC580" s="1300"/>
    </row>
    <row r="581">
      <c r="B581" s="17"/>
      <c r="C581" s="17"/>
      <c r="D581" s="17"/>
      <c r="E581" s="343"/>
      <c r="F581" s="17"/>
      <c r="G581" s="17"/>
      <c r="H581" s="17"/>
      <c r="I581" s="17"/>
      <c r="J581" s="17" t="s">
        <v>998</v>
      </c>
      <c r="K581" s="17"/>
      <c r="L581" s="17"/>
      <c r="AC581" s="1300"/>
    </row>
    <row r="582">
      <c r="B582" s="17"/>
      <c r="C582" s="17"/>
      <c r="D582" s="17"/>
      <c r="E582" s="343"/>
      <c r="F582" s="17"/>
      <c r="G582" s="17"/>
      <c r="H582" s="17"/>
      <c r="I582" s="17"/>
      <c r="J582" s="17" t="s">
        <v>998</v>
      </c>
      <c r="K582" s="17"/>
      <c r="L582" s="17"/>
      <c r="AC582" s="1300"/>
    </row>
    <row r="583">
      <c r="B583" s="17"/>
      <c r="C583" s="17"/>
      <c r="D583" s="17"/>
      <c r="E583" s="343"/>
      <c r="F583" s="17"/>
      <c r="G583" s="17"/>
      <c r="H583" s="17"/>
      <c r="I583" s="17"/>
      <c r="J583" s="17" t="s">
        <v>998</v>
      </c>
      <c r="K583" s="17"/>
      <c r="L583" s="17"/>
      <c r="AC583" s="1300"/>
    </row>
    <row r="584">
      <c r="B584" s="17"/>
      <c r="C584" s="17"/>
      <c r="D584" s="17"/>
      <c r="E584" s="343"/>
      <c r="F584" s="17"/>
      <c r="G584" s="17"/>
      <c r="H584" s="17"/>
      <c r="I584" s="17"/>
      <c r="J584" s="17" t="s">
        <v>998</v>
      </c>
      <c r="K584" s="17"/>
      <c r="L584" s="17"/>
      <c r="AC584" s="1300"/>
    </row>
    <row r="585">
      <c r="B585" s="17"/>
      <c r="C585" s="17"/>
      <c r="D585" s="17"/>
      <c r="E585" s="343"/>
      <c r="F585" s="17"/>
      <c r="G585" s="17"/>
      <c r="H585" s="17"/>
      <c r="I585" s="17"/>
      <c r="J585" s="17" t="s">
        <v>998</v>
      </c>
      <c r="K585" s="17"/>
      <c r="L585" s="17"/>
      <c r="AC585" s="1300"/>
    </row>
    <row r="586">
      <c r="B586" s="17"/>
      <c r="C586" s="17"/>
      <c r="D586" s="17"/>
      <c r="E586" s="343"/>
      <c r="F586" s="17"/>
      <c r="G586" s="17"/>
      <c r="H586" s="17"/>
      <c r="I586" s="17"/>
      <c r="J586" s="17" t="s">
        <v>998</v>
      </c>
      <c r="K586" s="17"/>
      <c r="L586" s="17"/>
      <c r="AC586" s="1300"/>
    </row>
    <row r="587">
      <c r="B587" s="17"/>
      <c r="C587" s="17"/>
      <c r="D587" s="17"/>
      <c r="E587" s="343"/>
      <c r="F587" s="17"/>
      <c r="G587" s="17"/>
      <c r="H587" s="17"/>
      <c r="I587" s="17"/>
      <c r="J587" s="17" t="s">
        <v>998</v>
      </c>
      <c r="K587" s="17"/>
      <c r="L587" s="17"/>
      <c r="AC587" s="1300"/>
    </row>
    <row r="588">
      <c r="B588" s="17"/>
      <c r="C588" s="17"/>
      <c r="D588" s="17"/>
      <c r="E588" s="343"/>
      <c r="F588" s="17"/>
      <c r="G588" s="17"/>
      <c r="H588" s="17"/>
      <c r="I588" s="17"/>
      <c r="J588" s="17" t="s">
        <v>998</v>
      </c>
      <c r="K588" s="17"/>
      <c r="L588" s="17"/>
      <c r="AC588" s="1300"/>
    </row>
    <row r="589">
      <c r="B589" s="17"/>
      <c r="C589" s="17"/>
      <c r="D589" s="17"/>
      <c r="E589" s="343"/>
      <c r="F589" s="17"/>
      <c r="G589" s="17"/>
      <c r="H589" s="17"/>
      <c r="I589" s="17"/>
      <c r="J589" s="17" t="s">
        <v>998</v>
      </c>
      <c r="K589" s="17"/>
      <c r="L589" s="17"/>
      <c r="AC589" s="1300"/>
    </row>
    <row r="590">
      <c r="B590" s="17"/>
      <c r="C590" s="17"/>
      <c r="D590" s="17"/>
      <c r="E590" s="343"/>
      <c r="F590" s="17"/>
      <c r="G590" s="17"/>
      <c r="H590" s="17"/>
      <c r="I590" s="17"/>
      <c r="J590" s="17" t="s">
        <v>998</v>
      </c>
      <c r="K590" s="17"/>
      <c r="L590" s="17"/>
      <c r="AC590" s="1300"/>
    </row>
    <row r="591">
      <c r="B591" s="17"/>
      <c r="C591" s="17"/>
      <c r="D591" s="17"/>
      <c r="E591" s="343"/>
      <c r="F591" s="17"/>
      <c r="G591" s="17"/>
      <c r="H591" s="17"/>
      <c r="I591" s="17"/>
      <c r="J591" s="17" t="s">
        <v>998</v>
      </c>
      <c r="K591" s="17"/>
      <c r="L591" s="17"/>
      <c r="AC591" s="1300"/>
    </row>
    <row r="592">
      <c r="B592" s="17"/>
      <c r="C592" s="17"/>
      <c r="D592" s="17"/>
      <c r="E592" s="343"/>
      <c r="F592" s="17"/>
      <c r="G592" s="17"/>
      <c r="H592" s="17"/>
      <c r="I592" s="17"/>
      <c r="J592" s="17" t="s">
        <v>998</v>
      </c>
      <c r="K592" s="17"/>
      <c r="L592" s="17"/>
      <c r="AC592" s="1300"/>
    </row>
    <row r="593">
      <c r="B593" s="17"/>
      <c r="C593" s="17"/>
      <c r="D593" s="17"/>
      <c r="E593" s="343"/>
      <c r="F593" s="17"/>
      <c r="G593" s="17"/>
      <c r="H593" s="17"/>
      <c r="I593" s="17"/>
      <c r="J593" s="17" t="s">
        <v>998</v>
      </c>
      <c r="K593" s="17"/>
      <c r="L593" s="17"/>
      <c r="AC593" s="1300"/>
    </row>
    <row r="594">
      <c r="B594" s="17"/>
      <c r="C594" s="17"/>
      <c r="D594" s="17"/>
      <c r="E594" s="343"/>
      <c r="F594" s="17"/>
      <c r="G594" s="17"/>
      <c r="H594" s="17"/>
      <c r="I594" s="17"/>
      <c r="J594" s="17" t="s">
        <v>998</v>
      </c>
      <c r="K594" s="17"/>
      <c r="L594" s="17"/>
      <c r="AC594" s="1300"/>
    </row>
    <row r="595">
      <c r="B595" s="17"/>
      <c r="C595" s="17"/>
      <c r="D595" s="17"/>
      <c r="E595" s="343"/>
      <c r="F595" s="17"/>
      <c r="G595" s="17"/>
      <c r="H595" s="17"/>
      <c r="I595" s="17"/>
      <c r="J595" s="17" t="s">
        <v>998</v>
      </c>
      <c r="K595" s="17"/>
      <c r="L595" s="17"/>
      <c r="AC595" s="1300"/>
    </row>
    <row r="596">
      <c r="B596" s="17"/>
      <c r="C596" s="17"/>
      <c r="D596" s="17"/>
      <c r="E596" s="343"/>
      <c r="F596" s="17"/>
      <c r="G596" s="17"/>
      <c r="H596" s="17"/>
      <c r="I596" s="17"/>
      <c r="J596" s="17" t="s">
        <v>998</v>
      </c>
      <c r="K596" s="17"/>
      <c r="L596" s="17"/>
      <c r="AC596" s="1300"/>
    </row>
    <row r="597">
      <c r="B597" s="17"/>
      <c r="C597" s="17"/>
      <c r="D597" s="17"/>
      <c r="E597" s="343"/>
      <c r="F597" s="17"/>
      <c r="G597" s="17"/>
      <c r="H597" s="17"/>
      <c r="I597" s="17"/>
      <c r="J597" s="17" t="s">
        <v>998</v>
      </c>
      <c r="K597" s="17"/>
      <c r="L597" s="17"/>
      <c r="AC597" s="1300"/>
    </row>
    <row r="598">
      <c r="B598" s="17"/>
      <c r="C598" s="17"/>
      <c r="D598" s="17"/>
      <c r="E598" s="343"/>
      <c r="F598" s="17"/>
      <c r="G598" s="17"/>
      <c r="H598" s="17"/>
      <c r="I598" s="17"/>
      <c r="J598" s="17" t="s">
        <v>998</v>
      </c>
      <c r="K598" s="17"/>
      <c r="L598" s="17"/>
      <c r="AC598" s="1300"/>
    </row>
    <row r="599">
      <c r="B599" s="17"/>
      <c r="C599" s="17"/>
      <c r="D599" s="17"/>
      <c r="E599" s="343"/>
      <c r="F599" s="17"/>
      <c r="G599" s="17"/>
      <c r="H599" s="17"/>
      <c r="I599" s="17"/>
      <c r="J599" s="17" t="s">
        <v>998</v>
      </c>
      <c r="K599" s="17"/>
      <c r="L599" s="17"/>
      <c r="AC599" s="1300"/>
    </row>
    <row r="600">
      <c r="B600" s="17"/>
      <c r="C600" s="17"/>
      <c r="D600" s="17"/>
      <c r="E600" s="343"/>
      <c r="F600" s="17"/>
      <c r="G600" s="17"/>
      <c r="H600" s="17"/>
      <c r="I600" s="17"/>
      <c r="J600" s="17" t="s">
        <v>998</v>
      </c>
      <c r="K600" s="17"/>
      <c r="L600" s="17"/>
      <c r="AC600" s="1300"/>
    </row>
    <row r="601">
      <c r="B601" s="17"/>
      <c r="C601" s="17"/>
      <c r="D601" s="17"/>
      <c r="E601" s="343"/>
      <c r="F601" s="17"/>
      <c r="G601" s="17"/>
      <c r="H601" s="17"/>
      <c r="I601" s="17"/>
      <c r="J601" s="17" t="s">
        <v>998</v>
      </c>
      <c r="K601" s="17"/>
      <c r="L601" s="17"/>
      <c r="AC601" s="1300"/>
    </row>
    <row r="602">
      <c r="B602" s="17"/>
      <c r="C602" s="17"/>
      <c r="D602" s="17"/>
      <c r="E602" s="343"/>
      <c r="F602" s="17"/>
      <c r="G602" s="17"/>
      <c r="H602" s="17"/>
      <c r="I602" s="17"/>
      <c r="J602" s="17" t="s">
        <v>998</v>
      </c>
      <c r="K602" s="17"/>
      <c r="L602" s="17"/>
      <c r="AC602" s="1300"/>
    </row>
    <row r="603">
      <c r="B603" s="17"/>
      <c r="C603" s="17"/>
      <c r="D603" s="17"/>
      <c r="E603" s="343"/>
      <c r="F603" s="17"/>
      <c r="G603" s="17"/>
      <c r="H603" s="17"/>
      <c r="I603" s="17"/>
      <c r="J603" s="17" t="s">
        <v>998</v>
      </c>
      <c r="K603" s="17"/>
      <c r="L603" s="17"/>
      <c r="AC603" s="1300"/>
    </row>
    <row r="604">
      <c r="B604" s="17"/>
      <c r="C604" s="17"/>
      <c r="D604" s="17"/>
      <c r="E604" s="343"/>
      <c r="F604" s="17"/>
      <c r="G604" s="17"/>
      <c r="H604" s="17"/>
      <c r="I604" s="17"/>
      <c r="J604" s="17" t="s">
        <v>998</v>
      </c>
      <c r="K604" s="17"/>
      <c r="L604" s="17"/>
      <c r="AC604" s="1300"/>
    </row>
    <row r="605">
      <c r="B605" s="17"/>
      <c r="C605" s="17"/>
      <c r="D605" s="17"/>
      <c r="E605" s="343"/>
      <c r="F605" s="17"/>
      <c r="G605" s="17"/>
      <c r="H605" s="17"/>
      <c r="I605" s="17"/>
      <c r="J605" s="17" t="s">
        <v>998</v>
      </c>
      <c r="K605" s="17"/>
      <c r="L605" s="17"/>
      <c r="AC605" s="1300"/>
    </row>
    <row r="606">
      <c r="B606" s="17"/>
      <c r="C606" s="17"/>
      <c r="D606" s="17"/>
      <c r="E606" s="343"/>
      <c r="F606" s="17"/>
      <c r="G606" s="17"/>
      <c r="H606" s="17"/>
      <c r="I606" s="17"/>
      <c r="J606" s="17" t="s">
        <v>998</v>
      </c>
      <c r="K606" s="17"/>
      <c r="L606" s="17"/>
      <c r="AC606" s="1300"/>
    </row>
    <row r="607">
      <c r="B607" s="17"/>
      <c r="C607" s="17"/>
      <c r="D607" s="17"/>
      <c r="E607" s="343"/>
      <c r="F607" s="17"/>
      <c r="G607" s="17"/>
      <c r="H607" s="17"/>
      <c r="I607" s="17"/>
      <c r="J607" s="17" t="s">
        <v>998</v>
      </c>
      <c r="K607" s="17"/>
      <c r="L607" s="17"/>
      <c r="AC607" s="1300"/>
    </row>
    <row r="608">
      <c r="B608" s="17"/>
      <c r="C608" s="17"/>
      <c r="D608" s="17"/>
      <c r="E608" s="343"/>
      <c r="F608" s="17"/>
      <c r="G608" s="17"/>
      <c r="H608" s="17"/>
      <c r="I608" s="17"/>
      <c r="J608" s="17" t="s">
        <v>998</v>
      </c>
      <c r="K608" s="17"/>
      <c r="L608" s="17"/>
      <c r="AC608" s="1300"/>
    </row>
    <row r="609">
      <c r="B609" s="17"/>
      <c r="C609" s="17"/>
      <c r="D609" s="17"/>
      <c r="E609" s="343"/>
      <c r="F609" s="17"/>
      <c r="G609" s="17"/>
      <c r="H609" s="17"/>
      <c r="I609" s="17"/>
      <c r="J609" s="17" t="s">
        <v>998</v>
      </c>
      <c r="K609" s="17"/>
      <c r="L609" s="17"/>
      <c r="AC609" s="1300"/>
    </row>
    <row r="610">
      <c r="B610" s="17"/>
      <c r="C610" s="17"/>
      <c r="D610" s="17"/>
      <c r="E610" s="343"/>
      <c r="F610" s="17"/>
      <c r="G610" s="17"/>
      <c r="H610" s="17"/>
      <c r="I610" s="17"/>
      <c r="J610" s="17" t="s">
        <v>998</v>
      </c>
      <c r="K610" s="17"/>
      <c r="L610" s="17"/>
      <c r="AC610" s="1300"/>
    </row>
    <row r="611">
      <c r="B611" s="17"/>
      <c r="C611" s="17"/>
      <c r="D611" s="17"/>
      <c r="E611" s="343"/>
      <c r="F611" s="17"/>
      <c r="G611" s="17"/>
      <c r="H611" s="17"/>
      <c r="I611" s="17"/>
      <c r="J611" s="17" t="s">
        <v>998</v>
      </c>
      <c r="K611" s="17"/>
      <c r="L611" s="17"/>
      <c r="AC611" s="1300"/>
    </row>
    <row r="612">
      <c r="B612" s="17"/>
      <c r="C612" s="17"/>
      <c r="D612" s="17"/>
      <c r="E612" s="343"/>
      <c r="F612" s="17"/>
      <c r="G612" s="17"/>
      <c r="H612" s="17"/>
      <c r="I612" s="17"/>
      <c r="J612" s="17" t="s">
        <v>998</v>
      </c>
      <c r="K612" s="17"/>
      <c r="L612" s="17"/>
      <c r="AC612" s="1300"/>
    </row>
    <row r="613">
      <c r="B613" s="17"/>
      <c r="C613" s="17"/>
      <c r="D613" s="17"/>
      <c r="E613" s="343"/>
      <c r="F613" s="17"/>
      <c r="G613" s="17"/>
      <c r="H613" s="17"/>
      <c r="I613" s="17"/>
      <c r="J613" s="17" t="s">
        <v>998</v>
      </c>
      <c r="K613" s="17"/>
      <c r="L613" s="17"/>
      <c r="AC613" s="1300"/>
    </row>
    <row r="614">
      <c r="B614" s="17"/>
      <c r="C614" s="17"/>
      <c r="D614" s="17"/>
      <c r="E614" s="343"/>
      <c r="F614" s="17"/>
      <c r="G614" s="17"/>
      <c r="H614" s="17"/>
      <c r="I614" s="17"/>
      <c r="J614" s="17" t="s">
        <v>998</v>
      </c>
      <c r="K614" s="17"/>
      <c r="L614" s="17"/>
      <c r="AC614" s="1300"/>
    </row>
    <row r="615">
      <c r="B615" s="17"/>
      <c r="C615" s="17"/>
      <c r="D615" s="17"/>
      <c r="E615" s="343"/>
      <c r="F615" s="17"/>
      <c r="G615" s="17"/>
      <c r="H615" s="17"/>
      <c r="I615" s="17"/>
      <c r="J615" s="17" t="s">
        <v>998</v>
      </c>
      <c r="K615" s="17"/>
      <c r="L615" s="17"/>
      <c r="AC615" s="1300"/>
    </row>
    <row r="616">
      <c r="B616" s="17"/>
      <c r="C616" s="17"/>
      <c r="D616" s="17"/>
      <c r="E616" s="343"/>
      <c r="F616" s="17"/>
      <c r="G616" s="17"/>
      <c r="H616" s="17"/>
      <c r="I616" s="17"/>
      <c r="J616" s="17" t="s">
        <v>998</v>
      </c>
      <c r="K616" s="17"/>
      <c r="L616" s="17"/>
      <c r="AC616" s="1300"/>
    </row>
    <row r="617">
      <c r="B617" s="17"/>
      <c r="C617" s="17"/>
      <c r="D617" s="17"/>
      <c r="E617" s="343"/>
      <c r="F617" s="17"/>
      <c r="G617" s="17"/>
      <c r="H617" s="17"/>
      <c r="I617" s="17"/>
      <c r="J617" s="17" t="s">
        <v>998</v>
      </c>
      <c r="K617" s="17"/>
      <c r="L617" s="17"/>
      <c r="AC617" s="1300"/>
    </row>
    <row r="618">
      <c r="B618" s="17"/>
      <c r="C618" s="17"/>
      <c r="D618" s="17"/>
      <c r="E618" s="343"/>
      <c r="F618" s="17"/>
      <c r="G618" s="17"/>
      <c r="H618" s="17"/>
      <c r="I618" s="17"/>
      <c r="J618" s="17" t="s">
        <v>998</v>
      </c>
      <c r="K618" s="17"/>
      <c r="L618" s="17"/>
      <c r="AC618" s="1300"/>
    </row>
    <row r="619">
      <c r="B619" s="17"/>
      <c r="C619" s="17"/>
      <c r="D619" s="17"/>
      <c r="E619" s="343"/>
      <c r="F619" s="17"/>
      <c r="G619" s="17"/>
      <c r="H619" s="17"/>
      <c r="I619" s="17"/>
      <c r="J619" s="17" t="s">
        <v>998</v>
      </c>
      <c r="K619" s="17"/>
      <c r="L619" s="17"/>
      <c r="AC619" s="1300"/>
    </row>
    <row r="620">
      <c r="B620" s="17"/>
      <c r="C620" s="17"/>
      <c r="D620" s="17"/>
      <c r="E620" s="343"/>
      <c r="F620" s="17"/>
      <c r="G620" s="17"/>
      <c r="H620" s="17"/>
      <c r="I620" s="17"/>
      <c r="J620" s="17" t="s">
        <v>998</v>
      </c>
      <c r="K620" s="17"/>
      <c r="L620" s="17"/>
      <c r="AC620" s="1300"/>
    </row>
    <row r="621">
      <c r="B621" s="17"/>
      <c r="C621" s="17"/>
      <c r="D621" s="17"/>
      <c r="E621" s="343"/>
      <c r="F621" s="17"/>
      <c r="G621" s="17"/>
      <c r="H621" s="17"/>
      <c r="I621" s="17"/>
      <c r="J621" s="17" t="s">
        <v>998</v>
      </c>
      <c r="K621" s="17"/>
      <c r="L621" s="17"/>
      <c r="AC621" s="1300"/>
    </row>
    <row r="622">
      <c r="B622" s="17"/>
      <c r="C622" s="17"/>
      <c r="D622" s="17"/>
      <c r="E622" s="343"/>
      <c r="F622" s="17"/>
      <c r="G622" s="17"/>
      <c r="H622" s="17"/>
      <c r="I622" s="17"/>
      <c r="J622" s="17" t="s">
        <v>998</v>
      </c>
      <c r="K622" s="17"/>
      <c r="L622" s="17"/>
      <c r="AC622" s="1300"/>
    </row>
    <row r="623">
      <c r="B623" s="17"/>
      <c r="C623" s="17"/>
      <c r="D623" s="17"/>
      <c r="E623" s="343"/>
      <c r="F623" s="17"/>
      <c r="G623" s="17"/>
      <c r="H623" s="17"/>
      <c r="I623" s="17"/>
      <c r="J623" s="17" t="s">
        <v>998</v>
      </c>
      <c r="K623" s="17"/>
      <c r="L623" s="17"/>
      <c r="AC623" s="1300"/>
    </row>
    <row r="624">
      <c r="B624" s="17"/>
      <c r="C624" s="17"/>
      <c r="D624" s="17"/>
      <c r="E624" s="343"/>
      <c r="F624" s="17"/>
      <c r="G624" s="17"/>
      <c r="H624" s="17"/>
      <c r="I624" s="17"/>
      <c r="J624" s="17" t="s">
        <v>998</v>
      </c>
      <c r="K624" s="17"/>
      <c r="L624" s="17"/>
      <c r="AC624" s="1300"/>
    </row>
    <row r="625">
      <c r="B625" s="17"/>
      <c r="C625" s="17"/>
      <c r="D625" s="17"/>
      <c r="E625" s="343"/>
      <c r="F625" s="17"/>
      <c r="G625" s="17"/>
      <c r="H625" s="17"/>
      <c r="I625" s="17"/>
      <c r="J625" s="17" t="s">
        <v>998</v>
      </c>
      <c r="K625" s="17"/>
      <c r="L625" s="17"/>
      <c r="AC625" s="1300"/>
    </row>
    <row r="626">
      <c r="B626" s="17"/>
      <c r="C626" s="17"/>
      <c r="D626" s="17"/>
      <c r="E626" s="343"/>
      <c r="F626" s="17"/>
      <c r="G626" s="17"/>
      <c r="H626" s="17"/>
      <c r="I626" s="17"/>
      <c r="J626" s="17" t="s">
        <v>998</v>
      </c>
      <c r="K626" s="17"/>
      <c r="L626" s="17"/>
      <c r="AC626" s="1300"/>
    </row>
    <row r="627">
      <c r="B627" s="17"/>
      <c r="C627" s="17"/>
      <c r="D627" s="17"/>
      <c r="E627" s="343"/>
      <c r="F627" s="17"/>
      <c r="G627" s="17"/>
      <c r="H627" s="17"/>
      <c r="I627" s="17"/>
      <c r="J627" s="17" t="s">
        <v>998</v>
      </c>
      <c r="K627" s="17"/>
      <c r="L627" s="17"/>
      <c r="AC627" s="1300"/>
    </row>
    <row r="628">
      <c r="B628" s="17"/>
      <c r="C628" s="17"/>
      <c r="D628" s="17"/>
      <c r="E628" s="343"/>
      <c r="F628" s="17"/>
      <c r="G628" s="17"/>
      <c r="H628" s="17"/>
      <c r="I628" s="17"/>
      <c r="J628" s="17" t="s">
        <v>998</v>
      </c>
      <c r="K628" s="17"/>
      <c r="L628" s="17"/>
      <c r="AC628" s="1300"/>
    </row>
    <row r="629">
      <c r="B629" s="17"/>
      <c r="C629" s="17"/>
      <c r="D629" s="17"/>
      <c r="E629" s="343"/>
      <c r="F629" s="17"/>
      <c r="G629" s="17"/>
      <c r="H629" s="17"/>
      <c r="I629" s="17"/>
      <c r="J629" s="17" t="s">
        <v>998</v>
      </c>
      <c r="K629" s="17"/>
      <c r="L629" s="17"/>
      <c r="AC629" s="1300"/>
    </row>
    <row r="630">
      <c r="B630" s="17"/>
      <c r="C630" s="17"/>
      <c r="D630" s="17"/>
      <c r="E630" s="343"/>
      <c r="F630" s="17"/>
      <c r="G630" s="17"/>
      <c r="H630" s="17"/>
      <c r="I630" s="17"/>
      <c r="J630" s="17" t="s">
        <v>998</v>
      </c>
      <c r="K630" s="17"/>
      <c r="L630" s="17"/>
      <c r="AC630" s="1300"/>
    </row>
    <row r="631">
      <c r="B631" s="17"/>
      <c r="C631" s="17"/>
      <c r="D631" s="17"/>
      <c r="E631" s="343"/>
      <c r="F631" s="17"/>
      <c r="G631" s="17"/>
      <c r="H631" s="17"/>
      <c r="I631" s="17"/>
      <c r="J631" s="17" t="s">
        <v>998</v>
      </c>
      <c r="K631" s="17"/>
      <c r="L631" s="17"/>
      <c r="AC631" s="1300"/>
    </row>
    <row r="632">
      <c r="B632" s="17"/>
      <c r="C632" s="17"/>
      <c r="D632" s="17"/>
      <c r="E632" s="343"/>
      <c r="F632" s="17"/>
      <c r="G632" s="17"/>
      <c r="H632" s="17"/>
      <c r="I632" s="17"/>
      <c r="J632" s="17" t="s">
        <v>998</v>
      </c>
      <c r="K632" s="17"/>
      <c r="L632" s="17"/>
      <c r="AC632" s="1300"/>
    </row>
    <row r="633">
      <c r="B633" s="17"/>
      <c r="C633" s="17"/>
      <c r="D633" s="17"/>
      <c r="E633" s="343"/>
      <c r="F633" s="17"/>
      <c r="G633" s="17"/>
      <c r="H633" s="17"/>
      <c r="I633" s="17"/>
      <c r="J633" s="17" t="s">
        <v>998</v>
      </c>
      <c r="K633" s="17"/>
      <c r="L633" s="17"/>
      <c r="AC633" s="1300"/>
    </row>
    <row r="634">
      <c r="B634" s="17"/>
      <c r="C634" s="17"/>
      <c r="D634" s="17"/>
      <c r="E634" s="343"/>
      <c r="F634" s="17"/>
      <c r="G634" s="17"/>
      <c r="H634" s="17"/>
      <c r="I634" s="17"/>
      <c r="J634" s="17" t="s">
        <v>998</v>
      </c>
      <c r="K634" s="17"/>
      <c r="L634" s="17"/>
      <c r="AC634" s="1300"/>
    </row>
    <row r="635">
      <c r="B635" s="17"/>
      <c r="C635" s="17"/>
      <c r="D635" s="17"/>
      <c r="E635" s="343"/>
      <c r="F635" s="17"/>
      <c r="G635" s="17"/>
      <c r="H635" s="17"/>
      <c r="I635" s="17"/>
      <c r="J635" s="17" t="s">
        <v>998</v>
      </c>
      <c r="K635" s="17"/>
      <c r="L635" s="17"/>
      <c r="AC635" s="1300"/>
    </row>
    <row r="636">
      <c r="B636" s="17"/>
      <c r="C636" s="17"/>
      <c r="D636" s="17"/>
      <c r="E636" s="343"/>
      <c r="F636" s="17"/>
      <c r="G636" s="17"/>
      <c r="H636" s="17"/>
      <c r="I636" s="17"/>
      <c r="J636" s="17" t="s">
        <v>998</v>
      </c>
      <c r="K636" s="17"/>
      <c r="L636" s="17"/>
      <c r="AC636" s="1300"/>
    </row>
    <row r="637">
      <c r="B637" s="17"/>
      <c r="C637" s="17"/>
      <c r="D637" s="17"/>
      <c r="E637" s="343"/>
      <c r="F637" s="17"/>
      <c r="G637" s="17"/>
      <c r="H637" s="17"/>
      <c r="I637" s="17"/>
      <c r="J637" s="17" t="s">
        <v>998</v>
      </c>
      <c r="K637" s="17"/>
      <c r="L637" s="17"/>
      <c r="AC637" s="1300"/>
    </row>
    <row r="638">
      <c r="B638" s="17"/>
      <c r="C638" s="17"/>
      <c r="D638" s="17"/>
      <c r="E638" s="343"/>
      <c r="F638" s="17"/>
      <c r="G638" s="17"/>
      <c r="H638" s="17"/>
      <c r="I638" s="17"/>
      <c r="J638" s="17" t="s">
        <v>998</v>
      </c>
      <c r="K638" s="17"/>
      <c r="L638" s="17"/>
      <c r="AC638" s="1300"/>
    </row>
    <row r="639">
      <c r="B639" s="17"/>
      <c r="C639" s="17"/>
      <c r="D639" s="17"/>
      <c r="E639" s="343"/>
      <c r="F639" s="17"/>
      <c r="G639" s="17"/>
      <c r="H639" s="17"/>
      <c r="I639" s="17"/>
      <c r="J639" s="17" t="s">
        <v>998</v>
      </c>
      <c r="K639" s="17"/>
      <c r="L639" s="17"/>
      <c r="AC639" s="1300"/>
    </row>
    <row r="640">
      <c r="B640" s="17"/>
      <c r="C640" s="17"/>
      <c r="D640" s="17"/>
      <c r="E640" s="343"/>
      <c r="F640" s="17"/>
      <c r="G640" s="17"/>
      <c r="H640" s="17"/>
      <c r="I640" s="17"/>
      <c r="J640" s="17" t="s">
        <v>998</v>
      </c>
      <c r="K640" s="17"/>
      <c r="L640" s="17"/>
      <c r="AC640" s="1300"/>
    </row>
    <row r="641">
      <c r="B641" s="17"/>
      <c r="C641" s="17"/>
      <c r="D641" s="17"/>
      <c r="E641" s="343"/>
      <c r="F641" s="17"/>
      <c r="G641" s="17"/>
      <c r="H641" s="17"/>
      <c r="I641" s="17"/>
      <c r="J641" s="17" t="s">
        <v>998</v>
      </c>
      <c r="K641" s="17"/>
      <c r="L641" s="17"/>
      <c r="AC641" s="1300"/>
    </row>
    <row r="642">
      <c r="B642" s="17"/>
      <c r="C642" s="17"/>
      <c r="D642" s="17"/>
      <c r="E642" s="343"/>
      <c r="F642" s="17"/>
      <c r="G642" s="17"/>
      <c r="H642" s="17"/>
      <c r="I642" s="17"/>
      <c r="J642" s="17" t="s">
        <v>998</v>
      </c>
      <c r="K642" s="17"/>
      <c r="L642" s="17"/>
      <c r="AC642" s="1300"/>
    </row>
    <row r="643">
      <c r="B643" s="17"/>
      <c r="C643" s="17"/>
      <c r="D643" s="17"/>
      <c r="E643" s="343"/>
      <c r="F643" s="17"/>
      <c r="G643" s="17"/>
      <c r="H643" s="17"/>
      <c r="I643" s="17"/>
      <c r="J643" s="17" t="s">
        <v>998</v>
      </c>
      <c r="K643" s="17"/>
      <c r="L643" s="17"/>
      <c r="AC643" s="1300"/>
    </row>
    <row r="644">
      <c r="B644" s="17"/>
      <c r="C644" s="17"/>
      <c r="D644" s="17"/>
      <c r="E644" s="343"/>
      <c r="F644" s="17"/>
      <c r="G644" s="17"/>
      <c r="H644" s="17"/>
      <c r="I644" s="17"/>
      <c r="J644" s="17" t="s">
        <v>998</v>
      </c>
      <c r="K644" s="17"/>
      <c r="L644" s="17"/>
      <c r="AC644" s="1300"/>
    </row>
    <row r="645">
      <c r="B645" s="17"/>
      <c r="C645" s="17"/>
      <c r="D645" s="17"/>
      <c r="E645" s="343"/>
      <c r="F645" s="17"/>
      <c r="G645" s="17"/>
      <c r="H645" s="17"/>
      <c r="I645" s="17"/>
      <c r="J645" s="17" t="s">
        <v>998</v>
      </c>
      <c r="K645" s="17"/>
      <c r="L645" s="17"/>
      <c r="AC645" s="1300"/>
    </row>
    <row r="646">
      <c r="B646" s="17"/>
      <c r="C646" s="17"/>
      <c r="D646" s="17"/>
      <c r="E646" s="343"/>
      <c r="F646" s="17"/>
      <c r="G646" s="17"/>
      <c r="H646" s="17"/>
      <c r="I646" s="17"/>
      <c r="J646" s="17" t="s">
        <v>998</v>
      </c>
      <c r="K646" s="17"/>
      <c r="L646" s="17"/>
      <c r="AC646" s="1300"/>
    </row>
    <row r="647">
      <c r="B647" s="17"/>
      <c r="C647" s="17"/>
      <c r="D647" s="17"/>
      <c r="E647" s="343"/>
      <c r="F647" s="17"/>
      <c r="G647" s="17"/>
      <c r="H647" s="17"/>
      <c r="I647" s="17"/>
      <c r="J647" s="17" t="s">
        <v>998</v>
      </c>
      <c r="K647" s="17"/>
      <c r="L647" s="17"/>
      <c r="AC647" s="1300"/>
    </row>
    <row r="648">
      <c r="B648" s="17"/>
      <c r="C648" s="17"/>
      <c r="D648" s="17"/>
      <c r="E648" s="343"/>
      <c r="F648" s="17"/>
      <c r="G648" s="17"/>
      <c r="H648" s="17"/>
      <c r="I648" s="17"/>
      <c r="J648" s="17" t="s">
        <v>998</v>
      </c>
      <c r="K648" s="17"/>
      <c r="L648" s="17"/>
      <c r="AC648" s="1300"/>
    </row>
    <row r="649">
      <c r="B649" s="17"/>
      <c r="C649" s="17"/>
      <c r="D649" s="17"/>
      <c r="E649" s="343"/>
      <c r="F649" s="17"/>
      <c r="G649" s="17"/>
      <c r="H649" s="17"/>
      <c r="I649" s="17"/>
      <c r="J649" s="17" t="s">
        <v>998</v>
      </c>
      <c r="K649" s="17"/>
      <c r="L649" s="17"/>
      <c r="AC649" s="1300"/>
    </row>
    <row r="650">
      <c r="B650" s="17"/>
      <c r="C650" s="17"/>
      <c r="D650" s="17"/>
      <c r="E650" s="343"/>
      <c r="F650" s="17"/>
      <c r="G650" s="17"/>
      <c r="H650" s="17"/>
      <c r="I650" s="17"/>
      <c r="J650" s="17" t="s">
        <v>998</v>
      </c>
      <c r="K650" s="17"/>
      <c r="L650" s="17"/>
      <c r="AC650" s="1300"/>
    </row>
    <row r="651">
      <c r="B651" s="17"/>
      <c r="C651" s="17"/>
      <c r="D651" s="17"/>
      <c r="E651" s="343"/>
      <c r="F651" s="17"/>
      <c r="G651" s="17"/>
      <c r="H651" s="17"/>
      <c r="I651" s="17"/>
      <c r="J651" s="17" t="s">
        <v>998</v>
      </c>
      <c r="K651" s="17"/>
      <c r="L651" s="17"/>
      <c r="AC651" s="1300"/>
    </row>
    <row r="652">
      <c r="B652" s="17"/>
      <c r="C652" s="17"/>
      <c r="D652" s="17"/>
      <c r="E652" s="343"/>
      <c r="F652" s="17"/>
      <c r="G652" s="17"/>
      <c r="H652" s="17"/>
      <c r="I652" s="17"/>
      <c r="J652" s="17" t="s">
        <v>998</v>
      </c>
      <c r="K652" s="17"/>
      <c r="L652" s="17"/>
      <c r="AC652" s="1300"/>
    </row>
    <row r="653">
      <c r="B653" s="17"/>
      <c r="C653" s="17"/>
      <c r="D653" s="17"/>
      <c r="E653" s="343"/>
      <c r="F653" s="17"/>
      <c r="G653" s="17"/>
      <c r="H653" s="17"/>
      <c r="I653" s="17"/>
      <c r="J653" s="17" t="s">
        <v>998</v>
      </c>
      <c r="K653" s="17"/>
      <c r="L653" s="17"/>
      <c r="AC653" s="1300"/>
    </row>
    <row r="654">
      <c r="B654" s="17"/>
      <c r="C654" s="17"/>
      <c r="D654" s="17"/>
      <c r="E654" s="343"/>
      <c r="F654" s="17"/>
      <c r="G654" s="17"/>
      <c r="H654" s="17"/>
      <c r="I654" s="17"/>
      <c r="J654" s="17" t="s">
        <v>998</v>
      </c>
      <c r="K654" s="17"/>
      <c r="L654" s="17"/>
      <c r="AC654" s="1300"/>
    </row>
    <row r="655">
      <c r="B655" s="17"/>
      <c r="C655" s="17"/>
      <c r="D655" s="17"/>
      <c r="E655" s="343"/>
      <c r="F655" s="17"/>
      <c r="G655" s="17"/>
      <c r="H655" s="17"/>
      <c r="I655" s="17"/>
      <c r="J655" s="17" t="s">
        <v>998</v>
      </c>
      <c r="K655" s="17"/>
      <c r="L655" s="17"/>
      <c r="AC655" s="1300"/>
    </row>
    <row r="656">
      <c r="B656" s="17"/>
      <c r="C656" s="17"/>
      <c r="D656" s="17"/>
      <c r="E656" s="343"/>
      <c r="F656" s="17"/>
      <c r="G656" s="17"/>
      <c r="H656" s="17"/>
      <c r="I656" s="17"/>
      <c r="J656" s="17" t="s">
        <v>998</v>
      </c>
      <c r="K656" s="17"/>
      <c r="L656" s="17"/>
      <c r="AC656" s="1300"/>
    </row>
    <row r="657">
      <c r="B657" s="17"/>
      <c r="C657" s="17"/>
      <c r="D657" s="17"/>
      <c r="E657" s="343"/>
      <c r="F657" s="17"/>
      <c r="G657" s="17"/>
      <c r="H657" s="17"/>
      <c r="I657" s="17"/>
      <c r="J657" s="17" t="s">
        <v>998</v>
      </c>
      <c r="K657" s="17"/>
      <c r="L657" s="17"/>
      <c r="AC657" s="1300"/>
    </row>
    <row r="658">
      <c r="B658" s="17"/>
      <c r="C658" s="17"/>
      <c r="D658" s="17"/>
      <c r="E658" s="343"/>
      <c r="F658" s="17"/>
      <c r="G658" s="17"/>
      <c r="H658" s="17"/>
      <c r="I658" s="17"/>
      <c r="J658" s="17" t="s">
        <v>998</v>
      </c>
      <c r="K658" s="17"/>
      <c r="L658" s="17"/>
      <c r="AC658" s="1300"/>
    </row>
    <row r="659">
      <c r="B659" s="17"/>
      <c r="C659" s="17"/>
      <c r="D659" s="17"/>
      <c r="E659" s="343"/>
      <c r="F659" s="17"/>
      <c r="G659" s="17"/>
      <c r="H659" s="17"/>
      <c r="I659" s="17"/>
      <c r="J659" s="17" t="s">
        <v>998</v>
      </c>
      <c r="K659" s="17"/>
      <c r="L659" s="17"/>
      <c r="AC659" s="1300"/>
    </row>
    <row r="660">
      <c r="B660" s="17"/>
      <c r="C660" s="17"/>
      <c r="D660" s="17"/>
      <c r="E660" s="343"/>
      <c r="F660" s="17"/>
      <c r="G660" s="17"/>
      <c r="H660" s="17"/>
      <c r="I660" s="17"/>
      <c r="J660" s="17" t="s">
        <v>998</v>
      </c>
      <c r="K660" s="17"/>
      <c r="L660" s="17"/>
      <c r="AC660" s="1300"/>
    </row>
    <row r="661">
      <c r="B661" s="17"/>
      <c r="C661" s="17"/>
      <c r="D661" s="17"/>
      <c r="E661" s="343"/>
      <c r="F661" s="17"/>
      <c r="G661" s="17"/>
      <c r="H661" s="17"/>
      <c r="I661" s="17"/>
      <c r="J661" s="17" t="s">
        <v>998</v>
      </c>
      <c r="K661" s="17"/>
      <c r="L661" s="17"/>
      <c r="AC661" s="1300"/>
    </row>
    <row r="662">
      <c r="B662" s="17"/>
      <c r="C662" s="17"/>
      <c r="D662" s="17"/>
      <c r="E662" s="343"/>
      <c r="F662" s="17"/>
      <c r="G662" s="17"/>
      <c r="H662" s="17"/>
      <c r="I662" s="17"/>
      <c r="J662" s="17" t="s">
        <v>998</v>
      </c>
      <c r="K662" s="17"/>
      <c r="L662" s="17"/>
      <c r="AC662" s="1300"/>
    </row>
    <row r="663">
      <c r="B663" s="17"/>
      <c r="C663" s="17"/>
      <c r="D663" s="17"/>
      <c r="E663" s="343"/>
      <c r="F663" s="17"/>
      <c r="G663" s="17"/>
      <c r="H663" s="17"/>
      <c r="I663" s="17"/>
      <c r="J663" s="17" t="s">
        <v>998</v>
      </c>
      <c r="K663" s="17"/>
      <c r="L663" s="17"/>
      <c r="AC663" s="1300"/>
    </row>
    <row r="664">
      <c r="B664" s="17"/>
      <c r="C664" s="17"/>
      <c r="D664" s="17"/>
      <c r="E664" s="343"/>
      <c r="F664" s="17"/>
      <c r="G664" s="17"/>
      <c r="H664" s="17"/>
      <c r="I664" s="17"/>
      <c r="J664" s="17" t="s">
        <v>998</v>
      </c>
      <c r="K664" s="17"/>
      <c r="L664" s="17"/>
      <c r="AC664" s="1300"/>
    </row>
    <row r="665">
      <c r="B665" s="17"/>
      <c r="C665" s="17"/>
      <c r="D665" s="17"/>
      <c r="E665" s="343"/>
      <c r="F665" s="17"/>
      <c r="G665" s="17"/>
      <c r="H665" s="17"/>
      <c r="I665" s="17"/>
      <c r="J665" s="17" t="s">
        <v>998</v>
      </c>
      <c r="K665" s="17"/>
      <c r="L665" s="17"/>
      <c r="AC665" s="1300"/>
    </row>
    <row r="666">
      <c r="B666" s="17"/>
      <c r="C666" s="17"/>
      <c r="D666" s="17"/>
      <c r="E666" s="343"/>
      <c r="F666" s="17"/>
      <c r="G666" s="17"/>
      <c r="H666" s="17"/>
      <c r="I666" s="17"/>
      <c r="J666" s="17" t="s">
        <v>998</v>
      </c>
      <c r="K666" s="17"/>
      <c r="L666" s="17"/>
      <c r="AC666" s="1300"/>
    </row>
    <row r="667">
      <c r="B667" s="17"/>
      <c r="C667" s="17"/>
      <c r="D667" s="17"/>
      <c r="E667" s="343"/>
      <c r="F667" s="17"/>
      <c r="G667" s="17"/>
      <c r="H667" s="17"/>
      <c r="I667" s="17"/>
      <c r="J667" s="17" t="s">
        <v>998</v>
      </c>
      <c r="K667" s="17"/>
      <c r="L667" s="17"/>
      <c r="AC667" s="1300"/>
    </row>
    <row r="668">
      <c r="B668" s="17"/>
      <c r="C668" s="17"/>
      <c r="D668" s="17"/>
      <c r="E668" s="343"/>
      <c r="F668" s="17"/>
      <c r="G668" s="17"/>
      <c r="H668" s="17"/>
      <c r="I668" s="17"/>
      <c r="J668" s="17" t="s">
        <v>998</v>
      </c>
      <c r="K668" s="17"/>
      <c r="L668" s="17"/>
      <c r="AC668" s="1300"/>
    </row>
    <row r="669">
      <c r="B669" s="17"/>
      <c r="C669" s="17"/>
      <c r="D669" s="17"/>
      <c r="E669" s="343"/>
      <c r="F669" s="17"/>
      <c r="G669" s="17"/>
      <c r="H669" s="17"/>
      <c r="I669" s="17"/>
      <c r="J669" s="17" t="s">
        <v>998</v>
      </c>
      <c r="K669" s="17"/>
      <c r="L669" s="17"/>
      <c r="AC669" s="1300"/>
    </row>
    <row r="670">
      <c r="B670" s="17"/>
      <c r="C670" s="17"/>
      <c r="D670" s="17"/>
      <c r="E670" s="343"/>
      <c r="F670" s="17"/>
      <c r="G670" s="17"/>
      <c r="H670" s="17"/>
      <c r="I670" s="17"/>
      <c r="J670" s="17" t="s">
        <v>998</v>
      </c>
      <c r="K670" s="17"/>
      <c r="L670" s="17"/>
      <c r="AC670" s="1300"/>
    </row>
    <row r="671">
      <c r="B671" s="17"/>
      <c r="C671" s="17"/>
      <c r="D671" s="17"/>
      <c r="E671" s="343"/>
      <c r="F671" s="17"/>
      <c r="G671" s="17"/>
      <c r="H671" s="17"/>
      <c r="I671" s="17"/>
      <c r="J671" s="17" t="s">
        <v>998</v>
      </c>
      <c r="K671" s="17"/>
      <c r="L671" s="17"/>
      <c r="AC671" s="1300"/>
    </row>
    <row r="672">
      <c r="B672" s="17"/>
      <c r="C672" s="17"/>
      <c r="D672" s="17"/>
      <c r="E672" s="343"/>
      <c r="F672" s="17"/>
      <c r="G672" s="17"/>
      <c r="H672" s="17"/>
      <c r="I672" s="17"/>
      <c r="J672" s="17" t="s">
        <v>998</v>
      </c>
      <c r="K672" s="17"/>
      <c r="L672" s="17"/>
      <c r="AC672" s="1300"/>
    </row>
    <row r="673">
      <c r="B673" s="17"/>
      <c r="C673" s="17"/>
      <c r="D673" s="17"/>
      <c r="E673" s="343"/>
      <c r="F673" s="17"/>
      <c r="G673" s="17"/>
      <c r="H673" s="17"/>
      <c r="I673" s="17"/>
      <c r="J673" s="17" t="s">
        <v>998</v>
      </c>
      <c r="K673" s="17"/>
      <c r="L673" s="17"/>
      <c r="AC673" s="1300"/>
    </row>
    <row r="674">
      <c r="B674" s="17"/>
      <c r="C674" s="17"/>
      <c r="D674" s="17"/>
      <c r="E674" s="343"/>
      <c r="F674" s="17"/>
      <c r="G674" s="17"/>
      <c r="H674" s="17"/>
      <c r="I674" s="17"/>
      <c r="J674" s="17" t="s">
        <v>998</v>
      </c>
      <c r="K674" s="17"/>
      <c r="L674" s="17"/>
      <c r="AC674" s="1300"/>
    </row>
    <row r="675">
      <c r="B675" s="17"/>
      <c r="C675" s="17"/>
      <c r="D675" s="17"/>
      <c r="E675" s="343"/>
      <c r="F675" s="17"/>
      <c r="G675" s="17"/>
      <c r="H675" s="17"/>
      <c r="I675" s="17"/>
      <c r="J675" s="17" t="s">
        <v>998</v>
      </c>
      <c r="K675" s="17"/>
      <c r="L675" s="17"/>
      <c r="AC675" s="1300"/>
    </row>
    <row r="676">
      <c r="B676" s="17"/>
      <c r="C676" s="17"/>
      <c r="D676" s="17"/>
      <c r="E676" s="343"/>
      <c r="F676" s="17"/>
      <c r="G676" s="17"/>
      <c r="H676" s="17"/>
      <c r="I676" s="17"/>
      <c r="J676" s="17" t="s">
        <v>998</v>
      </c>
      <c r="K676" s="17"/>
      <c r="L676" s="17"/>
      <c r="AC676" s="1300"/>
    </row>
    <row r="677">
      <c r="B677" s="17"/>
      <c r="C677" s="17"/>
      <c r="D677" s="17"/>
      <c r="E677" s="343"/>
      <c r="F677" s="17"/>
      <c r="G677" s="17"/>
      <c r="H677" s="17"/>
      <c r="I677" s="17"/>
      <c r="J677" s="17" t="s">
        <v>998</v>
      </c>
      <c r="K677" s="17"/>
      <c r="L677" s="17"/>
      <c r="AC677" s="1300"/>
    </row>
    <row r="678">
      <c r="B678" s="17"/>
      <c r="C678" s="17"/>
      <c r="D678" s="17"/>
      <c r="E678" s="343"/>
      <c r="F678" s="17"/>
      <c r="G678" s="17"/>
      <c r="H678" s="17"/>
      <c r="I678" s="17"/>
      <c r="J678" s="17" t="s">
        <v>998</v>
      </c>
      <c r="K678" s="17"/>
      <c r="L678" s="17"/>
      <c r="AC678" s="1300"/>
    </row>
    <row r="679">
      <c r="B679" s="17"/>
      <c r="C679" s="17"/>
      <c r="D679" s="17"/>
      <c r="E679" s="343"/>
      <c r="F679" s="17"/>
      <c r="G679" s="17"/>
      <c r="H679" s="17"/>
      <c r="I679" s="17"/>
      <c r="J679" s="17" t="s">
        <v>998</v>
      </c>
      <c r="K679" s="17"/>
      <c r="L679" s="17"/>
      <c r="AC679" s="1300"/>
    </row>
    <row r="680">
      <c r="B680" s="17"/>
      <c r="C680" s="17"/>
      <c r="D680" s="17"/>
      <c r="E680" s="343"/>
      <c r="F680" s="17"/>
      <c r="G680" s="17"/>
      <c r="H680" s="17"/>
      <c r="I680" s="17"/>
      <c r="J680" s="17" t="s">
        <v>998</v>
      </c>
      <c r="K680" s="17"/>
      <c r="L680" s="17"/>
      <c r="AC680" s="1300"/>
    </row>
    <row r="681">
      <c r="B681" s="17"/>
      <c r="C681" s="17"/>
      <c r="D681" s="17"/>
      <c r="E681" s="343"/>
      <c r="F681" s="17"/>
      <c r="G681" s="17"/>
      <c r="H681" s="17"/>
      <c r="I681" s="17"/>
      <c r="J681" s="17" t="s">
        <v>998</v>
      </c>
      <c r="K681" s="17"/>
      <c r="L681" s="17"/>
      <c r="AC681" s="1300"/>
    </row>
    <row r="682">
      <c r="B682" s="17"/>
      <c r="C682" s="17"/>
      <c r="D682" s="17"/>
      <c r="E682" s="343"/>
      <c r="F682" s="17"/>
      <c r="G682" s="17"/>
      <c r="H682" s="17"/>
      <c r="I682" s="17"/>
      <c r="J682" s="17" t="s">
        <v>998</v>
      </c>
      <c r="K682" s="17"/>
      <c r="L682" s="17"/>
      <c r="AC682" s="1300"/>
    </row>
    <row r="683">
      <c r="B683" s="17"/>
      <c r="C683" s="17"/>
      <c r="D683" s="17"/>
      <c r="E683" s="343"/>
      <c r="F683" s="17"/>
      <c r="G683" s="17"/>
      <c r="H683" s="17"/>
      <c r="I683" s="17"/>
      <c r="J683" s="17" t="s">
        <v>998</v>
      </c>
      <c r="K683" s="17"/>
      <c r="L683" s="17"/>
      <c r="AC683" s="1300"/>
    </row>
    <row r="684">
      <c r="B684" s="17"/>
      <c r="C684" s="17"/>
      <c r="D684" s="17"/>
      <c r="E684" s="343"/>
      <c r="F684" s="17"/>
      <c r="G684" s="17"/>
      <c r="H684" s="17"/>
      <c r="I684" s="17"/>
      <c r="J684" s="17" t="s">
        <v>998</v>
      </c>
      <c r="K684" s="17"/>
      <c r="L684" s="17"/>
      <c r="AC684" s="1300"/>
    </row>
    <row r="685">
      <c r="B685" s="17"/>
      <c r="C685" s="17"/>
      <c r="D685" s="17"/>
      <c r="E685" s="343"/>
      <c r="F685" s="17"/>
      <c r="G685" s="17"/>
      <c r="H685" s="17"/>
      <c r="I685" s="17"/>
      <c r="J685" s="17" t="s">
        <v>998</v>
      </c>
      <c r="K685" s="17"/>
      <c r="L685" s="17"/>
      <c r="AC685" s="1300"/>
    </row>
    <row r="686">
      <c r="B686" s="17"/>
      <c r="C686" s="17"/>
      <c r="D686" s="17"/>
      <c r="E686" s="343"/>
      <c r="F686" s="17"/>
      <c r="G686" s="17"/>
      <c r="H686" s="17"/>
      <c r="I686" s="17"/>
      <c r="J686" s="17" t="s">
        <v>998</v>
      </c>
      <c r="K686" s="17"/>
      <c r="L686" s="17"/>
      <c r="AC686" s="1300"/>
    </row>
    <row r="687">
      <c r="B687" s="17"/>
      <c r="C687" s="17"/>
      <c r="D687" s="17"/>
      <c r="E687" s="343"/>
      <c r="F687" s="17"/>
      <c r="G687" s="17"/>
      <c r="H687" s="17"/>
      <c r="I687" s="17"/>
      <c r="J687" s="17" t="s">
        <v>998</v>
      </c>
      <c r="K687" s="17"/>
      <c r="L687" s="17"/>
      <c r="AC687" s="1300"/>
    </row>
    <row r="688">
      <c r="B688" s="17"/>
      <c r="C688" s="17"/>
      <c r="D688" s="17"/>
      <c r="E688" s="343"/>
      <c r="F688" s="17"/>
      <c r="G688" s="17"/>
      <c r="H688" s="17"/>
      <c r="I688" s="17"/>
      <c r="J688" s="17" t="s">
        <v>998</v>
      </c>
      <c r="K688" s="17"/>
      <c r="L688" s="17"/>
      <c r="AC688" s="1300"/>
    </row>
    <row r="689">
      <c r="B689" s="17"/>
      <c r="C689" s="17"/>
      <c r="D689" s="17"/>
      <c r="E689" s="343"/>
      <c r="F689" s="17"/>
      <c r="G689" s="17"/>
      <c r="H689" s="17"/>
      <c r="I689" s="17"/>
      <c r="J689" s="17" t="s">
        <v>998</v>
      </c>
      <c r="K689" s="17"/>
      <c r="L689" s="17"/>
      <c r="AC689" s="1300"/>
    </row>
    <row r="690">
      <c r="B690" s="17"/>
      <c r="C690" s="17"/>
      <c r="D690" s="17"/>
      <c r="E690" s="343"/>
      <c r="F690" s="17"/>
      <c r="G690" s="17"/>
      <c r="H690" s="17"/>
      <c r="I690" s="17"/>
      <c r="J690" s="17" t="s">
        <v>998</v>
      </c>
      <c r="K690" s="17"/>
      <c r="L690" s="17"/>
      <c r="AC690" s="1300"/>
    </row>
    <row r="691">
      <c r="B691" s="17"/>
      <c r="C691" s="17"/>
      <c r="D691" s="17"/>
      <c r="E691" s="343"/>
      <c r="F691" s="17"/>
      <c r="G691" s="17"/>
      <c r="H691" s="17"/>
      <c r="I691" s="17"/>
      <c r="J691" s="17" t="s">
        <v>998</v>
      </c>
      <c r="K691" s="17"/>
      <c r="L691" s="17"/>
      <c r="AC691" s="1300"/>
    </row>
    <row r="692">
      <c r="B692" s="17"/>
      <c r="C692" s="17"/>
      <c r="D692" s="17"/>
      <c r="E692" s="343"/>
      <c r="F692" s="17"/>
      <c r="G692" s="17"/>
      <c r="H692" s="17"/>
      <c r="I692" s="17"/>
      <c r="J692" s="17" t="s">
        <v>998</v>
      </c>
      <c r="K692" s="17"/>
      <c r="L692" s="17"/>
      <c r="AC692" s="1300"/>
    </row>
    <row r="693">
      <c r="B693" s="17"/>
      <c r="C693" s="17"/>
      <c r="D693" s="17"/>
      <c r="E693" s="343"/>
      <c r="F693" s="17"/>
      <c r="G693" s="17"/>
      <c r="H693" s="17"/>
      <c r="I693" s="17"/>
      <c r="J693" s="17" t="s">
        <v>998</v>
      </c>
      <c r="K693" s="17"/>
      <c r="L693" s="17"/>
      <c r="AC693" s="1300"/>
    </row>
    <row r="694">
      <c r="B694" s="17"/>
      <c r="C694" s="17"/>
      <c r="D694" s="17"/>
      <c r="E694" s="343"/>
      <c r="F694" s="17"/>
      <c r="G694" s="17"/>
      <c r="H694" s="17"/>
      <c r="I694" s="17"/>
      <c r="J694" s="17" t="s">
        <v>998</v>
      </c>
      <c r="K694" s="17"/>
      <c r="L694" s="17"/>
      <c r="AC694" s="1300"/>
    </row>
    <row r="695">
      <c r="B695" s="17"/>
      <c r="C695" s="17"/>
      <c r="D695" s="17"/>
      <c r="E695" s="343"/>
      <c r="F695" s="17"/>
      <c r="G695" s="17"/>
      <c r="H695" s="17"/>
      <c r="I695" s="17"/>
      <c r="J695" s="17" t="s">
        <v>998</v>
      </c>
      <c r="K695" s="17"/>
      <c r="L695" s="17"/>
      <c r="AC695" s="1300"/>
    </row>
    <row r="696">
      <c r="B696" s="17"/>
      <c r="C696" s="17"/>
      <c r="D696" s="17"/>
      <c r="E696" s="343"/>
      <c r="F696" s="17"/>
      <c r="G696" s="17"/>
      <c r="H696" s="17"/>
      <c r="I696" s="17"/>
      <c r="J696" s="17" t="s">
        <v>998</v>
      </c>
      <c r="K696" s="17"/>
      <c r="L696" s="17"/>
      <c r="AC696" s="1300"/>
    </row>
    <row r="697">
      <c r="B697" s="17"/>
      <c r="C697" s="17"/>
      <c r="D697" s="17"/>
      <c r="E697" s="343"/>
      <c r="F697" s="17"/>
      <c r="G697" s="17"/>
      <c r="H697" s="17"/>
      <c r="I697" s="17"/>
      <c r="J697" s="17" t="s">
        <v>998</v>
      </c>
      <c r="K697" s="17"/>
      <c r="L697" s="17"/>
      <c r="AC697" s="1300"/>
    </row>
    <row r="698">
      <c r="B698" s="17"/>
      <c r="C698" s="17"/>
      <c r="D698" s="17"/>
      <c r="E698" s="343"/>
      <c r="F698" s="17"/>
      <c r="G698" s="17"/>
      <c r="H698" s="17"/>
      <c r="I698" s="17"/>
      <c r="J698" s="17" t="s">
        <v>998</v>
      </c>
      <c r="K698" s="17"/>
      <c r="L698" s="17"/>
      <c r="AC698" s="1300"/>
    </row>
    <row r="699">
      <c r="B699" s="17"/>
      <c r="C699" s="17"/>
      <c r="D699" s="17"/>
      <c r="E699" s="343"/>
      <c r="F699" s="17"/>
      <c r="G699" s="17"/>
      <c r="H699" s="17"/>
      <c r="I699" s="17"/>
      <c r="J699" s="17" t="s">
        <v>998</v>
      </c>
      <c r="K699" s="17"/>
      <c r="L699" s="17"/>
      <c r="AC699" s="1300"/>
    </row>
    <row r="700">
      <c r="B700" s="17"/>
      <c r="C700" s="17"/>
      <c r="D700" s="17"/>
      <c r="E700" s="343"/>
      <c r="F700" s="17"/>
      <c r="G700" s="17"/>
      <c r="H700" s="17"/>
      <c r="I700" s="17"/>
      <c r="J700" s="17" t="s">
        <v>998</v>
      </c>
      <c r="K700" s="17"/>
      <c r="L700" s="17"/>
      <c r="AC700" s="1300"/>
    </row>
    <row r="701">
      <c r="B701" s="17"/>
      <c r="C701" s="17"/>
      <c r="D701" s="17"/>
      <c r="E701" s="343"/>
      <c r="F701" s="17"/>
      <c r="G701" s="17"/>
      <c r="H701" s="17"/>
      <c r="I701" s="17"/>
      <c r="J701" s="17" t="s">
        <v>998</v>
      </c>
      <c r="K701" s="17"/>
      <c r="L701" s="17"/>
      <c r="AC701" s="1300"/>
    </row>
    <row r="702">
      <c r="B702" s="17"/>
      <c r="C702" s="17"/>
      <c r="D702" s="17"/>
      <c r="E702" s="343"/>
      <c r="F702" s="17"/>
      <c r="G702" s="17"/>
      <c r="H702" s="17"/>
      <c r="I702" s="17"/>
      <c r="J702" s="17" t="s">
        <v>998</v>
      </c>
      <c r="K702" s="17"/>
      <c r="L702" s="17"/>
      <c r="AC702" s="1300"/>
    </row>
    <row r="703">
      <c r="B703" s="17"/>
      <c r="C703" s="17"/>
      <c r="D703" s="17"/>
      <c r="E703" s="343"/>
      <c r="F703" s="17"/>
      <c r="G703" s="17"/>
      <c r="H703" s="17"/>
      <c r="I703" s="17"/>
      <c r="J703" s="17" t="s">
        <v>998</v>
      </c>
      <c r="K703" s="17"/>
      <c r="L703" s="17"/>
      <c r="AC703" s="1300"/>
    </row>
    <row r="704">
      <c r="B704" s="17"/>
      <c r="C704" s="17"/>
      <c r="D704" s="17"/>
      <c r="E704" s="343"/>
      <c r="F704" s="17"/>
      <c r="G704" s="17"/>
      <c r="H704" s="17"/>
      <c r="I704" s="17"/>
      <c r="J704" s="17" t="s">
        <v>998</v>
      </c>
      <c r="K704" s="17"/>
      <c r="L704" s="17"/>
      <c r="AC704" s="1300"/>
    </row>
    <row r="705">
      <c r="B705" s="17"/>
      <c r="C705" s="17"/>
      <c r="D705" s="17"/>
      <c r="E705" s="343"/>
      <c r="F705" s="17"/>
      <c r="G705" s="17"/>
      <c r="H705" s="17"/>
      <c r="I705" s="17"/>
      <c r="J705" s="17" t="s">
        <v>998</v>
      </c>
      <c r="K705" s="17"/>
      <c r="L705" s="17"/>
      <c r="AC705" s="1300"/>
    </row>
    <row r="706">
      <c r="B706" s="17"/>
      <c r="C706" s="17"/>
      <c r="D706" s="17"/>
      <c r="E706" s="343"/>
      <c r="F706" s="17"/>
      <c r="G706" s="17"/>
      <c r="H706" s="17"/>
      <c r="I706" s="17"/>
      <c r="J706" s="17" t="s">
        <v>998</v>
      </c>
      <c r="K706" s="17"/>
      <c r="L706" s="17"/>
      <c r="AC706" s="1300"/>
    </row>
    <row r="707">
      <c r="B707" s="17"/>
      <c r="C707" s="17"/>
      <c r="D707" s="17"/>
      <c r="E707" s="343"/>
      <c r="F707" s="17"/>
      <c r="G707" s="17"/>
      <c r="H707" s="17"/>
      <c r="I707" s="17"/>
      <c r="J707" s="17" t="s">
        <v>998</v>
      </c>
      <c r="K707" s="17"/>
      <c r="L707" s="17"/>
      <c r="AC707" s="1300"/>
    </row>
    <row r="708">
      <c r="B708" s="17"/>
      <c r="C708" s="17"/>
      <c r="D708" s="17"/>
      <c r="E708" s="343"/>
      <c r="F708" s="17"/>
      <c r="G708" s="17"/>
      <c r="H708" s="17"/>
      <c r="I708" s="17"/>
      <c r="J708" s="17" t="s">
        <v>998</v>
      </c>
      <c r="K708" s="17"/>
      <c r="L708" s="17"/>
      <c r="AC708" s="1300"/>
    </row>
    <row r="709">
      <c r="B709" s="17"/>
      <c r="C709" s="17"/>
      <c r="D709" s="17"/>
      <c r="E709" s="343"/>
      <c r="F709" s="17"/>
      <c r="G709" s="17"/>
      <c r="H709" s="17"/>
      <c r="I709" s="17"/>
      <c r="J709" s="17" t="s">
        <v>998</v>
      </c>
      <c r="K709" s="17"/>
      <c r="L709" s="17"/>
      <c r="AC709" s="1300"/>
    </row>
    <row r="710">
      <c r="B710" s="17"/>
      <c r="C710" s="17"/>
      <c r="D710" s="17"/>
      <c r="E710" s="343"/>
      <c r="F710" s="17"/>
      <c r="G710" s="17"/>
      <c r="H710" s="17"/>
      <c r="I710" s="17"/>
      <c r="J710" s="17" t="s">
        <v>998</v>
      </c>
      <c r="K710" s="17"/>
      <c r="L710" s="17"/>
      <c r="AC710" s="1300"/>
    </row>
    <row r="711">
      <c r="B711" s="17"/>
      <c r="C711" s="17"/>
      <c r="D711" s="17"/>
      <c r="E711" s="343"/>
      <c r="F711" s="17"/>
      <c r="G711" s="17"/>
      <c r="H711" s="17"/>
      <c r="I711" s="17"/>
      <c r="J711" s="17" t="s">
        <v>998</v>
      </c>
      <c r="K711" s="17"/>
      <c r="L711" s="17"/>
      <c r="AC711" s="1300"/>
    </row>
    <row r="712">
      <c r="B712" s="17"/>
      <c r="C712" s="17"/>
      <c r="D712" s="17"/>
      <c r="E712" s="343"/>
      <c r="F712" s="17"/>
      <c r="G712" s="17"/>
      <c r="H712" s="17"/>
      <c r="I712" s="17"/>
      <c r="J712" s="17" t="s">
        <v>998</v>
      </c>
      <c r="K712" s="17"/>
      <c r="L712" s="17"/>
      <c r="AC712" s="1300"/>
    </row>
    <row r="713">
      <c r="B713" s="17"/>
      <c r="C713" s="17"/>
      <c r="D713" s="17"/>
      <c r="E713" s="343"/>
      <c r="F713" s="17"/>
      <c r="G713" s="17"/>
      <c r="H713" s="17"/>
      <c r="I713" s="17"/>
      <c r="J713" s="17" t="s">
        <v>998</v>
      </c>
      <c r="K713" s="17"/>
      <c r="L713" s="17"/>
      <c r="AC713" s="1300"/>
    </row>
    <row r="714">
      <c r="B714" s="17"/>
      <c r="C714" s="17"/>
      <c r="D714" s="17"/>
      <c r="E714" s="343"/>
      <c r="F714" s="17"/>
      <c r="G714" s="17"/>
      <c r="H714" s="17"/>
      <c r="I714" s="17"/>
      <c r="J714" s="17" t="s">
        <v>998</v>
      </c>
      <c r="K714" s="17"/>
      <c r="L714" s="17"/>
      <c r="AC714" s="1300"/>
    </row>
    <row r="715">
      <c r="B715" s="17"/>
      <c r="C715" s="17"/>
      <c r="D715" s="17"/>
      <c r="E715" s="343"/>
      <c r="F715" s="17"/>
      <c r="G715" s="17"/>
      <c r="H715" s="17"/>
      <c r="I715" s="17"/>
      <c r="J715" s="17" t="s">
        <v>998</v>
      </c>
      <c r="K715" s="17"/>
      <c r="L715" s="17"/>
      <c r="AC715" s="1300"/>
    </row>
    <row r="716">
      <c r="B716" s="17"/>
      <c r="C716" s="17"/>
      <c r="D716" s="17"/>
      <c r="E716" s="343"/>
      <c r="F716" s="17"/>
      <c r="G716" s="17"/>
      <c r="H716" s="17"/>
      <c r="I716" s="17"/>
      <c r="J716" s="17" t="s">
        <v>998</v>
      </c>
      <c r="K716" s="17"/>
      <c r="L716" s="17"/>
      <c r="AC716" s="1300"/>
    </row>
    <row r="717">
      <c r="B717" s="17"/>
      <c r="C717" s="17"/>
      <c r="D717" s="17"/>
      <c r="E717" s="343"/>
      <c r="F717" s="17"/>
      <c r="G717" s="17"/>
      <c r="H717" s="17"/>
      <c r="I717" s="17"/>
      <c r="J717" s="17" t="s">
        <v>998</v>
      </c>
      <c r="K717" s="17"/>
      <c r="L717" s="17"/>
      <c r="AC717" s="1300"/>
    </row>
    <row r="718">
      <c r="B718" s="17"/>
      <c r="C718" s="17"/>
      <c r="D718" s="17"/>
      <c r="E718" s="343"/>
      <c r="F718" s="17"/>
      <c r="G718" s="17"/>
      <c r="H718" s="17"/>
      <c r="I718" s="17"/>
      <c r="J718" s="17" t="s">
        <v>998</v>
      </c>
      <c r="K718" s="17"/>
      <c r="L718" s="17"/>
      <c r="AC718" s="1300"/>
    </row>
    <row r="719">
      <c r="B719" s="17"/>
      <c r="C719" s="17"/>
      <c r="D719" s="17"/>
      <c r="E719" s="343"/>
      <c r="F719" s="17"/>
      <c r="G719" s="17"/>
      <c r="H719" s="17"/>
      <c r="I719" s="17"/>
      <c r="J719" s="17" t="s">
        <v>998</v>
      </c>
      <c r="K719" s="17"/>
      <c r="L719" s="17"/>
      <c r="AC719" s="1300"/>
    </row>
    <row r="720">
      <c r="B720" s="17"/>
      <c r="C720" s="17"/>
      <c r="D720" s="17"/>
      <c r="E720" s="343"/>
      <c r="F720" s="17"/>
      <c r="G720" s="17"/>
      <c r="H720" s="17"/>
      <c r="I720" s="17"/>
      <c r="J720" s="17" t="s">
        <v>998</v>
      </c>
      <c r="K720" s="17"/>
      <c r="L720" s="17"/>
      <c r="AC720" s="1300"/>
    </row>
    <row r="721">
      <c r="B721" s="17"/>
      <c r="C721" s="17"/>
      <c r="D721" s="17"/>
      <c r="E721" s="343"/>
      <c r="F721" s="17"/>
      <c r="G721" s="17"/>
      <c r="H721" s="17"/>
      <c r="I721" s="17"/>
      <c r="J721" s="17" t="s">
        <v>998</v>
      </c>
      <c r="K721" s="17"/>
      <c r="L721" s="17"/>
      <c r="AC721" s="1300"/>
    </row>
    <row r="722">
      <c r="B722" s="17"/>
      <c r="C722" s="17"/>
      <c r="D722" s="17"/>
      <c r="E722" s="343"/>
      <c r="F722" s="17"/>
      <c r="G722" s="17"/>
      <c r="H722" s="17"/>
      <c r="I722" s="17"/>
      <c r="J722" s="17" t="s">
        <v>998</v>
      </c>
      <c r="K722" s="17"/>
      <c r="L722" s="17"/>
      <c r="AC722" s="1300"/>
    </row>
    <row r="723">
      <c r="B723" s="17"/>
      <c r="C723" s="17"/>
      <c r="D723" s="17"/>
      <c r="E723" s="343"/>
      <c r="F723" s="17"/>
      <c r="G723" s="17"/>
      <c r="H723" s="17"/>
      <c r="I723" s="17"/>
      <c r="J723" s="17" t="s">
        <v>998</v>
      </c>
      <c r="K723" s="17"/>
      <c r="L723" s="17"/>
      <c r="AC723" s="1300"/>
    </row>
    <row r="724">
      <c r="B724" s="17"/>
      <c r="C724" s="17"/>
      <c r="D724" s="17"/>
      <c r="E724" s="343"/>
      <c r="F724" s="17"/>
      <c r="G724" s="17"/>
      <c r="H724" s="17"/>
      <c r="I724" s="17"/>
      <c r="J724" s="17" t="s">
        <v>998</v>
      </c>
      <c r="K724" s="17"/>
      <c r="L724" s="17"/>
      <c r="AC724" s="1300"/>
    </row>
    <row r="725">
      <c r="B725" s="17"/>
      <c r="C725" s="17"/>
      <c r="D725" s="17"/>
      <c r="E725" s="343"/>
      <c r="F725" s="17"/>
      <c r="G725" s="17"/>
      <c r="H725" s="17"/>
      <c r="I725" s="17"/>
      <c r="J725" s="17" t="s">
        <v>998</v>
      </c>
      <c r="K725" s="17"/>
      <c r="L725" s="17"/>
      <c r="AC725" s="1300"/>
    </row>
    <row r="726">
      <c r="B726" s="17"/>
      <c r="C726" s="17"/>
      <c r="D726" s="17"/>
      <c r="E726" s="343"/>
      <c r="F726" s="17"/>
      <c r="G726" s="17"/>
      <c r="H726" s="17"/>
      <c r="I726" s="17"/>
      <c r="J726" s="17" t="s">
        <v>998</v>
      </c>
      <c r="K726" s="17"/>
      <c r="L726" s="17"/>
      <c r="AC726" s="1300"/>
    </row>
    <row r="727">
      <c r="B727" s="17"/>
      <c r="C727" s="17"/>
      <c r="D727" s="17"/>
      <c r="E727" s="343"/>
      <c r="F727" s="17"/>
      <c r="G727" s="17"/>
      <c r="H727" s="17"/>
      <c r="I727" s="17"/>
      <c r="J727" s="17" t="s">
        <v>998</v>
      </c>
      <c r="K727" s="17"/>
      <c r="L727" s="17"/>
      <c r="AC727" s="1300"/>
    </row>
    <row r="728">
      <c r="B728" s="17"/>
      <c r="C728" s="17"/>
      <c r="D728" s="17"/>
      <c r="E728" s="343"/>
      <c r="F728" s="17"/>
      <c r="G728" s="17"/>
      <c r="H728" s="17"/>
      <c r="I728" s="17"/>
      <c r="J728" s="17" t="s">
        <v>998</v>
      </c>
      <c r="K728" s="17"/>
      <c r="L728" s="17"/>
      <c r="AC728" s="1300"/>
    </row>
    <row r="729">
      <c r="B729" s="17"/>
      <c r="C729" s="17"/>
      <c r="D729" s="17"/>
      <c r="E729" s="343"/>
      <c r="F729" s="17"/>
      <c r="G729" s="17"/>
      <c r="H729" s="17"/>
      <c r="I729" s="17"/>
      <c r="J729" s="17" t="s">
        <v>998</v>
      </c>
      <c r="K729" s="17"/>
      <c r="L729" s="17"/>
      <c r="AC729" s="1300"/>
    </row>
    <row r="730">
      <c r="B730" s="17"/>
      <c r="C730" s="17"/>
      <c r="D730" s="17"/>
      <c r="E730" s="343"/>
      <c r="F730" s="17"/>
      <c r="G730" s="17"/>
      <c r="H730" s="17"/>
      <c r="I730" s="17"/>
      <c r="J730" s="17" t="s">
        <v>998</v>
      </c>
      <c r="K730" s="17"/>
      <c r="L730" s="17"/>
      <c r="AC730" s="1300"/>
    </row>
    <row r="731">
      <c r="B731" s="17"/>
      <c r="C731" s="17"/>
      <c r="D731" s="17"/>
      <c r="E731" s="343"/>
      <c r="F731" s="17"/>
      <c r="G731" s="17"/>
      <c r="H731" s="17"/>
      <c r="I731" s="17"/>
      <c r="J731" s="17" t="s">
        <v>998</v>
      </c>
      <c r="K731" s="17"/>
      <c r="L731" s="17"/>
      <c r="AC731" s="1300"/>
    </row>
    <row r="732">
      <c r="B732" s="17"/>
      <c r="C732" s="17"/>
      <c r="D732" s="17"/>
      <c r="E732" s="343"/>
      <c r="F732" s="17"/>
      <c r="G732" s="17"/>
      <c r="H732" s="17"/>
      <c r="I732" s="17"/>
      <c r="J732" s="17" t="s">
        <v>998</v>
      </c>
      <c r="K732" s="17"/>
      <c r="L732" s="17"/>
      <c r="AC732" s="1300"/>
    </row>
    <row r="733">
      <c r="B733" s="17"/>
      <c r="C733" s="17"/>
      <c r="D733" s="17"/>
      <c r="E733" s="343"/>
      <c r="F733" s="17"/>
      <c r="G733" s="17"/>
      <c r="H733" s="17"/>
      <c r="I733" s="17"/>
      <c r="J733" s="17" t="s">
        <v>998</v>
      </c>
      <c r="K733" s="17"/>
      <c r="L733" s="17"/>
      <c r="AC733" s="1300"/>
    </row>
    <row r="734">
      <c r="B734" s="17"/>
      <c r="C734" s="17"/>
      <c r="D734" s="17"/>
      <c r="E734" s="343"/>
      <c r="F734" s="17"/>
      <c r="G734" s="17"/>
      <c r="H734" s="17"/>
      <c r="I734" s="17"/>
      <c r="J734" s="17" t="s">
        <v>998</v>
      </c>
      <c r="K734" s="17"/>
      <c r="L734" s="17"/>
      <c r="AC734" s="1300"/>
    </row>
    <row r="735">
      <c r="B735" s="17"/>
      <c r="C735" s="17"/>
      <c r="D735" s="17"/>
      <c r="E735" s="343"/>
      <c r="F735" s="17"/>
      <c r="G735" s="17"/>
      <c r="H735" s="17"/>
      <c r="I735" s="17"/>
      <c r="J735" s="17" t="s">
        <v>998</v>
      </c>
      <c r="K735" s="17"/>
      <c r="L735" s="17"/>
      <c r="AC735" s="1300"/>
    </row>
    <row r="736">
      <c r="B736" s="17"/>
      <c r="C736" s="17"/>
      <c r="D736" s="17"/>
      <c r="E736" s="343"/>
      <c r="F736" s="17"/>
      <c r="G736" s="17"/>
      <c r="H736" s="17"/>
      <c r="I736" s="17"/>
      <c r="J736" s="17" t="s">
        <v>998</v>
      </c>
      <c r="K736" s="17"/>
      <c r="L736" s="17"/>
      <c r="AC736" s="1300"/>
    </row>
    <row r="737">
      <c r="B737" s="17"/>
      <c r="C737" s="17"/>
      <c r="D737" s="17"/>
      <c r="E737" s="343"/>
      <c r="F737" s="17"/>
      <c r="G737" s="17"/>
      <c r="H737" s="17"/>
      <c r="I737" s="17"/>
      <c r="J737" s="17" t="s">
        <v>998</v>
      </c>
      <c r="K737" s="17"/>
      <c r="L737" s="17"/>
      <c r="AC737" s="1300"/>
    </row>
    <row r="738">
      <c r="B738" s="17"/>
      <c r="C738" s="17"/>
      <c r="D738" s="17"/>
      <c r="E738" s="343"/>
      <c r="F738" s="17"/>
      <c r="G738" s="17"/>
      <c r="H738" s="17"/>
      <c r="I738" s="17"/>
      <c r="J738" s="17" t="s">
        <v>998</v>
      </c>
      <c r="K738" s="17"/>
      <c r="L738" s="17"/>
      <c r="AC738" s="1300"/>
    </row>
    <row r="739">
      <c r="B739" s="17"/>
      <c r="C739" s="17"/>
      <c r="D739" s="17"/>
      <c r="E739" s="343"/>
      <c r="F739" s="17"/>
      <c r="G739" s="17"/>
      <c r="H739" s="17"/>
      <c r="I739" s="17"/>
      <c r="J739" s="17" t="s">
        <v>998</v>
      </c>
      <c r="K739" s="17"/>
      <c r="L739" s="17"/>
      <c r="AC739" s="1300"/>
    </row>
    <row r="740">
      <c r="B740" s="17"/>
      <c r="C740" s="17"/>
      <c r="D740" s="17"/>
      <c r="E740" s="343"/>
      <c r="F740" s="17"/>
      <c r="G740" s="17"/>
      <c r="H740" s="17"/>
      <c r="I740" s="17"/>
      <c r="J740" s="17" t="s">
        <v>998</v>
      </c>
      <c r="K740" s="17"/>
      <c r="L740" s="17"/>
      <c r="AC740" s="1300"/>
    </row>
    <row r="741">
      <c r="B741" s="17"/>
      <c r="C741" s="17"/>
      <c r="D741" s="17"/>
      <c r="E741" s="343"/>
      <c r="F741" s="17"/>
      <c r="G741" s="17"/>
      <c r="H741" s="17"/>
      <c r="I741" s="17"/>
      <c r="J741" s="17" t="s">
        <v>998</v>
      </c>
      <c r="K741" s="17"/>
      <c r="L741" s="17"/>
      <c r="AC741" s="1300"/>
    </row>
    <row r="742">
      <c r="B742" s="17"/>
      <c r="C742" s="17"/>
      <c r="D742" s="17"/>
      <c r="E742" s="343"/>
      <c r="F742" s="17"/>
      <c r="G742" s="17"/>
      <c r="H742" s="17"/>
      <c r="I742" s="17"/>
      <c r="J742" s="17" t="s">
        <v>998</v>
      </c>
      <c r="K742" s="17"/>
      <c r="L742" s="17"/>
      <c r="AC742" s="1300"/>
    </row>
    <row r="743">
      <c r="B743" s="17"/>
      <c r="C743" s="17"/>
      <c r="D743" s="17"/>
      <c r="E743" s="343"/>
      <c r="F743" s="17"/>
      <c r="G743" s="17"/>
      <c r="H743" s="17"/>
      <c r="I743" s="17"/>
      <c r="J743" s="17" t="s">
        <v>998</v>
      </c>
      <c r="K743" s="17"/>
      <c r="L743" s="17"/>
      <c r="AC743" s="1300"/>
    </row>
    <row r="744">
      <c r="B744" s="17"/>
      <c r="C744" s="17"/>
      <c r="D744" s="17"/>
      <c r="E744" s="343"/>
      <c r="F744" s="17"/>
      <c r="G744" s="17"/>
      <c r="H744" s="17"/>
      <c r="I744" s="17"/>
      <c r="J744" s="17" t="s">
        <v>998</v>
      </c>
      <c r="K744" s="17"/>
      <c r="L744" s="17"/>
      <c r="AC744" s="1300"/>
    </row>
    <row r="745">
      <c r="B745" s="17"/>
      <c r="C745" s="17"/>
      <c r="D745" s="17"/>
      <c r="E745" s="343"/>
      <c r="F745" s="17"/>
      <c r="G745" s="17"/>
      <c r="H745" s="17"/>
      <c r="I745" s="17"/>
      <c r="J745" s="17" t="s">
        <v>998</v>
      </c>
      <c r="K745" s="17"/>
      <c r="L745" s="17"/>
      <c r="AC745" s="1300"/>
    </row>
    <row r="746">
      <c r="B746" s="17"/>
      <c r="C746" s="17"/>
      <c r="D746" s="17"/>
      <c r="E746" s="343"/>
      <c r="F746" s="17"/>
      <c r="G746" s="17"/>
      <c r="H746" s="17"/>
      <c r="I746" s="17"/>
      <c r="J746" s="17" t="s">
        <v>998</v>
      </c>
      <c r="K746" s="17"/>
      <c r="L746" s="17"/>
      <c r="AC746" s="1300"/>
    </row>
    <row r="747">
      <c r="B747" s="17"/>
      <c r="C747" s="17"/>
      <c r="D747" s="17"/>
      <c r="E747" s="343"/>
      <c r="F747" s="17"/>
      <c r="G747" s="17"/>
      <c r="H747" s="17"/>
      <c r="I747" s="17"/>
      <c r="J747" s="17" t="s">
        <v>998</v>
      </c>
      <c r="K747" s="17"/>
      <c r="L747" s="17"/>
      <c r="AC747" s="1300"/>
    </row>
    <row r="748">
      <c r="B748" s="17"/>
      <c r="C748" s="17"/>
      <c r="D748" s="17"/>
      <c r="E748" s="343"/>
      <c r="F748" s="17"/>
      <c r="G748" s="17"/>
      <c r="H748" s="17"/>
      <c r="I748" s="17"/>
      <c r="J748" s="17" t="s">
        <v>998</v>
      </c>
      <c r="K748" s="17"/>
      <c r="L748" s="17"/>
      <c r="AC748" s="1300"/>
    </row>
    <row r="749">
      <c r="B749" s="17"/>
      <c r="C749" s="17"/>
      <c r="D749" s="17"/>
      <c r="E749" s="343"/>
      <c r="F749" s="17"/>
      <c r="G749" s="17"/>
      <c r="H749" s="17"/>
      <c r="I749" s="17"/>
      <c r="J749" s="17" t="s">
        <v>998</v>
      </c>
      <c r="K749" s="17"/>
      <c r="L749" s="17"/>
      <c r="AC749" s="1300"/>
    </row>
    <row r="750">
      <c r="B750" s="17"/>
      <c r="C750" s="17"/>
      <c r="D750" s="17"/>
      <c r="E750" s="343"/>
      <c r="F750" s="17"/>
      <c r="G750" s="17"/>
      <c r="H750" s="17"/>
      <c r="I750" s="17"/>
      <c r="J750" s="17" t="s">
        <v>998</v>
      </c>
      <c r="K750" s="17"/>
      <c r="L750" s="17"/>
      <c r="AC750" s="1300"/>
    </row>
    <row r="751">
      <c r="B751" s="17"/>
      <c r="C751" s="17"/>
      <c r="D751" s="17"/>
      <c r="E751" s="343"/>
      <c r="F751" s="17"/>
      <c r="G751" s="17"/>
      <c r="H751" s="17"/>
      <c r="I751" s="17"/>
      <c r="J751" s="17" t="s">
        <v>998</v>
      </c>
      <c r="K751" s="17"/>
      <c r="L751" s="17"/>
      <c r="AC751" s="1300"/>
    </row>
    <row r="752">
      <c r="B752" s="17"/>
      <c r="C752" s="17"/>
      <c r="D752" s="17"/>
      <c r="E752" s="343"/>
      <c r="F752" s="17"/>
      <c r="G752" s="17"/>
      <c r="H752" s="17"/>
      <c r="I752" s="17"/>
      <c r="J752" s="17" t="s">
        <v>998</v>
      </c>
      <c r="K752" s="17"/>
      <c r="L752" s="17"/>
      <c r="AC752" s="1300"/>
    </row>
    <row r="753">
      <c r="B753" s="17"/>
      <c r="C753" s="17"/>
      <c r="D753" s="17"/>
      <c r="E753" s="343"/>
      <c r="F753" s="17"/>
      <c r="G753" s="17"/>
      <c r="H753" s="17"/>
      <c r="I753" s="17"/>
      <c r="J753" s="17" t="s">
        <v>998</v>
      </c>
      <c r="K753" s="17"/>
      <c r="L753" s="17"/>
      <c r="AC753" s="1300"/>
    </row>
    <row r="754">
      <c r="B754" s="17"/>
      <c r="C754" s="17"/>
      <c r="D754" s="17"/>
      <c r="E754" s="343"/>
      <c r="F754" s="17"/>
      <c r="G754" s="17"/>
      <c r="H754" s="17"/>
      <c r="I754" s="17"/>
      <c r="J754" s="17" t="s">
        <v>998</v>
      </c>
      <c r="K754" s="17"/>
      <c r="L754" s="17"/>
      <c r="AC754" s="1300"/>
    </row>
    <row r="755">
      <c r="B755" s="17"/>
      <c r="C755" s="17"/>
      <c r="D755" s="17"/>
      <c r="E755" s="343"/>
      <c r="F755" s="17"/>
      <c r="G755" s="17"/>
      <c r="H755" s="17"/>
      <c r="I755" s="17"/>
      <c r="J755" s="17" t="s">
        <v>998</v>
      </c>
      <c r="K755" s="17"/>
      <c r="L755" s="17"/>
      <c r="AC755" s="1300"/>
    </row>
    <row r="756">
      <c r="B756" s="17"/>
      <c r="C756" s="17"/>
      <c r="D756" s="17"/>
      <c r="E756" s="343"/>
      <c r="F756" s="17"/>
      <c r="G756" s="17"/>
      <c r="H756" s="17"/>
      <c r="I756" s="17"/>
      <c r="J756" s="17" t="s">
        <v>998</v>
      </c>
      <c r="K756" s="17"/>
      <c r="L756" s="17"/>
      <c r="AC756" s="1300"/>
    </row>
    <row r="757">
      <c r="B757" s="17"/>
      <c r="C757" s="17"/>
      <c r="D757" s="17"/>
      <c r="E757" s="343"/>
      <c r="F757" s="17"/>
      <c r="G757" s="17"/>
      <c r="H757" s="17"/>
      <c r="I757" s="17"/>
      <c r="J757" s="17" t="s">
        <v>998</v>
      </c>
      <c r="K757" s="17"/>
      <c r="L757" s="17"/>
      <c r="AC757" s="1300"/>
    </row>
    <row r="758">
      <c r="B758" s="17"/>
      <c r="C758" s="17"/>
      <c r="D758" s="17"/>
      <c r="E758" s="343"/>
      <c r="F758" s="17"/>
      <c r="G758" s="17"/>
      <c r="H758" s="17"/>
      <c r="I758" s="17"/>
      <c r="J758" s="17" t="s">
        <v>998</v>
      </c>
      <c r="K758" s="17"/>
      <c r="L758" s="17"/>
      <c r="AC758" s="1300"/>
    </row>
    <row r="759">
      <c r="B759" s="17"/>
      <c r="C759" s="17"/>
      <c r="D759" s="17"/>
      <c r="E759" s="343"/>
      <c r="F759" s="17"/>
      <c r="G759" s="17"/>
      <c r="H759" s="17"/>
      <c r="I759" s="17"/>
      <c r="J759" s="17" t="s">
        <v>998</v>
      </c>
      <c r="K759" s="17"/>
      <c r="L759" s="17"/>
      <c r="AC759" s="1300"/>
    </row>
    <row r="760">
      <c r="B760" s="17"/>
      <c r="C760" s="17"/>
      <c r="D760" s="17"/>
      <c r="E760" s="343"/>
      <c r="F760" s="17"/>
      <c r="G760" s="17"/>
      <c r="H760" s="17"/>
      <c r="I760" s="17"/>
      <c r="J760" s="17" t="s">
        <v>998</v>
      </c>
      <c r="K760" s="17"/>
      <c r="L760" s="17"/>
      <c r="AC760" s="1300"/>
    </row>
    <row r="761">
      <c r="B761" s="17"/>
      <c r="C761" s="17"/>
      <c r="D761" s="17"/>
      <c r="E761" s="343"/>
      <c r="F761" s="17"/>
      <c r="G761" s="17"/>
      <c r="H761" s="17"/>
      <c r="I761" s="17"/>
      <c r="J761" s="17" t="s">
        <v>998</v>
      </c>
      <c r="K761" s="17"/>
      <c r="L761" s="17"/>
      <c r="AC761" s="1300"/>
    </row>
    <row r="762">
      <c r="B762" s="17"/>
      <c r="C762" s="17"/>
      <c r="D762" s="17"/>
      <c r="E762" s="343"/>
      <c r="F762" s="17"/>
      <c r="G762" s="17"/>
      <c r="H762" s="17"/>
      <c r="I762" s="17"/>
      <c r="J762" s="17" t="s">
        <v>998</v>
      </c>
      <c r="K762" s="17"/>
      <c r="L762" s="17"/>
      <c r="AC762" s="1300"/>
    </row>
    <row r="763">
      <c r="B763" s="17"/>
      <c r="C763" s="17"/>
      <c r="D763" s="17"/>
      <c r="E763" s="343"/>
      <c r="F763" s="17"/>
      <c r="G763" s="17"/>
      <c r="H763" s="17"/>
      <c r="I763" s="17"/>
      <c r="J763" s="17" t="s">
        <v>998</v>
      </c>
      <c r="K763" s="17"/>
      <c r="L763" s="17"/>
      <c r="AC763" s="1300"/>
    </row>
    <row r="764">
      <c r="B764" s="17"/>
      <c r="C764" s="17"/>
      <c r="D764" s="17"/>
      <c r="E764" s="343"/>
      <c r="F764" s="17"/>
      <c r="G764" s="17"/>
      <c r="H764" s="17"/>
      <c r="I764" s="17"/>
      <c r="J764" s="17" t="s">
        <v>998</v>
      </c>
      <c r="K764" s="17"/>
      <c r="L764" s="17"/>
      <c r="AC764" s="1300"/>
    </row>
    <row r="765">
      <c r="B765" s="17"/>
      <c r="C765" s="17"/>
      <c r="D765" s="17"/>
      <c r="E765" s="343"/>
      <c r="F765" s="17"/>
      <c r="G765" s="17"/>
      <c r="H765" s="17"/>
      <c r="I765" s="17"/>
      <c r="J765" s="17" t="s">
        <v>998</v>
      </c>
      <c r="K765" s="17"/>
      <c r="L765" s="17"/>
      <c r="AC765" s="1300"/>
    </row>
    <row r="766">
      <c r="B766" s="17"/>
      <c r="C766" s="17"/>
      <c r="D766" s="17"/>
      <c r="E766" s="343"/>
      <c r="F766" s="17"/>
      <c r="G766" s="17"/>
      <c r="H766" s="17"/>
      <c r="I766" s="17"/>
      <c r="J766" s="17" t="s">
        <v>998</v>
      </c>
      <c r="K766" s="17"/>
      <c r="L766" s="17"/>
      <c r="AC766" s="1300"/>
    </row>
    <row r="767">
      <c r="B767" s="17"/>
      <c r="C767" s="17"/>
      <c r="D767" s="17"/>
      <c r="E767" s="343"/>
      <c r="F767" s="17"/>
      <c r="G767" s="17"/>
      <c r="H767" s="17"/>
      <c r="I767" s="17"/>
      <c r="J767" s="17" t="s">
        <v>998</v>
      </c>
      <c r="K767" s="17"/>
      <c r="L767" s="17"/>
      <c r="AC767" s="1300"/>
    </row>
    <row r="768">
      <c r="B768" s="17"/>
      <c r="C768" s="17"/>
      <c r="D768" s="17"/>
      <c r="E768" s="343"/>
      <c r="F768" s="17"/>
      <c r="G768" s="17"/>
      <c r="H768" s="17"/>
      <c r="I768" s="17"/>
      <c r="J768" s="17" t="s">
        <v>998</v>
      </c>
      <c r="K768" s="17"/>
      <c r="L768" s="17"/>
      <c r="AC768" s="1300"/>
    </row>
    <row r="769">
      <c r="B769" s="17"/>
      <c r="C769" s="17"/>
      <c r="D769" s="17"/>
      <c r="E769" s="343"/>
      <c r="F769" s="17"/>
      <c r="G769" s="17"/>
      <c r="H769" s="17"/>
      <c r="I769" s="17"/>
      <c r="J769" s="17" t="s">
        <v>998</v>
      </c>
      <c r="K769" s="17"/>
      <c r="L769" s="17"/>
      <c r="AC769" s="1300"/>
    </row>
    <row r="770">
      <c r="B770" s="17"/>
      <c r="C770" s="17"/>
      <c r="D770" s="17"/>
      <c r="E770" s="343"/>
      <c r="F770" s="17"/>
      <c r="G770" s="17"/>
      <c r="H770" s="17"/>
      <c r="I770" s="17"/>
      <c r="J770" s="17" t="s">
        <v>998</v>
      </c>
      <c r="K770" s="17"/>
      <c r="L770" s="17"/>
      <c r="AC770" s="1300"/>
    </row>
    <row r="771">
      <c r="B771" s="17"/>
      <c r="C771" s="17"/>
      <c r="D771" s="17"/>
      <c r="E771" s="343"/>
      <c r="F771" s="17"/>
      <c r="G771" s="17"/>
      <c r="H771" s="17"/>
      <c r="I771" s="17"/>
      <c r="J771" s="17" t="s">
        <v>998</v>
      </c>
      <c r="K771" s="17"/>
      <c r="L771" s="17"/>
      <c r="AC771" s="1300"/>
    </row>
    <row r="772">
      <c r="B772" s="17"/>
      <c r="C772" s="17"/>
      <c r="D772" s="17"/>
      <c r="E772" s="343"/>
      <c r="F772" s="17"/>
      <c r="G772" s="17"/>
      <c r="H772" s="17"/>
      <c r="I772" s="17"/>
      <c r="J772" s="17" t="s">
        <v>998</v>
      </c>
      <c r="K772" s="17"/>
      <c r="L772" s="17"/>
      <c r="AC772" s="1300"/>
    </row>
    <row r="773">
      <c r="B773" s="17"/>
      <c r="C773" s="17"/>
      <c r="D773" s="17"/>
      <c r="E773" s="343"/>
      <c r="F773" s="17"/>
      <c r="G773" s="17"/>
      <c r="H773" s="17"/>
      <c r="I773" s="17"/>
      <c r="J773" s="17" t="s">
        <v>998</v>
      </c>
      <c r="K773" s="17"/>
      <c r="L773" s="17"/>
      <c r="AC773" s="1300"/>
    </row>
    <row r="774">
      <c r="B774" s="17"/>
      <c r="C774" s="17"/>
      <c r="D774" s="17"/>
      <c r="E774" s="343"/>
      <c r="F774" s="17"/>
      <c r="G774" s="17"/>
      <c r="H774" s="17"/>
      <c r="I774" s="17"/>
      <c r="J774" s="17" t="s">
        <v>998</v>
      </c>
      <c r="K774" s="17"/>
      <c r="L774" s="17"/>
      <c r="AC774" s="1300"/>
    </row>
    <row r="775">
      <c r="B775" s="17"/>
      <c r="C775" s="17"/>
      <c r="D775" s="17"/>
      <c r="E775" s="343"/>
      <c r="F775" s="17"/>
      <c r="G775" s="17"/>
      <c r="H775" s="17"/>
      <c r="I775" s="17"/>
      <c r="J775" s="17" t="s">
        <v>998</v>
      </c>
      <c r="K775" s="17"/>
      <c r="L775" s="17"/>
      <c r="AC775" s="1300"/>
    </row>
    <row r="776">
      <c r="B776" s="17"/>
      <c r="C776" s="17"/>
      <c r="D776" s="17"/>
      <c r="E776" s="343"/>
      <c r="F776" s="17"/>
      <c r="G776" s="17"/>
      <c r="H776" s="17"/>
      <c r="I776" s="17"/>
      <c r="J776" s="17" t="s">
        <v>998</v>
      </c>
      <c r="K776" s="17"/>
      <c r="L776" s="17"/>
      <c r="AC776" s="1300"/>
    </row>
    <row r="777">
      <c r="B777" s="17"/>
      <c r="C777" s="17"/>
      <c r="D777" s="17"/>
      <c r="E777" s="343"/>
      <c r="F777" s="17"/>
      <c r="G777" s="17"/>
      <c r="H777" s="17"/>
      <c r="I777" s="17"/>
      <c r="J777" s="17" t="s">
        <v>998</v>
      </c>
      <c r="K777" s="17"/>
      <c r="L777" s="17"/>
      <c r="AC777" s="1300"/>
    </row>
    <row r="778">
      <c r="B778" s="17"/>
      <c r="C778" s="17"/>
      <c r="D778" s="17"/>
      <c r="E778" s="343"/>
      <c r="F778" s="17"/>
      <c r="G778" s="17"/>
      <c r="H778" s="17"/>
      <c r="I778" s="17"/>
      <c r="J778" s="17" t="s">
        <v>998</v>
      </c>
      <c r="K778" s="17"/>
      <c r="L778" s="17"/>
      <c r="AC778" s="1300"/>
    </row>
    <row r="779">
      <c r="B779" s="17"/>
      <c r="C779" s="17"/>
      <c r="D779" s="17"/>
      <c r="E779" s="343"/>
      <c r="F779" s="17"/>
      <c r="G779" s="17"/>
      <c r="H779" s="17"/>
      <c r="I779" s="17"/>
      <c r="J779" s="17" t="s">
        <v>998</v>
      </c>
      <c r="K779" s="17"/>
      <c r="L779" s="17"/>
      <c r="AC779" s="1300"/>
    </row>
    <row r="780">
      <c r="B780" s="17"/>
      <c r="C780" s="17"/>
      <c r="D780" s="17"/>
      <c r="E780" s="343"/>
      <c r="F780" s="17"/>
      <c r="G780" s="17"/>
      <c r="H780" s="17"/>
      <c r="I780" s="17"/>
      <c r="J780" s="17" t="s">
        <v>998</v>
      </c>
      <c r="K780" s="17"/>
      <c r="L780" s="17"/>
      <c r="AC780" s="1300"/>
    </row>
    <row r="781">
      <c r="B781" s="17"/>
      <c r="C781" s="17"/>
      <c r="D781" s="17"/>
      <c r="E781" s="343"/>
      <c r="F781" s="17"/>
      <c r="G781" s="17"/>
      <c r="H781" s="17"/>
      <c r="I781" s="17"/>
      <c r="J781" s="17" t="s">
        <v>998</v>
      </c>
      <c r="K781" s="17"/>
      <c r="L781" s="17"/>
      <c r="AC781" s="1300"/>
    </row>
    <row r="782">
      <c r="B782" s="17"/>
      <c r="C782" s="17"/>
      <c r="D782" s="17"/>
      <c r="E782" s="343"/>
      <c r="F782" s="17"/>
      <c r="G782" s="17"/>
      <c r="H782" s="17"/>
      <c r="I782" s="17"/>
      <c r="J782" s="17" t="s">
        <v>998</v>
      </c>
      <c r="K782" s="17"/>
      <c r="L782" s="17"/>
      <c r="AC782" s="1300"/>
    </row>
    <row r="783">
      <c r="B783" s="17"/>
      <c r="C783" s="17"/>
      <c r="D783" s="17"/>
      <c r="E783" s="343"/>
      <c r="F783" s="17"/>
      <c r="G783" s="17"/>
      <c r="H783" s="17"/>
      <c r="I783" s="17"/>
      <c r="J783" s="17" t="s">
        <v>998</v>
      </c>
      <c r="K783" s="17"/>
      <c r="L783" s="17"/>
      <c r="AC783" s="1300"/>
    </row>
    <row r="784">
      <c r="B784" s="17"/>
      <c r="C784" s="17"/>
      <c r="D784" s="17"/>
      <c r="E784" s="343"/>
      <c r="F784" s="17"/>
      <c r="G784" s="17"/>
      <c r="H784" s="17"/>
      <c r="I784" s="17"/>
      <c r="J784" s="17" t="s">
        <v>998</v>
      </c>
      <c r="K784" s="17"/>
      <c r="L784" s="17"/>
      <c r="AC784" s="1300"/>
    </row>
    <row r="785">
      <c r="B785" s="17"/>
      <c r="C785" s="17"/>
      <c r="D785" s="17"/>
      <c r="E785" s="343"/>
      <c r="F785" s="17"/>
      <c r="G785" s="17"/>
      <c r="H785" s="17"/>
      <c r="I785" s="17"/>
      <c r="J785" s="17" t="s">
        <v>998</v>
      </c>
      <c r="K785" s="17"/>
      <c r="L785" s="17"/>
      <c r="AC785" s="1300"/>
    </row>
    <row r="786">
      <c r="B786" s="17"/>
      <c r="C786" s="17"/>
      <c r="D786" s="17"/>
      <c r="E786" s="343"/>
      <c r="F786" s="17"/>
      <c r="G786" s="17"/>
      <c r="H786" s="17"/>
      <c r="I786" s="17"/>
      <c r="J786" s="17" t="s">
        <v>998</v>
      </c>
      <c r="K786" s="17"/>
      <c r="L786" s="17"/>
      <c r="AC786" s="1300"/>
    </row>
    <row r="787">
      <c r="B787" s="17"/>
      <c r="C787" s="17"/>
      <c r="D787" s="17"/>
      <c r="E787" s="343"/>
      <c r="F787" s="17"/>
      <c r="G787" s="17"/>
      <c r="H787" s="17"/>
      <c r="I787" s="17"/>
      <c r="J787" s="17" t="s">
        <v>998</v>
      </c>
      <c r="K787" s="17"/>
      <c r="L787" s="17"/>
      <c r="AC787" s="1300"/>
    </row>
    <row r="788">
      <c r="B788" s="17"/>
      <c r="C788" s="17"/>
      <c r="D788" s="17"/>
      <c r="E788" s="343"/>
      <c r="F788" s="17"/>
      <c r="G788" s="17"/>
      <c r="H788" s="17"/>
      <c r="I788" s="17"/>
      <c r="J788" s="17" t="s">
        <v>998</v>
      </c>
      <c r="K788" s="17"/>
      <c r="L788" s="17"/>
      <c r="AC788" s="1300"/>
    </row>
    <row r="789">
      <c r="B789" s="17"/>
      <c r="C789" s="17"/>
      <c r="D789" s="17"/>
      <c r="E789" s="343"/>
      <c r="F789" s="17"/>
      <c r="G789" s="17"/>
      <c r="H789" s="17"/>
      <c r="I789" s="17"/>
      <c r="J789" s="17" t="s">
        <v>998</v>
      </c>
      <c r="K789" s="17"/>
      <c r="L789" s="17"/>
      <c r="AC789" s="1300"/>
    </row>
    <row r="790">
      <c r="B790" s="17"/>
      <c r="C790" s="17"/>
      <c r="D790" s="17"/>
      <c r="E790" s="343"/>
      <c r="F790" s="17"/>
      <c r="G790" s="17"/>
      <c r="H790" s="17"/>
      <c r="I790" s="17"/>
      <c r="J790" s="17" t="s">
        <v>998</v>
      </c>
      <c r="K790" s="17"/>
      <c r="L790" s="17"/>
      <c r="AC790" s="1300"/>
    </row>
    <row r="791">
      <c r="B791" s="17"/>
      <c r="C791" s="17"/>
      <c r="D791" s="17"/>
      <c r="E791" s="343"/>
      <c r="F791" s="17"/>
      <c r="G791" s="17"/>
      <c r="H791" s="17"/>
      <c r="I791" s="17"/>
      <c r="J791" s="17" t="s">
        <v>998</v>
      </c>
      <c r="K791" s="17"/>
      <c r="L791" s="17"/>
      <c r="AC791" s="1300"/>
    </row>
    <row r="792">
      <c r="B792" s="17"/>
      <c r="C792" s="17"/>
      <c r="D792" s="17"/>
      <c r="E792" s="343"/>
      <c r="F792" s="17"/>
      <c r="G792" s="17"/>
      <c r="H792" s="17"/>
      <c r="I792" s="17"/>
      <c r="J792" s="17" t="s">
        <v>998</v>
      </c>
      <c r="K792" s="17"/>
      <c r="L792" s="17"/>
      <c r="AC792" s="1300"/>
    </row>
    <row r="793">
      <c r="B793" s="17"/>
      <c r="C793" s="17"/>
      <c r="D793" s="17"/>
      <c r="E793" s="343"/>
      <c r="F793" s="17"/>
      <c r="G793" s="17"/>
      <c r="H793" s="17"/>
      <c r="I793" s="17"/>
      <c r="J793" s="17" t="s">
        <v>998</v>
      </c>
      <c r="K793" s="17"/>
      <c r="L793" s="17"/>
      <c r="AC793" s="1300"/>
    </row>
    <row r="794">
      <c r="B794" s="17"/>
      <c r="C794" s="17"/>
      <c r="D794" s="17"/>
      <c r="E794" s="343"/>
      <c r="F794" s="17"/>
      <c r="G794" s="17"/>
      <c r="H794" s="17"/>
      <c r="I794" s="17"/>
      <c r="J794" s="17" t="s">
        <v>998</v>
      </c>
      <c r="K794" s="17"/>
      <c r="L794" s="17"/>
      <c r="AC794" s="1300"/>
    </row>
    <row r="795">
      <c r="B795" s="17"/>
      <c r="C795" s="17"/>
      <c r="D795" s="17"/>
      <c r="E795" s="343"/>
      <c r="F795" s="17"/>
      <c r="G795" s="17"/>
      <c r="H795" s="17"/>
      <c r="I795" s="17"/>
      <c r="J795" s="17" t="s">
        <v>998</v>
      </c>
      <c r="K795" s="17"/>
      <c r="L795" s="17"/>
      <c r="AC795" s="1300"/>
    </row>
    <row r="796">
      <c r="B796" s="17"/>
      <c r="C796" s="17"/>
      <c r="D796" s="17"/>
      <c r="E796" s="343"/>
      <c r="F796" s="17"/>
      <c r="G796" s="17"/>
      <c r="H796" s="17"/>
      <c r="I796" s="17"/>
      <c r="J796" s="17" t="s">
        <v>998</v>
      </c>
      <c r="K796" s="17"/>
      <c r="L796" s="17"/>
      <c r="AC796" s="1300"/>
    </row>
    <row r="797">
      <c r="B797" s="17"/>
      <c r="C797" s="17"/>
      <c r="D797" s="17"/>
      <c r="E797" s="343"/>
      <c r="F797" s="17"/>
      <c r="G797" s="17"/>
      <c r="H797" s="17"/>
      <c r="I797" s="17"/>
      <c r="J797" s="17" t="s">
        <v>998</v>
      </c>
      <c r="K797" s="17"/>
      <c r="L797" s="17"/>
      <c r="AC797" s="1300"/>
    </row>
    <row r="798">
      <c r="B798" s="17"/>
      <c r="C798" s="17"/>
      <c r="D798" s="17"/>
      <c r="E798" s="343"/>
      <c r="F798" s="17"/>
      <c r="G798" s="17"/>
      <c r="H798" s="17"/>
      <c r="I798" s="17"/>
      <c r="J798" s="17" t="s">
        <v>998</v>
      </c>
      <c r="K798" s="17"/>
      <c r="L798" s="17"/>
      <c r="AC798" s="1300"/>
    </row>
    <row r="799">
      <c r="B799" s="17"/>
      <c r="C799" s="17"/>
      <c r="D799" s="17"/>
      <c r="E799" s="343"/>
      <c r="F799" s="17"/>
      <c r="G799" s="17"/>
      <c r="H799" s="17"/>
      <c r="I799" s="17"/>
      <c r="J799" s="17" t="s">
        <v>998</v>
      </c>
      <c r="K799" s="17"/>
      <c r="L799" s="17"/>
      <c r="AC799" s="1300"/>
    </row>
    <row r="800">
      <c r="B800" s="17"/>
      <c r="C800" s="17"/>
      <c r="D800" s="17"/>
      <c r="E800" s="343"/>
      <c r="F800" s="17"/>
      <c r="G800" s="17"/>
      <c r="H800" s="17"/>
      <c r="I800" s="17"/>
      <c r="J800" s="17" t="s">
        <v>998</v>
      </c>
      <c r="K800" s="17"/>
      <c r="L800" s="17"/>
      <c r="AC800" s="1300"/>
    </row>
    <row r="801">
      <c r="B801" s="17"/>
      <c r="C801" s="17"/>
      <c r="D801" s="17"/>
      <c r="E801" s="343"/>
      <c r="F801" s="17"/>
      <c r="G801" s="17"/>
      <c r="H801" s="17"/>
      <c r="I801" s="17"/>
      <c r="J801" s="17" t="s">
        <v>998</v>
      </c>
      <c r="K801" s="17"/>
      <c r="L801" s="17"/>
      <c r="AC801" s="1300"/>
    </row>
    <row r="802">
      <c r="B802" s="17"/>
      <c r="C802" s="17"/>
      <c r="D802" s="17"/>
      <c r="E802" s="343"/>
      <c r="F802" s="17"/>
      <c r="G802" s="17"/>
      <c r="H802" s="17"/>
      <c r="I802" s="17"/>
      <c r="J802" s="17" t="s">
        <v>998</v>
      </c>
      <c r="K802" s="17"/>
      <c r="L802" s="17"/>
      <c r="AC802" s="1300"/>
    </row>
    <row r="803">
      <c r="B803" s="17"/>
      <c r="C803" s="17"/>
      <c r="D803" s="17"/>
      <c r="E803" s="343"/>
      <c r="F803" s="17"/>
      <c r="G803" s="17"/>
      <c r="H803" s="17"/>
      <c r="I803" s="17"/>
      <c r="J803" s="17" t="s">
        <v>998</v>
      </c>
      <c r="K803" s="17"/>
      <c r="L803" s="17"/>
      <c r="AC803" s="1300"/>
    </row>
    <row r="804">
      <c r="B804" s="17"/>
      <c r="C804" s="17"/>
      <c r="D804" s="17"/>
      <c r="E804" s="343"/>
      <c r="F804" s="17"/>
      <c r="G804" s="17"/>
      <c r="H804" s="17"/>
      <c r="I804" s="17"/>
      <c r="J804" s="17" t="s">
        <v>998</v>
      </c>
      <c r="K804" s="17"/>
      <c r="L804" s="17"/>
      <c r="AC804" s="1300"/>
    </row>
    <row r="805">
      <c r="B805" s="17"/>
      <c r="C805" s="17"/>
      <c r="D805" s="17"/>
      <c r="E805" s="343"/>
      <c r="F805" s="17"/>
      <c r="G805" s="17"/>
      <c r="H805" s="17"/>
      <c r="I805" s="17"/>
      <c r="J805" s="17" t="s">
        <v>998</v>
      </c>
      <c r="K805" s="17"/>
      <c r="L805" s="17"/>
      <c r="AC805" s="1300"/>
    </row>
    <row r="806">
      <c r="B806" s="17"/>
      <c r="C806" s="17"/>
      <c r="D806" s="17"/>
      <c r="E806" s="343"/>
      <c r="F806" s="17"/>
      <c r="G806" s="17"/>
      <c r="H806" s="17"/>
      <c r="I806" s="17"/>
      <c r="J806" s="17" t="s">
        <v>998</v>
      </c>
      <c r="K806" s="17"/>
      <c r="L806" s="17"/>
      <c r="AC806" s="1300"/>
    </row>
    <row r="807">
      <c r="B807" s="17"/>
      <c r="C807" s="17"/>
      <c r="D807" s="17"/>
      <c r="E807" s="343"/>
      <c r="F807" s="17"/>
      <c r="G807" s="17"/>
      <c r="H807" s="17"/>
      <c r="I807" s="17"/>
      <c r="J807" s="17" t="s">
        <v>998</v>
      </c>
      <c r="K807" s="17"/>
      <c r="L807" s="17"/>
      <c r="AC807" s="1300"/>
    </row>
    <row r="808">
      <c r="B808" s="17"/>
      <c r="C808" s="17"/>
      <c r="D808" s="17"/>
      <c r="E808" s="343"/>
      <c r="F808" s="17"/>
      <c r="G808" s="17"/>
      <c r="H808" s="17"/>
      <c r="I808" s="17"/>
      <c r="J808" s="17" t="s">
        <v>998</v>
      </c>
      <c r="K808" s="17"/>
      <c r="L808" s="17"/>
      <c r="AC808" s="1300"/>
    </row>
    <row r="809">
      <c r="B809" s="17"/>
      <c r="C809" s="17"/>
      <c r="D809" s="17"/>
      <c r="E809" s="343"/>
      <c r="F809" s="17"/>
      <c r="G809" s="17"/>
      <c r="H809" s="17"/>
      <c r="I809" s="17"/>
      <c r="J809" s="17" t="s">
        <v>998</v>
      </c>
      <c r="K809" s="17"/>
      <c r="L809" s="17"/>
      <c r="AC809" s="1300"/>
    </row>
    <row r="810">
      <c r="B810" s="17"/>
      <c r="C810" s="17"/>
      <c r="D810" s="17"/>
      <c r="E810" s="343"/>
      <c r="F810" s="17"/>
      <c r="G810" s="17"/>
      <c r="H810" s="17"/>
      <c r="I810" s="17"/>
      <c r="J810" s="17" t="s">
        <v>998</v>
      </c>
      <c r="K810" s="17"/>
      <c r="L810" s="17"/>
      <c r="AC810" s="1300"/>
    </row>
    <row r="811">
      <c r="B811" s="17"/>
      <c r="C811" s="17"/>
      <c r="D811" s="17"/>
      <c r="E811" s="343"/>
      <c r="F811" s="17"/>
      <c r="G811" s="17"/>
      <c r="H811" s="17"/>
      <c r="I811" s="17"/>
      <c r="J811" s="17" t="s">
        <v>998</v>
      </c>
      <c r="K811" s="17"/>
      <c r="L811" s="17"/>
      <c r="AC811" s="1300"/>
    </row>
    <row r="812">
      <c r="B812" s="17"/>
      <c r="C812" s="17"/>
      <c r="D812" s="17"/>
      <c r="E812" s="343"/>
      <c r="F812" s="17"/>
      <c r="G812" s="17"/>
      <c r="H812" s="17"/>
      <c r="I812" s="17"/>
      <c r="J812" s="17" t="s">
        <v>998</v>
      </c>
      <c r="K812" s="17"/>
      <c r="L812" s="17"/>
      <c r="AC812" s="1300"/>
    </row>
    <row r="813">
      <c r="B813" s="17"/>
      <c r="C813" s="17"/>
      <c r="D813" s="17"/>
      <c r="E813" s="343"/>
      <c r="F813" s="17"/>
      <c r="G813" s="17"/>
      <c r="H813" s="17"/>
      <c r="I813" s="17"/>
      <c r="J813" s="17" t="s">
        <v>998</v>
      </c>
      <c r="K813" s="17"/>
      <c r="L813" s="17"/>
      <c r="AC813" s="1300"/>
    </row>
    <row r="814">
      <c r="B814" s="17"/>
      <c r="C814" s="17"/>
      <c r="D814" s="17"/>
      <c r="E814" s="343"/>
      <c r="F814" s="17"/>
      <c r="G814" s="17"/>
      <c r="H814" s="17"/>
      <c r="I814" s="17"/>
      <c r="J814" s="17" t="s">
        <v>998</v>
      </c>
      <c r="K814" s="17"/>
      <c r="L814" s="17"/>
      <c r="AC814" s="1300"/>
    </row>
    <row r="815">
      <c r="B815" s="17"/>
      <c r="C815" s="17"/>
      <c r="D815" s="17"/>
      <c r="E815" s="343"/>
      <c r="F815" s="17"/>
      <c r="G815" s="17"/>
      <c r="H815" s="17"/>
      <c r="I815" s="17"/>
      <c r="J815" s="17" t="s">
        <v>998</v>
      </c>
      <c r="K815" s="17"/>
      <c r="L815" s="17"/>
      <c r="AC815" s="1300"/>
    </row>
    <row r="816">
      <c r="B816" s="17"/>
      <c r="C816" s="17"/>
      <c r="D816" s="17"/>
      <c r="E816" s="343"/>
      <c r="F816" s="17"/>
      <c r="G816" s="17"/>
      <c r="H816" s="17"/>
      <c r="I816" s="17"/>
      <c r="J816" s="17" t="s">
        <v>998</v>
      </c>
      <c r="K816" s="17"/>
      <c r="L816" s="17"/>
      <c r="AC816" s="1300"/>
    </row>
    <row r="817">
      <c r="B817" s="17"/>
      <c r="C817" s="17"/>
      <c r="D817" s="17"/>
      <c r="E817" s="343"/>
      <c r="F817" s="17"/>
      <c r="G817" s="17"/>
      <c r="H817" s="17"/>
      <c r="I817" s="17"/>
      <c r="J817" s="17" t="s">
        <v>998</v>
      </c>
      <c r="K817" s="17"/>
      <c r="L817" s="17"/>
      <c r="AC817" s="1300"/>
    </row>
    <row r="818">
      <c r="B818" s="17"/>
      <c r="C818" s="17"/>
      <c r="D818" s="17"/>
      <c r="E818" s="343"/>
      <c r="F818" s="17"/>
      <c r="G818" s="17"/>
      <c r="H818" s="17"/>
      <c r="I818" s="17"/>
      <c r="J818" s="17" t="s">
        <v>998</v>
      </c>
      <c r="K818" s="17"/>
      <c r="L818" s="17"/>
      <c r="AC818" s="1300"/>
    </row>
    <row r="819">
      <c r="B819" s="17"/>
      <c r="C819" s="17"/>
      <c r="D819" s="17"/>
      <c r="E819" s="343"/>
      <c r="F819" s="17"/>
      <c r="G819" s="17"/>
      <c r="H819" s="17"/>
      <c r="I819" s="17"/>
      <c r="J819" s="17" t="s">
        <v>998</v>
      </c>
      <c r="K819" s="17"/>
      <c r="L819" s="17"/>
      <c r="AC819" s="1300"/>
    </row>
    <row r="820">
      <c r="B820" s="17"/>
      <c r="C820" s="17"/>
      <c r="D820" s="17"/>
      <c r="E820" s="343"/>
      <c r="F820" s="17"/>
      <c r="G820" s="17"/>
      <c r="H820" s="17"/>
      <c r="I820" s="17"/>
      <c r="J820" s="17" t="s">
        <v>998</v>
      </c>
      <c r="K820" s="17"/>
      <c r="L820" s="17"/>
      <c r="AC820" s="1300"/>
    </row>
    <row r="821">
      <c r="B821" s="17"/>
      <c r="C821" s="17"/>
      <c r="D821" s="17"/>
      <c r="E821" s="343"/>
      <c r="F821" s="17"/>
      <c r="G821" s="17"/>
      <c r="H821" s="17"/>
      <c r="I821" s="17"/>
      <c r="J821" s="17" t="s">
        <v>998</v>
      </c>
      <c r="K821" s="17"/>
      <c r="L821" s="17"/>
      <c r="AC821" s="1300"/>
    </row>
    <row r="822">
      <c r="B822" s="17"/>
      <c r="C822" s="17"/>
      <c r="D822" s="17"/>
      <c r="E822" s="343"/>
      <c r="F822" s="17"/>
      <c r="G822" s="17"/>
      <c r="H822" s="17"/>
      <c r="I822" s="17"/>
      <c r="J822" s="17" t="s">
        <v>998</v>
      </c>
      <c r="K822" s="17"/>
      <c r="L822" s="17"/>
      <c r="AC822" s="1300"/>
    </row>
    <row r="823">
      <c r="B823" s="17"/>
      <c r="C823" s="17"/>
      <c r="D823" s="17"/>
      <c r="E823" s="343"/>
      <c r="F823" s="17"/>
      <c r="G823" s="17"/>
      <c r="H823" s="17"/>
      <c r="I823" s="17"/>
      <c r="J823" s="17" t="s">
        <v>998</v>
      </c>
      <c r="K823" s="17"/>
      <c r="L823" s="17"/>
      <c r="AC823" s="1300"/>
    </row>
    <row r="824">
      <c r="B824" s="17"/>
      <c r="C824" s="17"/>
      <c r="D824" s="17"/>
      <c r="E824" s="343"/>
      <c r="F824" s="17"/>
      <c r="G824" s="17"/>
      <c r="H824" s="17"/>
      <c r="I824" s="17"/>
      <c r="J824" s="17" t="s">
        <v>998</v>
      </c>
      <c r="K824" s="17"/>
      <c r="L824" s="17"/>
      <c r="AC824" s="1300"/>
    </row>
    <row r="825">
      <c r="B825" s="17"/>
      <c r="C825" s="17"/>
      <c r="D825" s="17"/>
      <c r="E825" s="343"/>
      <c r="F825" s="17"/>
      <c r="G825" s="17"/>
      <c r="H825" s="17"/>
      <c r="I825" s="17"/>
      <c r="J825" s="17" t="s">
        <v>998</v>
      </c>
      <c r="K825" s="17"/>
      <c r="L825" s="17"/>
      <c r="AC825" s="1300"/>
    </row>
    <row r="826">
      <c r="B826" s="17"/>
      <c r="C826" s="17"/>
      <c r="D826" s="17"/>
      <c r="E826" s="343"/>
      <c r="F826" s="17"/>
      <c r="G826" s="17"/>
      <c r="H826" s="17"/>
      <c r="I826" s="17"/>
      <c r="J826" s="17" t="s">
        <v>998</v>
      </c>
      <c r="K826" s="17"/>
      <c r="L826" s="17"/>
      <c r="AC826" s="1300"/>
    </row>
    <row r="827">
      <c r="B827" s="17"/>
      <c r="C827" s="17"/>
      <c r="D827" s="17"/>
      <c r="E827" s="343"/>
      <c r="F827" s="17"/>
      <c r="G827" s="17"/>
      <c r="H827" s="17"/>
      <c r="I827" s="17"/>
      <c r="J827" s="17" t="s">
        <v>998</v>
      </c>
      <c r="K827" s="17"/>
      <c r="L827" s="17"/>
      <c r="AC827" s="1300"/>
    </row>
    <row r="828">
      <c r="B828" s="17"/>
      <c r="C828" s="17"/>
      <c r="D828" s="17"/>
      <c r="E828" s="343"/>
      <c r="F828" s="17"/>
      <c r="G828" s="17"/>
      <c r="H828" s="17"/>
      <c r="I828" s="17"/>
      <c r="J828" s="17" t="s">
        <v>998</v>
      </c>
      <c r="K828" s="17"/>
      <c r="L828" s="17"/>
      <c r="AC828" s="1300"/>
    </row>
    <row r="829">
      <c r="B829" s="17"/>
      <c r="C829" s="17"/>
      <c r="D829" s="17"/>
      <c r="E829" s="343"/>
      <c r="F829" s="17"/>
      <c r="G829" s="17"/>
      <c r="H829" s="17"/>
      <c r="I829" s="17"/>
      <c r="J829" s="17" t="s">
        <v>998</v>
      </c>
      <c r="K829" s="17"/>
      <c r="L829" s="17"/>
      <c r="AC829" s="1300"/>
    </row>
    <row r="830">
      <c r="B830" s="17"/>
      <c r="C830" s="17"/>
      <c r="D830" s="17"/>
      <c r="E830" s="343"/>
      <c r="F830" s="17"/>
      <c r="G830" s="17"/>
      <c r="H830" s="17"/>
      <c r="I830" s="17"/>
      <c r="J830" s="17" t="s">
        <v>998</v>
      </c>
      <c r="K830" s="17"/>
      <c r="L830" s="17"/>
      <c r="AC830" s="1300"/>
    </row>
    <row r="831">
      <c r="B831" s="17"/>
      <c r="C831" s="17"/>
      <c r="D831" s="17"/>
      <c r="E831" s="343"/>
      <c r="F831" s="17"/>
      <c r="G831" s="17"/>
      <c r="H831" s="17"/>
      <c r="I831" s="17"/>
      <c r="J831" s="17" t="s">
        <v>998</v>
      </c>
      <c r="K831" s="17"/>
      <c r="L831" s="17"/>
      <c r="AC831" s="1300"/>
    </row>
    <row r="832">
      <c r="B832" s="17"/>
      <c r="C832" s="17"/>
      <c r="D832" s="17"/>
      <c r="E832" s="343"/>
      <c r="F832" s="17"/>
      <c r="G832" s="17"/>
      <c r="H832" s="17"/>
      <c r="I832" s="17"/>
      <c r="J832" s="17" t="s">
        <v>998</v>
      </c>
      <c r="K832" s="17"/>
      <c r="L832" s="17"/>
      <c r="AC832" s="1300"/>
    </row>
    <row r="833">
      <c r="B833" s="17"/>
      <c r="C833" s="17"/>
      <c r="D833" s="17"/>
      <c r="E833" s="343"/>
      <c r="F833" s="17"/>
      <c r="G833" s="17"/>
      <c r="H833" s="17"/>
      <c r="I833" s="17"/>
      <c r="J833" s="17" t="s">
        <v>998</v>
      </c>
      <c r="K833" s="17"/>
      <c r="L833" s="17"/>
      <c r="AC833" s="1300"/>
    </row>
    <row r="834">
      <c r="B834" s="17"/>
      <c r="C834" s="17"/>
      <c r="D834" s="17"/>
      <c r="E834" s="343"/>
      <c r="F834" s="17"/>
      <c r="G834" s="17"/>
      <c r="H834" s="17"/>
      <c r="I834" s="17"/>
      <c r="J834" s="17" t="s">
        <v>998</v>
      </c>
      <c r="K834" s="17"/>
      <c r="L834" s="17"/>
      <c r="AC834" s="1300"/>
    </row>
    <row r="835">
      <c r="B835" s="17"/>
      <c r="C835" s="17"/>
      <c r="D835" s="17"/>
      <c r="E835" s="343"/>
      <c r="F835" s="17"/>
      <c r="G835" s="17"/>
      <c r="H835" s="17"/>
      <c r="I835" s="17"/>
      <c r="J835" s="17" t="s">
        <v>998</v>
      </c>
      <c r="K835" s="17"/>
      <c r="L835" s="17"/>
      <c r="AC835" s="1300"/>
    </row>
    <row r="836">
      <c r="B836" s="17"/>
      <c r="C836" s="17"/>
      <c r="D836" s="17"/>
      <c r="E836" s="343"/>
      <c r="F836" s="17"/>
      <c r="G836" s="17"/>
      <c r="H836" s="17"/>
      <c r="I836" s="17"/>
      <c r="J836" s="17" t="s">
        <v>998</v>
      </c>
      <c r="K836" s="17"/>
      <c r="L836" s="17"/>
      <c r="AC836" s="1300"/>
    </row>
    <row r="837">
      <c r="B837" s="17"/>
      <c r="C837" s="17"/>
      <c r="D837" s="17"/>
      <c r="E837" s="343"/>
      <c r="F837" s="17"/>
      <c r="G837" s="17"/>
      <c r="H837" s="17"/>
      <c r="I837" s="17"/>
      <c r="J837" s="17" t="s">
        <v>998</v>
      </c>
      <c r="K837" s="17"/>
      <c r="L837" s="17"/>
      <c r="AC837" s="1300"/>
    </row>
    <row r="838">
      <c r="B838" s="17"/>
      <c r="C838" s="17"/>
      <c r="D838" s="17"/>
      <c r="E838" s="343"/>
      <c r="F838" s="17"/>
      <c r="G838" s="17"/>
      <c r="H838" s="17"/>
      <c r="I838" s="17"/>
      <c r="J838" s="17" t="s">
        <v>998</v>
      </c>
      <c r="K838" s="17"/>
      <c r="L838" s="17"/>
      <c r="AC838" s="1300"/>
    </row>
    <row r="839">
      <c r="B839" s="17"/>
      <c r="C839" s="17"/>
      <c r="D839" s="17"/>
      <c r="E839" s="343"/>
      <c r="F839" s="17"/>
      <c r="G839" s="17"/>
      <c r="H839" s="17"/>
      <c r="I839" s="17"/>
      <c r="J839" s="17" t="s">
        <v>998</v>
      </c>
      <c r="K839" s="17"/>
      <c r="L839" s="17"/>
      <c r="AC839" s="1300"/>
    </row>
    <row r="840">
      <c r="B840" s="17"/>
      <c r="C840" s="17"/>
      <c r="D840" s="17"/>
      <c r="E840" s="343"/>
      <c r="F840" s="17"/>
      <c r="G840" s="17"/>
      <c r="H840" s="17"/>
      <c r="I840" s="17"/>
      <c r="J840" s="17" t="s">
        <v>998</v>
      </c>
      <c r="K840" s="17"/>
      <c r="L840" s="17"/>
      <c r="AC840" s="1300"/>
    </row>
    <row r="841">
      <c r="B841" s="17"/>
      <c r="C841" s="17"/>
      <c r="D841" s="17"/>
      <c r="E841" s="343"/>
      <c r="F841" s="17"/>
      <c r="G841" s="17"/>
      <c r="H841" s="17"/>
      <c r="I841" s="17"/>
      <c r="J841" s="17" t="s">
        <v>998</v>
      </c>
      <c r="K841" s="17"/>
      <c r="L841" s="17"/>
      <c r="AC841" s="1300"/>
    </row>
    <row r="842">
      <c r="B842" s="17"/>
      <c r="C842" s="17"/>
      <c r="D842" s="17"/>
      <c r="E842" s="343"/>
      <c r="F842" s="17"/>
      <c r="G842" s="17"/>
      <c r="H842" s="17"/>
      <c r="I842" s="17"/>
      <c r="J842" s="17" t="s">
        <v>998</v>
      </c>
      <c r="K842" s="17"/>
      <c r="L842" s="17"/>
      <c r="AC842" s="1300"/>
    </row>
    <row r="843">
      <c r="B843" s="17"/>
      <c r="C843" s="17"/>
      <c r="D843" s="17"/>
      <c r="E843" s="343"/>
      <c r="F843" s="17"/>
      <c r="G843" s="17"/>
      <c r="H843" s="17"/>
      <c r="I843" s="17"/>
      <c r="J843" s="17" t="s">
        <v>998</v>
      </c>
      <c r="K843" s="17"/>
      <c r="L843" s="17"/>
      <c r="AC843" s="1300"/>
    </row>
    <row r="844">
      <c r="B844" s="17"/>
      <c r="C844" s="17"/>
      <c r="D844" s="17"/>
      <c r="E844" s="343"/>
      <c r="F844" s="17"/>
      <c r="G844" s="17"/>
      <c r="H844" s="17"/>
      <c r="I844" s="17"/>
      <c r="J844" s="17" t="s">
        <v>998</v>
      </c>
      <c r="K844" s="17"/>
      <c r="L844" s="17"/>
      <c r="AC844" s="1300"/>
    </row>
    <row r="845">
      <c r="B845" s="17"/>
      <c r="C845" s="17"/>
      <c r="D845" s="17"/>
      <c r="E845" s="343"/>
      <c r="F845" s="17"/>
      <c r="G845" s="17"/>
      <c r="H845" s="17"/>
      <c r="I845" s="17"/>
      <c r="J845" s="17" t="s">
        <v>998</v>
      </c>
      <c r="K845" s="17"/>
      <c r="L845" s="17"/>
      <c r="AC845" s="1300"/>
    </row>
    <row r="846">
      <c r="B846" s="17"/>
      <c r="C846" s="17"/>
      <c r="D846" s="17"/>
      <c r="E846" s="343"/>
      <c r="F846" s="17"/>
      <c r="G846" s="17"/>
      <c r="H846" s="17"/>
      <c r="I846" s="17"/>
      <c r="J846" s="17" t="s">
        <v>998</v>
      </c>
      <c r="K846" s="17"/>
      <c r="L846" s="17"/>
      <c r="AC846" s="1300"/>
    </row>
    <row r="847">
      <c r="B847" s="17"/>
      <c r="C847" s="17"/>
      <c r="D847" s="17"/>
      <c r="E847" s="343"/>
      <c r="F847" s="17"/>
      <c r="G847" s="17"/>
      <c r="H847" s="17"/>
      <c r="I847" s="17"/>
      <c r="J847" s="17" t="s">
        <v>998</v>
      </c>
      <c r="K847" s="17"/>
      <c r="L847" s="17"/>
      <c r="AC847" s="1300"/>
    </row>
    <row r="848">
      <c r="B848" s="17"/>
      <c r="C848" s="17"/>
      <c r="D848" s="17"/>
      <c r="E848" s="343"/>
      <c r="F848" s="17"/>
      <c r="G848" s="17"/>
      <c r="H848" s="17"/>
      <c r="I848" s="17"/>
      <c r="J848" s="17" t="s">
        <v>998</v>
      </c>
      <c r="K848" s="17"/>
      <c r="L848" s="17"/>
      <c r="AC848" s="1300"/>
    </row>
    <row r="849">
      <c r="B849" s="17"/>
      <c r="C849" s="17"/>
      <c r="D849" s="17"/>
      <c r="E849" s="343"/>
      <c r="F849" s="17"/>
      <c r="G849" s="17"/>
      <c r="H849" s="17"/>
      <c r="I849" s="17"/>
      <c r="J849" s="17" t="s">
        <v>998</v>
      </c>
      <c r="K849" s="17"/>
      <c r="L849" s="17"/>
      <c r="AC849" s="1300"/>
    </row>
    <row r="850">
      <c r="B850" s="17"/>
      <c r="C850" s="17"/>
      <c r="D850" s="17"/>
      <c r="E850" s="343"/>
      <c r="F850" s="17"/>
      <c r="G850" s="17"/>
      <c r="H850" s="17"/>
      <c r="I850" s="17"/>
      <c r="J850" s="17" t="s">
        <v>998</v>
      </c>
      <c r="K850" s="17"/>
      <c r="L850" s="17"/>
      <c r="AC850" s="1300"/>
    </row>
    <row r="851">
      <c r="B851" s="17"/>
      <c r="C851" s="17"/>
      <c r="D851" s="17"/>
      <c r="E851" s="343"/>
      <c r="F851" s="17"/>
      <c r="G851" s="17"/>
      <c r="H851" s="17"/>
      <c r="I851" s="17"/>
      <c r="J851" s="17" t="s">
        <v>998</v>
      </c>
      <c r="K851" s="17"/>
      <c r="L851" s="17"/>
      <c r="AC851" s="1300"/>
    </row>
    <row r="852">
      <c r="B852" s="17"/>
      <c r="C852" s="17"/>
      <c r="D852" s="17"/>
      <c r="E852" s="343"/>
      <c r="F852" s="17"/>
      <c r="G852" s="17"/>
      <c r="H852" s="17"/>
      <c r="I852" s="17"/>
      <c r="J852" s="17" t="s">
        <v>998</v>
      </c>
      <c r="K852" s="17"/>
      <c r="L852" s="17"/>
      <c r="AC852" s="1300"/>
    </row>
    <row r="853">
      <c r="B853" s="17"/>
      <c r="C853" s="17"/>
      <c r="D853" s="17"/>
      <c r="E853" s="343"/>
      <c r="F853" s="17"/>
      <c r="G853" s="17"/>
      <c r="H853" s="17"/>
      <c r="I853" s="17"/>
      <c r="J853" s="17" t="s">
        <v>998</v>
      </c>
      <c r="K853" s="17"/>
      <c r="L853" s="17"/>
      <c r="AC853" s="1300"/>
    </row>
    <row r="854">
      <c r="B854" s="17"/>
      <c r="C854" s="17"/>
      <c r="D854" s="17"/>
      <c r="E854" s="343"/>
      <c r="F854" s="17"/>
      <c r="G854" s="17"/>
      <c r="H854" s="17"/>
      <c r="I854" s="17"/>
      <c r="J854" s="17" t="s">
        <v>998</v>
      </c>
      <c r="K854" s="17"/>
      <c r="L854" s="17"/>
      <c r="AC854" s="1300"/>
    </row>
    <row r="855">
      <c r="B855" s="17"/>
      <c r="C855" s="17"/>
      <c r="D855" s="17"/>
      <c r="E855" s="343"/>
      <c r="F855" s="17"/>
      <c r="G855" s="17"/>
      <c r="H855" s="17"/>
      <c r="I855" s="17"/>
      <c r="J855" s="17" t="s">
        <v>998</v>
      </c>
      <c r="K855" s="17"/>
      <c r="L855" s="17"/>
      <c r="AC855" s="1300"/>
    </row>
    <row r="856">
      <c r="B856" s="17"/>
      <c r="C856" s="17"/>
      <c r="D856" s="17"/>
      <c r="E856" s="343"/>
      <c r="F856" s="17"/>
      <c r="G856" s="17"/>
      <c r="H856" s="17"/>
      <c r="I856" s="17"/>
      <c r="J856" s="17" t="s">
        <v>998</v>
      </c>
      <c r="K856" s="17"/>
      <c r="L856" s="17"/>
      <c r="AC856" s="1300"/>
    </row>
    <row r="857">
      <c r="B857" s="17"/>
      <c r="C857" s="17"/>
      <c r="D857" s="17"/>
      <c r="E857" s="343"/>
      <c r="F857" s="17"/>
      <c r="G857" s="17"/>
      <c r="H857" s="17"/>
      <c r="I857" s="17"/>
      <c r="J857" s="17" t="s">
        <v>998</v>
      </c>
      <c r="K857" s="17"/>
      <c r="L857" s="17"/>
      <c r="AC857" s="1300"/>
    </row>
    <row r="858">
      <c r="B858" s="17"/>
      <c r="C858" s="17"/>
      <c r="D858" s="17"/>
      <c r="E858" s="343"/>
      <c r="F858" s="17"/>
      <c r="G858" s="17"/>
      <c r="H858" s="17"/>
      <c r="I858" s="17"/>
      <c r="J858" s="17" t="s">
        <v>998</v>
      </c>
      <c r="K858" s="17"/>
      <c r="L858" s="17"/>
      <c r="AC858" s="1300"/>
    </row>
    <row r="859">
      <c r="B859" s="17"/>
      <c r="C859" s="17"/>
      <c r="D859" s="17"/>
      <c r="E859" s="343"/>
      <c r="F859" s="17"/>
      <c r="G859" s="17"/>
      <c r="H859" s="17"/>
      <c r="I859" s="17"/>
      <c r="J859" s="17" t="s">
        <v>998</v>
      </c>
      <c r="K859" s="17"/>
      <c r="L859" s="17"/>
      <c r="AC859" s="1300"/>
    </row>
    <row r="860">
      <c r="B860" s="17"/>
      <c r="C860" s="17"/>
      <c r="D860" s="17"/>
      <c r="E860" s="343"/>
      <c r="F860" s="17"/>
      <c r="G860" s="17"/>
      <c r="H860" s="17"/>
      <c r="I860" s="17"/>
      <c r="J860" s="17" t="s">
        <v>998</v>
      </c>
      <c r="K860" s="17"/>
      <c r="L860" s="17"/>
      <c r="AC860" s="1300"/>
    </row>
    <row r="861">
      <c r="B861" s="17"/>
      <c r="C861" s="17"/>
      <c r="D861" s="17"/>
      <c r="E861" s="343"/>
      <c r="F861" s="17"/>
      <c r="G861" s="17"/>
      <c r="H861" s="17"/>
      <c r="I861" s="17"/>
      <c r="J861" s="17" t="s">
        <v>998</v>
      </c>
      <c r="K861" s="17"/>
      <c r="L861" s="17"/>
      <c r="AC861" s="1300"/>
    </row>
    <row r="862">
      <c r="B862" s="17"/>
      <c r="C862" s="17"/>
      <c r="D862" s="17"/>
      <c r="E862" s="343"/>
      <c r="F862" s="17"/>
      <c r="G862" s="17"/>
      <c r="H862" s="17"/>
      <c r="I862" s="17"/>
      <c r="J862" s="17" t="s">
        <v>998</v>
      </c>
      <c r="K862" s="17"/>
      <c r="L862" s="17"/>
      <c r="AC862" s="1300"/>
    </row>
    <row r="863">
      <c r="B863" s="17"/>
      <c r="C863" s="17"/>
      <c r="D863" s="17"/>
      <c r="E863" s="343"/>
      <c r="F863" s="17"/>
      <c r="G863" s="17"/>
      <c r="H863" s="17"/>
      <c r="I863" s="17"/>
      <c r="J863" s="17" t="s">
        <v>998</v>
      </c>
      <c r="K863" s="17"/>
      <c r="L863" s="17"/>
      <c r="AC863" s="1300"/>
    </row>
    <row r="864">
      <c r="B864" s="17"/>
      <c r="C864" s="17"/>
      <c r="D864" s="17"/>
      <c r="E864" s="343"/>
      <c r="F864" s="17"/>
      <c r="G864" s="17"/>
      <c r="H864" s="17"/>
      <c r="I864" s="17"/>
      <c r="J864" s="17" t="s">
        <v>998</v>
      </c>
      <c r="K864" s="17"/>
      <c r="L864" s="17"/>
      <c r="AC864" s="1300"/>
    </row>
    <row r="865">
      <c r="B865" s="17"/>
      <c r="C865" s="17"/>
      <c r="D865" s="17"/>
      <c r="E865" s="343"/>
      <c r="F865" s="17"/>
      <c r="G865" s="17"/>
      <c r="H865" s="17"/>
      <c r="I865" s="17"/>
      <c r="J865" s="17" t="s">
        <v>998</v>
      </c>
      <c r="K865" s="17"/>
      <c r="L865" s="17"/>
      <c r="AC865" s="1300"/>
    </row>
    <row r="866">
      <c r="B866" s="17"/>
      <c r="C866" s="17"/>
      <c r="D866" s="17"/>
      <c r="E866" s="343"/>
      <c r="F866" s="17"/>
      <c r="G866" s="17"/>
      <c r="H866" s="17"/>
      <c r="I866" s="17"/>
      <c r="J866" s="17" t="s">
        <v>998</v>
      </c>
      <c r="K866" s="17"/>
      <c r="L866" s="17"/>
      <c r="AC866" s="1300"/>
    </row>
    <row r="867">
      <c r="B867" s="17"/>
      <c r="C867" s="17"/>
      <c r="D867" s="17"/>
      <c r="E867" s="343"/>
      <c r="F867" s="17"/>
      <c r="G867" s="17"/>
      <c r="H867" s="17"/>
      <c r="I867" s="17"/>
      <c r="J867" s="17" t="s">
        <v>998</v>
      </c>
      <c r="K867" s="17"/>
      <c r="L867" s="17"/>
      <c r="AC867" s="1300"/>
    </row>
    <row r="868">
      <c r="B868" s="17"/>
      <c r="C868" s="17"/>
      <c r="D868" s="17"/>
      <c r="E868" s="343"/>
      <c r="F868" s="17"/>
      <c r="G868" s="17"/>
      <c r="H868" s="17"/>
      <c r="I868" s="17"/>
      <c r="J868" s="17" t="s">
        <v>998</v>
      </c>
      <c r="K868" s="17"/>
      <c r="L868" s="17"/>
      <c r="AC868" s="1300"/>
    </row>
    <row r="869">
      <c r="B869" s="17"/>
      <c r="C869" s="17"/>
      <c r="D869" s="17"/>
      <c r="E869" s="343"/>
      <c r="F869" s="17"/>
      <c r="G869" s="17"/>
      <c r="H869" s="17"/>
      <c r="I869" s="17"/>
      <c r="J869" s="17" t="s">
        <v>998</v>
      </c>
      <c r="K869" s="17"/>
      <c r="L869" s="17"/>
      <c r="AC869" s="1300"/>
    </row>
    <row r="870">
      <c r="B870" s="17"/>
      <c r="C870" s="17"/>
      <c r="D870" s="17"/>
      <c r="E870" s="343"/>
      <c r="F870" s="17"/>
      <c r="G870" s="17"/>
      <c r="H870" s="17"/>
      <c r="I870" s="17"/>
      <c r="J870" s="17" t="s">
        <v>998</v>
      </c>
      <c r="K870" s="17"/>
      <c r="L870" s="17"/>
      <c r="AC870" s="1300"/>
    </row>
    <row r="871">
      <c r="B871" s="17"/>
      <c r="C871" s="17"/>
      <c r="D871" s="17"/>
      <c r="E871" s="343"/>
      <c r="F871" s="17"/>
      <c r="G871" s="17"/>
      <c r="H871" s="17"/>
      <c r="I871" s="17"/>
      <c r="J871" s="17" t="s">
        <v>998</v>
      </c>
      <c r="K871" s="17"/>
      <c r="L871" s="17"/>
      <c r="AC871" s="1300"/>
    </row>
    <row r="872">
      <c r="B872" s="17"/>
      <c r="C872" s="17"/>
      <c r="D872" s="17"/>
      <c r="E872" s="343"/>
      <c r="F872" s="17"/>
      <c r="G872" s="17"/>
      <c r="H872" s="17"/>
      <c r="I872" s="17"/>
      <c r="J872" s="17" t="s">
        <v>998</v>
      </c>
      <c r="K872" s="17"/>
      <c r="L872" s="17"/>
      <c r="AC872" s="1300"/>
    </row>
    <row r="873">
      <c r="B873" s="17"/>
      <c r="C873" s="17"/>
      <c r="D873" s="17"/>
      <c r="E873" s="343"/>
      <c r="F873" s="17"/>
      <c r="G873" s="17"/>
      <c r="H873" s="17"/>
      <c r="I873" s="17"/>
      <c r="J873" s="17" t="s">
        <v>998</v>
      </c>
      <c r="K873" s="17"/>
      <c r="L873" s="17"/>
      <c r="AC873" s="1300"/>
    </row>
    <row r="874">
      <c r="B874" s="17"/>
      <c r="C874" s="17"/>
      <c r="D874" s="17"/>
      <c r="E874" s="343"/>
      <c r="F874" s="17"/>
      <c r="G874" s="17"/>
      <c r="H874" s="17"/>
      <c r="I874" s="17"/>
      <c r="J874" s="17" t="s">
        <v>998</v>
      </c>
      <c r="K874" s="17"/>
      <c r="L874" s="17"/>
      <c r="AC874" s="1300"/>
    </row>
    <row r="875">
      <c r="B875" s="17"/>
      <c r="C875" s="17"/>
      <c r="D875" s="17"/>
      <c r="E875" s="343"/>
      <c r="F875" s="17"/>
      <c r="G875" s="17"/>
      <c r="H875" s="17"/>
      <c r="I875" s="17"/>
      <c r="J875" s="17" t="s">
        <v>998</v>
      </c>
      <c r="K875" s="17"/>
      <c r="L875" s="17"/>
      <c r="AC875" s="1300"/>
    </row>
    <row r="876">
      <c r="B876" s="17"/>
      <c r="C876" s="17"/>
      <c r="D876" s="17"/>
      <c r="E876" s="343"/>
      <c r="F876" s="17"/>
      <c r="G876" s="17"/>
      <c r="H876" s="17"/>
      <c r="I876" s="17"/>
      <c r="J876" s="17" t="s">
        <v>998</v>
      </c>
      <c r="K876" s="17"/>
      <c r="L876" s="17"/>
      <c r="AC876" s="1300"/>
    </row>
    <row r="877">
      <c r="B877" s="17"/>
      <c r="C877" s="17"/>
      <c r="D877" s="17"/>
      <c r="E877" s="343"/>
      <c r="F877" s="17"/>
      <c r="G877" s="17"/>
      <c r="H877" s="17"/>
      <c r="I877" s="17"/>
      <c r="J877" s="17" t="s">
        <v>998</v>
      </c>
      <c r="K877" s="17"/>
      <c r="L877" s="17"/>
      <c r="AC877" s="1300"/>
    </row>
    <row r="878">
      <c r="B878" s="17"/>
      <c r="C878" s="17"/>
      <c r="D878" s="17"/>
      <c r="E878" s="343"/>
      <c r="F878" s="17"/>
      <c r="G878" s="17"/>
      <c r="H878" s="17"/>
      <c r="I878" s="17"/>
      <c r="J878" s="17" t="s">
        <v>998</v>
      </c>
      <c r="K878" s="17"/>
      <c r="L878" s="17"/>
      <c r="AC878" s="1300"/>
    </row>
    <row r="879">
      <c r="B879" s="17"/>
      <c r="C879" s="17"/>
      <c r="D879" s="17"/>
      <c r="E879" s="343"/>
      <c r="F879" s="17"/>
      <c r="G879" s="17"/>
      <c r="H879" s="17"/>
      <c r="I879" s="17"/>
      <c r="J879" s="17" t="s">
        <v>998</v>
      </c>
      <c r="K879" s="17"/>
      <c r="L879" s="17"/>
      <c r="AC879" s="1300"/>
    </row>
    <row r="880">
      <c r="B880" s="17"/>
      <c r="C880" s="17"/>
      <c r="D880" s="17"/>
      <c r="E880" s="343"/>
      <c r="F880" s="17"/>
      <c r="G880" s="17"/>
      <c r="H880" s="17"/>
      <c r="I880" s="17"/>
      <c r="J880" s="17" t="s">
        <v>998</v>
      </c>
      <c r="K880" s="17"/>
      <c r="L880" s="17"/>
      <c r="AC880" s="1300"/>
    </row>
    <row r="881">
      <c r="B881" s="17"/>
      <c r="C881" s="17"/>
      <c r="D881" s="17"/>
      <c r="E881" s="343"/>
      <c r="F881" s="17"/>
      <c r="G881" s="17"/>
      <c r="H881" s="17"/>
      <c r="I881" s="17"/>
      <c r="J881" s="17" t="s">
        <v>998</v>
      </c>
      <c r="K881" s="17"/>
      <c r="L881" s="17"/>
      <c r="AC881" s="1300"/>
    </row>
    <row r="882">
      <c r="B882" s="17"/>
      <c r="C882" s="17"/>
      <c r="D882" s="17"/>
      <c r="E882" s="343"/>
      <c r="F882" s="17"/>
      <c r="G882" s="17"/>
      <c r="H882" s="17"/>
      <c r="I882" s="17"/>
      <c r="J882" s="17" t="s">
        <v>998</v>
      </c>
      <c r="K882" s="17"/>
      <c r="L882" s="17"/>
      <c r="AC882" s="1300"/>
    </row>
    <row r="883">
      <c r="B883" s="17"/>
      <c r="C883" s="17"/>
      <c r="D883" s="17"/>
      <c r="E883" s="343"/>
      <c r="F883" s="17"/>
      <c r="G883" s="17"/>
      <c r="H883" s="17"/>
      <c r="I883" s="17"/>
      <c r="J883" s="17" t="s">
        <v>998</v>
      </c>
      <c r="K883" s="17"/>
      <c r="L883" s="17"/>
      <c r="AC883" s="1300"/>
    </row>
    <row r="884">
      <c r="B884" s="17"/>
      <c r="C884" s="17"/>
      <c r="D884" s="17"/>
      <c r="E884" s="343"/>
      <c r="F884" s="17"/>
      <c r="G884" s="17"/>
      <c r="H884" s="17"/>
      <c r="I884" s="17"/>
      <c r="J884" s="17" t="s">
        <v>998</v>
      </c>
      <c r="K884" s="17"/>
      <c r="L884" s="17"/>
      <c r="AC884" s="1300"/>
    </row>
    <row r="885">
      <c r="B885" s="17"/>
      <c r="C885" s="17"/>
      <c r="D885" s="17"/>
      <c r="E885" s="343"/>
      <c r="F885" s="17"/>
      <c r="G885" s="17"/>
      <c r="H885" s="17"/>
      <c r="I885" s="17"/>
      <c r="J885" s="17" t="s">
        <v>998</v>
      </c>
      <c r="K885" s="17"/>
      <c r="L885" s="17"/>
      <c r="AC885" s="1300"/>
    </row>
    <row r="886">
      <c r="B886" s="17"/>
      <c r="C886" s="17"/>
      <c r="D886" s="17"/>
      <c r="E886" s="343"/>
      <c r="F886" s="17"/>
      <c r="G886" s="17"/>
      <c r="H886" s="17"/>
      <c r="I886" s="17"/>
      <c r="J886" s="17" t="s">
        <v>998</v>
      </c>
      <c r="K886" s="17"/>
      <c r="L886" s="17"/>
      <c r="AC886" s="1300"/>
    </row>
    <row r="887">
      <c r="B887" s="17"/>
      <c r="C887" s="17"/>
      <c r="D887" s="17"/>
      <c r="E887" s="343"/>
      <c r="F887" s="17"/>
      <c r="G887" s="17"/>
      <c r="H887" s="17"/>
      <c r="I887" s="17"/>
      <c r="J887" s="17" t="s">
        <v>998</v>
      </c>
      <c r="K887" s="17"/>
      <c r="L887" s="17"/>
      <c r="AC887" s="1300"/>
    </row>
    <row r="888">
      <c r="B888" s="17"/>
      <c r="C888" s="17"/>
      <c r="D888" s="17"/>
      <c r="E888" s="343"/>
      <c r="F888" s="17"/>
      <c r="G888" s="17"/>
      <c r="H888" s="17"/>
      <c r="I888" s="17"/>
      <c r="J888" s="17" t="s">
        <v>998</v>
      </c>
      <c r="K888" s="17"/>
      <c r="L888" s="17"/>
      <c r="AC888" s="1300"/>
    </row>
    <row r="889">
      <c r="B889" s="17"/>
      <c r="C889" s="17"/>
      <c r="D889" s="17"/>
      <c r="E889" s="343"/>
      <c r="F889" s="17"/>
      <c r="G889" s="17"/>
      <c r="H889" s="17"/>
      <c r="I889" s="17"/>
      <c r="J889" s="17" t="s">
        <v>998</v>
      </c>
      <c r="K889" s="17"/>
      <c r="L889" s="17"/>
      <c r="AC889" s="1300"/>
    </row>
    <row r="890">
      <c r="B890" s="17"/>
      <c r="C890" s="17"/>
      <c r="D890" s="17"/>
      <c r="E890" s="343"/>
      <c r="F890" s="17"/>
      <c r="G890" s="17"/>
      <c r="H890" s="17"/>
      <c r="I890" s="17"/>
      <c r="J890" s="17" t="s">
        <v>998</v>
      </c>
      <c r="K890" s="17"/>
      <c r="L890" s="17"/>
      <c r="AC890" s="1300"/>
    </row>
    <row r="891">
      <c r="B891" s="17"/>
      <c r="C891" s="17"/>
      <c r="D891" s="17"/>
      <c r="E891" s="343"/>
      <c r="F891" s="17"/>
      <c r="G891" s="17"/>
      <c r="H891" s="17"/>
      <c r="I891" s="17"/>
      <c r="J891" s="17" t="s">
        <v>998</v>
      </c>
      <c r="K891" s="17"/>
      <c r="L891" s="17"/>
      <c r="AC891" s="1300"/>
    </row>
    <row r="892">
      <c r="B892" s="17"/>
      <c r="C892" s="17"/>
      <c r="D892" s="17"/>
      <c r="E892" s="343"/>
      <c r="F892" s="17"/>
      <c r="G892" s="17"/>
      <c r="H892" s="17"/>
      <c r="I892" s="17"/>
      <c r="J892" s="17" t="s">
        <v>998</v>
      </c>
      <c r="K892" s="17"/>
      <c r="L892" s="17"/>
      <c r="AC892" s="1300"/>
    </row>
    <row r="893">
      <c r="B893" s="17"/>
      <c r="C893" s="17"/>
      <c r="D893" s="17"/>
      <c r="E893" s="343"/>
      <c r="F893" s="17"/>
      <c r="G893" s="17"/>
      <c r="H893" s="17"/>
      <c r="I893" s="17"/>
      <c r="J893" s="17" t="s">
        <v>998</v>
      </c>
      <c r="K893" s="17"/>
      <c r="L893" s="17"/>
      <c r="AC893" s="1300"/>
    </row>
    <row r="894">
      <c r="B894" s="17"/>
      <c r="C894" s="17"/>
      <c r="D894" s="17"/>
      <c r="E894" s="343"/>
      <c r="F894" s="17"/>
      <c r="G894" s="17"/>
      <c r="H894" s="17"/>
      <c r="I894" s="17"/>
      <c r="J894" s="17" t="s">
        <v>998</v>
      </c>
      <c r="K894" s="17"/>
      <c r="L894" s="17"/>
      <c r="AC894" s="1300"/>
    </row>
    <row r="895">
      <c r="B895" s="17"/>
      <c r="C895" s="17"/>
      <c r="D895" s="17"/>
      <c r="E895" s="343"/>
      <c r="F895" s="17"/>
      <c r="G895" s="17"/>
      <c r="H895" s="17"/>
      <c r="I895" s="17"/>
      <c r="J895" s="17" t="s">
        <v>998</v>
      </c>
      <c r="K895" s="17"/>
      <c r="L895" s="17"/>
      <c r="AC895" s="1300"/>
    </row>
    <row r="896">
      <c r="B896" s="17"/>
      <c r="C896" s="17"/>
      <c r="D896" s="17"/>
      <c r="E896" s="343"/>
      <c r="F896" s="17"/>
      <c r="G896" s="17"/>
      <c r="H896" s="17"/>
      <c r="I896" s="17"/>
      <c r="J896" s="17" t="s">
        <v>998</v>
      </c>
      <c r="K896" s="17"/>
      <c r="L896" s="17"/>
      <c r="AC896" s="1300"/>
    </row>
    <row r="897">
      <c r="B897" s="17"/>
      <c r="C897" s="17"/>
      <c r="D897" s="17"/>
      <c r="E897" s="343"/>
      <c r="F897" s="17"/>
      <c r="G897" s="17"/>
      <c r="H897" s="17"/>
      <c r="I897" s="17"/>
      <c r="J897" s="17" t="s">
        <v>998</v>
      </c>
      <c r="K897" s="17"/>
      <c r="L897" s="17"/>
      <c r="AC897" s="1300"/>
    </row>
    <row r="898">
      <c r="B898" s="17"/>
      <c r="C898" s="17"/>
      <c r="D898" s="17"/>
      <c r="E898" s="343"/>
      <c r="F898" s="17"/>
      <c r="G898" s="17"/>
      <c r="H898" s="17"/>
      <c r="I898" s="17"/>
      <c r="J898" s="17" t="s">
        <v>998</v>
      </c>
      <c r="K898" s="17"/>
      <c r="L898" s="17"/>
      <c r="AC898" s="1300"/>
    </row>
    <row r="899">
      <c r="B899" s="17"/>
      <c r="C899" s="17"/>
      <c r="D899" s="17"/>
      <c r="E899" s="343"/>
      <c r="F899" s="17"/>
      <c r="G899" s="17"/>
      <c r="H899" s="17"/>
      <c r="I899" s="17"/>
      <c r="J899" s="17" t="s">
        <v>998</v>
      </c>
      <c r="K899" s="17"/>
      <c r="L899" s="17"/>
      <c r="AC899" s="1300"/>
    </row>
    <row r="900">
      <c r="B900" s="17"/>
      <c r="C900" s="17"/>
      <c r="D900" s="17"/>
      <c r="E900" s="343"/>
      <c r="F900" s="17"/>
      <c r="G900" s="17"/>
      <c r="H900" s="17"/>
      <c r="I900" s="17"/>
      <c r="J900" s="17" t="s">
        <v>998</v>
      </c>
      <c r="K900" s="17"/>
      <c r="L900" s="17"/>
      <c r="AC900" s="1300"/>
    </row>
    <row r="901">
      <c r="B901" s="17"/>
      <c r="C901" s="17"/>
      <c r="D901" s="17"/>
      <c r="E901" s="343"/>
      <c r="F901" s="17"/>
      <c r="G901" s="17"/>
      <c r="H901" s="17"/>
      <c r="I901" s="17"/>
      <c r="J901" s="17" t="s">
        <v>998</v>
      </c>
      <c r="K901" s="17"/>
      <c r="L901" s="17"/>
      <c r="AC901" s="1300"/>
    </row>
    <row r="902">
      <c r="B902" s="17"/>
      <c r="C902" s="17"/>
      <c r="D902" s="17"/>
      <c r="E902" s="343"/>
      <c r="F902" s="17"/>
      <c r="G902" s="17"/>
      <c r="H902" s="17"/>
      <c r="I902" s="17"/>
      <c r="J902" s="17" t="s">
        <v>998</v>
      </c>
      <c r="K902" s="17"/>
      <c r="L902" s="17"/>
      <c r="AC902" s="1300"/>
    </row>
    <row r="903">
      <c r="B903" s="17"/>
      <c r="C903" s="17"/>
      <c r="D903" s="17"/>
      <c r="E903" s="343"/>
      <c r="F903" s="17"/>
      <c r="G903" s="17"/>
      <c r="H903" s="17"/>
      <c r="I903" s="17"/>
      <c r="J903" s="17" t="s">
        <v>998</v>
      </c>
      <c r="K903" s="17"/>
      <c r="L903" s="17"/>
      <c r="AC903" s="1300"/>
    </row>
    <row r="904">
      <c r="B904" s="17"/>
      <c r="C904" s="17"/>
      <c r="D904" s="17"/>
      <c r="E904" s="343"/>
      <c r="F904" s="17"/>
      <c r="G904" s="17"/>
      <c r="H904" s="17"/>
      <c r="I904" s="17"/>
      <c r="J904" s="17" t="s">
        <v>998</v>
      </c>
      <c r="K904" s="17"/>
      <c r="L904" s="17"/>
      <c r="AC904" s="1300"/>
    </row>
    <row r="905">
      <c r="B905" s="17"/>
      <c r="C905" s="17"/>
      <c r="D905" s="17"/>
      <c r="E905" s="343"/>
      <c r="F905" s="17"/>
      <c r="G905" s="17"/>
      <c r="H905" s="17"/>
      <c r="I905" s="17"/>
      <c r="J905" s="17" t="s">
        <v>998</v>
      </c>
      <c r="K905" s="17"/>
      <c r="L905" s="17"/>
      <c r="AC905" s="1300"/>
    </row>
    <row r="906">
      <c r="B906" s="17"/>
      <c r="C906" s="17"/>
      <c r="D906" s="17"/>
      <c r="E906" s="343"/>
      <c r="F906" s="17"/>
      <c r="G906" s="17"/>
      <c r="H906" s="17"/>
      <c r="I906" s="17"/>
      <c r="J906" s="17" t="s">
        <v>998</v>
      </c>
      <c r="K906" s="17"/>
      <c r="L906" s="17"/>
      <c r="AC906" s="1300"/>
    </row>
    <row r="907">
      <c r="B907" s="17"/>
      <c r="C907" s="17"/>
      <c r="D907" s="17"/>
      <c r="E907" s="343"/>
      <c r="F907" s="17"/>
      <c r="G907" s="17"/>
      <c r="H907" s="17"/>
      <c r="I907" s="17"/>
      <c r="J907" s="17" t="s">
        <v>998</v>
      </c>
      <c r="K907" s="17"/>
      <c r="L907" s="17"/>
      <c r="AC907" s="1300"/>
    </row>
    <row r="908">
      <c r="B908" s="17"/>
      <c r="C908" s="17"/>
      <c r="D908" s="17"/>
      <c r="E908" s="343"/>
      <c r="F908" s="17"/>
      <c r="G908" s="17"/>
      <c r="H908" s="17"/>
      <c r="I908" s="17"/>
      <c r="J908" s="17" t="s">
        <v>998</v>
      </c>
      <c r="K908" s="17"/>
      <c r="L908" s="17"/>
      <c r="AC908" s="1300"/>
    </row>
    <row r="909">
      <c r="B909" s="17"/>
      <c r="C909" s="17"/>
      <c r="D909" s="17"/>
      <c r="E909" s="343"/>
      <c r="F909" s="17"/>
      <c r="G909" s="17"/>
      <c r="H909" s="17"/>
      <c r="I909" s="17"/>
      <c r="J909" s="17" t="s">
        <v>998</v>
      </c>
      <c r="K909" s="17"/>
      <c r="L909" s="17"/>
      <c r="AC909" s="1300"/>
    </row>
    <row r="910">
      <c r="B910" s="17"/>
      <c r="C910" s="17"/>
      <c r="D910" s="17"/>
      <c r="E910" s="343"/>
      <c r="F910" s="17"/>
      <c r="G910" s="17"/>
      <c r="H910" s="17"/>
      <c r="I910" s="17"/>
      <c r="J910" s="17" t="s">
        <v>998</v>
      </c>
      <c r="K910" s="17"/>
      <c r="L910" s="17"/>
      <c r="AC910" s="1300"/>
    </row>
    <row r="911">
      <c r="B911" s="17"/>
      <c r="C911" s="17"/>
      <c r="D911" s="17"/>
      <c r="E911" s="343"/>
      <c r="F911" s="17"/>
      <c r="G911" s="17"/>
      <c r="H911" s="17"/>
      <c r="I911" s="17"/>
      <c r="J911" s="17" t="s">
        <v>998</v>
      </c>
      <c r="K911" s="17"/>
      <c r="L911" s="17"/>
      <c r="AC911" s="1300"/>
    </row>
    <row r="912">
      <c r="B912" s="17"/>
      <c r="C912" s="17"/>
      <c r="D912" s="17"/>
      <c r="E912" s="343"/>
      <c r="F912" s="17"/>
      <c r="G912" s="17"/>
      <c r="H912" s="17"/>
      <c r="I912" s="17"/>
      <c r="J912" s="17" t="s">
        <v>998</v>
      </c>
      <c r="K912" s="17"/>
      <c r="L912" s="17"/>
      <c r="AC912" s="1300"/>
    </row>
    <row r="913">
      <c r="B913" s="17"/>
      <c r="C913" s="17"/>
      <c r="D913" s="17"/>
      <c r="E913" s="343"/>
      <c r="F913" s="17"/>
      <c r="G913" s="17"/>
      <c r="H913" s="17"/>
      <c r="I913" s="17"/>
      <c r="J913" s="17" t="s">
        <v>998</v>
      </c>
      <c r="K913" s="17"/>
      <c r="L913" s="17"/>
      <c r="AC913" s="1300"/>
    </row>
    <row r="914">
      <c r="B914" s="17"/>
      <c r="C914" s="17"/>
      <c r="D914" s="17"/>
      <c r="E914" s="343"/>
      <c r="F914" s="17"/>
      <c r="G914" s="17"/>
      <c r="H914" s="17"/>
      <c r="I914" s="17"/>
      <c r="J914" s="17" t="s">
        <v>998</v>
      </c>
      <c r="K914" s="17"/>
      <c r="L914" s="17"/>
      <c r="AC914" s="1300"/>
    </row>
    <row r="915">
      <c r="B915" s="17"/>
      <c r="C915" s="17"/>
      <c r="D915" s="17"/>
      <c r="E915" s="343"/>
      <c r="F915" s="17"/>
      <c r="G915" s="17"/>
      <c r="H915" s="17"/>
      <c r="I915" s="17"/>
      <c r="J915" s="17" t="s">
        <v>998</v>
      </c>
      <c r="K915" s="17"/>
      <c r="L915" s="17"/>
      <c r="AC915" s="1300"/>
    </row>
    <row r="916">
      <c r="B916" s="17"/>
      <c r="C916" s="17"/>
      <c r="D916" s="17"/>
      <c r="E916" s="343"/>
      <c r="F916" s="17"/>
      <c r="G916" s="17"/>
      <c r="H916" s="17"/>
      <c r="I916" s="17"/>
      <c r="J916" s="17" t="s">
        <v>998</v>
      </c>
      <c r="K916" s="17"/>
      <c r="L916" s="17"/>
      <c r="AC916" s="1300"/>
    </row>
    <row r="917">
      <c r="B917" s="17"/>
      <c r="C917" s="17"/>
      <c r="D917" s="17"/>
      <c r="E917" s="343"/>
      <c r="F917" s="17"/>
      <c r="G917" s="17"/>
      <c r="H917" s="17"/>
      <c r="I917" s="17"/>
      <c r="J917" s="17" t="s">
        <v>998</v>
      </c>
      <c r="K917" s="17"/>
      <c r="L917" s="17"/>
      <c r="AC917" s="1300"/>
    </row>
    <row r="918">
      <c r="B918" s="17"/>
      <c r="C918" s="17"/>
      <c r="D918" s="17"/>
      <c r="E918" s="343"/>
      <c r="F918" s="17"/>
      <c r="G918" s="17"/>
      <c r="H918" s="17"/>
      <c r="I918" s="17"/>
      <c r="J918" s="17" t="s">
        <v>998</v>
      </c>
      <c r="K918" s="17"/>
      <c r="L918" s="17"/>
      <c r="AC918" s="1300"/>
    </row>
    <row r="919">
      <c r="B919" s="17"/>
      <c r="C919" s="17"/>
      <c r="D919" s="17"/>
      <c r="E919" s="343"/>
      <c r="F919" s="17"/>
      <c r="G919" s="17"/>
      <c r="H919" s="17"/>
      <c r="I919" s="17"/>
      <c r="J919" s="17" t="s">
        <v>998</v>
      </c>
      <c r="K919" s="17"/>
      <c r="L919" s="17"/>
      <c r="AC919" s="1300"/>
    </row>
    <row r="920">
      <c r="B920" s="17"/>
      <c r="C920" s="17"/>
      <c r="D920" s="17"/>
      <c r="E920" s="343"/>
      <c r="F920" s="17"/>
      <c r="G920" s="17"/>
      <c r="H920" s="17"/>
      <c r="I920" s="17"/>
      <c r="J920" s="17" t="s">
        <v>998</v>
      </c>
      <c r="K920" s="17"/>
      <c r="L920" s="17"/>
      <c r="AC920" s="1300"/>
    </row>
    <row r="921">
      <c r="B921" s="17"/>
      <c r="C921" s="17"/>
      <c r="D921" s="17"/>
      <c r="E921" s="343"/>
      <c r="F921" s="17"/>
      <c r="G921" s="17"/>
      <c r="H921" s="17"/>
      <c r="I921" s="17"/>
      <c r="J921" s="17" t="s">
        <v>998</v>
      </c>
      <c r="K921" s="17"/>
      <c r="L921" s="17"/>
      <c r="AC921" s="1300"/>
    </row>
    <row r="922">
      <c r="B922" s="17"/>
      <c r="C922" s="17"/>
      <c r="D922" s="17"/>
      <c r="E922" s="343"/>
      <c r="F922" s="17"/>
      <c r="G922" s="17"/>
      <c r="H922" s="17"/>
      <c r="I922" s="17"/>
      <c r="J922" s="17" t="s">
        <v>998</v>
      </c>
      <c r="K922" s="17"/>
      <c r="L922" s="17"/>
      <c r="AC922" s="1300"/>
    </row>
    <row r="923">
      <c r="B923" s="17"/>
      <c r="C923" s="17"/>
      <c r="D923" s="17"/>
      <c r="E923" s="343"/>
      <c r="F923" s="17"/>
      <c r="G923" s="17"/>
      <c r="H923" s="17"/>
      <c r="I923" s="17"/>
      <c r="J923" s="17" t="s">
        <v>998</v>
      </c>
      <c r="K923" s="17"/>
      <c r="L923" s="17"/>
      <c r="AC923" s="1300"/>
    </row>
    <row r="924">
      <c r="B924" s="17"/>
      <c r="C924" s="17"/>
      <c r="D924" s="17"/>
      <c r="E924" s="343"/>
      <c r="F924" s="17"/>
      <c r="G924" s="17"/>
      <c r="H924" s="17"/>
      <c r="I924" s="17"/>
      <c r="J924" s="17" t="s">
        <v>998</v>
      </c>
      <c r="K924" s="17"/>
      <c r="L924" s="17"/>
      <c r="AC924" s="1300"/>
    </row>
    <row r="925">
      <c r="B925" s="17"/>
      <c r="C925" s="17"/>
      <c r="D925" s="17"/>
      <c r="E925" s="343"/>
      <c r="F925" s="17"/>
      <c r="G925" s="17"/>
      <c r="H925" s="17"/>
      <c r="I925" s="17"/>
      <c r="J925" s="17" t="s">
        <v>998</v>
      </c>
      <c r="K925" s="17"/>
      <c r="L925" s="17"/>
      <c r="AC925" s="1300"/>
    </row>
    <row r="926">
      <c r="B926" s="17"/>
      <c r="C926" s="17"/>
      <c r="D926" s="17"/>
      <c r="E926" s="343"/>
      <c r="F926" s="17"/>
      <c r="G926" s="17"/>
      <c r="H926" s="17"/>
      <c r="I926" s="17"/>
      <c r="J926" s="17" t="s">
        <v>998</v>
      </c>
      <c r="K926" s="17"/>
      <c r="L926" s="17"/>
      <c r="AC926" s="1300"/>
    </row>
    <row r="927">
      <c r="B927" s="17"/>
      <c r="C927" s="17"/>
      <c r="D927" s="17"/>
      <c r="E927" s="343"/>
      <c r="F927" s="17"/>
      <c r="G927" s="17"/>
      <c r="H927" s="17"/>
      <c r="I927" s="17"/>
      <c r="J927" s="17" t="s">
        <v>998</v>
      </c>
      <c r="K927" s="17"/>
      <c r="L927" s="17"/>
      <c r="AC927" s="1300"/>
    </row>
    <row r="928">
      <c r="B928" s="17"/>
      <c r="C928" s="17"/>
      <c r="D928" s="17"/>
      <c r="E928" s="343"/>
      <c r="F928" s="17"/>
      <c r="G928" s="17"/>
      <c r="H928" s="17"/>
      <c r="I928" s="17"/>
      <c r="J928" s="17" t="s">
        <v>998</v>
      </c>
      <c r="K928" s="17"/>
      <c r="L928" s="17"/>
      <c r="AC928" s="1300"/>
    </row>
    <row r="929">
      <c r="B929" s="17"/>
      <c r="C929" s="17"/>
      <c r="D929" s="17"/>
      <c r="E929" s="343"/>
      <c r="F929" s="17"/>
      <c r="G929" s="17"/>
      <c r="H929" s="17"/>
      <c r="I929" s="17"/>
      <c r="J929" s="17" t="s">
        <v>998</v>
      </c>
      <c r="K929" s="17"/>
      <c r="L929" s="17"/>
      <c r="AC929" s="1300"/>
    </row>
    <row r="930">
      <c r="B930" s="17"/>
      <c r="C930" s="17"/>
      <c r="D930" s="17"/>
      <c r="E930" s="343"/>
      <c r="F930" s="17"/>
      <c r="G930" s="17"/>
      <c r="H930" s="17"/>
      <c r="I930" s="17"/>
      <c r="J930" s="17" t="s">
        <v>998</v>
      </c>
      <c r="K930" s="17"/>
      <c r="L930" s="17"/>
      <c r="AC930" s="1300"/>
    </row>
    <row r="931">
      <c r="B931" s="17"/>
      <c r="C931" s="17"/>
      <c r="D931" s="17"/>
      <c r="E931" s="343"/>
      <c r="F931" s="17"/>
      <c r="G931" s="17"/>
      <c r="H931" s="17"/>
      <c r="I931" s="17"/>
      <c r="J931" s="17" t="s">
        <v>998</v>
      </c>
      <c r="K931" s="17"/>
      <c r="L931" s="17"/>
      <c r="AC931" s="1300"/>
    </row>
    <row r="932">
      <c r="B932" s="17"/>
      <c r="C932" s="17"/>
      <c r="D932" s="17"/>
      <c r="E932" s="343"/>
      <c r="F932" s="17"/>
      <c r="G932" s="17"/>
      <c r="H932" s="17"/>
      <c r="I932" s="17"/>
      <c r="J932" s="17" t="s">
        <v>998</v>
      </c>
      <c r="K932" s="17"/>
      <c r="L932" s="17"/>
      <c r="AC932" s="1300"/>
    </row>
    <row r="933">
      <c r="B933" s="17"/>
      <c r="C933" s="17"/>
      <c r="D933" s="17"/>
      <c r="E933" s="343"/>
      <c r="F933" s="17"/>
      <c r="G933" s="17"/>
      <c r="H933" s="17"/>
      <c r="I933" s="17"/>
      <c r="J933" s="17" t="s">
        <v>998</v>
      </c>
      <c r="K933" s="17"/>
      <c r="L933" s="17"/>
      <c r="AC933" s="1300"/>
    </row>
    <row r="934">
      <c r="B934" s="17"/>
      <c r="C934" s="17"/>
      <c r="D934" s="17"/>
      <c r="E934" s="343"/>
      <c r="F934" s="17"/>
      <c r="G934" s="17"/>
      <c r="H934" s="17"/>
      <c r="I934" s="17"/>
      <c r="J934" s="17" t="s">
        <v>998</v>
      </c>
      <c r="K934" s="17"/>
      <c r="L934" s="17"/>
      <c r="AC934" s="1300"/>
    </row>
    <row r="935">
      <c r="B935" s="17"/>
      <c r="C935" s="17"/>
      <c r="D935" s="17"/>
      <c r="E935" s="343"/>
      <c r="F935" s="17"/>
      <c r="G935" s="17"/>
      <c r="H935" s="17"/>
      <c r="I935" s="17"/>
      <c r="J935" s="17" t="s">
        <v>998</v>
      </c>
      <c r="K935" s="17"/>
      <c r="L935" s="17"/>
      <c r="AC935" s="1300"/>
    </row>
    <row r="936">
      <c r="B936" s="17"/>
      <c r="C936" s="17"/>
      <c r="D936" s="17"/>
      <c r="E936" s="343"/>
      <c r="F936" s="17"/>
      <c r="G936" s="17"/>
      <c r="H936" s="17"/>
      <c r="I936" s="17"/>
      <c r="J936" s="17" t="s">
        <v>998</v>
      </c>
      <c r="K936" s="17"/>
      <c r="L936" s="17"/>
      <c r="AC936" s="1300"/>
    </row>
    <row r="937">
      <c r="B937" s="17"/>
      <c r="C937" s="17"/>
      <c r="D937" s="17"/>
      <c r="E937" s="343"/>
      <c r="F937" s="17"/>
      <c r="G937" s="17"/>
      <c r="H937" s="17"/>
      <c r="I937" s="17"/>
      <c r="J937" s="17" t="s">
        <v>998</v>
      </c>
      <c r="K937" s="17"/>
      <c r="L937" s="17"/>
      <c r="AC937" s="1300"/>
    </row>
    <row r="938">
      <c r="B938" s="17"/>
      <c r="C938" s="17"/>
      <c r="D938" s="17"/>
      <c r="E938" s="343"/>
      <c r="F938" s="17"/>
      <c r="G938" s="17"/>
      <c r="H938" s="17"/>
      <c r="I938" s="17"/>
      <c r="J938" s="17" t="s">
        <v>998</v>
      </c>
      <c r="K938" s="17"/>
      <c r="L938" s="17"/>
      <c r="AC938" s="1300"/>
    </row>
    <row r="939">
      <c r="B939" s="17"/>
      <c r="C939" s="17"/>
      <c r="D939" s="17"/>
      <c r="E939" s="343"/>
      <c r="F939" s="17"/>
      <c r="G939" s="17"/>
      <c r="H939" s="17"/>
      <c r="I939" s="17"/>
      <c r="J939" s="17" t="s">
        <v>998</v>
      </c>
      <c r="K939" s="17"/>
      <c r="L939" s="17"/>
      <c r="AC939" s="1300"/>
    </row>
    <row r="940">
      <c r="B940" s="17"/>
      <c r="C940" s="17"/>
      <c r="D940" s="17"/>
      <c r="E940" s="343"/>
      <c r="F940" s="17"/>
      <c r="G940" s="17"/>
      <c r="H940" s="17"/>
      <c r="I940" s="17"/>
      <c r="J940" s="17" t="s">
        <v>998</v>
      </c>
      <c r="K940" s="17"/>
      <c r="L940" s="17"/>
      <c r="AC940" s="1300"/>
    </row>
    <row r="941">
      <c r="B941" s="17"/>
      <c r="C941" s="17"/>
      <c r="D941" s="17"/>
      <c r="E941" s="343"/>
      <c r="F941" s="17"/>
      <c r="G941" s="17"/>
      <c r="H941" s="17"/>
      <c r="I941" s="17"/>
      <c r="J941" s="17" t="s">
        <v>998</v>
      </c>
      <c r="K941" s="17"/>
      <c r="L941" s="17"/>
      <c r="AC941" s="1300"/>
    </row>
    <row r="942">
      <c r="B942" s="17"/>
      <c r="C942" s="17"/>
      <c r="D942" s="17"/>
      <c r="E942" s="343"/>
      <c r="F942" s="17"/>
      <c r="G942" s="17"/>
      <c r="H942" s="17"/>
      <c r="I942" s="17"/>
      <c r="J942" s="17" t="s">
        <v>998</v>
      </c>
      <c r="K942" s="17"/>
      <c r="L942" s="17"/>
      <c r="AC942" s="1300"/>
    </row>
    <row r="943">
      <c r="B943" s="17"/>
      <c r="C943" s="17"/>
      <c r="D943" s="17"/>
      <c r="E943" s="343"/>
      <c r="F943" s="17"/>
      <c r="G943" s="17"/>
      <c r="H943" s="17"/>
      <c r="I943" s="17"/>
      <c r="J943" s="17" t="s">
        <v>998</v>
      </c>
      <c r="K943" s="17"/>
      <c r="L943" s="17"/>
      <c r="AC943" s="1300"/>
    </row>
    <row r="944">
      <c r="B944" s="17"/>
      <c r="C944" s="17"/>
      <c r="D944" s="17"/>
      <c r="E944" s="343"/>
      <c r="F944" s="17"/>
      <c r="G944" s="17"/>
      <c r="H944" s="17"/>
      <c r="I944" s="17"/>
      <c r="J944" s="17" t="s">
        <v>998</v>
      </c>
      <c r="K944" s="17"/>
      <c r="L944" s="17"/>
      <c r="AC944" s="1300"/>
    </row>
    <row r="945">
      <c r="B945" s="17"/>
      <c r="C945" s="17"/>
      <c r="D945" s="17"/>
      <c r="E945" s="343"/>
      <c r="F945" s="17"/>
      <c r="G945" s="17"/>
      <c r="H945" s="17"/>
      <c r="I945" s="17"/>
      <c r="J945" s="17" t="s">
        <v>998</v>
      </c>
      <c r="K945" s="17"/>
      <c r="L945" s="17"/>
      <c r="AC945" s="1300"/>
    </row>
    <row r="946">
      <c r="B946" s="17"/>
      <c r="C946" s="17"/>
      <c r="D946" s="17"/>
      <c r="E946" s="343"/>
      <c r="F946" s="17"/>
      <c r="G946" s="17"/>
      <c r="H946" s="17"/>
      <c r="I946" s="17"/>
      <c r="J946" s="17" t="s">
        <v>998</v>
      </c>
      <c r="K946" s="17"/>
      <c r="L946" s="17"/>
      <c r="AC946" s="1300"/>
    </row>
    <row r="947">
      <c r="B947" s="17"/>
      <c r="C947" s="17"/>
      <c r="D947" s="17"/>
      <c r="E947" s="343"/>
      <c r="F947" s="17"/>
      <c r="G947" s="17"/>
      <c r="H947" s="17"/>
      <c r="I947" s="17"/>
      <c r="J947" s="17" t="s">
        <v>998</v>
      </c>
      <c r="K947" s="17"/>
      <c r="L947" s="17"/>
      <c r="AC947" s="1300"/>
    </row>
    <row r="948">
      <c r="B948" s="17"/>
      <c r="C948" s="17"/>
      <c r="D948" s="17"/>
      <c r="E948" s="343"/>
      <c r="F948" s="17"/>
      <c r="G948" s="17"/>
      <c r="H948" s="17"/>
      <c r="I948" s="17"/>
      <c r="J948" s="17" t="s">
        <v>998</v>
      </c>
      <c r="K948" s="17"/>
      <c r="L948" s="17"/>
      <c r="AC948" s="1300"/>
    </row>
    <row r="949">
      <c r="B949" s="17"/>
      <c r="C949" s="17"/>
      <c r="D949" s="17"/>
      <c r="E949" s="343"/>
      <c r="F949" s="17"/>
      <c r="G949" s="17"/>
      <c r="H949" s="17"/>
      <c r="I949" s="17"/>
      <c r="J949" s="17" t="s">
        <v>998</v>
      </c>
      <c r="K949" s="17"/>
      <c r="L949" s="17"/>
      <c r="AC949" s="1300"/>
    </row>
    <row r="950">
      <c r="B950" s="17"/>
      <c r="C950" s="17"/>
      <c r="D950" s="17"/>
      <c r="E950" s="343"/>
      <c r="F950" s="17"/>
      <c r="G950" s="17"/>
      <c r="H950" s="17"/>
      <c r="I950" s="17"/>
      <c r="J950" s="17" t="s">
        <v>998</v>
      </c>
      <c r="K950" s="17"/>
      <c r="L950" s="17"/>
      <c r="AC950" s="1300"/>
    </row>
    <row r="951">
      <c r="B951" s="17"/>
      <c r="C951" s="17"/>
      <c r="D951" s="17"/>
      <c r="E951" s="343"/>
      <c r="F951" s="17"/>
      <c r="G951" s="17"/>
      <c r="H951" s="17"/>
      <c r="I951" s="17"/>
      <c r="J951" s="17" t="s">
        <v>998</v>
      </c>
      <c r="K951" s="17"/>
      <c r="L951" s="17"/>
      <c r="AC951" s="1300"/>
    </row>
    <row r="952">
      <c r="B952" s="17"/>
      <c r="C952" s="17"/>
      <c r="D952" s="17"/>
      <c r="E952" s="343"/>
      <c r="F952" s="17"/>
      <c r="G952" s="17"/>
      <c r="H952" s="17"/>
      <c r="I952" s="17"/>
      <c r="J952" s="17" t="s">
        <v>998</v>
      </c>
      <c r="K952" s="17"/>
      <c r="L952" s="17"/>
      <c r="AC952" s="1300"/>
    </row>
    <row r="953">
      <c r="B953" s="17"/>
      <c r="C953" s="17"/>
      <c r="D953" s="17"/>
      <c r="E953" s="343"/>
      <c r="F953" s="17"/>
      <c r="G953" s="17"/>
      <c r="H953" s="17"/>
      <c r="I953" s="17"/>
      <c r="J953" s="17" t="s">
        <v>998</v>
      </c>
      <c r="K953" s="17"/>
      <c r="L953" s="17"/>
      <c r="AC953" s="1300"/>
    </row>
    <row r="954">
      <c r="B954" s="17"/>
      <c r="C954" s="17"/>
      <c r="D954" s="17"/>
      <c r="E954" s="343"/>
      <c r="F954" s="17"/>
      <c r="G954" s="17"/>
      <c r="H954" s="17"/>
      <c r="I954" s="17"/>
      <c r="J954" s="17" t="s">
        <v>998</v>
      </c>
      <c r="K954" s="17"/>
      <c r="L954" s="17"/>
      <c r="AC954" s="1300"/>
    </row>
    <row r="955">
      <c r="B955" s="17"/>
      <c r="C955" s="17"/>
      <c r="D955" s="17"/>
      <c r="E955" s="343"/>
      <c r="F955" s="17"/>
      <c r="G955" s="17"/>
      <c r="H955" s="17"/>
      <c r="I955" s="17"/>
      <c r="J955" s="17" t="s">
        <v>998</v>
      </c>
      <c r="K955" s="17"/>
      <c r="L955" s="17"/>
      <c r="AC955" s="1300"/>
    </row>
    <row r="956">
      <c r="B956" s="17"/>
      <c r="C956" s="17"/>
      <c r="D956" s="17"/>
      <c r="E956" s="343"/>
      <c r="F956" s="17"/>
      <c r="G956" s="17"/>
      <c r="H956" s="17"/>
      <c r="I956" s="17"/>
      <c r="J956" s="17" t="s">
        <v>998</v>
      </c>
      <c r="K956" s="17"/>
      <c r="L956" s="17"/>
      <c r="AC956" s="1300"/>
    </row>
    <row r="957">
      <c r="B957" s="17"/>
      <c r="C957" s="17"/>
      <c r="D957" s="17"/>
      <c r="E957" s="343"/>
      <c r="F957" s="17"/>
      <c r="G957" s="17"/>
      <c r="H957" s="17"/>
      <c r="I957" s="17"/>
      <c r="J957" s="17" t="s">
        <v>998</v>
      </c>
      <c r="K957" s="17"/>
      <c r="L957" s="17"/>
      <c r="AC957" s="1300"/>
    </row>
    <row r="958">
      <c r="B958" s="17"/>
      <c r="C958" s="17"/>
      <c r="D958" s="17"/>
      <c r="E958" s="343"/>
      <c r="F958" s="17"/>
      <c r="G958" s="17"/>
      <c r="H958" s="17"/>
      <c r="I958" s="17"/>
      <c r="J958" s="17" t="s">
        <v>998</v>
      </c>
      <c r="K958" s="17"/>
      <c r="L958" s="17"/>
      <c r="AC958" s="1300"/>
    </row>
    <row r="959">
      <c r="B959" s="17"/>
      <c r="C959" s="17"/>
      <c r="D959" s="17"/>
      <c r="E959" s="343"/>
      <c r="F959" s="17"/>
      <c r="G959" s="17"/>
      <c r="H959" s="17"/>
      <c r="I959" s="17"/>
      <c r="J959" s="17" t="s">
        <v>998</v>
      </c>
      <c r="K959" s="17"/>
      <c r="L959" s="17"/>
      <c r="AC959" s="1300"/>
    </row>
    <row r="960">
      <c r="B960" s="17"/>
      <c r="C960" s="17"/>
      <c r="D960" s="17"/>
      <c r="E960" s="343"/>
      <c r="F960" s="17"/>
      <c r="G960" s="17"/>
      <c r="H960" s="17"/>
      <c r="I960" s="17"/>
      <c r="J960" s="17" t="s">
        <v>998</v>
      </c>
      <c r="K960" s="17"/>
      <c r="L960" s="17"/>
      <c r="AC960" s="1300"/>
    </row>
    <row r="961">
      <c r="B961" s="17"/>
      <c r="C961" s="17"/>
      <c r="D961" s="17"/>
      <c r="E961" s="343"/>
      <c r="F961" s="17"/>
      <c r="G961" s="17"/>
      <c r="H961" s="17"/>
      <c r="I961" s="17"/>
      <c r="J961" s="17" t="s">
        <v>998</v>
      </c>
      <c r="K961" s="17"/>
      <c r="L961" s="17"/>
      <c r="AC961" s="1300"/>
    </row>
    <row r="962">
      <c r="B962" s="17"/>
      <c r="C962" s="17"/>
      <c r="D962" s="17"/>
      <c r="E962" s="343"/>
      <c r="F962" s="17"/>
      <c r="G962" s="17"/>
      <c r="H962" s="17"/>
      <c r="I962" s="17"/>
      <c r="J962" s="17" t="s">
        <v>998</v>
      </c>
      <c r="K962" s="17"/>
      <c r="L962" s="17"/>
      <c r="AC962" s="1300"/>
    </row>
    <row r="963">
      <c r="B963" s="17"/>
      <c r="C963" s="17"/>
      <c r="D963" s="17"/>
      <c r="E963" s="343"/>
      <c r="F963" s="17"/>
      <c r="G963" s="17"/>
      <c r="H963" s="17"/>
      <c r="I963" s="17"/>
      <c r="J963" s="17" t="s">
        <v>998</v>
      </c>
      <c r="K963" s="17"/>
      <c r="L963" s="17"/>
      <c r="AC963" s="1300"/>
    </row>
    <row r="964">
      <c r="B964" s="17"/>
      <c r="C964" s="17"/>
      <c r="D964" s="17"/>
      <c r="E964" s="343"/>
      <c r="F964" s="17"/>
      <c r="G964" s="17"/>
      <c r="H964" s="17"/>
      <c r="I964" s="17"/>
      <c r="J964" s="17" t="s">
        <v>998</v>
      </c>
      <c r="K964" s="17"/>
      <c r="L964" s="17"/>
      <c r="AC964" s="1300"/>
    </row>
    <row r="965">
      <c r="B965" s="17"/>
      <c r="C965" s="17"/>
      <c r="D965" s="17"/>
      <c r="E965" s="343"/>
      <c r="F965" s="17"/>
      <c r="G965" s="17"/>
      <c r="H965" s="17"/>
      <c r="I965" s="17"/>
      <c r="J965" s="17" t="s">
        <v>998</v>
      </c>
      <c r="K965" s="17"/>
      <c r="L965" s="17"/>
      <c r="AC965" s="1300"/>
    </row>
    <row r="966">
      <c r="B966" s="17"/>
      <c r="C966" s="17"/>
      <c r="D966" s="17"/>
      <c r="E966" s="343"/>
      <c r="F966" s="17"/>
      <c r="G966" s="17"/>
      <c r="H966" s="17"/>
      <c r="I966" s="17"/>
      <c r="J966" s="17" t="s">
        <v>998</v>
      </c>
      <c r="K966" s="17"/>
      <c r="L966" s="17"/>
      <c r="AC966" s="1300"/>
    </row>
    <row r="967">
      <c r="B967" s="17"/>
      <c r="C967" s="17"/>
      <c r="D967" s="17"/>
      <c r="E967" s="343"/>
      <c r="F967" s="17"/>
      <c r="G967" s="17"/>
      <c r="H967" s="17"/>
      <c r="I967" s="17"/>
      <c r="J967" s="17" t="s">
        <v>998</v>
      </c>
      <c r="K967" s="17"/>
      <c r="L967" s="17"/>
      <c r="AC967" s="1300"/>
    </row>
    <row r="968">
      <c r="B968" s="17"/>
      <c r="C968" s="17"/>
      <c r="D968" s="17"/>
      <c r="E968" s="343"/>
      <c r="F968" s="17"/>
      <c r="G968" s="17"/>
      <c r="H968" s="17"/>
      <c r="I968" s="17"/>
      <c r="J968" s="17" t="s">
        <v>998</v>
      </c>
      <c r="K968" s="17"/>
      <c r="L968" s="17"/>
      <c r="AC968" s="1300"/>
    </row>
    <row r="969">
      <c r="B969" s="17"/>
      <c r="C969" s="17"/>
      <c r="D969" s="17"/>
      <c r="E969" s="343"/>
      <c r="F969" s="17"/>
      <c r="G969" s="17"/>
      <c r="H969" s="17"/>
      <c r="I969" s="17"/>
      <c r="J969" s="17" t="s">
        <v>998</v>
      </c>
      <c r="K969" s="17"/>
      <c r="L969" s="17"/>
      <c r="AC969" s="1300"/>
    </row>
    <row r="970">
      <c r="B970" s="17"/>
      <c r="C970" s="17"/>
      <c r="D970" s="17"/>
      <c r="E970" s="343"/>
      <c r="F970" s="17"/>
      <c r="G970" s="17"/>
      <c r="H970" s="17"/>
      <c r="I970" s="17"/>
      <c r="J970" s="17" t="s">
        <v>998</v>
      </c>
      <c r="K970" s="17"/>
      <c r="L970" s="17"/>
      <c r="AC970" s="1300"/>
    </row>
    <row r="971">
      <c r="B971" s="17"/>
      <c r="C971" s="17"/>
      <c r="D971" s="17"/>
      <c r="E971" s="343"/>
      <c r="F971" s="17"/>
      <c r="G971" s="17"/>
      <c r="H971" s="17"/>
      <c r="I971" s="17"/>
      <c r="J971" s="17" t="s">
        <v>998</v>
      </c>
      <c r="K971" s="17"/>
      <c r="L971" s="17"/>
      <c r="AC971" s="1300"/>
    </row>
    <row r="972">
      <c r="B972" s="17"/>
      <c r="C972" s="17"/>
      <c r="D972" s="17"/>
      <c r="E972" s="343"/>
      <c r="F972" s="17"/>
      <c r="G972" s="17"/>
      <c r="H972" s="17"/>
      <c r="I972" s="17"/>
      <c r="J972" s="17" t="s">
        <v>998</v>
      </c>
      <c r="K972" s="17"/>
      <c r="L972" s="17"/>
      <c r="AC972" s="1300"/>
    </row>
    <row r="973">
      <c r="B973" s="17"/>
      <c r="C973" s="17"/>
      <c r="D973" s="17"/>
      <c r="E973" s="343"/>
      <c r="F973" s="17"/>
      <c r="G973" s="17"/>
      <c r="H973" s="17"/>
      <c r="I973" s="17"/>
      <c r="J973" s="17" t="s">
        <v>998</v>
      </c>
      <c r="K973" s="17"/>
      <c r="L973" s="17"/>
      <c r="AC973" s="1300"/>
    </row>
    <row r="974">
      <c r="B974" s="17"/>
      <c r="C974" s="17"/>
      <c r="D974" s="17"/>
      <c r="E974" s="343"/>
      <c r="F974" s="17"/>
      <c r="G974" s="17"/>
      <c r="H974" s="17"/>
      <c r="I974" s="17"/>
      <c r="J974" s="17" t="s">
        <v>998</v>
      </c>
      <c r="K974" s="17"/>
      <c r="L974" s="17"/>
      <c r="AC974" s="1300"/>
    </row>
    <row r="975">
      <c r="B975" s="17"/>
      <c r="C975" s="17"/>
      <c r="D975" s="17"/>
      <c r="E975" s="343"/>
      <c r="F975" s="17"/>
      <c r="G975" s="17"/>
      <c r="H975" s="17"/>
      <c r="I975" s="17"/>
      <c r="J975" s="17" t="s">
        <v>998</v>
      </c>
      <c r="K975" s="17"/>
      <c r="L975" s="17"/>
      <c r="AC975" s="1300"/>
    </row>
    <row r="976">
      <c r="B976" s="17"/>
      <c r="C976" s="17"/>
      <c r="D976" s="17"/>
      <c r="E976" s="343"/>
      <c r="F976" s="17"/>
      <c r="G976" s="17"/>
      <c r="H976" s="17"/>
      <c r="I976" s="17"/>
      <c r="J976" s="17" t="s">
        <v>998</v>
      </c>
      <c r="K976" s="17"/>
      <c r="L976" s="17"/>
      <c r="AC976" s="1300"/>
    </row>
    <row r="977">
      <c r="B977" s="17"/>
      <c r="C977" s="17"/>
      <c r="D977" s="17"/>
      <c r="E977" s="343"/>
      <c r="F977" s="17"/>
      <c r="G977" s="17"/>
      <c r="H977" s="17"/>
      <c r="I977" s="17"/>
      <c r="J977" s="17" t="s">
        <v>998</v>
      </c>
      <c r="K977" s="17"/>
      <c r="L977" s="17"/>
      <c r="AC977" s="1300"/>
    </row>
    <row r="978">
      <c r="B978" s="17"/>
      <c r="C978" s="17"/>
      <c r="D978" s="17"/>
      <c r="E978" s="343"/>
      <c r="F978" s="17"/>
      <c r="G978" s="17"/>
      <c r="H978" s="17"/>
      <c r="I978" s="17"/>
      <c r="J978" s="17" t="s">
        <v>998</v>
      </c>
      <c r="K978" s="17"/>
      <c r="L978" s="17"/>
      <c r="AC978" s="1300"/>
    </row>
    <row r="979">
      <c r="B979" s="17"/>
      <c r="C979" s="17"/>
      <c r="D979" s="17"/>
      <c r="E979" s="343"/>
      <c r="F979" s="17"/>
      <c r="G979" s="17"/>
      <c r="H979" s="17"/>
      <c r="I979" s="17"/>
      <c r="J979" s="17" t="s">
        <v>998</v>
      </c>
      <c r="K979" s="17"/>
      <c r="L979" s="17"/>
      <c r="AC979" s="1300"/>
    </row>
    <row r="980">
      <c r="B980" s="17"/>
      <c r="C980" s="17"/>
      <c r="D980" s="17"/>
      <c r="E980" s="343"/>
      <c r="F980" s="17"/>
      <c r="G980" s="17"/>
      <c r="H980" s="17"/>
      <c r="I980" s="17"/>
      <c r="J980" s="17" t="s">
        <v>998</v>
      </c>
      <c r="K980" s="17"/>
      <c r="L980" s="17"/>
      <c r="AC980" s="1300"/>
    </row>
    <row r="981">
      <c r="B981" s="17"/>
      <c r="C981" s="17"/>
      <c r="D981" s="17"/>
      <c r="E981" s="343"/>
      <c r="F981" s="17"/>
      <c r="G981" s="17"/>
      <c r="H981" s="17"/>
      <c r="I981" s="17"/>
      <c r="J981" s="17" t="s">
        <v>998</v>
      </c>
      <c r="K981" s="17"/>
      <c r="L981" s="17"/>
      <c r="AC981" s="1300"/>
    </row>
    <row r="982">
      <c r="B982" s="17"/>
      <c r="C982" s="17"/>
      <c r="D982" s="17"/>
      <c r="E982" s="343"/>
      <c r="F982" s="17"/>
      <c r="G982" s="17"/>
      <c r="H982" s="17"/>
      <c r="I982" s="17"/>
      <c r="J982" s="17" t="s">
        <v>998</v>
      </c>
      <c r="K982" s="17"/>
      <c r="L982" s="17"/>
      <c r="AC982" s="1300"/>
    </row>
    <row r="983">
      <c r="B983" s="17"/>
      <c r="C983" s="17"/>
      <c r="D983" s="17"/>
      <c r="E983" s="343"/>
      <c r="F983" s="17"/>
      <c r="G983" s="17"/>
      <c r="H983" s="17"/>
      <c r="I983" s="17"/>
      <c r="J983" s="17" t="s">
        <v>998</v>
      </c>
      <c r="K983" s="17"/>
      <c r="L983" s="17"/>
      <c r="AC983" s="1300"/>
    </row>
    <row r="984">
      <c r="B984" s="17"/>
      <c r="C984" s="17"/>
      <c r="D984" s="17"/>
      <c r="E984" s="343"/>
      <c r="F984" s="17"/>
      <c r="G984" s="17"/>
      <c r="H984" s="17"/>
      <c r="I984" s="17"/>
      <c r="J984" s="17" t="s">
        <v>998</v>
      </c>
      <c r="K984" s="17"/>
      <c r="L984" s="17"/>
      <c r="AC984" s="1300"/>
    </row>
    <row r="985">
      <c r="B985" s="17"/>
      <c r="C985" s="17"/>
      <c r="D985" s="17"/>
      <c r="E985" s="343"/>
      <c r="F985" s="17"/>
      <c r="G985" s="17"/>
      <c r="H985" s="17"/>
      <c r="I985" s="17"/>
      <c r="J985" s="17" t="s">
        <v>998</v>
      </c>
      <c r="K985" s="17"/>
      <c r="L985" s="17"/>
      <c r="AC985" s="1300"/>
    </row>
    <row r="986">
      <c r="B986" s="17"/>
      <c r="C986" s="17"/>
      <c r="D986" s="17"/>
      <c r="E986" s="343"/>
      <c r="F986" s="17"/>
      <c r="G986" s="17"/>
      <c r="H986" s="17"/>
      <c r="I986" s="17"/>
      <c r="J986" s="17" t="s">
        <v>998</v>
      </c>
      <c r="K986" s="17"/>
      <c r="L986" s="17"/>
      <c r="AC986" s="1300"/>
    </row>
    <row r="987">
      <c r="B987" s="17"/>
      <c r="C987" s="17"/>
      <c r="D987" s="17"/>
      <c r="E987" s="343"/>
      <c r="F987" s="17"/>
      <c r="G987" s="17"/>
      <c r="H987" s="17"/>
      <c r="I987" s="17"/>
      <c r="J987" s="17" t="s">
        <v>998</v>
      </c>
      <c r="K987" s="17"/>
      <c r="L987" s="17"/>
      <c r="AC987" s="1300"/>
    </row>
    <row r="988">
      <c r="B988" s="17"/>
      <c r="C988" s="17"/>
      <c r="D988" s="17"/>
      <c r="E988" s="343"/>
      <c r="F988" s="17"/>
      <c r="G988" s="17"/>
      <c r="H988" s="17"/>
      <c r="I988" s="17"/>
      <c r="J988" s="17" t="s">
        <v>998</v>
      </c>
      <c r="K988" s="17"/>
      <c r="L988" s="17"/>
      <c r="AC988" s="1300"/>
    </row>
    <row r="989">
      <c r="B989" s="17"/>
      <c r="C989" s="17"/>
      <c r="D989" s="17"/>
      <c r="E989" s="343"/>
      <c r="F989" s="17"/>
      <c r="G989" s="17"/>
      <c r="H989" s="17"/>
      <c r="I989" s="17"/>
      <c r="J989" s="17" t="s">
        <v>998</v>
      </c>
      <c r="K989" s="17"/>
      <c r="L989" s="17"/>
      <c r="AC989" s="1300"/>
    </row>
    <row r="990">
      <c r="B990" s="17"/>
      <c r="C990" s="17"/>
      <c r="D990" s="17"/>
      <c r="E990" s="343"/>
      <c r="F990" s="17"/>
      <c r="G990" s="17"/>
      <c r="H990" s="17"/>
      <c r="I990" s="17"/>
      <c r="J990" s="17" t="s">
        <v>998</v>
      </c>
      <c r="K990" s="17"/>
      <c r="L990" s="17"/>
      <c r="AC990" s="1300"/>
    </row>
    <row r="991">
      <c r="B991" s="17"/>
      <c r="C991" s="17"/>
      <c r="D991" s="17"/>
      <c r="E991" s="343"/>
      <c r="F991" s="17"/>
      <c r="G991" s="17"/>
      <c r="H991" s="17"/>
      <c r="I991" s="17"/>
      <c r="J991" s="17" t="s">
        <v>998</v>
      </c>
      <c r="K991" s="17"/>
      <c r="L991" s="17"/>
      <c r="AC991" s="1300"/>
    </row>
    <row r="992">
      <c r="B992" s="17"/>
      <c r="C992" s="17"/>
      <c r="D992" s="17"/>
      <c r="E992" s="343"/>
      <c r="F992" s="17"/>
      <c r="G992" s="17"/>
      <c r="H992" s="17"/>
      <c r="I992" s="17"/>
      <c r="J992" s="17" t="s">
        <v>998</v>
      </c>
      <c r="K992" s="17"/>
      <c r="L992" s="17"/>
      <c r="AC992" s="1300"/>
    </row>
    <row r="993">
      <c r="B993" s="17"/>
      <c r="C993" s="17"/>
      <c r="D993" s="17"/>
      <c r="E993" s="343"/>
      <c r="F993" s="17"/>
      <c r="G993" s="17"/>
      <c r="H993" s="17"/>
      <c r="I993" s="17"/>
      <c r="J993" s="17" t="s">
        <v>998</v>
      </c>
      <c r="K993" s="17"/>
      <c r="L993" s="17"/>
      <c r="AC993" s="1300"/>
    </row>
    <row r="994">
      <c r="B994" s="17"/>
      <c r="C994" s="17"/>
      <c r="D994" s="17"/>
      <c r="E994" s="343"/>
      <c r="F994" s="17"/>
      <c r="G994" s="17"/>
      <c r="H994" s="17"/>
      <c r="I994" s="17"/>
      <c r="J994" s="17" t="s">
        <v>998</v>
      </c>
      <c r="K994" s="17"/>
      <c r="L994" s="17"/>
      <c r="AC994" s="1300"/>
    </row>
    <row r="995">
      <c r="B995" s="17"/>
      <c r="C995" s="17"/>
      <c r="D995" s="17"/>
      <c r="E995" s="343"/>
      <c r="F995" s="17"/>
      <c r="G995" s="17"/>
      <c r="H995" s="17"/>
      <c r="I995" s="17"/>
      <c r="J995" s="17" t="s">
        <v>998</v>
      </c>
      <c r="K995" s="17"/>
      <c r="L995" s="17"/>
      <c r="AC995" s="1300"/>
    </row>
    <row r="996">
      <c r="B996" s="17"/>
      <c r="C996" s="17"/>
      <c r="D996" s="17"/>
      <c r="E996" s="343"/>
      <c r="F996" s="17"/>
      <c r="G996" s="17"/>
      <c r="H996" s="17"/>
      <c r="I996" s="17"/>
      <c r="J996" s="17" t="s">
        <v>998</v>
      </c>
      <c r="K996" s="17"/>
      <c r="L996" s="17"/>
      <c r="AC996" s="1300"/>
    </row>
    <row r="997">
      <c r="B997" s="17"/>
      <c r="C997" s="17"/>
      <c r="D997" s="17"/>
      <c r="E997" s="343"/>
      <c r="F997" s="17"/>
      <c r="G997" s="17"/>
      <c r="H997" s="17"/>
      <c r="I997" s="17"/>
      <c r="J997" s="17" t="s">
        <v>998</v>
      </c>
      <c r="K997" s="17"/>
      <c r="L997" s="17"/>
      <c r="AC997" s="1300"/>
    </row>
    <row r="998">
      <c r="B998" s="17"/>
      <c r="C998" s="17"/>
      <c r="D998" s="17"/>
      <c r="E998" s="343"/>
      <c r="F998" s="17"/>
      <c r="G998" s="17"/>
      <c r="H998" s="17"/>
      <c r="I998" s="17"/>
      <c r="J998" s="17" t="s">
        <v>998</v>
      </c>
      <c r="K998" s="17"/>
      <c r="L998" s="17"/>
      <c r="AC998" s="1300"/>
    </row>
    <row r="999">
      <c r="B999" s="17"/>
      <c r="C999" s="17"/>
      <c r="D999" s="17"/>
      <c r="E999" s="343"/>
      <c r="F999" s="17"/>
      <c r="G999" s="17"/>
      <c r="H999" s="17"/>
      <c r="I999" s="17"/>
      <c r="J999" s="17" t="s">
        <v>998</v>
      </c>
      <c r="K999" s="17"/>
      <c r="L999" s="17"/>
      <c r="AC999" s="1300"/>
    </row>
    <row r="1000">
      <c r="B1000" s="17"/>
      <c r="C1000" s="17"/>
      <c r="D1000" s="17"/>
      <c r="E1000" s="343"/>
      <c r="F1000" s="17"/>
      <c r="G1000" s="17"/>
      <c r="H1000" s="17"/>
      <c r="I1000" s="17"/>
      <c r="J1000" s="17" t="s">
        <v>998</v>
      </c>
      <c r="K1000" s="17"/>
      <c r="L1000" s="17"/>
      <c r="AC1000" s="1300"/>
    </row>
    <row r="1001">
      <c r="B1001" s="17"/>
      <c r="C1001" s="17"/>
      <c r="D1001" s="17"/>
      <c r="E1001" s="343"/>
      <c r="F1001" s="17"/>
      <c r="G1001" s="17"/>
      <c r="H1001" s="17"/>
      <c r="I1001" s="17"/>
      <c r="J1001" s="17" t="s">
        <v>998</v>
      </c>
      <c r="K1001" s="17"/>
      <c r="L1001" s="17"/>
      <c r="AC1001" s="1300"/>
    </row>
    <row r="1002">
      <c r="B1002" s="17"/>
      <c r="C1002" s="17"/>
      <c r="D1002" s="17"/>
      <c r="E1002" s="343"/>
      <c r="F1002" s="17"/>
      <c r="G1002" s="17"/>
      <c r="H1002" s="17"/>
      <c r="I1002" s="17"/>
      <c r="J1002" s="17" t="s">
        <v>998</v>
      </c>
      <c r="K1002" s="17"/>
      <c r="L1002" s="17"/>
      <c r="AC1002" s="1300"/>
    </row>
    <row r="1003">
      <c r="B1003" s="17"/>
      <c r="C1003" s="17"/>
      <c r="D1003" s="17"/>
      <c r="E1003" s="343"/>
      <c r="F1003" s="17"/>
      <c r="G1003" s="17"/>
      <c r="H1003" s="17"/>
      <c r="I1003" s="17"/>
      <c r="J1003" s="17" t="s">
        <v>998</v>
      </c>
      <c r="K1003" s="17"/>
      <c r="L1003" s="17"/>
      <c r="AC1003" s="1300"/>
    </row>
    <row r="1004">
      <c r="B1004" s="17"/>
      <c r="C1004" s="17"/>
      <c r="D1004" s="17"/>
      <c r="E1004" s="343"/>
      <c r="F1004" s="17"/>
      <c r="G1004" s="17"/>
      <c r="H1004" s="17"/>
      <c r="I1004" s="17"/>
      <c r="J1004" s="17" t="s">
        <v>998</v>
      </c>
      <c r="K1004" s="17"/>
      <c r="L1004" s="17"/>
      <c r="AC1004" s="1300"/>
    </row>
    <row r="1005">
      <c r="B1005" s="17"/>
      <c r="C1005" s="17"/>
      <c r="D1005" s="17"/>
      <c r="E1005" s="343"/>
      <c r="F1005" s="17"/>
      <c r="G1005" s="17"/>
      <c r="H1005" s="17"/>
      <c r="I1005" s="17"/>
      <c r="J1005" s="17" t="s">
        <v>998</v>
      </c>
      <c r="K1005" s="17"/>
      <c r="L1005" s="17"/>
      <c r="AC1005" s="1300"/>
    </row>
    <row r="1006">
      <c r="B1006" s="17"/>
      <c r="C1006" s="17"/>
      <c r="D1006" s="17"/>
      <c r="E1006" s="343"/>
      <c r="F1006" s="17"/>
      <c r="G1006" s="17"/>
      <c r="H1006" s="17"/>
      <c r="I1006" s="17"/>
      <c r="J1006" s="17" t="s">
        <v>998</v>
      </c>
      <c r="K1006" s="17"/>
      <c r="L1006" s="17"/>
      <c r="AC1006" s="1300"/>
    </row>
    <row r="1007">
      <c r="B1007" s="17"/>
      <c r="C1007" s="17"/>
      <c r="D1007" s="17"/>
      <c r="E1007" s="343"/>
      <c r="F1007" s="17"/>
      <c r="G1007" s="17"/>
      <c r="H1007" s="17"/>
      <c r="I1007" s="17"/>
      <c r="J1007" s="17" t="s">
        <v>998</v>
      </c>
      <c r="K1007" s="17"/>
      <c r="L1007" s="17"/>
      <c r="AC1007" s="1300"/>
    </row>
    <row r="1008">
      <c r="B1008" s="17"/>
      <c r="C1008" s="17"/>
      <c r="D1008" s="17"/>
      <c r="E1008" s="343"/>
      <c r="F1008" s="17"/>
      <c r="G1008" s="17"/>
      <c r="H1008" s="17"/>
      <c r="I1008" s="17"/>
      <c r="J1008" s="17" t="s">
        <v>998</v>
      </c>
      <c r="K1008" s="17"/>
      <c r="L1008" s="17"/>
      <c r="AC1008" s="1300"/>
    </row>
    <row r="1009">
      <c r="B1009" s="17"/>
      <c r="C1009" s="17"/>
      <c r="D1009" s="17"/>
      <c r="E1009" s="343"/>
      <c r="F1009" s="17"/>
      <c r="G1009" s="17"/>
      <c r="H1009" s="17"/>
      <c r="I1009" s="17"/>
      <c r="J1009" s="17" t="s">
        <v>998</v>
      </c>
      <c r="K1009" s="17"/>
      <c r="L1009" s="17"/>
      <c r="AC1009" s="1300"/>
    </row>
    <row r="1010">
      <c r="B1010" s="17"/>
      <c r="C1010" s="17"/>
      <c r="D1010" s="17"/>
      <c r="E1010" s="343"/>
      <c r="F1010" s="17"/>
      <c r="G1010" s="17"/>
      <c r="H1010" s="17"/>
      <c r="I1010" s="17"/>
      <c r="J1010" s="17" t="s">
        <v>998</v>
      </c>
      <c r="K1010" s="17"/>
      <c r="L1010" s="17"/>
      <c r="AC1010" s="1300"/>
    </row>
    <row r="1011">
      <c r="B1011" s="17"/>
      <c r="C1011" s="17"/>
      <c r="D1011" s="17"/>
      <c r="E1011" s="343"/>
      <c r="F1011" s="17"/>
      <c r="G1011" s="17"/>
      <c r="H1011" s="17"/>
      <c r="I1011" s="17"/>
      <c r="J1011" s="17" t="s">
        <v>998</v>
      </c>
      <c r="K1011" s="17"/>
      <c r="L1011" s="17"/>
      <c r="AC1011" s="1300"/>
    </row>
    <row r="1012">
      <c r="B1012" s="17"/>
      <c r="C1012" s="17"/>
      <c r="D1012" s="17"/>
      <c r="E1012" s="343"/>
      <c r="F1012" s="17"/>
      <c r="G1012" s="17"/>
      <c r="H1012" s="17"/>
      <c r="I1012" s="17"/>
      <c r="J1012" s="17" t="s">
        <v>998</v>
      </c>
      <c r="K1012" s="17"/>
      <c r="L1012" s="17"/>
      <c r="AC1012" s="1300"/>
    </row>
    <row r="1013">
      <c r="B1013" s="17"/>
      <c r="C1013" s="17"/>
      <c r="D1013" s="17"/>
      <c r="E1013" s="343"/>
      <c r="F1013" s="17"/>
      <c r="G1013" s="17"/>
      <c r="H1013" s="17"/>
      <c r="I1013" s="17"/>
      <c r="J1013" s="17" t="s">
        <v>998</v>
      </c>
      <c r="K1013" s="17"/>
      <c r="L1013" s="17"/>
      <c r="AC1013" s="1300"/>
    </row>
    <row r="1014">
      <c r="B1014" s="17"/>
      <c r="C1014" s="17"/>
      <c r="D1014" s="17"/>
      <c r="E1014" s="343"/>
      <c r="F1014" s="17"/>
      <c r="G1014" s="17"/>
      <c r="H1014" s="17"/>
      <c r="I1014" s="17"/>
      <c r="J1014" s="17" t="s">
        <v>998</v>
      </c>
      <c r="K1014" s="17"/>
      <c r="L1014" s="17"/>
      <c r="AC1014" s="1300"/>
    </row>
    <row r="1015">
      <c r="B1015" s="17"/>
      <c r="C1015" s="17"/>
      <c r="D1015" s="17"/>
      <c r="E1015" s="343"/>
      <c r="F1015" s="17"/>
      <c r="G1015" s="17"/>
      <c r="H1015" s="17"/>
      <c r="I1015" s="17"/>
      <c r="J1015" s="17" t="s">
        <v>998</v>
      </c>
      <c r="K1015" s="17"/>
      <c r="L1015" s="17"/>
      <c r="AC1015" s="1300"/>
    </row>
    <row r="1016">
      <c r="B1016" s="17"/>
      <c r="C1016" s="17"/>
      <c r="D1016" s="17"/>
      <c r="E1016" s="343"/>
      <c r="F1016" s="17"/>
      <c r="G1016" s="17"/>
      <c r="H1016" s="17"/>
      <c r="I1016" s="17"/>
      <c r="J1016" s="17" t="s">
        <v>998</v>
      </c>
      <c r="K1016" s="17"/>
      <c r="L1016" s="17"/>
      <c r="AC1016" s="1300"/>
    </row>
    <row r="1017">
      <c r="B1017" s="17"/>
      <c r="C1017" s="17"/>
      <c r="D1017" s="17"/>
      <c r="E1017" s="343"/>
      <c r="F1017" s="17"/>
      <c r="G1017" s="17"/>
      <c r="H1017" s="17"/>
      <c r="I1017" s="17"/>
      <c r="J1017" s="17" t="s">
        <v>998</v>
      </c>
      <c r="K1017" s="17"/>
      <c r="L1017" s="17"/>
      <c r="AC1017" s="1300"/>
    </row>
    <row r="1018">
      <c r="B1018" s="17"/>
      <c r="C1018" s="17"/>
      <c r="D1018" s="17"/>
      <c r="E1018" s="343"/>
      <c r="F1018" s="17"/>
      <c r="G1018" s="17"/>
      <c r="H1018" s="17"/>
      <c r="I1018" s="17"/>
      <c r="J1018" s="17" t="s">
        <v>998</v>
      </c>
      <c r="K1018" s="17"/>
      <c r="L1018" s="17"/>
      <c r="AC1018" s="1300"/>
    </row>
    <row r="1019">
      <c r="B1019" s="17"/>
      <c r="C1019" s="17"/>
      <c r="D1019" s="17"/>
      <c r="E1019" s="343"/>
      <c r="F1019" s="17"/>
      <c r="G1019" s="17"/>
      <c r="H1019" s="17"/>
      <c r="I1019" s="17"/>
      <c r="J1019" s="17" t="s">
        <v>998</v>
      </c>
      <c r="K1019" s="17"/>
      <c r="L1019" s="17"/>
      <c r="AC1019" s="1300"/>
    </row>
    <row r="1020">
      <c r="B1020" s="17"/>
      <c r="C1020" s="17"/>
      <c r="D1020" s="17"/>
      <c r="E1020" s="343"/>
      <c r="F1020" s="17"/>
      <c r="G1020" s="17"/>
      <c r="H1020" s="17"/>
      <c r="I1020" s="17"/>
      <c r="J1020" s="17" t="s">
        <v>998</v>
      </c>
      <c r="K1020" s="17"/>
      <c r="L1020" s="17"/>
      <c r="AC1020" s="1300"/>
    </row>
    <row r="1021">
      <c r="B1021" s="17"/>
      <c r="C1021" s="17"/>
      <c r="D1021" s="17"/>
      <c r="E1021" s="343"/>
      <c r="F1021" s="17"/>
      <c r="G1021" s="17"/>
      <c r="H1021" s="17"/>
      <c r="I1021" s="17"/>
      <c r="J1021" s="17" t="s">
        <v>998</v>
      </c>
      <c r="K1021" s="17"/>
      <c r="L1021" s="17"/>
      <c r="AC1021" s="1300"/>
    </row>
    <row r="1022">
      <c r="B1022" s="17"/>
      <c r="C1022" s="17"/>
      <c r="D1022" s="17"/>
      <c r="E1022" s="343"/>
      <c r="F1022" s="17"/>
      <c r="G1022" s="17"/>
      <c r="H1022" s="17"/>
      <c r="I1022" s="17"/>
      <c r="J1022" s="17" t="s">
        <v>998</v>
      </c>
      <c r="K1022" s="17"/>
      <c r="L1022" s="17"/>
      <c r="AC1022" s="1300"/>
    </row>
    <row r="1023">
      <c r="B1023" s="17"/>
      <c r="C1023" s="17"/>
      <c r="D1023" s="17"/>
      <c r="E1023" s="343"/>
      <c r="F1023" s="17"/>
      <c r="G1023" s="17"/>
      <c r="H1023" s="17"/>
      <c r="I1023" s="17"/>
      <c r="J1023" s="17" t="s">
        <v>998</v>
      </c>
      <c r="K1023" s="17"/>
      <c r="L1023" s="17"/>
      <c r="AC1023" s="1300"/>
    </row>
    <row r="1024">
      <c r="B1024" s="17"/>
      <c r="C1024" s="17"/>
      <c r="D1024" s="17"/>
      <c r="E1024" s="343"/>
      <c r="F1024" s="17"/>
      <c r="G1024" s="17"/>
      <c r="H1024" s="17"/>
      <c r="I1024" s="17"/>
      <c r="J1024" s="17" t="s">
        <v>998</v>
      </c>
      <c r="K1024" s="17"/>
      <c r="L1024" s="17"/>
      <c r="AC1024" s="1300"/>
    </row>
    <row r="1025">
      <c r="B1025" s="17"/>
      <c r="C1025" s="17"/>
      <c r="D1025" s="17"/>
      <c r="E1025" s="343"/>
      <c r="F1025" s="17"/>
      <c r="G1025" s="17"/>
      <c r="H1025" s="17"/>
      <c r="I1025" s="17"/>
      <c r="J1025" s="17" t="s">
        <v>998</v>
      </c>
      <c r="K1025" s="17"/>
      <c r="L1025" s="17"/>
      <c r="AC1025" s="1300"/>
    </row>
    <row r="1026">
      <c r="B1026" s="17"/>
      <c r="C1026" s="17"/>
      <c r="D1026" s="17"/>
      <c r="E1026" s="343"/>
      <c r="F1026" s="17"/>
      <c r="G1026" s="17"/>
      <c r="H1026" s="17"/>
      <c r="I1026" s="17"/>
      <c r="J1026" s="17" t="s">
        <v>998</v>
      </c>
      <c r="K1026" s="17"/>
      <c r="L1026" s="17"/>
      <c r="AC1026" s="1300"/>
    </row>
    <row r="1027">
      <c r="B1027" s="17"/>
      <c r="C1027" s="17"/>
      <c r="D1027" s="17"/>
      <c r="E1027" s="343"/>
      <c r="F1027" s="17"/>
      <c r="G1027" s="17"/>
      <c r="H1027" s="17"/>
      <c r="I1027" s="17"/>
      <c r="J1027" s="17" t="s">
        <v>998</v>
      </c>
      <c r="K1027" s="17"/>
      <c r="L1027" s="17"/>
      <c r="AC1027" s="1300"/>
    </row>
    <row r="1028">
      <c r="B1028" s="17"/>
      <c r="C1028" s="17"/>
      <c r="D1028" s="17"/>
      <c r="E1028" s="343"/>
      <c r="F1028" s="17"/>
      <c r="G1028" s="17"/>
      <c r="H1028" s="17"/>
      <c r="I1028" s="17"/>
      <c r="J1028" s="17" t="s">
        <v>998</v>
      </c>
      <c r="K1028" s="17"/>
      <c r="L1028" s="17"/>
      <c r="AC1028" s="1300"/>
    </row>
    <row r="1029">
      <c r="B1029" s="17"/>
      <c r="C1029" s="17"/>
      <c r="D1029" s="17"/>
      <c r="E1029" s="343"/>
      <c r="F1029" s="17"/>
      <c r="G1029" s="17"/>
      <c r="H1029" s="17"/>
      <c r="I1029" s="17"/>
      <c r="J1029" s="17" t="s">
        <v>998</v>
      </c>
      <c r="K1029" s="17"/>
      <c r="L1029" s="17"/>
      <c r="AC1029" s="1300"/>
    </row>
    <row r="1030">
      <c r="B1030" s="17"/>
      <c r="C1030" s="17"/>
      <c r="D1030" s="17"/>
      <c r="E1030" s="343"/>
      <c r="F1030" s="17"/>
      <c r="G1030" s="17"/>
      <c r="H1030" s="17"/>
      <c r="I1030" s="17"/>
      <c r="J1030" s="17" t="s">
        <v>998</v>
      </c>
      <c r="K1030" s="17"/>
      <c r="L1030" s="17"/>
      <c r="AC1030" s="1300"/>
    </row>
    <row r="1031">
      <c r="B1031" s="17"/>
      <c r="C1031" s="17"/>
      <c r="D1031" s="17"/>
      <c r="E1031" s="343"/>
      <c r="F1031" s="17"/>
      <c r="G1031" s="17"/>
      <c r="H1031" s="17"/>
      <c r="I1031" s="17"/>
      <c r="J1031" s="17" t="s">
        <v>998</v>
      </c>
      <c r="K1031" s="17"/>
      <c r="L1031" s="17"/>
      <c r="AC1031" s="1300"/>
    </row>
    <row r="1032">
      <c r="B1032" s="17"/>
      <c r="C1032" s="17"/>
      <c r="D1032" s="17"/>
      <c r="E1032" s="343"/>
      <c r="F1032" s="17"/>
      <c r="G1032" s="17"/>
      <c r="H1032" s="17"/>
      <c r="I1032" s="17"/>
      <c r="J1032" s="17" t="s">
        <v>998</v>
      </c>
      <c r="K1032" s="17"/>
      <c r="L1032" s="17"/>
      <c r="AC1032" s="1300"/>
    </row>
    <row r="1033">
      <c r="B1033" s="17"/>
      <c r="C1033" s="17"/>
      <c r="D1033" s="17"/>
      <c r="E1033" s="343"/>
      <c r="F1033" s="17"/>
      <c r="G1033" s="17"/>
      <c r="H1033" s="17"/>
      <c r="I1033" s="17"/>
      <c r="J1033" s="17" t="s">
        <v>998</v>
      </c>
      <c r="K1033" s="17"/>
      <c r="L1033" s="17"/>
      <c r="AC1033" s="1300"/>
    </row>
    <row r="1034">
      <c r="B1034" s="17"/>
      <c r="C1034" s="17"/>
      <c r="D1034" s="17"/>
      <c r="E1034" s="343"/>
      <c r="F1034" s="17"/>
      <c r="G1034" s="17"/>
      <c r="H1034" s="17"/>
      <c r="I1034" s="17"/>
      <c r="J1034" s="17" t="s">
        <v>998</v>
      </c>
      <c r="K1034" s="17"/>
      <c r="L1034" s="17"/>
      <c r="AC1034" s="1300"/>
    </row>
    <row r="1035">
      <c r="B1035" s="17"/>
      <c r="C1035" s="17"/>
      <c r="D1035" s="17"/>
      <c r="E1035" s="343"/>
      <c r="F1035" s="17"/>
      <c r="G1035" s="17"/>
      <c r="H1035" s="17"/>
      <c r="I1035" s="17"/>
      <c r="J1035" s="17" t="s">
        <v>998</v>
      </c>
      <c r="K1035" s="17"/>
      <c r="L1035" s="17"/>
      <c r="AC1035" s="1300"/>
    </row>
    <row r="1036">
      <c r="B1036" s="17"/>
      <c r="C1036" s="17"/>
      <c r="D1036" s="17"/>
      <c r="E1036" s="343"/>
      <c r="F1036" s="17"/>
      <c r="G1036" s="17"/>
      <c r="H1036" s="17"/>
      <c r="I1036" s="17"/>
      <c r="J1036" s="17" t="s">
        <v>998</v>
      </c>
      <c r="K1036" s="17"/>
      <c r="L1036" s="17"/>
      <c r="AC1036" s="1300"/>
    </row>
    <row r="1037">
      <c r="B1037" s="17"/>
      <c r="C1037" s="17"/>
      <c r="D1037" s="17"/>
      <c r="E1037" s="343"/>
      <c r="F1037" s="17"/>
      <c r="G1037" s="17"/>
      <c r="H1037" s="17"/>
      <c r="I1037" s="17"/>
      <c r="J1037" s="17" t="s">
        <v>998</v>
      </c>
      <c r="K1037" s="17"/>
      <c r="L1037" s="17"/>
      <c r="AC1037" s="1300"/>
    </row>
    <row r="1038">
      <c r="B1038" s="17"/>
      <c r="C1038" s="17"/>
      <c r="D1038" s="17"/>
      <c r="E1038" s="343"/>
      <c r="F1038" s="17"/>
      <c r="G1038" s="17"/>
      <c r="H1038" s="17"/>
      <c r="I1038" s="17"/>
      <c r="J1038" s="17" t="s">
        <v>998</v>
      </c>
      <c r="K1038" s="17"/>
      <c r="L1038" s="17"/>
      <c r="AC1038" s="130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