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<sst xmlns="http://schemas.openxmlformats.org/spreadsheetml/2006/main" count="5452" uniqueCount="914">
  <si>
    <t>検索文字</t>
  </si>
  <si>
    <t>関数用</t>
  </si>
  <si>
    <t>URL：</t>
  </si>
  <si>
    <t>コンフォートイン東京六本木</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</si>
  <si>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</si>
  <si>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</si>
  <si>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</si>
  <si>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</si>
  <si>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</si>
  <si>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</si>
  <si>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</si>
  <si>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</si>
  <si>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</si>
  <si>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</si>
  <si>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</si>
  <si>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</si>
  <si>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</si>
  <si>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</si>
  <si>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</si>
  <si>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</si>
  <si>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</si>
  <si>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</si>
  <si>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</si>
  <si>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</si>
  <si>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</si>
  <si>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</si>
  <si>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</si>
  <si>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</si>
  <si>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</si>
  <si>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</si>
  <si>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</si>
  <si>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</si>
  <si>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</si>
  <si>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</si>
  <si>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</si>
  <si>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</si>
  <si>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</si>
  <si>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</si>
  <si>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</si>
  <si>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</si>
  <si>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</si>
  <si>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</si>
  <si>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</si>
  <si>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</si>
  <si>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</si>
  <si>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</si>
  <si>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</si>
  <si>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</si>
  <si>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</si>
  <si>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</si>
  <si>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</si>
  <si>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</si>
  <si>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</si>
  <si>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</si>
  <si>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</si>
  <si>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</si>
  <si>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</si>
  <si>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</si>
  <si>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</si>
  <si>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</si>
  <si>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</si>
  <si>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</si>
  <si>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</si>
  <si>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</si>
  <si>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</si>
  <si>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</si>
  <si>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</si>
  <si>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</si>
  <si>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</si>
  <si>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</si>
  <si>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</si>
  <si>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</si>
  <si>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</si>
  <si>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</si>
  <si>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</si>
  <si>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</si>
  <si>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</si>
  <si>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</si>
  <si>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</si>
  <si>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</si>
  <si>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</si>
  <si>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</si>
  <si>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</si>
  <si>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</si>
  <si>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</si>
  <si>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</si>
  <si>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</si>
  <si>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</si>
  <si>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</si>
  <si>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</si>
  <si>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</si>
  <si>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</si>
  <si>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</si>
  <si>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</si>
  <si>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</si>
  <si>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</si>
  <si>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</si>
  <si>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</si>
  <si>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</si>
  <si>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</si>
  <si>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</si>
  <si>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</si>
  <si>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</si>
  <si>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</si>
  <si>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</si>
  <si>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</si>
  <si>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</si>
  <si>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</si>
  <si>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</si>
  <si>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</si>
  <si>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</si>
  <si>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</si>
  <si>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</si>
  <si>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</si>
  <si>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</si>
  <si>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</si>
  <si>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</si>
  <si>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</si>
  <si>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</si>
  <si>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7日</t>
  </si>
  <si>
    <t>(土)</t>
  </si>
  <si>
    <t>あまり清潔ではない</t>
  </si>
  <si>
    <t>清潔感意識が足りてない。</t>
  </si>
  <si>
    <t>具体的にどこは書かれてないですが、今月はとりあえずシンクのカビを全館無くしていきたいと思います。</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</si>
  <si>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</si>
  <si>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</si>
  <si>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</si>
  <si>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</si>
  <si>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</si>
  <si>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</si>
  <si>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</si>
  <si>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</si>
  <si>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</si>
  <si>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</si>
  <si>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</si>
  <si>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</si>
  <si>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</si>
  <si>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</si>
  <si>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</si>
  <si>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</si>
  <si>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</si>
  <si>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</si>
  <si>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</si>
  <si>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</si>
  <si>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</si>
  <si>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</si>
  <si>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ステイ</t>
  </si>
  <si>
    <t>スリッパを履いたら中敷きにガムがくっついてあった。</t>
  </si>
  <si>
    <t>メイドのチェック不足</t>
  </si>
  <si>
    <t>スリッパの中までチェックは行き届くことないから、部屋をチェックする時にしっかり中敷きと底もチェックしてからセットするようにします。あと最近スリッパの在庫が増えてきたから、使ってないスリッパはそのままにせずに交換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</si>
  <si>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</si>
  <si>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</si>
  <si>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</si>
  <si>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</si>
  <si>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</si>
  <si>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</si>
  <si>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</si>
  <si>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</si>
  <si>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</si>
  <si>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</si>
  <si>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</si>
  <si>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</si>
  <si>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</si>
  <si>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</si>
  <si>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</si>
  <si>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</si>
  <si>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</si>
  <si>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</si>
  <si>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</si>
  <si>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</si>
  <si>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</si>
  <si>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</si>
  <si>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</si>
  <si>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</si>
  <si>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</si>
  <si>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</si>
  <si>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</si>
  <si>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</si>
  <si>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</si>
  <si>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</si>
  <si>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</si>
  <si>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</si>
  <si>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</si>
  <si>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</si>
  <si>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</si>
  <si>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</si>
  <si>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</si>
  <si>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</si>
  <si>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</si>
  <si>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</si>
  <si>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</si>
  <si>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</si>
  <si>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</si>
  <si>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</si>
  <si>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</si>
  <si>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</si>
  <si>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</si>
  <si>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</si>
  <si>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</si>
  <si>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</si>
  <si>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</si>
  <si>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</si>
  <si>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</si>
  <si>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</si>
  <si>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</si>
  <si>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</si>
  <si>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</si>
  <si>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</si>
  <si>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</si>
  <si>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</si>
  <si>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</si>
  <si>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</si>
  <si>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</si>
  <si>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</si>
  <si>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</si>
  <si>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</si>
  <si>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</si>
  <si>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</si>
  <si>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</si>
  <si>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</si>
  <si>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</si>
  <si>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</si>
  <si>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</si>
  <si>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</si>
  <si>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</si>
  <si>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</si>
  <si>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</si>
  <si>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</si>
  <si>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</si>
  <si>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</si>
  <si>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</si>
  <si>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</si>
  <si>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</si>
  <si>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</si>
  <si>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</si>
  <si>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</si>
  <si>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</si>
  <si>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</si>
  <si>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</si>
  <si>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</si>
  <si>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</si>
  <si>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</si>
  <si>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</si>
  <si>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</si>
  <si>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</si>
  <si>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</si>
  <si>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</si>
  <si>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</si>
  <si>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</si>
  <si>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</si>
  <si>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</si>
  <si>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</si>
  <si>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</si>
  <si>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</si>
  <si>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</si>
  <si>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</si>
  <si>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</si>
  <si>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</si>
  <si>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</si>
  <si>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</si>
  <si>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</si>
  <si>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</si>
  <si>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</si>
  <si>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</si>
  <si>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</si>
  <si>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</si>
  <si>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</si>
  <si>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</si>
  <si>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</si>
  <si>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</si>
  <si>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</si>
  <si>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</si>
  <si>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</si>
  <si>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</si>
  <si>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</si>
  <si>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</si>
  <si>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</si>
  <si>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</si>
  <si>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</si>
  <si>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</si>
  <si>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</si>
  <si>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</si>
  <si>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</si>
  <si>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</si>
  <si>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</si>
  <si>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</si>
  <si>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</si>
  <si>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</si>
  <si>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</si>
  <si>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</si>
  <si>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</si>
  <si>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</si>
  <si>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</si>
  <si>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</si>
  <si>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</si>
  <si>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</si>
  <si>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</si>
  <si>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</si>
  <si>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</si>
  <si>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</si>
  <si>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</si>
  <si>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</si>
  <si>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</si>
  <si>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</si>
  <si>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</si>
  <si>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</si>
  <si>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</si>
  <si>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</si>
  <si>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</si>
  <si>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</si>
  <si>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</si>
  <si>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</si>
  <si>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</si>
  <si>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</si>
  <si>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</si>
  <si>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</si>
  <si>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</si>
  <si>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</si>
  <si>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</si>
  <si>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</si>
  <si>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</si>
  <si>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</si>
  <si>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</si>
  <si>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</si>
  <si>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</si>
  <si>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</si>
  <si>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</si>
  <si>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</si>
  <si>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</si>
  <si>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</si>
  <si>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</si>
  <si>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</si>
  <si>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</si>
  <si>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</si>
  <si>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</si>
  <si>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</si>
  <si>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</si>
  <si>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</si>
  <si>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</si>
  <si>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</si>
  <si>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</si>
  <si>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</si>
  <si>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</si>
  <si>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</si>
  <si>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</si>
  <si>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</si>
  <si>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</si>
  <si>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</si>
  <si>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</si>
  <si>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</si>
  <si>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</si>
  <si>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</si>
  <si>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</si>
  <si>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</si>
  <si>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</si>
  <si>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</si>
  <si>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</si>
  <si>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</si>
  <si>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</si>
  <si>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</si>
  <si>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</si>
  <si>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</si>
  <si>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</si>
  <si>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</si>
  <si>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</si>
  <si>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</si>
  <si>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</si>
  <si>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</si>
  <si>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</si>
  <si>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</si>
  <si>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</si>
  <si>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</si>
  <si>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</si>
  <si>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</si>
  <si>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</si>
  <si>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</si>
  <si>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</si>
  <si>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</si>
  <si>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</si>
  <si>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</si>
  <si>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</si>
  <si>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</si>
  <si>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</si>
  <si>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</si>
  <si>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</si>
  <si>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</si>
  <si>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</si>
  <si>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</si>
  <si>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</si>
  <si>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</si>
  <si>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</si>
  <si>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</si>
  <si>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</si>
  <si>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</si>
  <si>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</si>
  <si>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</si>
  <si>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</si>
  <si>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</si>
  <si>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</si>
  <si>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</si>
  <si>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</si>
  <si>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</si>
  <si>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</si>
  <si>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</si>
  <si>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</si>
  <si>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</si>
  <si>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</si>
  <si>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</si>
  <si>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</si>
  <si>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</si>
  <si>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</si>
  <si>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</si>
  <si>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</si>
  <si>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</si>
  <si>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</si>
  <si>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</si>
  <si>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</si>
  <si>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</si>
  <si>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</si>
  <si>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</si>
  <si>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</si>
  <si>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</si>
  <si>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</si>
  <si>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</si>
  <si>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</si>
  <si>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</si>
  <si>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</si>
  <si>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</si>
  <si>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</si>
  <si>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</si>
  <si>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</si>
  <si>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</si>
  <si>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</si>
  <si>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</si>
  <si>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</si>
  <si>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</si>
  <si>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</si>
  <si>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</si>
  <si>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</si>
  <si>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</si>
  <si>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</si>
  <si>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</si>
  <si>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</si>
  <si>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</si>
  <si>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</si>
  <si>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</si>
  <si>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</si>
  <si>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</si>
  <si>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</si>
  <si>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</si>
  <si>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</si>
  <si>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</si>
  <si>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</si>
  <si>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</si>
  <si>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</si>
  <si>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</si>
  <si>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</si>
  <si>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</si>
  <si>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</si>
  <si>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</si>
  <si>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</si>
  <si>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</si>
  <si>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</si>
  <si>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</si>
  <si>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</si>
  <si>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</si>
  <si>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</si>
  <si>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</si>
  <si>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</si>
  <si>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</si>
  <si>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</si>
  <si>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</si>
  <si>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</si>
  <si>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</si>
  <si>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</si>
  <si>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</si>
  <si>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</si>
  <si>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</si>
  <si>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</si>
  <si>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</si>
  <si>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</si>
  <si>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</si>
  <si>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</si>
  <si>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</si>
  <si>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</si>
  <si>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</si>
  <si>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</si>
  <si>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</si>
  <si>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</si>
  <si>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</si>
  <si>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</si>
  <si>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</si>
  <si>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</si>
  <si>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</si>
  <si>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</si>
  <si>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</si>
  <si>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</si>
  <si>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</si>
  <si>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</si>
  <si>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</si>
  <si>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</si>
  <si>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</si>
  <si>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</si>
  <si>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</si>
  <si>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</si>
  <si>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</si>
  <si>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</si>
  <si>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</si>
  <si>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</si>
  <si>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</si>
  <si>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</si>
  <si>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記入者1バニヤ</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</si>
  <si>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</si>
  <si>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</si>
  <si>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</si>
  <si>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</si>
  <si>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</si>
  <si>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</si>
  <si>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</si>
  <si>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</si>
  <si>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</si>
  <si>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</si>
  <si>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</si>
  <si>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</si>
  <si>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</si>
  <si>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</si>
  <si>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</si>
  <si>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</si>
  <si>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</si>
  <si>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</si>
  <si>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</si>
  <si>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</si>
  <si>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</si>
  <si>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</si>
  <si>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</si>
  <si>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</si>
  <si>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</si>
  <si>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</si>
  <si>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</si>
  <si>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</si>
  <si>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</si>
  <si>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</si>
  <si>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</si>
  <si>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</si>
  <si>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</si>
  <si>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</si>
  <si>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</si>
  <si>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</si>
  <si>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</si>
  <si>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</si>
  <si>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</si>
  <si>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</si>
  <si>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</si>
  <si>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</si>
  <si>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</si>
  <si>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</si>
  <si>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</si>
  <si>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</si>
  <si>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</si>
  <si>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</si>
  <si>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</si>
  <si>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</si>
  <si>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</si>
  <si>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</si>
  <si>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</si>
  <si>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</si>
  <si>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</si>
  <si>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</si>
  <si>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</si>
  <si>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</si>
  <si>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</si>
  <si>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最初はそんなものですよ、一任間になれるかは全て現場社員次第だと思ってください。最初は信頼作りから！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</si>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</sst>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84" fillId="0" fontId="4" numFmtId="180" xfId="0" applyAlignment="1" applyBorder="1" applyFont="1" applyNumberFormat="1">
      <alignment horizontal="center" readingOrder="0" vertical="center"/>
    </xf>
    <xf borderId="84" fillId="0" fontId="4" numFmtId="0" xfId="0" applyAlignment="1" applyBorder="1" applyFont="1">
      <alignment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7277736"/>
        <c:axId val="277269548"/>
      </c:lineChart>
      <c:catAx>
        <c:axId val="1587277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77269548"/>
      </c:catAx>
      <c:valAx>
        <c:axId val="2772695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2777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02493216"/>
        <c:axId val="278256683"/>
      </c:lineChart>
      <c:catAx>
        <c:axId val="8024932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8256683"/>
      </c:catAx>
      <c:valAx>
        <c:axId val="2782566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24932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62181757"/>
        <c:axId val="232062237"/>
      </c:lineChart>
      <c:catAx>
        <c:axId val="1762181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2062237"/>
      </c:catAx>
      <c:valAx>
        <c:axId val="2320622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21817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78001584"/>
        <c:axId val="972137831"/>
      </c:barChart>
      <c:catAx>
        <c:axId val="3780015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72137831"/>
      </c:catAx>
      <c:valAx>
        <c:axId val="9721378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800158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3577019"/>
        <c:axId val="1171182276"/>
      </c:lineChart>
      <c:catAx>
        <c:axId val="189357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1182276"/>
      </c:catAx>
      <c:valAx>
        <c:axId val="11711822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35770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65685580"/>
        <c:axId val="1186360726"/>
      </c:barChart>
      <c:catAx>
        <c:axId val="7656855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6360726"/>
      </c:catAx>
      <c:valAx>
        <c:axId val="11863607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56855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drawing" Target="../drawings/drawing1.xm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IFERROR(__xludf.DUMMYFUNCTION("""COMPUTED_VALUE"""),46112.0)</f>
        <v>46112</v>
      </c>
      <c r="F6" s="4"/>
      <c r="G6"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6"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6" s="4" t="str">
        <f>IFERROR(__xludf.DUMMYFUNCTION("""COMPUTED_VALUE"""),"")</f>
        <v/>
      </c>
      <c r="J6"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6"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6" s="4" t="str">
        <f>IFERROR(__xludf.DUMMYFUNCTION("""COMPUTED_VALUE"""),"Heidi")</f>
        <v>Heidi</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6"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6" s="21" t="str">
        <f>IFERROR(__xludf.DUMMYFUNCTION("""COMPUTED_VALUE"""),"")</f>
        <v/>
      </c>
      <c r="V6"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6"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6" s="21" t="str">
        <f>IFERROR(__xludf.DUMMYFUNCTION("""COMPUTED_VALUE"""),"Heidi")</f>
        <v>Heidi</v>
      </c>
    </row>
    <row r="7">
      <c r="B7" s="18" t="b">
        <f>IFERROR(__xludf.DUMMYFUNCTION("""COMPUTED_VALUE"""),FALSE)</f>
        <v>0</v>
      </c>
      <c r="C7" s="19" t="str">
        <f>IFERROR(__xludf.DUMMYFUNCTION("""COMPUTED_VALUE"""),"Trip.com")</f>
        <v>Trip.com</v>
      </c>
      <c r="D7" s="4">
        <f>IFERROR(__xludf.DUMMYFUNCTION("""COMPUTED_VALUE"""),9.0)</f>
        <v>9</v>
      </c>
      <c r="E7" s="20">
        <f>IFERROR(__xludf.DUMMYFUNCTION("""COMPUTED_VALUE"""),46112.0)</f>
        <v>46112</v>
      </c>
      <c r="F7"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7" s="4"/>
      <c r="H7" s="4"/>
      <c r="I7"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7" s="23" t="str">
        <f>IFERROR(__xludf.DUMMYFUNCTION("""COMPUTED_VALUE"""),"")</f>
        <v/>
      </c>
      <c r="K7" s="4" t="str">
        <f>IFERROR(__xludf.DUMMYFUNCTION("""COMPUTED_VALUE"""),"")</f>
        <v/>
      </c>
      <c r="L7" s="4" t="str">
        <f>IFERROR(__xludf.DUMMYFUNCTION("""COMPUTED_VALUE"""),"ゲ‍ス‍ト")</f>
        <v>ゲ‍ス‍ト</v>
      </c>
      <c r="N7" s="21" t="b">
        <f>IFERROR(__xludf.DUMMYFUNCTION("""COMPUTED_VALUE"""),FALSE)</f>
        <v>0</v>
      </c>
      <c r="O7" s="19" t="str">
        <f>IFERROR(__xludf.DUMMYFUNCTION("""COMPUTED_VALUE"""),"Trip.com")</f>
        <v>Trip.com</v>
      </c>
      <c r="P7" s="21">
        <f>IFERROR(__xludf.DUMMYFUNCTION("""COMPUTED_VALUE"""),9.0)</f>
        <v>9</v>
      </c>
      <c r="Q7" s="22">
        <f>IFERROR(__xludf.DUMMYFUNCTION("""COMPUTED_VALUE"""),46112.0)</f>
        <v>46112</v>
      </c>
      <c r="R7"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7" s="21"/>
      <c r="T7" s="21"/>
      <c r="U7"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7" s="21" t="str">
        <f>IFERROR(__xludf.DUMMYFUNCTION("""COMPUTED_VALUE"""),"")</f>
        <v/>
      </c>
      <c r="W7" s="21" t="str">
        <f>IFERROR(__xludf.DUMMYFUNCTION("""COMPUTED_VALUE"""),"")</f>
        <v/>
      </c>
      <c r="X7" s="21" t="str">
        <f>IFERROR(__xludf.DUMMYFUNCTION("""COMPUTED_VALUE"""),"ゲ‍ス‍ト")</f>
        <v>ゲ‍ス‍ト</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IFERROR(__xludf.DUMMYFUNCTION("""COMPUTED_VALUE"""),46112.0)</f>
        <v>46112</v>
      </c>
      <c r="F8" s="4"/>
      <c r="G8"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8" s="4"/>
      <c r="I8" s="4" t="str">
        <f>IFERROR(__xludf.DUMMYFUNCTION("""COMPUTED_VALUE"""),"")</f>
        <v/>
      </c>
      <c r="J8" s="2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8" s="4" t="str">
        <f>IFERROR(__xludf.DUMMYFUNCTION("""COMPUTED_VALUE"""),"")</f>
        <v/>
      </c>
      <c r="L8" s="4" t="str">
        <f>IFERROR(__xludf.DUMMYFUNCTION("""COMPUTED_VALUE"""),"Cecilia")</f>
        <v>Cecilia</v>
      </c>
      <c r="N8" s="21" t="b">
        <f>IFERROR(__xludf.DUMMYFUNCTION("""COMPUTED_VALUE"""),FALSE)</f>
        <v>0</v>
      </c>
      <c r="O8" s="19" t="str">
        <f>IFERROR(__xludf.DUMMYFUNCTION("""COMPUTED_VALUE"""),"Booking.com")</f>
        <v>Booking.com</v>
      </c>
      <c r="P8" s="21">
        <f>IFERROR(__xludf.DUMMYFUNCTION("""COMPUTED_VALUE"""),9.0)</f>
        <v>9</v>
      </c>
      <c r="Q8" s="22">
        <f>IFERROR(__xludf.DUMMYFUNCTION("""COMPUTED_VALUE"""),46112.0)</f>
        <v>46112</v>
      </c>
      <c r="R8" s="21"/>
      <c r="S8"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8" s="21"/>
      <c r="U8" s="21" t="str">
        <f>IFERROR(__xludf.DUMMYFUNCTION("""COMPUTED_VALUE"""),"")</f>
        <v/>
      </c>
      <c r="V8"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8" s="21" t="str">
        <f>IFERROR(__xludf.DUMMYFUNCTION("""COMPUTED_VALUE"""),"")</f>
        <v/>
      </c>
      <c r="X8" s="21" t="str">
        <f>IFERROR(__xludf.DUMMYFUNCTION("""COMPUTED_VALUE"""),"Cecilia")</f>
        <v>Cecilia</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IFERROR(__xludf.DUMMYFUNCTION("""COMPUTED_VALUE"""),"Cecilia")</f>
        <v>Cecilia</v>
      </c>
      <c r="N9" s="21" t="b">
        <f>IFERROR(__xludf.DUMMYFUNCTION("""COMPUTED_VALUE"""),FALSE)</f>
        <v>0</v>
      </c>
      <c r="O9" s="19" t="str">
        <f>IFERROR(__xludf.DUMMYFUNCTION("""COMPUTED_VALUE"""),"Booking.com")</f>
        <v>Booking.com</v>
      </c>
      <c r="P9" s="21">
        <f>IFERROR(__xludf.DUMMYFUNCTION("""COMPUTED_VALUE"""),9.0)</f>
        <v>9</v>
      </c>
      <c r="Q9" s="22">
        <f>IFERROR(__xludf.DUMMYFUNCTION("""COMPUTED_VALUE"""),46112.0)</f>
        <v>46112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IFERROR(__xludf.DUMMYFUNCTION("""COMPUTED_VALUE"""),"Cecilia")</f>
        <v>Cecilia</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IFERROR(__xludf.DUMMYFUNCTION("""COMPUTED_VALUE"""),46111.0)</f>
        <v>46111</v>
      </c>
      <c r="F10"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0" s="4"/>
      <c r="H10" s="4"/>
      <c r="I10"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0" s="4" t="str">
        <f>IFERROR(__xludf.DUMMYFUNCTION("""COMPUTED_VALUE"""),"")</f>
        <v/>
      </c>
      <c r="K10" s="4" t="str">
        <f>IFERROR(__xludf.DUMMYFUNCTION("""COMPUTED_VALUE"""),"")</f>
        <v/>
      </c>
      <c r="L10" s="4" t="str">
        <f>IFERROR(__xludf.DUMMYFUNCTION("""COMPUTED_VALUE"""),"ゲ‍ス‍ト")</f>
        <v>ゲ‍ス‍ト</v>
      </c>
      <c r="N10" s="21" t="b">
        <f>IFERROR(__xludf.DUMMYFUNCTION("""COMPUTED_VALUE"""),FALSE)</f>
        <v>0</v>
      </c>
      <c r="O10" s="19" t="str">
        <f>IFERROR(__xludf.DUMMYFUNCTION("""COMPUTED_VALUE"""),"Trip.com")</f>
        <v>Trip.com</v>
      </c>
      <c r="P10" s="21">
        <f>IFERROR(__xludf.DUMMYFUNCTION("""COMPUTED_VALUE"""),9.0)</f>
        <v>9</v>
      </c>
      <c r="Q10" s="22">
        <f>IFERROR(__xludf.DUMMYFUNCTION("""COMPUTED_VALUE"""),46111.0)</f>
        <v>46111</v>
      </c>
      <c r="R10"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 s="21"/>
      <c r="T10" s="21"/>
      <c r="U10"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 s="21" t="str">
        <f>IFERROR(__xludf.DUMMYFUNCTION("""COMPUTED_VALUE"""),"")</f>
        <v/>
      </c>
      <c r="W10" s="21" t="str">
        <f>IFERROR(__xludf.DUMMYFUNCTION("""COMPUTED_VALUE"""),"")</f>
        <v/>
      </c>
      <c r="X10" s="21"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IFERROR(__xludf.DUMMYFUNCTION("""COMPUTED_VALUE"""),46111.0)</f>
        <v>46111</v>
      </c>
      <c r="F11" s="4"/>
      <c r="G11" s="4" t="str">
        <f>IFERROR(__xludf.DUMMYFUNCTION("""COMPUTED_VALUE"""),"スタッフの応対が丁寧で感じ良かった")</f>
        <v>スタッフの応対が丁寧で感じ良かった</v>
      </c>
      <c r="H11" s="4"/>
      <c r="I11" s="4" t="str">
        <f>IFERROR(__xludf.DUMMYFUNCTION("""COMPUTED_VALUE"""),"")</f>
        <v/>
      </c>
      <c r="J11" s="4" t="str">
        <f>IFERROR(__xludf.DUMMYFUNCTION("""COMPUTED_VALUE"""),"スタッフの応対が丁寧で感じ良かった")</f>
        <v>スタッフの応対が丁寧で感じ良かった</v>
      </c>
      <c r="K11" s="4" t="str">
        <f>IFERROR(__xludf.DUMMYFUNCTION("""COMPUTED_VALUE"""),"")</f>
        <v/>
      </c>
      <c r="L11" s="4" t="str">
        <f>IFERROR(__xludf.DUMMYFUNCTION("""COMPUTED_VALUE"""),"Tomoko")</f>
        <v>Tomoko</v>
      </c>
      <c r="N11" s="21" t="b">
        <f>IFERROR(__xludf.DUMMYFUNCTION("""COMPUTED_VALUE"""),FALSE)</f>
        <v>0</v>
      </c>
      <c r="O11" s="19" t="str">
        <f>IFERROR(__xludf.DUMMYFUNCTION("""COMPUTED_VALUE"""),"Booking.com")</f>
        <v>Booking.com</v>
      </c>
      <c r="P11" s="21">
        <f>IFERROR(__xludf.DUMMYFUNCTION("""COMPUTED_VALUE"""),8.0)</f>
        <v>8</v>
      </c>
      <c r="Q11" s="22">
        <f>IFERROR(__xludf.DUMMYFUNCTION("""COMPUTED_VALUE"""),46111.0)</f>
        <v>46111</v>
      </c>
      <c r="R11" s="21"/>
      <c r="S11" s="21" t="str">
        <f>IFERROR(__xludf.DUMMYFUNCTION("""COMPUTED_VALUE"""),"スタッフの応対が丁寧で感じ良かった")</f>
        <v>スタッフの応対が丁寧で感じ良かった</v>
      </c>
      <c r="T11" s="21"/>
      <c r="U11" s="21" t="str">
        <f>IFERROR(__xludf.DUMMYFUNCTION("""COMPUTED_VALUE"""),"")</f>
        <v/>
      </c>
      <c r="V11" s="21" t="str">
        <f>IFERROR(__xludf.DUMMYFUNCTION("""COMPUTED_VALUE"""),"スタッフの応対が丁寧で感じ良かった")</f>
        <v>スタッフの応対が丁寧で感じ良かった</v>
      </c>
      <c r="W11" s="21" t="str">
        <f>IFERROR(__xludf.DUMMYFUNCTION("""COMPUTED_VALUE"""),"")</f>
        <v/>
      </c>
      <c r="X11" s="21" t="str">
        <f>IFERROR(__xludf.DUMMYFUNCTION("""COMPUTED_VALUE"""),"Tomoko")</f>
        <v>Tomoko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IFERROR(__xludf.DUMMYFUNCTION("""COMPUTED_VALUE"""),"牧山")</f>
        <v>牧山</v>
      </c>
      <c r="N12" s="21" t="b">
        <f>IFERROR(__xludf.DUMMYFUNCTION("""COMPUTED_VALUE"""),FALSE)</f>
        <v>0</v>
      </c>
      <c r="O12" s="19" t="str">
        <f>IFERROR(__xludf.DUMMYFUNCTION("""COMPUTED_VALUE"""),"Booking.com")</f>
        <v>Booking.com</v>
      </c>
      <c r="P12" s="21">
        <f>IFERROR(__xludf.DUMMYFUNCTION("""COMPUTED_VALUE"""),6.0)</f>
        <v>6</v>
      </c>
      <c r="Q12" s="22">
        <f>IFERROR(__xludf.DUMMYFUNCTION("""COMPUTED_VALUE"""),46111.0)</f>
        <v>46111</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IFERROR(__xludf.DUMMYFUNCTION("""COMPUTED_VALUE"""),"牧山")</f>
        <v>牧山</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IFERROR(__xludf.DUMMYFUNCTION("""COMPUTED_VALUE"""),46111.0)</f>
        <v>46111</v>
      </c>
      <c r="F13" s="4"/>
      <c r="G13" s="4" t="str">
        <f>IFERROR(__xludf.DUMMYFUNCTION("""COMPUTED_VALUE"""),"Buena ubicación, personal súper amable y habitaciones confortable a pesar de ser pequeña")</f>
        <v>Buena ubicación, personal súper amable y habitaciones confortable a pesar de ser pequeña</v>
      </c>
      <c r="H13" s="4" t="str">
        <f>IFERROR(__xludf.DUMMYFUNCTION("""COMPUTED_VALUE"""),"El desayuno, poca variedad y mala atención")</f>
        <v>El desayuno, poca variedad y mala atención</v>
      </c>
      <c r="I13" s="4" t="str">
        <f>IFERROR(__xludf.DUMMYFUNCTION("""COMPUTED_VALUE"""),"")</f>
        <v/>
      </c>
      <c r="J13" s="4" t="str">
        <f>IFERROR(__xludf.DUMMYFUNCTION("""COMPUTED_VALUE"""),"立地が最高、スタッフはとてもフレンドリー、部屋は小さいながらも快適")</f>
        <v>立地が最高、スタッフはとてもフレンドリー、部屋は小さいながらも快適</v>
      </c>
      <c r="K13" s="4" t="str">
        <f>IFERROR(__xludf.DUMMYFUNCTION("""COMPUTED_VALUE"""),"朝食の種類は少なく、サービスも悪かった。")</f>
        <v>朝食の種類は少なく、サービスも悪かった。</v>
      </c>
      <c r="L13" s="4" t="str">
        <f>IFERROR(__xludf.DUMMYFUNCTION("""COMPUTED_VALUE"""),"Mario")</f>
        <v>Mario</v>
      </c>
      <c r="N13" s="21" t="b">
        <f>IFERROR(__xludf.DUMMYFUNCTION("""COMPUTED_VALUE"""),FALSE)</f>
        <v>0</v>
      </c>
      <c r="O13" s="19" t="str">
        <f>IFERROR(__xludf.DUMMYFUNCTION("""COMPUTED_VALUE"""),"Booking.com")</f>
        <v>Booking.com</v>
      </c>
      <c r="P13" s="21">
        <f>IFERROR(__xludf.DUMMYFUNCTION("""COMPUTED_VALUE"""),7.0)</f>
        <v>7</v>
      </c>
      <c r="Q13" s="22">
        <f>IFERROR(__xludf.DUMMYFUNCTION("""COMPUTED_VALUE"""),46111.0)</f>
        <v>46111</v>
      </c>
      <c r="R13" s="21"/>
      <c r="S13" s="21" t="str">
        <f>IFERROR(__xludf.DUMMYFUNCTION("""COMPUTED_VALUE"""),"Buena ubicación, personal súper amable y habitaciones confortable a pesar de ser pequeña")</f>
        <v>Buena ubicación, personal súper amable y habitaciones confortable a pesar de ser pequeña</v>
      </c>
      <c r="T13" s="21" t="str">
        <f>IFERROR(__xludf.DUMMYFUNCTION("""COMPUTED_VALUE"""),"El desayuno, poca variedad y mala atención")</f>
        <v>El desayuno, poca variedad y mala atención</v>
      </c>
      <c r="U13" s="21" t="str">
        <f>IFERROR(__xludf.DUMMYFUNCTION("""COMPUTED_VALUE"""),"")</f>
        <v/>
      </c>
      <c r="V13" s="21" t="str">
        <f>IFERROR(__xludf.DUMMYFUNCTION("""COMPUTED_VALUE"""),"立地が最高、スタッフはとてもフレンドリー、部屋は小さいながらも快適")</f>
        <v>立地が最高、スタッフはとてもフレンドリー、部屋は小さいながらも快適</v>
      </c>
      <c r="W13" s="21" t="str">
        <f>IFERROR(__xludf.DUMMYFUNCTION("""COMPUTED_VALUE"""),"朝食の種類は少なく、サービスも悪かった。")</f>
        <v>朝食の種類は少なく、サービスも悪かった。</v>
      </c>
      <c r="X13" s="21" t="str">
        <f>IFERROR(__xludf.DUMMYFUNCTION("""COMPUTED_VALUE"""),"Mario")</f>
        <v>Mario</v>
      </c>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IFERROR(__xludf.DUMMYFUNCTION("""COMPUTED_VALUE"""),46111.0)</f>
        <v>46111</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IFERROR(__xludf.DUMMYFUNCTION("""COMPUTED_VALUE"""),"Luca")</f>
        <v>Luca</v>
      </c>
      <c r="N14" s="21" t="b">
        <f>IFERROR(__xludf.DUMMYFUNCTION("""COMPUTED_VALUE"""),FALSE)</f>
        <v>0</v>
      </c>
      <c r="O14" s="19" t="str">
        <f>IFERROR(__xludf.DUMMYFUNCTION("""COMPUTED_VALUE"""),"Booking.com")</f>
        <v>Booking.com</v>
      </c>
      <c r="P14" s="21">
        <f>IFERROR(__xludf.DUMMYFUNCTION("""COMPUTED_VALUE"""),7.0)</f>
        <v>7</v>
      </c>
      <c r="Q14" s="22">
        <f>IFERROR(__xludf.DUMMYFUNCTION("""COMPUTED_VALUE"""),46111.0)</f>
        <v>46111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IFERROR(__xludf.DUMMYFUNCTION("""COMPUTED_VALUE"""),"Luca")</f>
        <v>Luca</v>
      </c>
    </row>
    <row r="15">
      <c r="B15" s="18" t="b">
        <f>IFERROR(__xludf.DUMMYFUNCTION("""COMPUTED_VALUE"""),FALSE)</f>
        <v>0</v>
      </c>
      <c r="C15" s="21" t="str">
        <f>IFERROR(__xludf.DUMMYFUNCTION("""COMPUTED_VALUE"""),"楽天トラベル")</f>
        <v>楽天トラベル</v>
      </c>
      <c r="D15" s="4">
        <f>IFERROR(__xludf.DUMMYFUNCTION("""COMPUTED_VALUE"""),5.0)</f>
        <v>5</v>
      </c>
      <c r="E15" s="20">
        <f>IFERROR(__xludf.DUMMYFUNCTION("""COMPUTED_VALUE"""),46111.0)</f>
        <v>46111</v>
      </c>
      <c r="F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5" s="4"/>
      <c r="H15" s="4"/>
      <c r="I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5" s="4" t="str">
        <f>IFERROR(__xludf.DUMMYFUNCTION("""COMPUTED_VALUE"""),"")</f>
        <v/>
      </c>
      <c r="K15" s="4" t="str">
        <f>IFERROR(__xludf.DUMMYFUNCTION("""COMPUTED_VALUE"""),"")</f>
        <v/>
      </c>
      <c r="L15" s="4" t="str">
        <f>IFERROR(__xludf.DUMMYFUNCTION("""COMPUTED_VALUE"""),"aka2009")</f>
        <v>aka2009</v>
      </c>
      <c r="N15" s="21" t="b">
        <f>IFERROR(__xludf.DUMMYFUNCTION("""COMPUTED_VALUE"""),FALSE)</f>
        <v>0</v>
      </c>
      <c r="O15" s="21" t="str">
        <f>IFERROR(__xludf.DUMMYFUNCTION("""COMPUTED_VALUE"""),"楽天トラベル")</f>
        <v>楽天トラベル</v>
      </c>
      <c r="P15" s="21">
        <f>IFERROR(__xludf.DUMMYFUNCTION("""COMPUTED_VALUE"""),5.0)</f>
        <v>5</v>
      </c>
      <c r="Q15" s="22">
        <f>IFERROR(__xludf.DUMMYFUNCTION("""COMPUTED_VALUE"""),46111.0)</f>
        <v>46111</v>
      </c>
      <c r="R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5" s="21"/>
      <c r="T15" s="21"/>
      <c r="U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5" s="21" t="str">
        <f>IFERROR(__xludf.DUMMYFUNCTION("""COMPUTED_VALUE"""),"")</f>
        <v/>
      </c>
      <c r="W15" s="21" t="str">
        <f>IFERROR(__xludf.DUMMYFUNCTION("""COMPUTED_VALUE"""),"")</f>
        <v/>
      </c>
      <c r="X15" s="21" t="str">
        <f>IFERROR(__xludf.DUMMYFUNCTION("""COMPUTED_VALUE"""),"aka2009")</f>
        <v>aka2009</v>
      </c>
    </row>
    <row r="16">
      <c r="B16" s="18" t="b">
        <f>IFERROR(__xludf.DUMMYFUNCTION("""COMPUTED_VALUE"""),FALSE)</f>
        <v>0</v>
      </c>
      <c r="C16" s="21" t="str">
        <f>IFERROR(__xludf.DUMMYFUNCTION("""COMPUTED_VALUE"""),"Google")</f>
        <v>Google</v>
      </c>
      <c r="D16" s="4">
        <f>IFERROR(__xludf.DUMMYFUNCTION("""COMPUTED_VALUE"""),1.0)</f>
        <v>1</v>
      </c>
      <c r="E16" s="20">
        <f>IFERROR(__xludf.DUMMYFUNCTION("""COMPUTED_VALUE"""),46111.0)</f>
        <v>46111</v>
      </c>
      <c r="F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6" s="4"/>
      <c r="H16" s="4"/>
      <c r="I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6" s="25" t="str">
        <f>IFERROR(__xludf.DUMMYFUNCTION("""COMPUTED_VALUE"""),"")</f>
        <v/>
      </c>
      <c r="K16" s="4" t="str">
        <f>IFERROR(__xludf.DUMMYFUNCTION("""COMPUTED_VALUE"""),"")</f>
        <v/>
      </c>
      <c r="L16" s="4" t="str">
        <f>IFERROR(__xludf.DUMMYFUNCTION("""COMPUTED_VALUE"""),"VinothKumar Ganapathy")</f>
        <v>VinothKumar Ganapathy</v>
      </c>
      <c r="N16" s="21" t="b">
        <f>IFERROR(__xludf.DUMMYFUNCTION("""COMPUTED_VALUE"""),FALSE)</f>
        <v>0</v>
      </c>
      <c r="O16" s="21" t="str">
        <f>IFERROR(__xludf.DUMMYFUNCTION("""COMPUTED_VALUE"""),"Google")</f>
        <v>Google</v>
      </c>
      <c r="P16" s="21">
        <f>IFERROR(__xludf.DUMMYFUNCTION("""COMPUTED_VALUE"""),1.0)</f>
        <v>1</v>
      </c>
      <c r="Q16" s="22">
        <f>IFERROR(__xludf.DUMMYFUNCTION("""COMPUTED_VALUE"""),46111.0)</f>
        <v>46111</v>
      </c>
      <c r="R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6" s="21"/>
      <c r="T16" s="21"/>
      <c r="U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6" s="21" t="str">
        <f>IFERROR(__xludf.DUMMYFUNCTION("""COMPUTED_VALUE"""),"")</f>
        <v/>
      </c>
      <c r="W16" s="21" t="str">
        <f>IFERROR(__xludf.DUMMYFUNCTION("""COMPUTED_VALUE"""),"")</f>
        <v/>
      </c>
      <c r="X16" s="21" t="str">
        <f>IFERROR(__xludf.DUMMYFUNCTION("""COMPUTED_VALUE"""),"VinothKumar Ganapathy")</f>
        <v>VinothKumar Ganapathy</v>
      </c>
    </row>
    <row r="17">
      <c r="B17" s="18" t="b">
        <f>IFERROR(__xludf.DUMMYFUNCTION("""COMPUTED_VALUE"""),FALSE)</f>
        <v>0</v>
      </c>
      <c r="C17" s="21" t="str">
        <f>IFERROR(__xludf.DUMMYFUNCTION("""COMPUTED_VALUE"""),"Agoda")</f>
        <v>Agoda</v>
      </c>
      <c r="D17" s="4">
        <f>IFERROR(__xludf.DUMMYFUNCTION("""COMPUTED_VALUE"""),8.0)</f>
        <v>8</v>
      </c>
      <c r="E17" s="20">
        <f>IFERROR(__xludf.DUMMYFUNCTION("""COMPUTED_VALUE"""),46111.0)</f>
        <v>46111</v>
      </c>
      <c r="F17" s="4"/>
      <c r="G17" s="4" t="str">
        <f>IFERROR(__xludf.DUMMYFUNCTION("""COMPUTED_VALUE"""),"スタッフの応対が丁寧で感じ良かった")</f>
        <v>スタッフの応対が丁寧で感じ良かった</v>
      </c>
      <c r="H17" s="4"/>
      <c r="I17" s="4" t="str">
        <f>IFERROR(__xludf.DUMMYFUNCTION("""COMPUTED_VALUE"""),"")</f>
        <v/>
      </c>
      <c r="J17" s="4" t="str">
        <f>IFERROR(__xludf.DUMMYFUNCTION("""COMPUTED_VALUE"""),"スタッフの応対が丁寧で感じ良かった")</f>
        <v>スタッフの応対が丁寧で感じ良かった</v>
      </c>
      <c r="K17" s="4" t="str">
        <f>IFERROR(__xludf.DUMMYFUNCTION("""COMPUTED_VALUE"""),"")</f>
        <v/>
      </c>
      <c r="L17" s="4" t="str">
        <f>IFERROR(__xludf.DUMMYFUNCTION("""COMPUTED_VALUE"""),"TOMOKO")</f>
        <v>TOMOKO</v>
      </c>
      <c r="N17" s="21" t="b">
        <f>IFERROR(__xludf.DUMMYFUNCTION("""COMPUTED_VALUE"""),FALSE)</f>
        <v>0</v>
      </c>
      <c r="O17" s="21" t="str">
        <f>IFERROR(__xludf.DUMMYFUNCTION("""COMPUTED_VALUE"""),"Agoda")</f>
        <v>Agoda</v>
      </c>
      <c r="P17" s="21">
        <f>IFERROR(__xludf.DUMMYFUNCTION("""COMPUTED_VALUE"""),8.0)</f>
        <v>8</v>
      </c>
      <c r="Q17" s="22">
        <f>IFERROR(__xludf.DUMMYFUNCTION("""COMPUTED_VALUE"""),46111.0)</f>
        <v>46111</v>
      </c>
      <c r="R17" s="21"/>
      <c r="S17" s="21" t="str">
        <f>IFERROR(__xludf.DUMMYFUNCTION("""COMPUTED_VALUE"""),"スタッフの応対が丁寧で感じ良かった")</f>
        <v>スタッフの応対が丁寧で感じ良かった</v>
      </c>
      <c r="T17" s="21"/>
      <c r="U17" s="21" t="str">
        <f>IFERROR(__xludf.DUMMYFUNCTION("""COMPUTED_VALUE"""),"")</f>
        <v/>
      </c>
      <c r="V17" s="21" t="str">
        <f>IFERROR(__xludf.DUMMYFUNCTION("""COMPUTED_VALUE"""),"スタッフの応対が丁寧で感じ良かった")</f>
        <v>スタッフの応対が丁寧で感じ良かった</v>
      </c>
      <c r="W17" s="21" t="str">
        <f>IFERROR(__xludf.DUMMYFUNCTION("""COMPUTED_VALUE"""),"")</f>
        <v/>
      </c>
      <c r="X17" s="21" t="str">
        <f>IFERROR(__xludf.DUMMYFUNCTION("""COMPUTED_VALUE"""),"TOMOKO")</f>
        <v>TOMOKO</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IFERROR(__xludf.DUMMYFUNCTION("""COMPUTED_VALUE"""),46110.0)</f>
        <v>46110</v>
      </c>
      <c r="F18" s="4" t="str">
        <f>IFERROR(__xludf.DUMMYFUNCTION("""COMPUTED_VALUE"""),"Very good stay!")</f>
        <v>Very good stay!</v>
      </c>
      <c r="G18" s="4"/>
      <c r="H18" s="4"/>
      <c r="I18" s="4" t="str">
        <f>IFERROR(__xludf.DUMMYFUNCTION("""COMPUTED_VALUE"""),"とても快適な滞在でした！")</f>
        <v>とても快適な滞在でした！</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IFERROR(__xludf.DUMMYFUNCTION("""COMPUTED_VALUE"""),10.0)</f>
        <v>10</v>
      </c>
      <c r="Q18" s="22">
        <f>IFERROR(__xludf.DUMMYFUNCTION("""COMPUTED_VALUE"""),46110.0)</f>
        <v>46110</v>
      </c>
      <c r="R18" s="21" t="str">
        <f>IFERROR(__xludf.DUMMYFUNCTION("""COMPUTED_VALUE"""),"Very good stay!")</f>
        <v>Very good stay!</v>
      </c>
      <c r="S18" s="21"/>
      <c r="T18" s="21"/>
      <c r="U18" s="21" t="str">
        <f>IFERROR(__xludf.DUMMYFUNCTION("""COMPUTED_VALUE"""),"とても快適な滞在でした！")</f>
        <v>とても快適な滞在でした！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IFERROR(__xludf.DUMMYFUNCTION("""COMPUTED_VALUE"""),46110.0)</f>
        <v>46110</v>
      </c>
      <c r="F19" s="4"/>
      <c r="G19"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19"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19" s="4" t="str">
        <f>IFERROR(__xludf.DUMMYFUNCTION("""COMPUTED_VALUE"""),"")</f>
        <v/>
      </c>
      <c r="J19" s="4" t="str">
        <f>IFERROR(__xludf.DUMMYFUNCTION("""COMPUTED_VALUE"""),"東京の基準からすると部屋は広々としていた。静かで、六本木駅からも非常に近い。")</f>
        <v>東京の基準からすると部屋は広々としていた。静かで、六本木駅からも非常に近い。</v>
      </c>
      <c r="K19"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19" s="4" t="str">
        <f>IFERROR(__xludf.DUMMYFUNCTION("""COMPUTED_VALUE"""),"Luca")</f>
        <v>Luca</v>
      </c>
      <c r="N19" s="21" t="b">
        <f>IFERROR(__xludf.DUMMYFUNCTION("""COMPUTED_VALUE"""),FALSE)</f>
        <v>0</v>
      </c>
      <c r="O19" s="19" t="str">
        <f>IFERROR(__xludf.DUMMYFUNCTION("""COMPUTED_VALUE"""),"Booking.com")</f>
        <v>Booking.com</v>
      </c>
      <c r="P19" s="21">
        <f>IFERROR(__xludf.DUMMYFUNCTION("""COMPUTED_VALUE"""),8.0)</f>
        <v>8</v>
      </c>
      <c r="Q19" s="22">
        <f>IFERROR(__xludf.DUMMYFUNCTION("""COMPUTED_VALUE"""),46110.0)</f>
        <v>46110</v>
      </c>
      <c r="R19" s="21"/>
      <c r="S19"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9"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9" s="21" t="str">
        <f>IFERROR(__xludf.DUMMYFUNCTION("""COMPUTED_VALUE"""),"")</f>
        <v/>
      </c>
      <c r="V19" s="21" t="str">
        <f>IFERROR(__xludf.DUMMYFUNCTION("""COMPUTED_VALUE"""),"東京の基準からすると部屋は広々としていた。静かで、六本木駅からも非常に近い。")</f>
        <v>東京の基準からすると部屋は広々としていた。静かで、六本木駅からも非常に近い。</v>
      </c>
      <c r="W19"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9" s="21" t="str">
        <f>IFERROR(__xludf.DUMMYFUNCTION("""COMPUTED_VALUE"""),"Luca")</f>
        <v>Luca</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IFERROR(__xludf.DUMMYFUNCTION("""COMPUTED_VALUE"""),"興祺")</f>
        <v>興祺</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IFERROR(__xludf.DUMMYFUNCTION("""COMPUTED_VALUE"""),"興祺")</f>
        <v>興祺</v>
      </c>
    </row>
    <row r="21">
      <c r="B21" s="18" t="b">
        <f>IFERROR(__xludf.DUMMYFUNCTION("""COMPUTED_VALUE"""),FALSE)</f>
        <v>0</v>
      </c>
      <c r="C21" s="21" t="str">
        <f>IFERROR(__xludf.DUMMYFUNCTION("""COMPUTED_VALUE"""),"Google")</f>
        <v>Google</v>
      </c>
      <c r="D21" s="4">
        <f>IFERROR(__xludf.DUMMYFUNCTION("""COMPUTED_VALUE"""),3.0)</f>
        <v>3</v>
      </c>
      <c r="E21" s="20">
        <f>IFERROR(__xludf.DUMMYFUNCTION("""COMPUTED_VALUE"""),46109.0)</f>
        <v>46109</v>
      </c>
      <c r="F21" s="4" t="str">
        <f>IFERROR(__xludf.DUMMYFUNCTION("""COMPUTED_VALUE"""),"部屋が、狭い")</f>
        <v>部屋が、狭い</v>
      </c>
      <c r="G21" s="4"/>
      <c r="H21" s="4"/>
      <c r="I21" s="4" t="str">
        <f>IFERROR(__xludf.DUMMYFUNCTION("""COMPUTED_VALUE"""),"部屋が、狭い")</f>
        <v>部屋が、狭い</v>
      </c>
      <c r="J21" s="4" t="str">
        <f>IFERROR(__xludf.DUMMYFUNCTION("""COMPUTED_VALUE"""),"")</f>
        <v/>
      </c>
      <c r="K21" s="4" t="str">
        <f>IFERROR(__xludf.DUMMYFUNCTION("""COMPUTED_VALUE"""),"")</f>
        <v/>
      </c>
      <c r="L21" s="4" t="str">
        <f>IFERROR(__xludf.DUMMYFUNCTION("""COMPUTED_VALUE"""),"UZ")</f>
        <v>UZ</v>
      </c>
      <c r="N21" s="21" t="b">
        <f>IFERROR(__xludf.DUMMYFUNCTION("""COMPUTED_VALUE"""),FALSE)</f>
        <v>0</v>
      </c>
      <c r="O21" s="21" t="str">
        <f>IFERROR(__xludf.DUMMYFUNCTION("""COMPUTED_VALUE"""),"Google")</f>
        <v>Google</v>
      </c>
      <c r="P21" s="21">
        <f>IFERROR(__xludf.DUMMYFUNCTION("""COMPUTED_VALUE"""),3.0)</f>
        <v>3</v>
      </c>
      <c r="Q21" s="22">
        <f>IFERROR(__xludf.DUMMYFUNCTION("""COMPUTED_VALUE"""),46109.0)</f>
        <v>46109</v>
      </c>
      <c r="R21" s="21" t="str">
        <f>IFERROR(__xludf.DUMMYFUNCTION("""COMPUTED_VALUE"""),"部屋が、狭い")</f>
        <v>部屋が、狭い</v>
      </c>
      <c r="S21" s="21"/>
      <c r="T21" s="21"/>
      <c r="U21" s="21" t="str">
        <f>IFERROR(__xludf.DUMMYFUNCTION("""COMPUTED_VALUE"""),"部屋が、狭い")</f>
        <v>部屋が、狭い</v>
      </c>
      <c r="V21" s="21" t="str">
        <f>IFERROR(__xludf.DUMMYFUNCTION("""COMPUTED_VALUE"""),"")</f>
        <v/>
      </c>
      <c r="W21" s="21" t="str">
        <f>IFERROR(__xludf.DUMMYFUNCTION("""COMPUTED_VALUE"""),"")</f>
        <v/>
      </c>
      <c r="X21" s="21" t="str">
        <f>IFERROR(__xludf.DUMMYFUNCTION("""COMPUTED_VALUE"""),"UZ")</f>
        <v>UZ</v>
      </c>
    </row>
    <row r="22">
      <c r="B22" s="18" t="b">
        <f>IFERROR(__xludf.DUMMYFUNCTION("""COMPUTED_VALUE"""),FALSE)</f>
        <v>0</v>
      </c>
      <c r="C22" s="21" t="str">
        <f>IFERROR(__xludf.DUMMYFUNCTION("""COMPUTED_VALUE"""),"Google")</f>
        <v>Google</v>
      </c>
      <c r="D22" s="4">
        <f>IFERROR(__xludf.DUMMYFUNCTION("""COMPUTED_VALUE"""),4.0)</f>
        <v>4</v>
      </c>
      <c r="E22" s="20">
        <f>IFERROR(__xludf.DUMMYFUNCTION("""COMPUTED_VALUE"""),46109.0)</f>
        <v>46109</v>
      </c>
      <c r="F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2" s="4"/>
      <c r="H22" s="4"/>
      <c r="I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2" s="4" t="str">
        <f>IFERROR(__xludf.DUMMYFUNCTION("""COMPUTED_VALUE"""),"")</f>
        <v/>
      </c>
      <c r="K22" s="4" t="str">
        <f>IFERROR(__xludf.DUMMYFUNCTION("""COMPUTED_VALUE"""),"")</f>
        <v/>
      </c>
      <c r="L22" s="4" t="str">
        <f>IFERROR(__xludf.DUMMYFUNCTION("""COMPUTED_VALUE"""),"kiyo suzu")</f>
        <v>kiyo suzu</v>
      </c>
      <c r="N22" s="21" t="b">
        <f>IFERROR(__xludf.DUMMYFUNCTION("""COMPUTED_VALUE"""),FALSE)</f>
        <v>0</v>
      </c>
      <c r="O22" s="21" t="str">
        <f>IFERROR(__xludf.DUMMYFUNCTION("""COMPUTED_VALUE"""),"Google")</f>
        <v>Google</v>
      </c>
      <c r="P22" s="21">
        <f>IFERROR(__xludf.DUMMYFUNCTION("""COMPUTED_VALUE"""),4.0)</f>
        <v>4</v>
      </c>
      <c r="Q22" s="22">
        <f>IFERROR(__xludf.DUMMYFUNCTION("""COMPUTED_VALUE"""),46109.0)</f>
        <v>46109</v>
      </c>
      <c r="R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22" s="21"/>
      <c r="T22" s="21"/>
      <c r="U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22" s="21" t="str">
        <f>IFERROR(__xludf.DUMMYFUNCTION("""COMPUTED_VALUE"""),"")</f>
        <v/>
      </c>
      <c r="W22" s="21" t="str">
        <f>IFERROR(__xludf.DUMMYFUNCTION("""COMPUTED_VALUE"""),"")</f>
        <v/>
      </c>
      <c r="X22" s="21" t="str">
        <f>IFERROR(__xludf.DUMMYFUNCTION("""COMPUTED_VALUE"""),"kiyo suzu")</f>
        <v>kiyo suzu</v>
      </c>
    </row>
    <row r="23">
      <c r="B23" s="18" t="b">
        <f>IFERROR(__xludf.DUMMYFUNCTION("""COMPUTED_VALUE"""),FALSE)</f>
        <v>0</v>
      </c>
      <c r="C23" s="19" t="str">
        <f>IFERROR(__xludf.DUMMYFUNCTION("""COMPUTED_VALUE"""),"Booking.com")</f>
        <v>Booking.com</v>
      </c>
      <c r="D23" s="4">
        <f>IFERROR(__xludf.DUMMYFUNCTION("""COMPUTED_VALUE"""),6.0)</f>
        <v>6</v>
      </c>
      <c r="E23" s="20">
        <f>IFERROR(__xludf.DUMMYFUNCTION("""COMPUTED_VALUE"""),46108.0)</f>
        <v>46108</v>
      </c>
      <c r="F23" s="4"/>
      <c r="G23" s="4" t="str">
        <f>IFERROR(__xludf.DUMMYFUNCTION("""COMPUTED_VALUE"""),"방이 넓고 위치가 좋음")</f>
        <v>방이 넓고 위치가 좋음</v>
      </c>
      <c r="H23" s="4" t="str">
        <f>IFERROR(__xludf.DUMMYFUNCTION("""COMPUTED_VALUE"""),"직원 대응이 별로임")</f>
        <v>직원 대응이 별로임</v>
      </c>
      <c r="I23" s="4" t="str">
        <f>IFERROR(__xludf.DUMMYFUNCTION("""COMPUTED_VALUE"""),"")</f>
        <v/>
      </c>
      <c r="J23" s="4" t="str">
        <f>IFERROR(__xludf.DUMMYFUNCTION("""COMPUTED_VALUE"""),"部屋が広く位置が良い")</f>
        <v>部屋が広く位置が良い</v>
      </c>
      <c r="K23" s="4" t="str">
        <f>IFERROR(__xludf.DUMMYFUNCTION("""COMPUTED_VALUE"""),"従業員の対応はあまりありません")</f>
        <v>従業員の対応はあまりありません</v>
      </c>
      <c r="L23" s="4" t="str">
        <f>IFERROR(__xludf.DUMMYFUNCTION("""COMPUTED_VALUE"""),"Munkyun")</f>
        <v>Munkyun</v>
      </c>
      <c r="N23" s="21" t="b">
        <f>IFERROR(__xludf.DUMMYFUNCTION("""COMPUTED_VALUE"""),FALSE)</f>
        <v>0</v>
      </c>
      <c r="O23" s="19" t="str">
        <f>IFERROR(__xludf.DUMMYFUNCTION("""COMPUTED_VALUE"""),"Booking.com")</f>
        <v>Booking.com</v>
      </c>
      <c r="P23" s="21">
        <f>IFERROR(__xludf.DUMMYFUNCTION("""COMPUTED_VALUE"""),6.0)</f>
        <v>6</v>
      </c>
      <c r="Q23" s="22">
        <f>IFERROR(__xludf.DUMMYFUNCTION("""COMPUTED_VALUE"""),46108.0)</f>
        <v>46108</v>
      </c>
      <c r="R23" s="21"/>
      <c r="S23" s="21" t="str">
        <f>IFERROR(__xludf.DUMMYFUNCTION("""COMPUTED_VALUE"""),"방이 넓고 위치가 좋음")</f>
        <v>방이 넓고 위치가 좋음</v>
      </c>
      <c r="T23" s="21" t="str">
        <f>IFERROR(__xludf.DUMMYFUNCTION("""COMPUTED_VALUE"""),"직원 대응이 별로임")</f>
        <v>직원 대응이 별로임</v>
      </c>
      <c r="U23" s="21" t="str">
        <f>IFERROR(__xludf.DUMMYFUNCTION("""COMPUTED_VALUE"""),"")</f>
        <v/>
      </c>
      <c r="V23" s="21" t="str">
        <f>IFERROR(__xludf.DUMMYFUNCTION("""COMPUTED_VALUE"""),"部屋が広く位置が良い")</f>
        <v>部屋が広く位置が良い</v>
      </c>
      <c r="W23" s="21" t="str">
        <f>IFERROR(__xludf.DUMMYFUNCTION("""COMPUTED_VALUE"""),"従業員の対応はあまりありません")</f>
        <v>従業員の対応はあまりありません</v>
      </c>
      <c r="X23" s="21" t="str">
        <f>IFERROR(__xludf.DUMMYFUNCTION("""COMPUTED_VALUE"""),"Munkyun")</f>
        <v>Munkyun</v>
      </c>
    </row>
    <row r="24">
      <c r="B24" s="18" t="b">
        <f>IFERROR(__xludf.DUMMYFUNCTION("""COMPUTED_VALUE"""),FALSE)</f>
        <v>0</v>
      </c>
      <c r="C24" s="21" t="str">
        <f>IFERROR(__xludf.DUMMYFUNCTION("""COMPUTED_VALUE"""),"楽天トラベル")</f>
        <v>楽天トラベル</v>
      </c>
      <c r="D24" s="4">
        <f>IFERROR(__xludf.DUMMYFUNCTION("""COMPUTED_VALUE"""),3.0)</f>
        <v>3</v>
      </c>
      <c r="E24" s="20">
        <f>IFERROR(__xludf.DUMMYFUNCTION("""COMPUTED_VALUE"""),46108.0)</f>
        <v>46108</v>
      </c>
      <c r="F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4" s="4"/>
      <c r="H24" s="4"/>
      <c r="I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4" s="4" t="str">
        <f>IFERROR(__xludf.DUMMYFUNCTION("""COMPUTED_VALUE"""),"")</f>
        <v/>
      </c>
      <c r="K24" s="4" t="str">
        <f>IFERROR(__xludf.DUMMYFUNCTION("""COMPUTED_VALUE"""),"")</f>
        <v/>
      </c>
      <c r="L24" s="4" t="str">
        <f>IFERROR(__xludf.DUMMYFUNCTION("""COMPUTED_VALUE"""),"てんてんや")</f>
        <v>てんてんや</v>
      </c>
      <c r="N24" s="21" t="b">
        <f>IFERROR(__xludf.DUMMYFUNCTION("""COMPUTED_VALUE"""),FALSE)</f>
        <v>0</v>
      </c>
      <c r="O24" s="21" t="str">
        <f>IFERROR(__xludf.DUMMYFUNCTION("""COMPUTED_VALUE"""),"楽天トラベル")</f>
        <v>楽天トラベル</v>
      </c>
      <c r="P24" s="21">
        <f>IFERROR(__xludf.DUMMYFUNCTION("""COMPUTED_VALUE"""),3.0)</f>
        <v>3</v>
      </c>
      <c r="Q24" s="22">
        <f>IFERROR(__xludf.DUMMYFUNCTION("""COMPUTED_VALUE"""),46108.0)</f>
        <v>46108</v>
      </c>
      <c r="R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24" s="21"/>
      <c r="T24" s="21"/>
      <c r="U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24" s="21" t="str">
        <f>IFERROR(__xludf.DUMMYFUNCTION("""COMPUTED_VALUE"""),"")</f>
        <v/>
      </c>
      <c r="W24" s="21" t="str">
        <f>IFERROR(__xludf.DUMMYFUNCTION("""COMPUTED_VALUE"""),"")</f>
        <v/>
      </c>
      <c r="X24" s="21" t="str">
        <f>IFERROR(__xludf.DUMMYFUNCTION("""COMPUTED_VALUE"""),"てんてんや")</f>
        <v>てんてんや</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IFERROR(__xludf.DUMMYFUNCTION("""COMPUTED_VALUE"""),46108.0)</f>
        <v>46108</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IFERROR(__xludf.DUMMYFUNCTION("""COMPUTED_VALUE"""),"kiyo suzu")</f>
        <v>kiyo suzu</v>
      </c>
      <c r="N25" s="21" t="b">
        <f>IFERROR(__xludf.DUMMYFUNCTION("""COMPUTED_VALUE"""),FALSE)</f>
        <v>0</v>
      </c>
      <c r="O25" s="21" t="str">
        <f>IFERROR(__xludf.DUMMYFUNCTION("""COMPUTED_VALUE"""),"Google")</f>
        <v>Google</v>
      </c>
      <c r="P25" s="21">
        <f>IFERROR(__xludf.DUMMYFUNCTION("""COMPUTED_VALUE"""),4.0)</f>
        <v>4</v>
      </c>
      <c r="Q25" s="22">
        <f>IFERROR(__xludf.DUMMYFUNCTION("""COMPUTED_VALUE"""),46108.0)</f>
        <v>46108</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IFERROR(__xludf.DUMMYFUNCTION("""COMPUTED_VALUE"""),"kiyo suzu")</f>
        <v>kiyo suzu</v>
      </c>
    </row>
    <row r="26">
      <c r="B26" s="18" t="b">
        <f>IFERROR(__xludf.DUMMYFUNCTION("""COMPUTED_VALUE"""),FALSE)</f>
        <v>0</v>
      </c>
      <c r="C26" s="21" t="str">
        <f>IFERROR(__xludf.DUMMYFUNCTION("""COMPUTED_VALUE"""),"楽天トラベル")</f>
        <v>楽天トラベル</v>
      </c>
      <c r="D26" s="4">
        <f>IFERROR(__xludf.DUMMYFUNCTION("""COMPUTED_VALUE"""),4.0)</f>
        <v>4</v>
      </c>
      <c r="E26" s="20">
        <f>IFERROR(__xludf.DUMMYFUNCTION("""COMPUTED_VALUE"""),46107.0)</f>
        <v>46107</v>
      </c>
      <c r="F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6" s="4"/>
      <c r="H26" s="4"/>
      <c r="I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6" s="4" t="str">
        <f>IFERROR(__xludf.DUMMYFUNCTION("""COMPUTED_VALUE"""),"")</f>
        <v/>
      </c>
      <c r="K26" s="4" t="str">
        <f>IFERROR(__xludf.DUMMYFUNCTION("""COMPUTED_VALUE"""),"")</f>
        <v/>
      </c>
      <c r="L26" s="4" t="str">
        <f>IFERROR(__xludf.DUMMYFUNCTION("""COMPUTED_VALUE"""),"ドン・ケローネ")</f>
        <v>ドン・ケローネ</v>
      </c>
      <c r="N26" s="21" t="b">
        <f>IFERROR(__xludf.DUMMYFUNCTION("""COMPUTED_VALUE"""),FALSE)</f>
        <v>0</v>
      </c>
      <c r="O26" s="21" t="str">
        <f>IFERROR(__xludf.DUMMYFUNCTION("""COMPUTED_VALUE"""),"楽天トラベル")</f>
        <v>楽天トラベル</v>
      </c>
      <c r="P26" s="21">
        <f>IFERROR(__xludf.DUMMYFUNCTION("""COMPUTED_VALUE"""),4.0)</f>
        <v>4</v>
      </c>
      <c r="Q26" s="22">
        <f>IFERROR(__xludf.DUMMYFUNCTION("""COMPUTED_VALUE"""),46107.0)</f>
        <v>46107</v>
      </c>
      <c r="R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26" s="21"/>
      <c r="T26" s="21"/>
      <c r="U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26" s="21" t="str">
        <f>IFERROR(__xludf.DUMMYFUNCTION("""COMPUTED_VALUE"""),"")</f>
        <v/>
      </c>
      <c r="W26" s="21" t="str">
        <f>IFERROR(__xludf.DUMMYFUNCTION("""COMPUTED_VALUE"""),"")</f>
        <v/>
      </c>
      <c r="X26" s="21" t="str">
        <f>IFERROR(__xludf.DUMMYFUNCTION("""COMPUTED_VALUE"""),"ドン・ケローネ")</f>
        <v>ドン・ケローネ</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IFERROR(__xludf.DUMMYFUNCTION("""COMPUTED_VALUE"""),46107.0)</f>
        <v>46107</v>
      </c>
      <c r="F27"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27" s="4"/>
      <c r="H27" s="4"/>
      <c r="I27"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27" s="4" t="str">
        <f>IFERROR(__xludf.DUMMYFUNCTION("""COMPUTED_VALUE"""),"")</f>
        <v/>
      </c>
      <c r="K27" s="4" t="str">
        <f>IFERROR(__xludf.DUMMYFUNCTION("""COMPUTED_VALUE"""),"")</f>
        <v/>
      </c>
      <c r="L27" s="4" t="str">
        <f>IFERROR(__xludf.DUMMYFUNCTION("""COMPUTED_VALUE"""),"h‍m‍e‍i‍-‍1‍9‍9‍4")</f>
        <v>h‍m‍e‍i‍-‍1‍9‍9‍4</v>
      </c>
      <c r="N27" s="21" t="b">
        <f>IFERROR(__xludf.DUMMYFUNCTION("""COMPUTED_VALUE"""),FALSE)</f>
        <v>0</v>
      </c>
      <c r="O27" s="19" t="str">
        <f>IFERROR(__xludf.DUMMYFUNCTION("""COMPUTED_VALUE"""),"Trip.com")</f>
        <v>Trip.com</v>
      </c>
      <c r="P27" s="21">
        <f>IFERROR(__xludf.DUMMYFUNCTION("""COMPUTED_VALUE"""),9.0)</f>
        <v>9</v>
      </c>
      <c r="Q27" s="22">
        <f>IFERROR(__xludf.DUMMYFUNCTION("""COMPUTED_VALUE"""),46107.0)</f>
        <v>46107</v>
      </c>
      <c r="R27"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27" s="21"/>
      <c r="T27" s="21"/>
      <c r="U27"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27" s="21" t="str">
        <f>IFERROR(__xludf.DUMMYFUNCTION("""COMPUTED_VALUE"""),"")</f>
        <v/>
      </c>
      <c r="W27" s="21" t="str">
        <f>IFERROR(__xludf.DUMMYFUNCTION("""COMPUTED_VALUE"""),"")</f>
        <v/>
      </c>
      <c r="X27" s="21" t="str">
        <f>IFERROR(__xludf.DUMMYFUNCTION("""COMPUTED_VALUE"""),"h‍m‍e‍i‍-‍1‍9‍9‍4")</f>
        <v>h‍m‍e‍i‍-‍1‍9‍9‍4</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IFERROR(__xludf.DUMMYFUNCTION("""COMPUTED_VALUE"""),"Mayara")</f>
        <v>Mayara</v>
      </c>
      <c r="N28" s="21" t="b">
        <f>IFERROR(__xludf.DUMMYFUNCTION("""COMPUTED_VALUE"""),FALSE)</f>
        <v>0</v>
      </c>
      <c r="O28" s="19" t="str">
        <f>IFERROR(__xludf.DUMMYFUNCTION("""COMPUTED_VALUE"""),"Booking.com")</f>
        <v>Booking.com</v>
      </c>
      <c r="P28" s="21">
        <f>IFERROR(__xludf.DUMMYFUNCTION("""COMPUTED_VALUE"""),8.0)</f>
        <v>8</v>
      </c>
      <c r="Q28" s="22">
        <f>IFERROR(__xludf.DUMMYFUNCTION("""COMPUTED_VALUE"""),46107.0)</f>
        <v>46107</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IFERROR(__xludf.DUMMYFUNCTION("""COMPUTED_VALUE"""),"Mayara")</f>
        <v>Mayara</v>
      </c>
    </row>
    <row r="29">
      <c r="B29" s="18" t="b">
        <f>IFERROR(__xludf.DUMMYFUNCTION("""COMPUTED_VALUE"""),FALSE)</f>
        <v>0</v>
      </c>
      <c r="C29" s="19" t="str">
        <f>IFERROR(__xludf.DUMMYFUNCTION("""COMPUTED_VALUE"""),"Booking.com")</f>
        <v>Booking.com</v>
      </c>
      <c r="D29" s="4">
        <f>IFERROR(__xludf.DUMMYFUNCTION("""COMPUTED_VALUE"""),7.0)</f>
        <v>7</v>
      </c>
      <c r="E29" s="20">
        <f>IFERROR(__xludf.DUMMYFUNCTION("""COMPUTED_VALUE"""),46107.0)</f>
        <v>46107</v>
      </c>
      <c r="F29" s="4"/>
      <c r="G29"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29"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29" s="4" t="str">
        <f>IFERROR(__xludf.DUMMYFUNCTION("""COMPUTED_VALUE"""),"")</f>
        <v/>
      </c>
      <c r="J29"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29"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29" s="4" t="str">
        <f>IFERROR(__xludf.DUMMYFUNCTION("""COMPUTED_VALUE"""),"서현")</f>
        <v>서현</v>
      </c>
      <c r="N29" s="21" t="b">
        <f>IFERROR(__xludf.DUMMYFUNCTION("""COMPUTED_VALUE"""),FALSE)</f>
        <v>0</v>
      </c>
      <c r="O29" s="19" t="str">
        <f>IFERROR(__xludf.DUMMYFUNCTION("""COMPUTED_VALUE"""),"Booking.com")</f>
        <v>Booking.com</v>
      </c>
      <c r="P29" s="21">
        <f>IFERROR(__xludf.DUMMYFUNCTION("""COMPUTED_VALUE"""),7.0)</f>
        <v>7</v>
      </c>
      <c r="Q29" s="22">
        <f>IFERROR(__xludf.DUMMYFUNCTION("""COMPUTED_VALUE"""),46107.0)</f>
        <v>46107</v>
      </c>
      <c r="R29" s="21"/>
      <c r="S29"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29"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29" s="21" t="str">
        <f>IFERROR(__xludf.DUMMYFUNCTION("""COMPUTED_VALUE"""),"")</f>
        <v/>
      </c>
      <c r="V29"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29"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29" s="21" t="str">
        <f>IFERROR(__xludf.DUMMYFUNCTION("""COMPUTED_VALUE"""),"서현")</f>
        <v>서현</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IFERROR(__xludf.DUMMYFUNCTION("""COMPUTED_VALUE"""),46106.0)</f>
        <v>46106</v>
      </c>
      <c r="F30" s="4"/>
      <c r="G30" s="4" t="str">
        <f>IFERROR(__xludf.DUMMYFUNCTION("""COMPUTED_VALUE"""),"Everything was fine clean room staff were amazing great location")</f>
        <v>Everything was fine clean room staff were amazing great location</v>
      </c>
      <c r="H30" s="4" t="str">
        <f>IFERROR(__xludf.DUMMYFUNCTION("""COMPUTED_VALUE"""),"I wouldnt let the included breakfast sway you to stay here it wasnt very good")</f>
        <v>I wouldnt let the included breakfast sway you to stay here it wasnt very good</v>
      </c>
      <c r="I30" s="4" t="str">
        <f>IFERROR(__xludf.DUMMYFUNCTION("""COMPUTED_VALUE"""),"")</f>
        <v/>
      </c>
      <c r="J30" s="4" t="str">
        <f>IFERROR(__xludf.DUMMYFUNCTION("""COMPUTED_VALUE"""),"全てが順調で、部屋は清潔で、スタッフも素晴らしく、立地も最高でした。")</f>
        <v>全てが順調で、部屋は清潔で、スタッフも素晴らしく、立地も最高でした。</v>
      </c>
      <c r="K30"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0" s="4" t="str">
        <f>IFERROR(__xludf.DUMMYFUNCTION("""COMPUTED_VALUE"""),"Micheal")</f>
        <v>Micheal</v>
      </c>
      <c r="N30" s="21" t="b">
        <f>IFERROR(__xludf.DUMMYFUNCTION("""COMPUTED_VALUE"""),FALSE)</f>
        <v>0</v>
      </c>
      <c r="O30" s="19" t="str">
        <f>IFERROR(__xludf.DUMMYFUNCTION("""COMPUTED_VALUE"""),"Booking.com")</f>
        <v>Booking.com</v>
      </c>
      <c r="P30" s="21">
        <f>IFERROR(__xludf.DUMMYFUNCTION("""COMPUTED_VALUE"""),10.0)</f>
        <v>10</v>
      </c>
      <c r="Q30" s="22">
        <f>IFERROR(__xludf.DUMMYFUNCTION("""COMPUTED_VALUE"""),46106.0)</f>
        <v>46106</v>
      </c>
      <c r="R30" s="21"/>
      <c r="S30" s="21" t="str">
        <f>IFERROR(__xludf.DUMMYFUNCTION("""COMPUTED_VALUE"""),"Everything was fine clean room staff were amazing great location")</f>
        <v>Everything was fine clean room staff were amazing great location</v>
      </c>
      <c r="T30" s="21" t="str">
        <f>IFERROR(__xludf.DUMMYFUNCTION("""COMPUTED_VALUE"""),"I wouldnt let the included breakfast sway you to stay here it wasnt very good")</f>
        <v>I wouldnt let the included breakfast sway you to stay here it wasnt very good</v>
      </c>
      <c r="U30" s="21" t="str">
        <f>IFERROR(__xludf.DUMMYFUNCTION("""COMPUTED_VALUE"""),"")</f>
        <v/>
      </c>
      <c r="V30" s="21" t="str">
        <f>IFERROR(__xludf.DUMMYFUNCTION("""COMPUTED_VALUE"""),"全てが順調で、部屋は清潔で、スタッフも素晴らしく、立地も最高でした。")</f>
        <v>全てが順調で、部屋は清潔で、スタッフも素晴らしく、立地も最高でした。</v>
      </c>
      <c r="W30"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30" s="21" t="str">
        <f>IFERROR(__xludf.DUMMYFUNCTION("""COMPUTED_VALUE"""),"Micheal")</f>
        <v>Micheal</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IFERROR(__xludf.DUMMYFUNCTION("""COMPUTED_VALUE"""),46106.0)</f>
        <v>46106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IFERROR(__xludf.DUMMYFUNCTION("""COMPUTED_VALUE"""),"Mai")</f>
        <v>Mai</v>
      </c>
      <c r="N31" s="21" t="b">
        <f>IFERROR(__xludf.DUMMYFUNCTION("""COMPUTED_VALUE"""),FALSE)</f>
        <v>0</v>
      </c>
      <c r="O31" s="19" t="str">
        <f>IFERROR(__xludf.DUMMYFUNCTION("""COMPUTED_VALUE"""),"Booking.com")</f>
        <v>Booking.com</v>
      </c>
      <c r="P31" s="21">
        <f>IFERROR(__xludf.DUMMYFUNCTION("""COMPUTED_VALUE"""),7.0)</f>
        <v>7</v>
      </c>
      <c r="Q31" s="22">
        <f>IFERROR(__xludf.DUMMYFUNCTION("""COMPUTED_VALUE"""),46106.0)</f>
        <v>46106</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IFERROR(__xludf.DUMMYFUNCTION("""COMPUTED_VALUE"""),"Mai")</f>
        <v>Mai</v>
      </c>
    </row>
    <row r="32">
      <c r="B32" s="18" t="b">
        <f>IFERROR(__xludf.DUMMYFUNCTION("""COMPUTED_VALUE"""),FALSE)</f>
        <v>0</v>
      </c>
      <c r="C32" s="19" t="str">
        <f>IFERROR(__xludf.DUMMYFUNCTION("""COMPUTED_VALUE"""),"Booking.com")</f>
        <v>Booking.com</v>
      </c>
      <c r="D32" s="4">
        <f>IFERROR(__xludf.DUMMYFUNCTION("""COMPUTED_VALUE"""),10.0)</f>
        <v>10</v>
      </c>
      <c r="E32" s="20">
        <f>IFERROR(__xludf.DUMMYFUNCTION("""COMPUTED_VALUE"""),46105.0)</f>
        <v>46105</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IFERROR(__xludf.DUMMYFUNCTION("""COMPUTED_VALUE"""),"Ella")</f>
        <v>Ella</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IFERROR(__xludf.DUMMYFUNCTION("""COMPUTED_VALUE"""),46105.0)</f>
        <v>46105</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IFERROR(__xludf.DUMMYFUNCTION("""COMPUTED_VALUE"""),"Ella")</f>
        <v>Ella</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IFERROR(__xludf.DUMMYFUNCTION("""COMPUTED_VALUE"""),46105.0)</f>
        <v>46105</v>
      </c>
      <c r="F33" s="4"/>
      <c r="G33"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3" s="4" t="str">
        <f>IFERROR(__xludf.DUMMYFUNCTION("""COMPUTED_VALUE"""),"Nothing I can think of.")</f>
        <v>Nothing I can think of.</v>
      </c>
      <c r="I33" s="4" t="str">
        <f>IFERROR(__xludf.DUMMYFUNCTION("""COMPUTED_VALUE"""),"")</f>
        <v/>
      </c>
      <c r="J33"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3" s="4" t="str">
        <f>IFERROR(__xludf.DUMMYFUNCTION("""COMPUTED_VALUE"""),"思い当たる節はない。")</f>
        <v>思い当たる節はない。</v>
      </c>
      <c r="L33" s="4" t="str">
        <f>IFERROR(__xludf.DUMMYFUNCTION("""COMPUTED_VALUE"""),"Keren")</f>
        <v>Keren</v>
      </c>
      <c r="N33" s="21" t="b">
        <f>IFERROR(__xludf.DUMMYFUNCTION("""COMPUTED_VALUE"""),FALSE)</f>
        <v>0</v>
      </c>
      <c r="O33" s="19" t="str">
        <f>IFERROR(__xludf.DUMMYFUNCTION("""COMPUTED_VALUE"""),"Booking.com")</f>
        <v>Booking.com</v>
      </c>
      <c r="P33" s="21">
        <f>IFERROR(__xludf.DUMMYFUNCTION("""COMPUTED_VALUE"""),8.0)</f>
        <v>8</v>
      </c>
      <c r="Q33" s="22">
        <f>IFERROR(__xludf.DUMMYFUNCTION("""COMPUTED_VALUE"""),46105.0)</f>
        <v>46105</v>
      </c>
      <c r="R33" s="21"/>
      <c r="S33"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33" s="21" t="str">
        <f>IFERROR(__xludf.DUMMYFUNCTION("""COMPUTED_VALUE"""),"Nothing I can think of.")</f>
        <v>Nothing I can think of.</v>
      </c>
      <c r="U33" s="21" t="str">
        <f>IFERROR(__xludf.DUMMYFUNCTION("""COMPUTED_VALUE"""),"")</f>
        <v/>
      </c>
      <c r="V33"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33" s="21" t="str">
        <f>IFERROR(__xludf.DUMMYFUNCTION("""COMPUTED_VALUE"""),"思い当たる節はない。")</f>
        <v>思い当たる節はない。</v>
      </c>
      <c r="X33" s="21" t="str">
        <f>IFERROR(__xludf.DUMMYFUNCTION("""COMPUTED_VALUE"""),"Keren")</f>
        <v>Keren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IFERROR(__xludf.DUMMYFUNCTION("""COMPUTED_VALUE"""),46104.0)</f>
        <v>46104</v>
      </c>
      <c r="F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4" s="4"/>
      <c r="H34" s="4"/>
      <c r="I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4" s="4" t="str">
        <f>IFERROR(__xludf.DUMMYFUNCTION("""COMPUTED_VALUE"""),"")</f>
        <v/>
      </c>
      <c r="K34" s="4" t="str">
        <f>IFERROR(__xludf.DUMMYFUNCTION("""COMPUTED_VALUE"""),"")</f>
        <v/>
      </c>
      <c r="L34" s="4" t="str">
        <f>IFERROR(__xludf.DUMMYFUNCTION("""COMPUTED_VALUE"""),"일랑일랑")</f>
        <v>일랑일랑</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34" s="21"/>
      <c r="T34" s="21"/>
      <c r="U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34" s="21" t="str">
        <f>IFERROR(__xludf.DUMMYFUNCTION("""COMPUTED_VALUE"""),"")</f>
        <v/>
      </c>
      <c r="W34" s="21" t="str">
        <f>IFERROR(__xludf.DUMMYFUNCTION("""COMPUTED_VALUE"""),"")</f>
        <v/>
      </c>
      <c r="X34" s="21" t="str">
        <f>IFERROR(__xludf.DUMMYFUNCTION("""COMPUTED_VALUE"""),"일랑일랑")</f>
        <v>일랑일랑</v>
      </c>
    </row>
    <row r="35">
      <c r="B35" s="18" t="b">
        <f>IFERROR(__xludf.DUMMYFUNCTION("""COMPUTED_VALUE"""),FALSE)</f>
        <v>0</v>
      </c>
      <c r="C35" s="21" t="str">
        <f>IFERROR(__xludf.DUMMYFUNCTION("""COMPUTED_VALUE"""),"楽天トラベル")</f>
        <v>楽天トラベル</v>
      </c>
      <c r="D35" s="4">
        <f>IFERROR(__xludf.DUMMYFUNCTION("""COMPUTED_VALUE"""),5.0)</f>
        <v>5</v>
      </c>
      <c r="E35" s="20">
        <f>IFERROR(__xludf.DUMMYFUNCTION("""COMPUTED_VALUE"""),46104.0)</f>
        <v>46104</v>
      </c>
      <c r="F35" s="4" t="str">
        <f>IFERROR(__xludf.DUMMYFUNCTION("""COMPUTED_VALUE"""),"とても綺麗なお部屋で満足しました。")</f>
        <v>とても綺麗なお部屋で満足しました。</v>
      </c>
      <c r="G35" s="4"/>
      <c r="H35" s="4"/>
      <c r="I35" s="4" t="str">
        <f>IFERROR(__xludf.DUMMYFUNCTION("""COMPUTED_VALUE"""),"とても綺麗なお部屋で満足しました。")</f>
        <v>とても綺麗なお部屋で満足しました。</v>
      </c>
      <c r="J35" s="4" t="str">
        <f>IFERROR(__xludf.DUMMYFUNCTION("""COMPUTED_VALUE"""),"")</f>
        <v/>
      </c>
      <c r="K35" s="4" t="str">
        <f>IFERROR(__xludf.DUMMYFUNCTION("""COMPUTED_VALUE"""),"")</f>
        <v/>
      </c>
      <c r="L35" s="4" t="str">
        <f>IFERROR(__xludf.DUMMYFUNCTION("""COMPUTED_VALUE"""),"タモサボタニ")</f>
        <v>タモサボタニ</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IFERROR(__xludf.DUMMYFUNCTION("""COMPUTED_VALUE"""),46104.0)</f>
        <v>46104</v>
      </c>
      <c r="R35" s="21" t="str">
        <f>IFERROR(__xludf.DUMMYFUNCTION("""COMPUTED_VALUE"""),"とても綺麗なお部屋で満足しました。")</f>
        <v>とても綺麗なお部屋で満足しました。</v>
      </c>
      <c r="S35" s="21"/>
      <c r="T35" s="21"/>
      <c r="U35" s="21" t="str">
        <f>IFERROR(__xludf.DUMMYFUNCTION("""COMPUTED_VALUE"""),"とても綺麗なお部屋で満足しました。")</f>
        <v>とても綺麗なお部屋で満足しました。</v>
      </c>
      <c r="V35" s="21" t="str">
        <f>IFERROR(__xludf.DUMMYFUNCTION("""COMPUTED_VALUE"""),"")</f>
        <v/>
      </c>
      <c r="W35" s="21" t="str">
        <f>IFERROR(__xludf.DUMMYFUNCTION("""COMPUTED_VALUE"""),"")</f>
        <v/>
      </c>
      <c r="X35" s="21" t="str">
        <f>IFERROR(__xludf.DUMMYFUNCTION("""COMPUTED_VALUE"""),"タモサボタニ")</f>
        <v>タモサボタニ</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IFERROR(__xludf.DUMMYFUNCTION("""COMPUTED_VALUE"""),46104.0)</f>
        <v>46104</v>
      </c>
      <c r="F36" s="4" t="str">
        <f>IFERROR(__xludf.DUMMYFUNCTION("""COMPUTED_VALUE"""),"10分舒服的一間酒店設備又齊全非常新淨價錢合分合理，再來也會選擇他")</f>
        <v>10分舒服的一間酒店設備又齊全非常新淨價錢合分合理，再來也會選擇他</v>
      </c>
      <c r="G36" s="4"/>
      <c r="H36" s="4"/>
      <c r="I36"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6" s="4" t="str">
        <f>IFERROR(__xludf.DUMMYFUNCTION("""COMPUTED_VALUE"""),"")</f>
        <v/>
      </c>
      <c r="K36" s="4" t="str">
        <f>IFERROR(__xludf.DUMMYFUNCTION("""COMPUTED_VALUE"""),"")</f>
        <v/>
      </c>
      <c r="L36" s="4" t="str">
        <f>IFERROR(__xludf.DUMMYFUNCTION("""COMPUTED_VALUE"""),"K‍e‍n‍n‍y‍b‍e‍e")</f>
        <v>K‍e‍n‍n‍y‍b‍e‍e</v>
      </c>
      <c r="N36" s="21" t="b">
        <f>IFERROR(__xludf.DUMMYFUNCTION("""COMPUTED_VALUE"""),FALSE)</f>
        <v>0</v>
      </c>
      <c r="O36" s="19" t="str">
        <f>IFERROR(__xludf.DUMMYFUNCTION("""COMPUTED_VALUE"""),"Trip.com")</f>
        <v>Trip.com</v>
      </c>
      <c r="P36" s="21">
        <f>IFERROR(__xludf.DUMMYFUNCTION("""COMPUTED_VALUE"""),10.0)</f>
        <v>10</v>
      </c>
      <c r="Q36" s="22">
        <f>IFERROR(__xludf.DUMMYFUNCTION("""COMPUTED_VALUE"""),46104.0)</f>
        <v>46104</v>
      </c>
      <c r="R36" s="21" t="str">
        <f>IFERROR(__xludf.DUMMYFUNCTION("""COMPUTED_VALUE"""),"10分舒服的一間酒店設備又齊全非常新淨價錢合分合理，再來也會選擇他")</f>
        <v>10分舒服的一間酒店設備又齊全非常新淨價錢合分合理，再來也會選擇他</v>
      </c>
      <c r="S36" s="21"/>
      <c r="T36" s="21"/>
      <c r="U36"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36" s="21" t="str">
        <f>IFERROR(__xludf.DUMMYFUNCTION("""COMPUTED_VALUE"""),"")</f>
        <v/>
      </c>
      <c r="W36" s="21" t="str">
        <f>IFERROR(__xludf.DUMMYFUNCTION("""COMPUTED_VALUE"""),"")</f>
        <v/>
      </c>
      <c r="X36" s="21" t="str">
        <f>IFERROR(__xludf.DUMMYFUNCTION("""COMPUTED_VALUE"""),"K‍e‍n‍n‍y‍b‍e‍e")</f>
        <v>K‍e‍n‍n‍y‍b‍e‍e</v>
      </c>
    </row>
    <row r="37">
      <c r="B37" s="18" t="b">
        <f>IFERROR(__xludf.DUMMYFUNCTION("""COMPUTED_VALUE"""),FALSE)</f>
        <v>0</v>
      </c>
      <c r="C37" s="21" t="str">
        <f>IFERROR(__xludf.DUMMYFUNCTION("""COMPUTED_VALUE"""),"Google")</f>
        <v>Google</v>
      </c>
      <c r="D37" s="4">
        <f>IFERROR(__xludf.DUMMYFUNCTION("""COMPUTED_VALUE"""),5.0)</f>
        <v>5</v>
      </c>
      <c r="E37" s="20">
        <f>IFERROR(__xludf.DUMMYFUNCTION("""COMPUTED_VALUE"""),46104.0)</f>
        <v>46104</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IFERROR(__xludf.DUMMYFUNCTION("""COMPUTED_VALUE"""),"DK Feng")</f>
        <v>DK Feng</v>
      </c>
      <c r="N37" s="21" t="b">
        <f>IFERROR(__xludf.DUMMYFUNCTION("""COMPUTED_VALUE"""),FALSE)</f>
        <v>0</v>
      </c>
      <c r="O37" s="21" t="str">
        <f>IFERROR(__xludf.DUMMYFUNCTION("""COMPUTED_VALUE"""),"Google")</f>
        <v>Google</v>
      </c>
      <c r="P37" s="21">
        <f>IFERROR(__xludf.DUMMYFUNCTION("""COMPUTED_VALUE"""),5.0)</f>
        <v>5</v>
      </c>
      <c r="Q37" s="22">
        <f>IFERROR(__xludf.DUMMYFUNCTION("""COMPUTED_VALUE"""),46104.0)</f>
        <v>46104</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IFERROR(__xludf.DUMMYFUNCTION("""COMPUTED_VALUE"""),"DK Feng")</f>
        <v>DK Feng</v>
      </c>
    </row>
    <row r="38">
      <c r="B38" s="18" t="b">
        <f>IFERROR(__xludf.DUMMYFUNCTION("""COMPUTED_VALUE"""),FALSE)</f>
        <v>0</v>
      </c>
      <c r="C38" s="21" t="str">
        <f>IFERROR(__xludf.DUMMYFUNCTION("""COMPUTED_VALUE"""),"楽天トラベル")</f>
        <v>楽天トラベル</v>
      </c>
      <c r="D38" s="4">
        <f>IFERROR(__xludf.DUMMYFUNCTION("""COMPUTED_VALUE"""),5.0)</f>
        <v>5</v>
      </c>
      <c r="E38" s="20">
        <f>IFERROR(__xludf.DUMMYFUNCTION("""COMPUTED_VALUE"""),46104.0)</f>
        <v>46104</v>
      </c>
      <c r="F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38" s="4"/>
      <c r="H38" s="4"/>
      <c r="I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38" s="4" t="str">
        <f>IFERROR(__xludf.DUMMYFUNCTION("""COMPUTED_VALUE"""),"")</f>
        <v/>
      </c>
      <c r="K38" s="4" t="str">
        <f>IFERROR(__xludf.DUMMYFUNCTION("""COMPUTED_VALUE"""),"")</f>
        <v/>
      </c>
      <c r="L38" s="4" t="str">
        <f>IFERROR(__xludf.DUMMYFUNCTION("""COMPUTED_VALUE"""),"Ryo-1130")</f>
        <v>Ryo-1130</v>
      </c>
      <c r="N38" s="21" t="b">
        <f>IFERROR(__xludf.DUMMYFUNCTION("""COMPUTED_VALUE"""),FALSE)</f>
        <v>0</v>
      </c>
      <c r="O38" s="21" t="str">
        <f>IFERROR(__xludf.DUMMYFUNCTION("""COMPUTED_VALUE"""),"楽天トラベル")</f>
        <v>楽天トラベル</v>
      </c>
      <c r="P38" s="21">
        <f>IFERROR(__xludf.DUMMYFUNCTION("""COMPUTED_VALUE"""),5.0)</f>
        <v>5</v>
      </c>
      <c r="Q38" s="22">
        <f>IFERROR(__xludf.DUMMYFUNCTION("""COMPUTED_VALUE"""),46104.0)</f>
        <v>46104</v>
      </c>
      <c r="R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38" s="21"/>
      <c r="T38" s="21"/>
      <c r="U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38" s="21" t="str">
        <f>IFERROR(__xludf.DUMMYFUNCTION("""COMPUTED_VALUE"""),"")</f>
        <v/>
      </c>
      <c r="W38" s="21" t="str">
        <f>IFERROR(__xludf.DUMMYFUNCTION("""COMPUTED_VALUE"""),"")</f>
        <v/>
      </c>
      <c r="X38" s="21" t="str">
        <f>IFERROR(__xludf.DUMMYFUNCTION("""COMPUTED_VALUE"""),"Ryo-1130")</f>
        <v>Ryo-1130</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IFERROR(__xludf.DUMMYFUNCTION("""COMPUTED_VALUE"""),46103.0)</f>
        <v>46103</v>
      </c>
      <c r="F39" s="4"/>
      <c r="G39" s="4" t="str">
        <f>IFERROR(__xludf.DUMMYFUNCTION("""COMPUTED_VALUE"""),"The location and very comfortable place to stay.")</f>
        <v>The location and very comfortable place to stay.</v>
      </c>
      <c r="H39" s="4" t="str">
        <f>IFERROR(__xludf.DUMMYFUNCTION("""COMPUTED_VALUE"""),"Nothing.")</f>
        <v>Nothing.</v>
      </c>
      <c r="I39" s="4" t="str">
        <f>IFERROR(__xludf.DUMMYFUNCTION("""COMPUTED_VALUE"""),"")</f>
        <v/>
      </c>
      <c r="J39" s="4" t="str">
        <f>IFERROR(__xludf.DUMMYFUNCTION("""COMPUTED_VALUE"""),"立地も良く、とても快適な滞在場所でした。")</f>
        <v>立地も良く、とても快適な滞在場所でした。</v>
      </c>
      <c r="K39" s="4" t="str">
        <f>IFERROR(__xludf.DUMMYFUNCTION("""COMPUTED_VALUE"""),"何もない。")</f>
        <v>何もない。</v>
      </c>
      <c r="L39" s="4" t="str">
        <f>IFERROR(__xludf.DUMMYFUNCTION("""COMPUTED_VALUE"""),"Tudong")</f>
        <v>Tudong</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IFERROR(__xludf.DUMMYFUNCTION("""COMPUTED_VALUE"""),46103.0)</f>
        <v>46103</v>
      </c>
      <c r="R39" s="21"/>
      <c r="S39" s="21" t="str">
        <f>IFERROR(__xludf.DUMMYFUNCTION("""COMPUTED_VALUE"""),"The location and very comfortable place to stay.")</f>
        <v>The location and very comfortable place to stay.</v>
      </c>
      <c r="T39" s="21" t="str">
        <f>IFERROR(__xludf.DUMMYFUNCTION("""COMPUTED_VALUE"""),"Nothing.")</f>
        <v>Nothing.</v>
      </c>
      <c r="U39" s="21" t="str">
        <f>IFERROR(__xludf.DUMMYFUNCTION("""COMPUTED_VALUE"""),"")</f>
        <v/>
      </c>
      <c r="V39" s="21" t="str">
        <f>IFERROR(__xludf.DUMMYFUNCTION("""COMPUTED_VALUE"""),"立地も良く、とても快適な滞在場所でした。")</f>
        <v>立地も良く、とても快適な滞在場所でした。</v>
      </c>
      <c r="W39" s="21" t="str">
        <f>IFERROR(__xludf.DUMMYFUNCTION("""COMPUTED_VALUE"""),"何もない。")</f>
        <v>何もない。</v>
      </c>
      <c r="X39" s="21" t="str">
        <f>IFERROR(__xludf.DUMMYFUNCTION("""COMPUTED_VALUE"""),"Tudong")</f>
        <v>Tudong</v>
      </c>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IFERROR(__xludf.DUMMYFUNCTION("""COMPUTED_VALUE"""),46103.0)</f>
        <v>46103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IFERROR(__xludf.DUMMYFUNCTION("""COMPUTED_VALUE"""),"Ingo")</f>
        <v>Ingo</v>
      </c>
      <c r="N40" s="21" t="b">
        <f>IFERROR(__xludf.DUMMYFUNCTION("""COMPUTED_VALUE"""),FALSE)</f>
        <v>0</v>
      </c>
      <c r="O40" s="19" t="str">
        <f>IFERROR(__xludf.DUMMYFUNCTION("""COMPUTED_VALUE"""),"Booking.com")</f>
        <v>Booking.com</v>
      </c>
      <c r="P40" s="21">
        <f>IFERROR(__xludf.DUMMYFUNCTION("""COMPUTED_VALUE"""),9.0)</f>
        <v>9</v>
      </c>
      <c r="Q40" s="22">
        <f>IFERROR(__xludf.DUMMYFUNCTION("""COMPUTED_VALUE"""),46103.0)</f>
        <v>46103</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IFERROR(__xludf.DUMMYFUNCTION("""COMPUTED_VALUE"""),"Ingo")</f>
        <v>Ingo</v>
      </c>
    </row>
    <row r="41">
      <c r="B41" s="18" t="b">
        <f>IFERROR(__xludf.DUMMYFUNCTION("""COMPUTED_VALUE"""),FALSE)</f>
        <v>0</v>
      </c>
      <c r="C41" s="21" t="str">
        <f>IFERROR(__xludf.DUMMYFUNCTION("""COMPUTED_VALUE"""),"Agoda")</f>
        <v>Agoda</v>
      </c>
      <c r="D41" s="4">
        <f>IFERROR(__xludf.DUMMYFUNCTION("""COMPUTED_VALUE"""),5.0)</f>
        <v>5</v>
      </c>
      <c r="E41" s="20">
        <f>IFERROR(__xludf.DUMMYFUNCTION("""COMPUTED_VALUE"""),46103.0)</f>
        <v>46103</v>
      </c>
      <c r="F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1" s="4"/>
      <c r="H41" s="4"/>
      <c r="I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1" s="4" t="str">
        <f>IFERROR(__xludf.DUMMYFUNCTION("""COMPUTED_VALUE"""),"")</f>
        <v/>
      </c>
      <c r="K41" s="4" t="str">
        <f>IFERROR(__xludf.DUMMYFUNCTION("""COMPUTED_VALUE"""),"")</f>
        <v/>
      </c>
      <c r="L41" s="4" t="str">
        <f>IFERROR(__xludf.DUMMYFUNCTION("""COMPUTED_VALUE"""),"SHIGEKI")</f>
        <v>SHIGEKI</v>
      </c>
      <c r="N41" s="21" t="b">
        <f>IFERROR(__xludf.DUMMYFUNCTION("""COMPUTED_VALUE"""),FALSE)</f>
        <v>0</v>
      </c>
      <c r="O41" s="21" t="str">
        <f>IFERROR(__xludf.DUMMYFUNCTION("""COMPUTED_VALUE"""),"Agoda")</f>
        <v>Agoda</v>
      </c>
      <c r="P41" s="21">
        <f>IFERROR(__xludf.DUMMYFUNCTION("""COMPUTED_VALUE"""),5.0)</f>
        <v>5</v>
      </c>
      <c r="Q41" s="22">
        <f>IFERROR(__xludf.DUMMYFUNCTION("""COMPUTED_VALUE"""),46103.0)</f>
        <v>46103</v>
      </c>
      <c r="R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41" s="21"/>
      <c r="T41" s="21"/>
      <c r="U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41" s="21" t="str">
        <f>IFERROR(__xludf.DUMMYFUNCTION("""COMPUTED_VALUE"""),"")</f>
        <v/>
      </c>
      <c r="W41" s="21" t="str">
        <f>IFERROR(__xludf.DUMMYFUNCTION("""COMPUTED_VALUE"""),"")</f>
        <v/>
      </c>
      <c r="X41" s="21" t="str">
        <f>IFERROR(__xludf.DUMMYFUNCTION("""COMPUTED_VALUE"""),"SHIGEKI")</f>
        <v>SHIGEKI</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IFERROR(__xludf.DUMMYFUNCTION("""COMPUTED_VALUE"""),46103.0)</f>
        <v>46103</v>
      </c>
      <c r="F42" s="4"/>
      <c r="G42" s="4" t="str">
        <f>IFERROR(__xludf.DUMMYFUNCTION("""COMPUTED_VALUE"""),"駅からちかい スタッフの感じがいい")</f>
        <v>駅からちかい スタッフの感じがいい</v>
      </c>
      <c r="H42" s="4"/>
      <c r="I42" s="4" t="str">
        <f>IFERROR(__xludf.DUMMYFUNCTION("""COMPUTED_VALUE"""),"")</f>
        <v/>
      </c>
      <c r="J42" s="4" t="str">
        <f>IFERROR(__xludf.DUMMYFUNCTION("""COMPUTED_VALUE"""),"駅からちかい スタッフの感じがいい")</f>
        <v>駅からちかい スタッフの感じがいい</v>
      </c>
      <c r="K42" s="4" t="str">
        <f>IFERROR(__xludf.DUMMYFUNCTION("""COMPUTED_VALUE"""),"")</f>
        <v/>
      </c>
      <c r="L42" s="4" t="str">
        <f>IFERROR(__xludf.DUMMYFUNCTION("""COMPUTED_VALUE"""),"Yoko")</f>
        <v>Yoko</v>
      </c>
      <c r="N42" s="21" t="b">
        <f>IFERROR(__xludf.DUMMYFUNCTION("""COMPUTED_VALUE"""),FALSE)</f>
        <v>0</v>
      </c>
      <c r="O42" s="19" t="str">
        <f>IFERROR(__xludf.DUMMYFUNCTION("""COMPUTED_VALUE"""),"Booking.com")</f>
        <v>Booking.com</v>
      </c>
      <c r="P42" s="21">
        <f>IFERROR(__xludf.DUMMYFUNCTION("""COMPUTED_VALUE"""),8.0)</f>
        <v>8</v>
      </c>
      <c r="Q42" s="22">
        <f>IFERROR(__xludf.DUMMYFUNCTION("""COMPUTED_VALUE"""),46103.0)</f>
        <v>46103</v>
      </c>
      <c r="R42" s="21"/>
      <c r="S42" s="21" t="str">
        <f>IFERROR(__xludf.DUMMYFUNCTION("""COMPUTED_VALUE"""),"駅からちかい スタッフの感じがいい")</f>
        <v>駅からちかい スタッフの感じがいい</v>
      </c>
      <c r="T42" s="21"/>
      <c r="U42" s="21" t="str">
        <f>IFERROR(__xludf.DUMMYFUNCTION("""COMPUTED_VALUE"""),"")</f>
        <v/>
      </c>
      <c r="V42" s="21" t="str">
        <f>IFERROR(__xludf.DUMMYFUNCTION("""COMPUTED_VALUE"""),"駅からちかい スタッフの感じがいい")</f>
        <v>駅からちかい スタッフの感じがいい</v>
      </c>
      <c r="W42" s="21" t="str">
        <f>IFERROR(__xludf.DUMMYFUNCTION("""COMPUTED_VALUE"""),"")</f>
        <v/>
      </c>
      <c r="X42" s="21" t="str">
        <f>IFERROR(__xludf.DUMMYFUNCTION("""COMPUTED_VALUE"""),"Yoko")</f>
        <v>Yoko</v>
      </c>
    </row>
    <row r="43">
      <c r="B43" s="18" t="b">
        <f>IFERROR(__xludf.DUMMYFUNCTION("""COMPUTED_VALUE"""),FALSE)</f>
        <v>0</v>
      </c>
      <c r="C43" s="21" t="str">
        <f>IFERROR(__xludf.DUMMYFUNCTION("""COMPUTED_VALUE"""),"Google")</f>
        <v>Google</v>
      </c>
      <c r="D43" s="4">
        <f>IFERROR(__xludf.DUMMYFUNCTION("""COMPUTED_VALUE"""),4.0)</f>
        <v>4</v>
      </c>
      <c r="E43" s="20">
        <f>IFERROR(__xludf.DUMMYFUNCTION("""COMPUTED_VALUE"""),46103.0)</f>
        <v>46103</v>
      </c>
      <c r="F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3" s="4"/>
      <c r="H43" s="4"/>
      <c r="I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3" s="4" t="str">
        <f>IFERROR(__xludf.DUMMYFUNCTION("""COMPUTED_VALUE"""),"")</f>
        <v/>
      </c>
      <c r="K43" s="4" t="str">
        <f>IFERROR(__xludf.DUMMYFUNCTION("""COMPUTED_VALUE"""),"")</f>
        <v/>
      </c>
      <c r="L43" s="4" t="str">
        <f>IFERROR(__xludf.DUMMYFUNCTION("""COMPUTED_VALUE"""),"일랑일랑")</f>
        <v>일랑일랑</v>
      </c>
      <c r="N43" s="21" t="b">
        <f>IFERROR(__xludf.DUMMYFUNCTION("""COMPUTED_VALUE"""),FALSE)</f>
        <v>0</v>
      </c>
      <c r="O43" s="21" t="str">
        <f>IFERROR(__xludf.DUMMYFUNCTION("""COMPUTED_VALUE"""),"Google")</f>
        <v>Google</v>
      </c>
      <c r="P43" s="21">
        <f>IFERROR(__xludf.DUMMYFUNCTION("""COMPUTED_VALUE"""),4.0)</f>
        <v>4</v>
      </c>
      <c r="Q43" s="22">
        <f>IFERROR(__xludf.DUMMYFUNCTION("""COMPUTED_VALUE"""),46103.0)</f>
        <v>46103</v>
      </c>
      <c r="R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43" s="21"/>
      <c r="T43" s="21"/>
      <c r="U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43" s="21" t="str">
        <f>IFERROR(__xludf.DUMMYFUNCTION("""COMPUTED_VALUE"""),"")</f>
        <v/>
      </c>
      <c r="W43" s="21" t="str">
        <f>IFERROR(__xludf.DUMMYFUNCTION("""COMPUTED_VALUE"""),"")</f>
        <v/>
      </c>
      <c r="X43" s="21" t="str">
        <f>IFERROR(__xludf.DUMMYFUNCTION("""COMPUTED_VALUE"""),"일랑일랑")</f>
        <v>일랑일랑</v>
      </c>
    </row>
    <row r="44">
      <c r="B44" s="18" t="b">
        <f>IFERROR(__xludf.DUMMYFUNCTION("""COMPUTED_VALUE"""),FALSE)</f>
        <v>0</v>
      </c>
      <c r="C44" s="21" t="str">
        <f>IFERROR(__xludf.DUMMYFUNCTION("""COMPUTED_VALUE"""),"Agoda")</f>
        <v>Agoda</v>
      </c>
      <c r="D44" s="4">
        <f>IFERROR(__xludf.DUMMYFUNCTION("""COMPUTED_VALUE"""),10.0)</f>
        <v>10</v>
      </c>
      <c r="E44" s="20">
        <f>IFERROR(__xludf.DUMMYFUNCTION("""COMPUTED_VALUE"""),46102.0)</f>
        <v>46102</v>
      </c>
      <c r="F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4" s="4"/>
      <c r="H44" s="4"/>
      <c r="I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4" s="4" t="str">
        <f>IFERROR(__xludf.DUMMYFUNCTION("""COMPUTED_VALUE"""),"")</f>
        <v/>
      </c>
      <c r="K44" s="4" t="str">
        <f>IFERROR(__xludf.DUMMYFUNCTION("""COMPUTED_VALUE"""),"")</f>
        <v/>
      </c>
      <c r="L44" s="4" t="str">
        <f>IFERROR(__xludf.DUMMYFUNCTION("""COMPUTED_VALUE"""),"光美")</f>
        <v>光美</v>
      </c>
      <c r="N44" s="21" t="b">
        <f>IFERROR(__xludf.DUMMYFUNCTION("""COMPUTED_VALUE"""),FALSE)</f>
        <v>0</v>
      </c>
      <c r="O44" s="21" t="str">
        <f>IFERROR(__xludf.DUMMYFUNCTION("""COMPUTED_VALUE"""),"Agoda")</f>
        <v>Agoda</v>
      </c>
      <c r="P44" s="21">
        <f>IFERROR(__xludf.DUMMYFUNCTION("""COMPUTED_VALUE"""),10.0)</f>
        <v>10</v>
      </c>
      <c r="Q44" s="22">
        <f>IFERROR(__xludf.DUMMYFUNCTION("""COMPUTED_VALUE"""),46102.0)</f>
        <v>46102</v>
      </c>
      <c r="R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44" s="21"/>
      <c r="T44" s="21"/>
      <c r="U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44" s="21" t="str">
        <f>IFERROR(__xludf.DUMMYFUNCTION("""COMPUTED_VALUE"""),"")</f>
        <v/>
      </c>
      <c r="W44" s="21" t="str">
        <f>IFERROR(__xludf.DUMMYFUNCTION("""COMPUTED_VALUE"""),"")</f>
        <v/>
      </c>
      <c r="X44" s="21" t="str">
        <f>IFERROR(__xludf.DUMMYFUNCTION("""COMPUTED_VALUE"""),"光美")</f>
        <v>光美</v>
      </c>
    </row>
    <row r="45">
      <c r="B45" s="18" t="b">
        <f>IFERROR(__xludf.DUMMYFUNCTION("""COMPUTED_VALUE"""),FALSE)</f>
        <v>0</v>
      </c>
      <c r="C45" s="21" t="str">
        <f>IFERROR(__xludf.DUMMYFUNCTION("""COMPUTED_VALUE"""),"Google")</f>
        <v>Google</v>
      </c>
      <c r="D45" s="4">
        <f>IFERROR(__xludf.DUMMYFUNCTION("""COMPUTED_VALUE"""),4.0)</f>
        <v>4</v>
      </c>
      <c r="E45" s="20">
        <f>IFERROR(__xludf.DUMMYFUNCTION("""COMPUTED_VALUE"""),46102.0)</f>
        <v>46102</v>
      </c>
      <c r="F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5" s="4"/>
      <c r="H45" s="4"/>
      <c r="I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5" s="4" t="str">
        <f>IFERROR(__xludf.DUMMYFUNCTION("""COMPUTED_VALUE"""),"")</f>
        <v/>
      </c>
      <c r="K45" s="4" t="str">
        <f>IFERROR(__xludf.DUMMYFUNCTION("""COMPUTED_VALUE"""),"")</f>
        <v/>
      </c>
      <c r="L45" s="4" t="str">
        <f>IFERROR(__xludf.DUMMYFUNCTION("""COMPUTED_VALUE"""),"일랑일랑")</f>
        <v>일랑일랑</v>
      </c>
      <c r="N45" s="21" t="b">
        <f>IFERROR(__xludf.DUMMYFUNCTION("""COMPUTED_VALUE"""),FALSE)</f>
        <v>0</v>
      </c>
      <c r="O45" s="21" t="str">
        <f>IFERROR(__xludf.DUMMYFUNCTION("""COMPUTED_VALUE"""),"Google")</f>
        <v>Google</v>
      </c>
      <c r="P45" s="21">
        <f>IFERROR(__xludf.DUMMYFUNCTION("""COMPUTED_VALUE"""),4.0)</f>
        <v>4</v>
      </c>
      <c r="Q45" s="22">
        <f>IFERROR(__xludf.DUMMYFUNCTION("""COMPUTED_VALUE"""),46102.0)</f>
        <v>46102</v>
      </c>
      <c r="R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45" s="21"/>
      <c r="T45" s="21"/>
      <c r="U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45" s="21" t="str">
        <f>IFERROR(__xludf.DUMMYFUNCTION("""COMPUTED_VALUE"""),"")</f>
        <v/>
      </c>
      <c r="W45" s="21" t="str">
        <f>IFERROR(__xludf.DUMMYFUNCTION("""COMPUTED_VALUE"""),"")</f>
        <v/>
      </c>
      <c r="X45" s="21" t="str">
        <f>IFERROR(__xludf.DUMMYFUNCTION("""COMPUTED_VALUE"""),"일랑일랑")</f>
        <v>일랑일랑</v>
      </c>
    </row>
    <row r="46">
      <c r="B46" s="18" t="b">
        <f>IFERROR(__xludf.DUMMYFUNCTION("""COMPUTED_VALUE"""),FALSE)</f>
        <v>0</v>
      </c>
      <c r="C46" s="19" t="str">
        <f>IFERROR(__xludf.DUMMYFUNCTION("""COMPUTED_VALUE"""),"Booking.com")</f>
        <v>Booking.com</v>
      </c>
      <c r="D46" s="4">
        <f>IFERROR(__xludf.DUMMYFUNCTION("""COMPUTED_VALUE"""),6.0)</f>
        <v>6</v>
      </c>
      <c r="E46" s="20">
        <f>IFERROR(__xludf.DUMMYFUNCTION("""COMPUTED_VALUE"""),46101.0)</f>
        <v>46101</v>
      </c>
      <c r="F46" s="4"/>
      <c r="G46" s="4" t="str">
        <f>IFERROR(__xludf.DUMMYFUNCTION("""COMPUTED_VALUE"""),"Good location and nice reception staff")</f>
        <v>Good location and nice reception staff</v>
      </c>
      <c r="H46" s="4" t="str">
        <f>IFERROR(__xludf.DUMMYFUNCTION("""COMPUTED_VALUE"""),"Coffee machine broken most of the stay")</f>
        <v>Coffee machine broken most of the stay</v>
      </c>
      <c r="I46" s="4" t="str">
        <f>IFERROR(__xludf.DUMMYFUNCTION("""COMPUTED_VALUE"""),"")</f>
        <v/>
      </c>
      <c r="J46" s="4" t="str">
        <f>IFERROR(__xludf.DUMMYFUNCTION("""COMPUTED_VALUE"""),"立地が良く、受付スタッフも感じが良い。")</f>
        <v>立地が良く、受付スタッフも感じが良い。</v>
      </c>
      <c r="K46" s="4" t="str">
        <f>IFERROR(__xludf.DUMMYFUNCTION("""COMPUTED_VALUE"""),"コーヒーマシンが滞在中ほとんど故障していた")</f>
        <v>コーヒーマシンが滞在中ほとんど故障していた</v>
      </c>
      <c r="L46" s="4" t="str">
        <f>IFERROR(__xludf.DUMMYFUNCTION("""COMPUTED_VALUE"""),"Kourtney")</f>
        <v>Kourtney</v>
      </c>
      <c r="N46" s="21" t="b">
        <f>IFERROR(__xludf.DUMMYFUNCTION("""COMPUTED_VALUE"""),FALSE)</f>
        <v>0</v>
      </c>
      <c r="O46" s="19" t="str">
        <f>IFERROR(__xludf.DUMMYFUNCTION("""COMPUTED_VALUE"""),"Booking.com")</f>
        <v>Booking.com</v>
      </c>
      <c r="P46" s="21">
        <f>IFERROR(__xludf.DUMMYFUNCTION("""COMPUTED_VALUE"""),6.0)</f>
        <v>6</v>
      </c>
      <c r="Q46" s="22">
        <f>IFERROR(__xludf.DUMMYFUNCTION("""COMPUTED_VALUE"""),46101.0)</f>
        <v>46101</v>
      </c>
      <c r="R46" s="21"/>
      <c r="S46" s="21" t="str">
        <f>IFERROR(__xludf.DUMMYFUNCTION("""COMPUTED_VALUE"""),"Good location and nice reception staff")</f>
        <v>Good location and nice reception staff</v>
      </c>
      <c r="T46" s="21" t="str">
        <f>IFERROR(__xludf.DUMMYFUNCTION("""COMPUTED_VALUE"""),"Coffee machine broken most of the stay")</f>
        <v>Coffee machine broken most of the stay</v>
      </c>
      <c r="U46" s="21" t="str">
        <f>IFERROR(__xludf.DUMMYFUNCTION("""COMPUTED_VALUE"""),"")</f>
        <v/>
      </c>
      <c r="V46" s="21" t="str">
        <f>IFERROR(__xludf.DUMMYFUNCTION("""COMPUTED_VALUE"""),"立地が良く、受付スタッフも感じが良い。")</f>
        <v>立地が良く、受付スタッフも感じが良い。</v>
      </c>
      <c r="W46" s="21" t="str">
        <f>IFERROR(__xludf.DUMMYFUNCTION("""COMPUTED_VALUE"""),"コーヒーマシンが滞在中ほとんど故障していた")</f>
        <v>コーヒーマシンが滞在中ほとんど故障していた</v>
      </c>
      <c r="X46" s="21" t="str">
        <f>IFERROR(__xludf.DUMMYFUNCTION("""COMPUTED_VALUE"""),"Kourtney")</f>
        <v>Kourtney</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IFERROR(__xludf.DUMMYFUNCTION("""COMPUTED_VALUE"""),46101.0)</f>
        <v>46101</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IFERROR(__xludf.DUMMYFUNCTION("""COMPUTED_VALUE"""),"Yusuf")</f>
        <v>Yusuf</v>
      </c>
      <c r="N47" s="21" t="b">
        <f>IFERROR(__xludf.DUMMYFUNCTION("""COMPUTED_VALUE"""),FALSE)</f>
        <v>0</v>
      </c>
      <c r="O47" s="19" t="str">
        <f>IFERROR(__xludf.DUMMYFUNCTION("""COMPUTED_VALUE"""),"Booking.com")</f>
        <v>Booking.com</v>
      </c>
      <c r="P47" s="21">
        <f>IFERROR(__xludf.DUMMYFUNCTION("""COMPUTED_VALUE"""),9.0)</f>
        <v>9</v>
      </c>
      <c r="Q47" s="22">
        <f>IFERROR(__xludf.DUMMYFUNCTION("""COMPUTED_VALUE"""),46101.0)</f>
        <v>46101</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IFERROR(__xludf.DUMMYFUNCTION("""COMPUTED_VALUE"""),"Yusuf")</f>
        <v>Yusuf</v>
      </c>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IFERROR(__xludf.DUMMYFUNCTION("""COMPUTED_VALUE"""),"Ko")</f>
        <v>Ko</v>
      </c>
      <c r="N48" s="21" t="b">
        <f>IFERROR(__xludf.DUMMYFUNCTION("""COMPUTED_VALUE"""),FALSE)</f>
        <v>0</v>
      </c>
      <c r="O48" s="19" t="str">
        <f>IFERROR(__xludf.DUMMYFUNCTION("""COMPUTED_VALUE"""),"Booking.com")</f>
        <v>Booking.com</v>
      </c>
      <c r="P48" s="21">
        <f>IFERROR(__xludf.DUMMYFUNCTION("""COMPUTED_VALUE"""),10.0)</f>
        <v>10</v>
      </c>
      <c r="Q48" s="22">
        <f>IFERROR(__xludf.DUMMYFUNCTION("""COMPUTED_VALUE"""),46099.0)</f>
        <v>46099</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IFERROR(__xludf.DUMMYFUNCTION("""COMPUTED_VALUE"""),"Ko")</f>
        <v>Ko</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IFERROR(__xludf.DUMMYFUNCTION("""COMPUTED_VALUE"""),"六本木地點方便，價格合理，推薦")</f>
        <v>六本木地點方便，價格合理，推薦</v>
      </c>
      <c r="G49" s="4"/>
      <c r="H49" s="4"/>
      <c r="I49" s="4" t="str">
        <f>IFERROR(__xludf.DUMMYFUNCTION("""COMPUTED_VALUE"""),"六本木は立地が良く、価格も手頃なのでおすすめです。")</f>
        <v>六本木は立地が良く、価格も手頃なのでおすすめです。</v>
      </c>
      <c r="J49" s="4" t="str">
        <f>IFERROR(__xludf.DUMMYFUNCTION("""COMPUTED_VALUE"""),"")</f>
        <v/>
      </c>
      <c r="K49" s="4" t="str">
        <f>IFERROR(__xludf.DUMMYFUNCTION("""COMPUTED_VALUE"""),"")</f>
        <v/>
      </c>
      <c r="L49" s="4" t="str">
        <f>IFERROR(__xludf.DUMMYFUNCTION("""COMPUTED_VALUE"""),"D‍K‍ ‍F‍e‍n‍g")</f>
        <v>D‍K‍ ‍F‍e‍n‍g</v>
      </c>
      <c r="N49" s="21" t="b">
        <f>IFERROR(__xludf.DUMMYFUNCTION("""COMPUTED_VALUE"""),FALSE)</f>
        <v>0</v>
      </c>
      <c r="O49" s="19" t="str">
        <f>IFERROR(__xludf.DUMMYFUNCTION("""COMPUTED_VALUE"""),"Trip.com")</f>
        <v>Trip.com</v>
      </c>
      <c r="P49" s="21">
        <f>IFERROR(__xludf.DUMMYFUNCTION("""COMPUTED_VALUE"""),10.0)</f>
        <v>10</v>
      </c>
      <c r="Q49" s="22">
        <f>IFERROR(__xludf.DUMMYFUNCTION("""COMPUTED_VALUE"""),46099.0)</f>
        <v>46099</v>
      </c>
      <c r="R49" s="21" t="str">
        <f>IFERROR(__xludf.DUMMYFUNCTION("""COMPUTED_VALUE"""),"六本木地點方便，價格合理，推薦")</f>
        <v>六本木地點方便，價格合理，推薦</v>
      </c>
      <c r="S49" s="21"/>
      <c r="T49" s="21"/>
      <c r="U49" s="21" t="str">
        <f>IFERROR(__xludf.DUMMYFUNCTION("""COMPUTED_VALUE"""),"六本木は立地が良く、価格も手頃なのでおすすめです。")</f>
        <v>六本木は立地が良く、価格も手頃なのでおすすめです。</v>
      </c>
      <c r="V49" s="21" t="str">
        <f>IFERROR(__xludf.DUMMYFUNCTION("""COMPUTED_VALUE"""),"")</f>
        <v/>
      </c>
      <c r="W49" s="21" t="str">
        <f>IFERROR(__xludf.DUMMYFUNCTION("""COMPUTED_VALUE"""),"")</f>
        <v/>
      </c>
      <c r="X49" s="21" t="str">
        <f>IFERROR(__xludf.DUMMYFUNCTION("""COMPUTED_VALUE"""),"D‍K‍ ‍F‍e‍n‍g")</f>
        <v>D‍K‍ ‍F‍e‍n‍g</v>
      </c>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IFERROR(__xludf.DUMMYFUNCTION("""COMPUTED_VALUE"""),46099.0)</f>
        <v>46099</v>
      </c>
      <c r="F50"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0" s="4"/>
      <c r="H50" s="4"/>
      <c r="I50"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0" s="4" t="str">
        <f>IFERROR(__xludf.DUMMYFUNCTION("""COMPUTED_VALUE"""),"")</f>
        <v/>
      </c>
      <c r="K50" s="4" t="str">
        <f>IFERROR(__xludf.DUMMYFUNCTION("""COMPUTED_VALUE"""),"")</f>
        <v/>
      </c>
      <c r="L50" s="4" t="str">
        <f>IFERROR(__xludf.DUMMYFUNCTION("""COMPUTED_VALUE"""),"M‍o‍m‍o‍4‍2‍9")</f>
        <v>M‍o‍m‍o‍4‍2‍9</v>
      </c>
      <c r="N50" s="21" t="b">
        <f>IFERROR(__xludf.DUMMYFUNCTION("""COMPUTED_VALUE"""),FALSE)</f>
        <v>0</v>
      </c>
      <c r="O50" s="19" t="str">
        <f>IFERROR(__xludf.DUMMYFUNCTION("""COMPUTED_VALUE"""),"Trip.com")</f>
        <v>Trip.com</v>
      </c>
      <c r="P50" s="21">
        <f>IFERROR(__xludf.DUMMYFUNCTION("""COMPUTED_VALUE"""),10.0)</f>
        <v>10</v>
      </c>
      <c r="Q50" s="22">
        <f>IFERROR(__xludf.DUMMYFUNCTION("""COMPUTED_VALUE"""),46099.0)</f>
        <v>46099</v>
      </c>
      <c r="R50"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50" s="21"/>
      <c r="T50" s="21"/>
      <c r="U50"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50" s="21" t="str">
        <f>IFERROR(__xludf.DUMMYFUNCTION("""COMPUTED_VALUE"""),"")</f>
        <v/>
      </c>
      <c r="W50" s="21" t="str">
        <f>IFERROR(__xludf.DUMMYFUNCTION("""COMPUTED_VALUE"""),"")</f>
        <v/>
      </c>
      <c r="X50" s="21" t="str">
        <f>IFERROR(__xludf.DUMMYFUNCTION("""COMPUTED_VALUE"""),"M‍o‍m‍o‍4‍2‍9")</f>
        <v>M‍o‍m‍o‍4‍2‍9</v>
      </c>
    </row>
    <row r="51">
      <c r="B51" s="18" t="b">
        <f>IFERROR(__xludf.DUMMYFUNCTION("""COMPUTED_VALUE"""),FALSE)</f>
        <v>0</v>
      </c>
      <c r="C51" s="21" t="str">
        <f>IFERROR(__xludf.DUMMYFUNCTION("""COMPUTED_VALUE"""),"Google")</f>
        <v>Google</v>
      </c>
      <c r="D51" s="4">
        <f>IFERROR(__xludf.DUMMYFUNCTION("""COMPUTED_VALUE"""),4.0)</f>
        <v>4</v>
      </c>
      <c r="E51" s="20">
        <f>IFERROR(__xludf.DUMMYFUNCTION("""COMPUTED_VALUE"""),46098.0)</f>
        <v>46098</v>
      </c>
      <c r="F51"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1" s="4"/>
      <c r="H51" s="4"/>
      <c r="I5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1" s="4" t="str">
        <f>IFERROR(__xludf.DUMMYFUNCTION("""COMPUTED_VALUE"""),"")</f>
        <v/>
      </c>
      <c r="K51" s="4" t="str">
        <f>IFERROR(__xludf.DUMMYFUNCTION("""COMPUTED_VALUE"""),"")</f>
        <v/>
      </c>
      <c r="L51" s="4" t="str">
        <f>IFERROR(__xludf.DUMMYFUNCTION("""COMPUTED_VALUE"""),"Nanda")</f>
        <v>Nanda</v>
      </c>
      <c r="N51" s="21" t="b">
        <f>IFERROR(__xludf.DUMMYFUNCTION("""COMPUTED_VALUE"""),FALSE)</f>
        <v>0</v>
      </c>
      <c r="O51" s="21" t="str">
        <f>IFERROR(__xludf.DUMMYFUNCTION("""COMPUTED_VALUE"""),"Google")</f>
        <v>Google</v>
      </c>
      <c r="P51" s="21">
        <f>IFERROR(__xludf.DUMMYFUNCTION("""COMPUTED_VALUE"""),4.0)</f>
        <v>4</v>
      </c>
      <c r="Q51" s="22">
        <f>IFERROR(__xludf.DUMMYFUNCTION("""COMPUTED_VALUE"""),46098.0)</f>
        <v>46098</v>
      </c>
      <c r="R51"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51" s="21"/>
      <c r="T51" s="21"/>
      <c r="U51"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51" s="21" t="str">
        <f>IFERROR(__xludf.DUMMYFUNCTION("""COMPUTED_VALUE"""),"")</f>
        <v/>
      </c>
      <c r="W51" s="21" t="str">
        <f>IFERROR(__xludf.DUMMYFUNCTION("""COMPUTED_VALUE"""),"")</f>
        <v/>
      </c>
      <c r="X51" s="21" t="str">
        <f>IFERROR(__xludf.DUMMYFUNCTION("""COMPUTED_VALUE"""),"Nanda")</f>
        <v>Nanda</v>
      </c>
    </row>
    <row r="52">
      <c r="B52" s="18" t="b">
        <f>IFERROR(__xludf.DUMMYFUNCTION("""COMPUTED_VALUE"""),FALSE)</f>
        <v>0</v>
      </c>
      <c r="C52" s="21" t="str">
        <f>IFERROR(__xludf.DUMMYFUNCTION("""COMPUTED_VALUE"""),"楽天トラベル")</f>
        <v>楽天トラベル</v>
      </c>
      <c r="D52" s="4">
        <f>IFERROR(__xludf.DUMMYFUNCTION("""COMPUTED_VALUE"""),5.0)</f>
        <v>5</v>
      </c>
      <c r="E52" s="20">
        <f>IFERROR(__xludf.DUMMYFUNCTION("""COMPUTED_VALUE"""),46098.0)</f>
        <v>46098</v>
      </c>
      <c r="F52" s="4" t="str">
        <f>IFERROR(__xludf.DUMMYFUNCTION("""COMPUTED_VALUE"""),"フロントの方々の対応が丁寧でした！")</f>
        <v>フロントの方々の対応が丁寧でした！</v>
      </c>
      <c r="G52" s="4"/>
      <c r="H52" s="4"/>
      <c r="I52" s="4" t="str">
        <f>IFERROR(__xludf.DUMMYFUNCTION("""COMPUTED_VALUE"""),"フロントの方々の対応が丁寧でした！")</f>
        <v>フロントの方々の対応が丁寧でした！</v>
      </c>
      <c r="J52" s="4" t="str">
        <f>IFERROR(__xludf.DUMMYFUNCTION("""COMPUTED_VALUE"""),"")</f>
        <v/>
      </c>
      <c r="K52" s="4" t="str">
        <f>IFERROR(__xludf.DUMMYFUNCTION("""COMPUTED_VALUE"""),"")</f>
        <v/>
      </c>
      <c r="L52" s="4" t="str">
        <f>IFERROR(__xludf.DUMMYFUNCTION("""COMPUTED_VALUE"""),"mo_co39")</f>
        <v>mo_co39</v>
      </c>
      <c r="N52" s="21" t="b">
        <f>IFERROR(__xludf.DUMMYFUNCTION("""COMPUTED_VALUE"""),FALSE)</f>
        <v>0</v>
      </c>
      <c r="O52" s="21" t="str">
        <f>IFERROR(__xludf.DUMMYFUNCTION("""COMPUTED_VALUE"""),"楽天トラベル")</f>
        <v>楽天トラベル</v>
      </c>
      <c r="P52" s="21">
        <f>IFERROR(__xludf.DUMMYFUNCTION("""COMPUTED_VALUE"""),5.0)</f>
        <v>5</v>
      </c>
      <c r="Q52" s="22">
        <f>IFERROR(__xludf.DUMMYFUNCTION("""COMPUTED_VALUE"""),46098.0)</f>
        <v>46098</v>
      </c>
      <c r="R52" s="21" t="str">
        <f>IFERROR(__xludf.DUMMYFUNCTION("""COMPUTED_VALUE"""),"フロントの方々の対応が丁寧でした！")</f>
        <v>フロントの方々の対応が丁寧でした！</v>
      </c>
      <c r="S52" s="21"/>
      <c r="T52" s="21"/>
      <c r="U52" s="21" t="str">
        <f>IFERROR(__xludf.DUMMYFUNCTION("""COMPUTED_VALUE"""),"フロントの方々の対応が丁寧でした！")</f>
        <v>フロントの方々の対応が丁寧でした！</v>
      </c>
      <c r="V52" s="21" t="str">
        <f>IFERROR(__xludf.DUMMYFUNCTION("""COMPUTED_VALUE"""),"")</f>
        <v/>
      </c>
      <c r="W52" s="21" t="str">
        <f>IFERROR(__xludf.DUMMYFUNCTION("""COMPUTED_VALUE"""),"")</f>
        <v/>
      </c>
      <c r="X52" s="21" t="str">
        <f>IFERROR(__xludf.DUMMYFUNCTION("""COMPUTED_VALUE"""),"mo_co39")</f>
        <v>mo_co39</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IFERROR(__xludf.DUMMYFUNCTION("""COMPUTED_VALUE"""),46098.0)</f>
        <v>46098</v>
      </c>
      <c r="F53" s="4"/>
      <c r="G53" s="4" t="str">
        <f>IFERROR(__xludf.DUMMYFUNCTION("""COMPUTED_VALUE"""),"Clean spacious good location")</f>
        <v>Clean spacious good location</v>
      </c>
      <c r="H53" s="4" t="str">
        <f>IFERROR(__xludf.DUMMYFUNCTION("""COMPUTED_VALUE"""),"Lack of facilities but can’t ask for more! Good value")</f>
        <v>Lack of facilities but can’t ask for more! Good value</v>
      </c>
      <c r="I53" s="4" t="str">
        <f>IFERROR(__xludf.DUMMYFUNCTION("""COMPUTED_VALUE"""),"")</f>
        <v/>
      </c>
      <c r="J53" s="4" t="str">
        <f>IFERROR(__xludf.DUMMYFUNCTION("""COMPUTED_VALUE"""),"清潔で広々としており、立地も良い。")</f>
        <v>清潔で広々としており、立地も良い。</v>
      </c>
      <c r="K53" s="4" t="str">
        <f>IFERROR(__xludf.DUMMYFUNCTION("""COMPUTED_VALUE"""),"設備は少ないけど、それ以上は望めない！値段も手頃。")</f>
        <v>設備は少ないけど、それ以上は望めない！値段も手頃。</v>
      </c>
      <c r="L53" s="4" t="str">
        <f>IFERROR(__xludf.DUMMYFUNCTION("""COMPUTED_VALUE"""),"Tong")</f>
        <v>Tong</v>
      </c>
      <c r="N53" s="21" t="b">
        <f>IFERROR(__xludf.DUMMYFUNCTION("""COMPUTED_VALUE"""),FALSE)</f>
        <v>0</v>
      </c>
      <c r="O53" s="19" t="str">
        <f>IFERROR(__xludf.DUMMYFUNCTION("""COMPUTED_VALUE"""),"Booking.com")</f>
        <v>Booking.com</v>
      </c>
      <c r="P53" s="21">
        <f>IFERROR(__xludf.DUMMYFUNCTION("""COMPUTED_VALUE"""),8.0)</f>
        <v>8</v>
      </c>
      <c r="Q53" s="22">
        <f>IFERROR(__xludf.DUMMYFUNCTION("""COMPUTED_VALUE"""),46098.0)</f>
        <v>46098</v>
      </c>
      <c r="R53" s="21"/>
      <c r="S53" s="21" t="str">
        <f>IFERROR(__xludf.DUMMYFUNCTION("""COMPUTED_VALUE"""),"Clean spacious good location")</f>
        <v>Clean spacious good location</v>
      </c>
      <c r="T53" s="21" t="str">
        <f>IFERROR(__xludf.DUMMYFUNCTION("""COMPUTED_VALUE"""),"Lack of facilities but can’t ask for more! Good value")</f>
        <v>Lack of facilities but can’t ask for more! Good value</v>
      </c>
      <c r="U53" s="21" t="str">
        <f>IFERROR(__xludf.DUMMYFUNCTION("""COMPUTED_VALUE"""),"")</f>
        <v/>
      </c>
      <c r="V53" s="21" t="str">
        <f>IFERROR(__xludf.DUMMYFUNCTION("""COMPUTED_VALUE"""),"清潔で広々としており、立地も良い。")</f>
        <v>清潔で広々としており、立地も良い。</v>
      </c>
      <c r="W53" s="21" t="str">
        <f>IFERROR(__xludf.DUMMYFUNCTION("""COMPUTED_VALUE"""),"設備は少ないけど、それ以上は望めない！値段も手頃。")</f>
        <v>設備は少ないけど、それ以上は望めない！値段も手頃。</v>
      </c>
      <c r="X53" s="21" t="str">
        <f>IFERROR(__xludf.DUMMYFUNCTION("""COMPUTED_VALUE"""),"Tong")</f>
        <v>Tong</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IFERROR(__xludf.DUMMYFUNCTION("""COMPUTED_VALUE"""),46098.0)</f>
        <v>46098</v>
      </c>
      <c r="F54" s="4"/>
      <c r="G54" s="4" t="str">
        <f>IFERROR(__xludf.DUMMYFUNCTION("""COMPUTED_VALUE"""),"設備完善，環境乾淨，地理位置很棒，櫃檯人員十分友善且有耐心。")</f>
        <v>設備完善，環境乾淨，地理位置很棒，櫃檯人員十分友善且有耐心。</v>
      </c>
      <c r="H54" s="4"/>
      <c r="I54" s="4" t="str">
        <f>IFERROR(__xludf.DUMMYFUNCTION("""COMPUTED_VALUE"""),"")</f>
        <v/>
      </c>
      <c r="J54"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4" s="4" t="str">
        <f>IFERROR(__xludf.DUMMYFUNCTION("""COMPUTED_VALUE"""),"")</f>
        <v/>
      </c>
      <c r="L54" s="4" t="str">
        <f>IFERROR(__xludf.DUMMYFUNCTION("""COMPUTED_VALUE"""),"Chih-han")</f>
        <v>Chih-han</v>
      </c>
      <c r="N54" s="21" t="b">
        <f>IFERROR(__xludf.DUMMYFUNCTION("""COMPUTED_VALUE"""),FALSE)</f>
        <v>0</v>
      </c>
      <c r="O54" s="19" t="str">
        <f>IFERROR(__xludf.DUMMYFUNCTION("""COMPUTED_VALUE"""),"Booking.com")</f>
        <v>Booking.com</v>
      </c>
      <c r="P54" s="21">
        <f>IFERROR(__xludf.DUMMYFUNCTION("""COMPUTED_VALUE"""),9.0)</f>
        <v>9</v>
      </c>
      <c r="Q54" s="22">
        <f>IFERROR(__xludf.DUMMYFUNCTION("""COMPUTED_VALUE"""),46098.0)</f>
        <v>46098</v>
      </c>
      <c r="R54" s="21"/>
      <c r="S54" s="21" t="str">
        <f>IFERROR(__xludf.DUMMYFUNCTION("""COMPUTED_VALUE"""),"設備完善，環境乾淨，地理位置很棒，櫃檯人員十分友善且有耐心。")</f>
        <v>設備完善，環境乾淨，地理位置很棒，櫃檯人員十分友善且有耐心。</v>
      </c>
      <c r="T54" s="21"/>
      <c r="U54" s="21" t="str">
        <f>IFERROR(__xludf.DUMMYFUNCTION("""COMPUTED_VALUE"""),"")</f>
        <v/>
      </c>
      <c r="V54"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54" s="21" t="str">
        <f>IFERROR(__xludf.DUMMYFUNCTION("""COMPUTED_VALUE"""),"")</f>
        <v/>
      </c>
      <c r="X54" s="21" t="str">
        <f>IFERROR(__xludf.DUMMYFUNCTION("""COMPUTED_VALUE"""),"Chih-han")</f>
        <v>Chih-han</v>
      </c>
    </row>
    <row r="55">
      <c r="B55" s="18" t="b">
        <f>IFERROR(__xludf.DUMMYFUNCTION("""COMPUTED_VALUE"""),FALSE)</f>
        <v>0</v>
      </c>
      <c r="C55" s="21" t="str">
        <f>IFERROR(__xludf.DUMMYFUNCTION("""COMPUTED_VALUE"""),"Google")</f>
        <v>Google</v>
      </c>
      <c r="D55" s="4">
        <f>IFERROR(__xludf.DUMMYFUNCTION("""COMPUTED_VALUE"""),4.0)</f>
        <v>4</v>
      </c>
      <c r="E55" s="20">
        <f>IFERROR(__xludf.DUMMYFUNCTION("""COMPUTED_VALUE"""),46098.0)</f>
        <v>46098</v>
      </c>
      <c r="F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5" s="4"/>
      <c r="H55" s="4"/>
      <c r="I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5" s="4" t="str">
        <f>IFERROR(__xludf.DUMMYFUNCTION("""COMPUTED_VALUE"""),"")</f>
        <v/>
      </c>
      <c r="K55" s="4" t="str">
        <f>IFERROR(__xludf.DUMMYFUNCTION("""COMPUTED_VALUE"""),"")</f>
        <v/>
      </c>
      <c r="L55" s="4" t="str">
        <f>IFERROR(__xludf.DUMMYFUNCTION("""COMPUTED_VALUE"""),"Nanda")</f>
        <v>Nanda</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55" s="21"/>
      <c r="T55" s="21"/>
      <c r="U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55" s="21" t="str">
        <f>IFERROR(__xludf.DUMMYFUNCTION("""COMPUTED_VALUE"""),"")</f>
        <v/>
      </c>
      <c r="W55" s="21" t="str">
        <f>IFERROR(__xludf.DUMMYFUNCTION("""COMPUTED_VALUE"""),"")</f>
        <v/>
      </c>
      <c r="X55" s="21" t="str">
        <f>IFERROR(__xludf.DUMMYFUNCTION("""COMPUTED_VALUE"""),"Nanda")</f>
        <v>Nanda</v>
      </c>
    </row>
    <row r="56">
      <c r="B56" s="18" t="b">
        <f>IFERROR(__xludf.DUMMYFUNCTION("""COMPUTED_VALUE"""),FALSE)</f>
        <v>0</v>
      </c>
      <c r="C56" s="19" t="str">
        <f>IFERROR(__xludf.DUMMYFUNCTION("""COMPUTED_VALUE"""),"Booking.com")</f>
        <v>Booking.com</v>
      </c>
      <c r="D56" s="4">
        <f>IFERROR(__xludf.DUMMYFUNCTION("""COMPUTED_VALUE"""),6.0)</f>
        <v>6</v>
      </c>
      <c r="E56" s="20">
        <f>IFERROR(__xludf.DUMMYFUNCTION("""COMPUTED_VALUE"""),46097.0)</f>
        <v>46097</v>
      </c>
      <c r="F56" s="4"/>
      <c r="G56" s="4" t="str">
        <f>IFERROR(__xludf.DUMMYFUNCTION("""COMPUTED_VALUE"""),"スタッフの対応")</f>
        <v>スタッフの対応</v>
      </c>
      <c r="H56" s="4" t="str">
        <f>IFERROR(__xludf.DUMMYFUNCTION("""COMPUTED_VALUE"""),"洗面ボール中のカビ")</f>
        <v>洗面ボール中のカビ</v>
      </c>
      <c r="I56" s="4" t="str">
        <f>IFERROR(__xludf.DUMMYFUNCTION("""COMPUTED_VALUE"""),"")</f>
        <v/>
      </c>
      <c r="J56" s="4" t="str">
        <f>IFERROR(__xludf.DUMMYFUNCTION("""COMPUTED_VALUE"""),"スタッフの対応")</f>
        <v>スタッフの対応</v>
      </c>
      <c r="K56" s="4" t="str">
        <f>IFERROR(__xludf.DUMMYFUNCTION("""COMPUTED_VALUE"""),"洗面ボール中のカビ")</f>
        <v>洗面ボール中のカビ</v>
      </c>
      <c r="L56" s="4" t="str">
        <f>IFERROR(__xludf.DUMMYFUNCTION("""COMPUTED_VALUE"""),"Miyuki")</f>
        <v>Miyuki</v>
      </c>
      <c r="N56" s="21" t="b">
        <f>IFERROR(__xludf.DUMMYFUNCTION("""COMPUTED_VALUE"""),FALSE)</f>
        <v>0</v>
      </c>
      <c r="O56" s="19" t="str">
        <f>IFERROR(__xludf.DUMMYFUNCTION("""COMPUTED_VALUE"""),"Booking.com")</f>
        <v>Booking.com</v>
      </c>
      <c r="P56" s="21">
        <f>IFERROR(__xludf.DUMMYFUNCTION("""COMPUTED_VALUE"""),6.0)</f>
        <v>6</v>
      </c>
      <c r="Q56" s="22">
        <f>IFERROR(__xludf.DUMMYFUNCTION("""COMPUTED_VALUE"""),46097.0)</f>
        <v>46097</v>
      </c>
      <c r="R56" s="21"/>
      <c r="S56" s="21" t="str">
        <f>IFERROR(__xludf.DUMMYFUNCTION("""COMPUTED_VALUE"""),"スタッフの対応")</f>
        <v>スタッフの対応</v>
      </c>
      <c r="T56" s="21" t="str">
        <f>IFERROR(__xludf.DUMMYFUNCTION("""COMPUTED_VALUE"""),"洗面ボール中のカビ")</f>
        <v>洗面ボール中のカビ</v>
      </c>
      <c r="U56" s="21" t="str">
        <f>IFERROR(__xludf.DUMMYFUNCTION("""COMPUTED_VALUE"""),"")</f>
        <v/>
      </c>
      <c r="V56" s="21" t="str">
        <f>IFERROR(__xludf.DUMMYFUNCTION("""COMPUTED_VALUE"""),"スタッフの対応")</f>
        <v>スタッフの対応</v>
      </c>
      <c r="W56" s="21" t="str">
        <f>IFERROR(__xludf.DUMMYFUNCTION("""COMPUTED_VALUE"""),"洗面ボール中のカビ")</f>
        <v>洗面ボール中のカビ</v>
      </c>
      <c r="X56" s="21" t="str">
        <f>IFERROR(__xludf.DUMMYFUNCTION("""COMPUTED_VALUE"""),"Miyuki")</f>
        <v>Miyuki</v>
      </c>
    </row>
    <row r="57">
      <c r="B57" s="18" t="b">
        <f>IFERROR(__xludf.DUMMYFUNCTION("""COMPUTED_VALUE"""),FALSE)</f>
        <v>0</v>
      </c>
      <c r="C57" s="21" t="str">
        <f>IFERROR(__xludf.DUMMYFUNCTION("""COMPUTED_VALUE"""),"Agoda")</f>
        <v>Agoda</v>
      </c>
      <c r="D57" s="4">
        <f>IFERROR(__xludf.DUMMYFUNCTION("""COMPUTED_VALUE"""),6.0)</f>
        <v>6</v>
      </c>
      <c r="E57" s="20">
        <f>IFERROR(__xludf.DUMMYFUNCTION("""COMPUTED_VALUE"""),46097.0)</f>
        <v>46097</v>
      </c>
      <c r="F57" s="4"/>
      <c r="G57" s="4" t="str">
        <f>IFERROR(__xludf.DUMMYFUNCTION("""COMPUTED_VALUE"""),"スタッフの対応")</f>
        <v>スタッフの対応</v>
      </c>
      <c r="H57" s="4" t="str">
        <f>IFERROR(__xludf.DUMMYFUNCTION("""COMPUTED_VALUE"""),"洗面ボール中のカビ")</f>
        <v>洗面ボール中のカビ</v>
      </c>
      <c r="I57" s="4" t="str">
        <f>IFERROR(__xludf.DUMMYFUNCTION("""COMPUTED_VALUE"""),"")</f>
        <v/>
      </c>
      <c r="J57" s="4" t="str">
        <f>IFERROR(__xludf.DUMMYFUNCTION("""COMPUTED_VALUE"""),"スタッフの対応")</f>
        <v>スタッフの対応</v>
      </c>
      <c r="K57" s="4" t="str">
        <f>IFERROR(__xludf.DUMMYFUNCTION("""COMPUTED_VALUE"""),"洗面ボール中のカビ")</f>
        <v>洗面ボール中のカビ</v>
      </c>
      <c r="L57" s="4" t="str">
        <f>IFERROR(__xludf.DUMMYFUNCTION("""COMPUTED_VALUE"""),"miyuki")</f>
        <v>miyuki</v>
      </c>
      <c r="N57" s="21" t="b">
        <f>IFERROR(__xludf.DUMMYFUNCTION("""COMPUTED_VALUE"""),FALSE)</f>
        <v>0</v>
      </c>
      <c r="O57" s="21" t="str">
        <f>IFERROR(__xludf.DUMMYFUNCTION("""COMPUTED_VALUE"""),"Agoda")</f>
        <v>Agoda</v>
      </c>
      <c r="P57" s="21">
        <f>IFERROR(__xludf.DUMMYFUNCTION("""COMPUTED_VALUE"""),6.0)</f>
        <v>6</v>
      </c>
      <c r="Q57" s="22">
        <f>IFERROR(__xludf.DUMMYFUNCTION("""COMPUTED_VALUE"""),46097.0)</f>
        <v>46097</v>
      </c>
      <c r="R57" s="21"/>
      <c r="S57" s="21" t="str">
        <f>IFERROR(__xludf.DUMMYFUNCTION("""COMPUTED_VALUE"""),"スタッフの対応")</f>
        <v>スタッフの対応</v>
      </c>
      <c r="T57" s="21" t="str">
        <f>IFERROR(__xludf.DUMMYFUNCTION("""COMPUTED_VALUE"""),"洗面ボール中のカビ")</f>
        <v>洗面ボール中のカビ</v>
      </c>
      <c r="U57" s="21" t="str">
        <f>IFERROR(__xludf.DUMMYFUNCTION("""COMPUTED_VALUE"""),"")</f>
        <v/>
      </c>
      <c r="V57" s="21" t="str">
        <f>IFERROR(__xludf.DUMMYFUNCTION("""COMPUTED_VALUE"""),"スタッフの対応")</f>
        <v>スタッフの対応</v>
      </c>
      <c r="W57" s="21" t="str">
        <f>IFERROR(__xludf.DUMMYFUNCTION("""COMPUTED_VALUE"""),"洗面ボール中のカビ")</f>
        <v>洗面ボール中のカビ</v>
      </c>
      <c r="X57" s="21" t="str">
        <f>IFERROR(__xludf.DUMMYFUNCTION("""COMPUTED_VALUE"""),"miyuki")</f>
        <v>miyuki</v>
      </c>
    </row>
    <row r="58">
      <c r="B58" s="18" t="b">
        <f>IFERROR(__xludf.DUMMYFUNCTION("""COMPUTED_VALUE"""),FALSE)</f>
        <v>0</v>
      </c>
      <c r="C58" s="19" t="str">
        <f>IFERROR(__xludf.DUMMYFUNCTION("""COMPUTED_VALUE"""),"Booking.com")</f>
        <v>Booking.com</v>
      </c>
      <c r="D58" s="4">
        <f>IFERROR(__xludf.DUMMYFUNCTION("""COMPUTED_VALUE"""),8.0)</f>
        <v>8</v>
      </c>
      <c r="E58" s="20">
        <f>IFERROR(__xludf.DUMMYFUNCTION("""COMPUTED_VALUE"""),46096.0)</f>
        <v>46096</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IFERROR(__xludf.DUMMYFUNCTION("""COMPUTED_VALUE"""),"Mariaelena")</f>
        <v>Mariaelena</v>
      </c>
      <c r="N58" s="21" t="b">
        <f>IFERROR(__xludf.DUMMYFUNCTION("""COMPUTED_VALUE"""),FALSE)</f>
        <v>0</v>
      </c>
      <c r="O58" s="19" t="str">
        <f>IFERROR(__xludf.DUMMYFUNCTION("""COMPUTED_VALUE"""),"Booking.com")</f>
        <v>Booking.com</v>
      </c>
      <c r="P58" s="21">
        <f>IFERROR(__xludf.DUMMYFUNCTION("""COMPUTED_VALUE"""),8.0)</f>
        <v>8</v>
      </c>
      <c r="Q58" s="22">
        <f>IFERROR(__xludf.DUMMYFUNCTION("""COMPUTED_VALUE"""),46096.0)</f>
        <v>46096</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IFERROR(__xludf.DUMMYFUNCTION("""COMPUTED_VALUE"""),"Mariaelena")</f>
        <v>Mariaelena</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59" s="4"/>
      <c r="H59" s="4"/>
      <c r="I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59" s="4" t="str">
        <f>IFERROR(__xludf.DUMMYFUNCTION("""COMPUTED_VALUE"""),"")</f>
        <v/>
      </c>
      <c r="K59" s="4" t="str">
        <f>IFERROR(__xludf.DUMMYFUNCTION("""COMPUTED_VALUE"""),"")</f>
        <v/>
      </c>
      <c r="L59" s="4" t="str">
        <f>IFERROR(__xludf.DUMMYFUNCTION("""COMPUTED_VALUE"""),"marron-j")</f>
        <v>marron-j</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59" s="21"/>
      <c r="T59" s="21"/>
      <c r="U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59" s="21" t="str">
        <f>IFERROR(__xludf.DUMMYFUNCTION("""COMPUTED_VALUE"""),"")</f>
        <v/>
      </c>
      <c r="W59" s="21" t="str">
        <f>IFERROR(__xludf.DUMMYFUNCTION("""COMPUTED_VALUE"""),"")</f>
        <v/>
      </c>
      <c r="X59" s="21" t="str">
        <f>IFERROR(__xludf.DUMMYFUNCTION("""COMPUTED_VALUE"""),"marron-j")</f>
        <v>marron-j</v>
      </c>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IFERROR(__xludf.DUMMYFUNCTION("""COMPUTED_VALUE"""),46096.0)</f>
        <v>46096</v>
      </c>
      <c r="F60" s="4"/>
      <c r="G60" s="4"/>
      <c r="H60" s="4" t="str">
        <f>IFERROR(__xludf.DUMMYFUNCTION("""COMPUTED_VALUE"""),"シャンプーが2個でリンスが1個で、ボディーソープがありませんでした。")</f>
        <v>シャンプーが2個でリンスが1個で、ボディーソープがありませんでした。</v>
      </c>
      <c r="I60" s="4" t="str">
        <f>IFERROR(__xludf.DUMMYFUNCTION("""COMPUTED_VALUE"""),"")</f>
        <v/>
      </c>
      <c r="J60" s="4" t="str">
        <f>IFERROR(__xludf.DUMMYFUNCTION("""COMPUTED_VALUE"""),"")</f>
        <v/>
      </c>
      <c r="K60" s="4" t="str">
        <f>IFERROR(__xludf.DUMMYFUNCTION("""COMPUTED_VALUE"""),"シャンプーが2個でリンスが1個で、ボディーソープがありませんでした。")</f>
        <v>シャンプーが2個でリンスが1個で、ボディーソープがありませんでした。</v>
      </c>
      <c r="L60" s="4" t="str">
        <f>IFERROR(__xludf.DUMMYFUNCTION("""COMPUTED_VALUE"""),"Manaka")</f>
        <v>Manaka</v>
      </c>
      <c r="N60" s="21" t="b">
        <f>IFERROR(__xludf.DUMMYFUNCTION("""COMPUTED_VALUE"""),FALSE)</f>
        <v>0</v>
      </c>
      <c r="O60" s="19" t="str">
        <f>IFERROR(__xludf.DUMMYFUNCTION("""COMPUTED_VALUE"""),"Booking.com")</f>
        <v>Booking.com</v>
      </c>
      <c r="P60" s="21">
        <f>IFERROR(__xludf.DUMMYFUNCTION("""COMPUTED_VALUE"""),8.0)</f>
        <v>8</v>
      </c>
      <c r="Q60" s="22">
        <f>IFERROR(__xludf.DUMMYFUNCTION("""COMPUTED_VALUE"""),46096.0)</f>
        <v>46096</v>
      </c>
      <c r="R60" s="21"/>
      <c r="S60" s="21"/>
      <c r="T60" s="21" t="str">
        <f>IFERROR(__xludf.DUMMYFUNCTION("""COMPUTED_VALUE"""),"シャンプーが2個でリンスが1個で、ボディーソープがありませんでした。")</f>
        <v>シャンプーが2個でリンスが1個で、ボディーソープがありませんでした。</v>
      </c>
      <c r="U60" s="21" t="str">
        <f>IFERROR(__xludf.DUMMYFUNCTION("""COMPUTED_VALUE"""),"")</f>
        <v/>
      </c>
      <c r="V60" s="21" t="str">
        <f>IFERROR(__xludf.DUMMYFUNCTION("""COMPUTED_VALUE"""),"")</f>
        <v/>
      </c>
      <c r="W60" s="21" t="str">
        <f>IFERROR(__xludf.DUMMYFUNCTION("""COMPUTED_VALUE"""),"シャンプーが2個でリンスが1個で、ボディーソープがありませんでした。")</f>
        <v>シャンプーが2個でリンスが1個で、ボディーソープがありませんでした。</v>
      </c>
      <c r="X60" s="21" t="str">
        <f>IFERROR(__xludf.DUMMYFUNCTION("""COMPUTED_VALUE"""),"Manaka")</f>
        <v>Manaka</v>
      </c>
    </row>
    <row r="61">
      <c r="B61" s="21" t="b">
        <f>IFERROR(__xludf.DUMMYFUNCTION("""COMPUTED_VALUE"""),FALSE)</f>
        <v>0</v>
      </c>
      <c r="C61" s="21" t="str">
        <f>IFERROR(__xludf.DUMMYFUNCTION("""COMPUTED_VALUE"""),"Agoda")</f>
        <v>Agoda</v>
      </c>
      <c r="D61" s="4">
        <f>IFERROR(__xludf.DUMMYFUNCTION("""COMPUTED_VALUE"""),8.0)</f>
        <v>8</v>
      </c>
      <c r="E61" s="20">
        <f>IFERROR(__xludf.DUMMYFUNCTION("""COMPUTED_VALUE"""),46096.0)</f>
        <v>46096</v>
      </c>
      <c r="F61" s="4" t="str">
        <f>IFERROR(__xludf.DUMMYFUNCTION("""COMPUTED_VALUE"""),"駅から近くて、寝るだけの滞在にピッタリ！セルフコーヒーも嬉しいポイント♡")</f>
        <v>駅から近くて、寝るだけの滞在にピッタリ！セルフコーヒーも嬉しいポイント♡</v>
      </c>
      <c r="G61" s="4"/>
      <c r="H61" s="4"/>
      <c r="I61" s="4" t="str">
        <f>IFERROR(__xludf.DUMMYFUNCTION("""COMPUTED_VALUE"""),"駅から近くて、寝るだけの滞在にピッタリ！セルフコーヒーも嬉しいポイント♡")</f>
        <v>駅から近くて、寝るだけの滞在にピッタリ！セルフコーヒーも嬉しいポイント♡</v>
      </c>
      <c r="J61" s="4" t="str">
        <f>IFERROR(__xludf.DUMMYFUNCTION("""COMPUTED_VALUE"""),"")</f>
        <v/>
      </c>
      <c r="K61" s="4" t="str">
        <f>IFERROR(__xludf.DUMMYFUNCTION("""COMPUTED_VALUE"""),"")</f>
        <v/>
      </c>
      <c r="L61" s="4" t="str">
        <f>IFERROR(__xludf.DUMMYFUNCTION("""COMPUTED_VALUE"""),"YUKINO")</f>
        <v>YUKINO</v>
      </c>
      <c r="N61" s="21" t="b">
        <f>IFERROR(__xludf.DUMMYFUNCTION("""COMPUTED_VALUE"""),FALSE)</f>
        <v>0</v>
      </c>
      <c r="O61" s="21" t="str">
        <f>IFERROR(__xludf.DUMMYFUNCTION("""COMPUTED_VALUE"""),"Agoda")</f>
        <v>Agoda</v>
      </c>
      <c r="P61" s="21">
        <f>IFERROR(__xludf.DUMMYFUNCTION("""COMPUTED_VALUE"""),8.0)</f>
        <v>8</v>
      </c>
      <c r="Q61" s="22">
        <f>IFERROR(__xludf.DUMMYFUNCTION("""COMPUTED_VALUE"""),46096.0)</f>
        <v>46096</v>
      </c>
      <c r="R61" s="21" t="str">
        <f>IFERROR(__xludf.DUMMYFUNCTION("""COMPUTED_VALUE"""),"駅から近くて、寝るだけの滞在にピッタリ！セルフコーヒーも嬉しいポイント♡")</f>
        <v>駅から近くて、寝るだけの滞在にピッタリ！セルフコーヒーも嬉しいポイント♡</v>
      </c>
      <c r="S61" s="21"/>
      <c r="T61" s="21"/>
      <c r="U61" s="21" t="str">
        <f>IFERROR(__xludf.DUMMYFUNCTION("""COMPUTED_VALUE"""),"駅から近くて、寝るだけの滞在にピッタリ！セルフコーヒーも嬉しいポイント♡")</f>
        <v>駅から近くて、寝るだけの滞在にピッタリ！セルフコーヒーも嬉しいポイント♡</v>
      </c>
      <c r="V61" s="21" t="str">
        <f>IFERROR(__xludf.DUMMYFUNCTION("""COMPUTED_VALUE"""),"")</f>
        <v/>
      </c>
      <c r="W61" s="21" t="str">
        <f>IFERROR(__xludf.DUMMYFUNCTION("""COMPUTED_VALUE"""),"")</f>
        <v/>
      </c>
      <c r="X61" s="21" t="str">
        <f>IFERROR(__xludf.DUMMYFUNCTION("""COMPUTED_VALUE"""),"YUKINO")</f>
        <v>YUKINO</v>
      </c>
    </row>
    <row r="62">
      <c r="B62" s="21" t="b">
        <f>IFERROR(__xludf.DUMMYFUNCTION("""COMPUTED_VALUE"""),FALSE)</f>
        <v>0</v>
      </c>
      <c r="C62" s="19" t="str">
        <f>IFERROR(__xludf.DUMMYFUNCTION("""COMPUTED_VALUE"""),"Booking.com")</f>
        <v>Booking.com</v>
      </c>
      <c r="D62" s="4">
        <f>IFERROR(__xludf.DUMMYFUNCTION("""COMPUTED_VALUE"""),8.0)</f>
        <v>8</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IFERROR(__xludf.DUMMYFUNCTION("""COMPUTED_VALUE"""),"Thegolem")</f>
        <v>Thegolem</v>
      </c>
      <c r="N62" s="21" t="b">
        <f>IFERROR(__xludf.DUMMYFUNCTION("""COMPUTED_VALUE"""),FALSE)</f>
        <v>0</v>
      </c>
      <c r="O62" s="19" t="str">
        <f>IFERROR(__xludf.DUMMYFUNCTION("""COMPUTED_VALUE"""),"Booking.com")</f>
        <v>Booking.com</v>
      </c>
      <c r="P62" s="21">
        <f>IFERROR(__xludf.DUMMYFUNCTION("""COMPUTED_VALUE"""),8.0)</f>
        <v>8</v>
      </c>
      <c r="Q62" s="22">
        <f>IFERROR(__xludf.DUMMYFUNCTION("""COMPUTED_VALUE"""),46095.0)</f>
        <v>46095</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IFERROR(__xludf.DUMMYFUNCTION("""COMPUTED_VALUE"""),"Thegolem")</f>
        <v>Thegolem</v>
      </c>
    </row>
    <row r="63">
      <c r="B63" s="21" t="b">
        <f>IFERROR(__xludf.DUMMYFUNCTION("""COMPUTED_VALUE"""),FALSE)</f>
        <v>0</v>
      </c>
      <c r="C63" s="21" t="str">
        <f>IFERROR(__xludf.DUMMYFUNCTION("""COMPUTED_VALUE"""),"楽天トラベル")</f>
        <v>楽天トラベル</v>
      </c>
      <c r="D63" s="4">
        <f>IFERROR(__xludf.DUMMYFUNCTION("""COMPUTED_VALUE"""),5.0)</f>
        <v>5</v>
      </c>
      <c r="E63" s="20">
        <f>IFERROR(__xludf.DUMMYFUNCTION("""COMPUTED_VALUE"""),46095.0)</f>
        <v>46095</v>
      </c>
      <c r="F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3" s="4"/>
      <c r="H63" s="4"/>
      <c r="I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3" s="4" t="str">
        <f>IFERROR(__xludf.DUMMYFUNCTION("""COMPUTED_VALUE"""),"")</f>
        <v/>
      </c>
      <c r="K63" s="4" t="str">
        <f>IFERROR(__xludf.DUMMYFUNCTION("""COMPUTED_VALUE"""),"")</f>
        <v/>
      </c>
      <c r="L63" s="4" t="str">
        <f>IFERROR(__xludf.DUMMYFUNCTION("""COMPUTED_VALUE"""),"まみちゃん〜")</f>
        <v>まみちゃん〜</v>
      </c>
      <c r="N63" s="21" t="b">
        <f>IFERROR(__xludf.DUMMYFUNCTION("""COMPUTED_VALUE"""),FALSE)</f>
        <v>0</v>
      </c>
      <c r="O63" s="21" t="str">
        <f>IFERROR(__xludf.DUMMYFUNCTION("""COMPUTED_VALUE"""),"楽天トラベル")</f>
        <v>楽天トラベル</v>
      </c>
      <c r="P63" s="21">
        <f>IFERROR(__xludf.DUMMYFUNCTION("""COMPUTED_VALUE"""),5.0)</f>
        <v>5</v>
      </c>
      <c r="Q63" s="22">
        <f>IFERROR(__xludf.DUMMYFUNCTION("""COMPUTED_VALUE"""),46095.0)</f>
        <v>46095</v>
      </c>
      <c r="R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63" s="21"/>
      <c r="T63" s="21"/>
      <c r="U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63" s="21" t="str">
        <f>IFERROR(__xludf.DUMMYFUNCTION("""COMPUTED_VALUE"""),"")</f>
        <v/>
      </c>
      <c r="W63" s="21" t="str">
        <f>IFERROR(__xludf.DUMMYFUNCTION("""COMPUTED_VALUE"""),"")</f>
        <v/>
      </c>
      <c r="X63" s="21" t="str">
        <f>IFERROR(__xludf.DUMMYFUNCTION("""COMPUTED_VALUE"""),"まみちゃん〜")</f>
        <v>まみちゃん〜</v>
      </c>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IFERROR(__xludf.DUMMYFUNCTION("""COMPUTED_VALUE"""),46095.0)</f>
        <v>46095</v>
      </c>
      <c r="F64" s="4"/>
      <c r="G64"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4"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4" s="4" t="str">
        <f>IFERROR(__xludf.DUMMYFUNCTION("""COMPUTED_VALUE"""),"")</f>
        <v/>
      </c>
      <c r="J64"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4"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4" s="4" t="str">
        <f>IFERROR(__xludf.DUMMYFUNCTION("""COMPUTED_VALUE"""),"Chris")</f>
        <v>Chris</v>
      </c>
      <c r="N64" s="21" t="b">
        <f>IFERROR(__xludf.DUMMYFUNCTION("""COMPUTED_VALUE"""),FALSE)</f>
        <v>0</v>
      </c>
      <c r="O64" s="19" t="str">
        <f>IFERROR(__xludf.DUMMYFUNCTION("""COMPUTED_VALUE"""),"Booking.com")</f>
        <v>Booking.com</v>
      </c>
      <c r="P64" s="21">
        <f>IFERROR(__xludf.DUMMYFUNCTION("""COMPUTED_VALUE"""),6.0)</f>
        <v>6</v>
      </c>
      <c r="Q64" s="22">
        <f>IFERROR(__xludf.DUMMYFUNCTION("""COMPUTED_VALUE"""),46095.0)</f>
        <v>46095</v>
      </c>
      <c r="R64" s="21"/>
      <c r="S64"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64"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64" s="21" t="str">
        <f>IFERROR(__xludf.DUMMYFUNCTION("""COMPUTED_VALUE"""),"")</f>
        <v/>
      </c>
      <c r="V64"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64"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64" s="21" t="str">
        <f>IFERROR(__xludf.DUMMYFUNCTION("""COMPUTED_VALUE"""),"Chris")</f>
        <v>Chris</v>
      </c>
    </row>
    <row r="65">
      <c r="B65" s="21" t="b">
        <f>IFERROR(__xludf.DUMMYFUNCTION("""COMPUTED_VALUE"""),FALSE)</f>
        <v>0</v>
      </c>
      <c r="C65" s="21" t="str">
        <f>IFERROR(__xludf.DUMMYFUNCTION("""COMPUTED_VALUE"""),"Google")</f>
        <v>Google</v>
      </c>
      <c r="D65" s="4">
        <f>IFERROR(__xludf.DUMMYFUNCTION("""COMPUTED_VALUE"""),4.0)</f>
        <v>4</v>
      </c>
      <c r="E65" s="20">
        <f>IFERROR(__xludf.DUMMYFUNCTION("""COMPUTED_VALUE"""),46094.0)</f>
        <v>46094</v>
      </c>
      <c r="F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5" s="4"/>
      <c r="H65" s="4"/>
      <c r="I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5" s="4" t="str">
        <f>IFERROR(__xludf.DUMMYFUNCTION("""COMPUTED_VALUE"""),"")</f>
        <v/>
      </c>
      <c r="K65" s="4" t="str">
        <f>IFERROR(__xludf.DUMMYFUNCTION("""COMPUTED_VALUE"""),"")</f>
        <v/>
      </c>
      <c r="L65" s="4" t="str">
        <f>IFERROR(__xludf.DUMMYFUNCTION("""COMPUTED_VALUE"""),"Don Kelone")</f>
        <v>Don Kelone</v>
      </c>
      <c r="N65" s="21" t="b">
        <f>IFERROR(__xludf.DUMMYFUNCTION("""COMPUTED_VALUE"""),FALSE)</f>
        <v>0</v>
      </c>
      <c r="O65" s="21" t="str">
        <f>IFERROR(__xludf.DUMMYFUNCTION("""COMPUTED_VALUE"""),"Google")</f>
        <v>Google</v>
      </c>
      <c r="P65" s="21">
        <f>IFERROR(__xludf.DUMMYFUNCTION("""COMPUTED_VALUE"""),4.0)</f>
        <v>4</v>
      </c>
      <c r="Q65" s="22">
        <f>IFERROR(__xludf.DUMMYFUNCTION("""COMPUTED_VALUE"""),46094.0)</f>
        <v>46094</v>
      </c>
      <c r="R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65" s="21"/>
      <c r="T65" s="21"/>
      <c r="U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65" s="21" t="str">
        <f>IFERROR(__xludf.DUMMYFUNCTION("""COMPUTED_VALUE"""),"")</f>
        <v/>
      </c>
      <c r="W65" s="21" t="str">
        <f>IFERROR(__xludf.DUMMYFUNCTION("""COMPUTED_VALUE"""),"")</f>
        <v/>
      </c>
      <c r="X65" s="21" t="str">
        <f>IFERROR(__xludf.DUMMYFUNCTION("""COMPUTED_VALUE"""),"Don Kelone")</f>
        <v>Don Kelone</v>
      </c>
    </row>
    <row r="66">
      <c r="B66" s="21" t="b">
        <f>IFERROR(__xludf.DUMMYFUNCTION("""COMPUTED_VALUE"""),FALSE)</f>
        <v>0</v>
      </c>
      <c r="C66" s="19" t="str">
        <f>IFERROR(__xludf.DUMMYFUNCTION("""COMPUTED_VALUE"""),"Booking.com")</f>
        <v>Booking.com</v>
      </c>
      <c r="D66" s="4">
        <f>IFERROR(__xludf.DUMMYFUNCTION("""COMPUTED_VALUE"""),7.0)</f>
        <v>7</v>
      </c>
      <c r="E66" s="20">
        <f>IFERROR(__xludf.DUMMYFUNCTION("""COMPUTED_VALUE"""),46094.0)</f>
        <v>46094</v>
      </c>
      <c r="F66" s="4"/>
      <c r="G66" s="4" t="str">
        <f>IFERROR(__xludf.DUMMYFUNCTION("""COMPUTED_VALUE"""),"Posizione attaccata alla metro  Dimensione spaziosa delle camere Pulizia Amenities (pigiama, ciabatte etc)")</f>
        <v>Posizione attaccata alla metro  Dimensione spaziosa delle camere Pulizia Amenities (pigiama, ciabatte etc)</v>
      </c>
      <c r="H66" s="4" t="str">
        <f>IFERROR(__xludf.DUMMYFUNCTION("""COMPUTED_VALUE"""),"No bottigliette d’acqua complimentary")</f>
        <v>No bottigliette d’acqua complimentary</v>
      </c>
      <c r="I66" s="4" t="str">
        <f>IFERROR(__xludf.DUMMYFUNCTION("""COMPUTED_VALUE"""),"")</f>
        <v/>
      </c>
      <c r="J66" s="4" t="str">
        <f>IFERROR(__xludf.DUMMYFUNCTION("""COMPUTED_VALUE"""),"地下鉄駅に近い立地 広々とした部屋 清潔さ アメニティ（パジャマ、スリッパなど）")</f>
        <v>地下鉄駅に近い立地 広々とした部屋 清潔さ アメニティ（パジャマ、スリッパなど）</v>
      </c>
      <c r="K66" s="4" t="str">
        <f>IFERROR(__xludf.DUMMYFUNCTION("""COMPUTED_VALUE"""),"無料のウォーターボトルはありません")</f>
        <v>無料のウォーターボトルはありません</v>
      </c>
      <c r="L66" s="4" t="str">
        <f>IFERROR(__xludf.DUMMYFUNCTION("""COMPUTED_VALUE"""),"Cristiana")</f>
        <v>Cristiana</v>
      </c>
      <c r="N66" s="21" t="b">
        <f>IFERROR(__xludf.DUMMYFUNCTION("""COMPUTED_VALUE"""),FALSE)</f>
        <v>0</v>
      </c>
      <c r="O66" s="19" t="str">
        <f>IFERROR(__xludf.DUMMYFUNCTION("""COMPUTED_VALUE"""),"Booking.com")</f>
        <v>Booking.com</v>
      </c>
      <c r="P66" s="21">
        <f>IFERROR(__xludf.DUMMYFUNCTION("""COMPUTED_VALUE"""),7.0)</f>
        <v>7</v>
      </c>
      <c r="Q66" s="22">
        <f>IFERROR(__xludf.DUMMYFUNCTION("""COMPUTED_VALUE"""),46094.0)</f>
        <v>46094</v>
      </c>
      <c r="R66" s="21"/>
      <c r="S66" s="21" t="str">
        <f>IFERROR(__xludf.DUMMYFUNCTION("""COMPUTED_VALUE"""),"Posizione attaccata alla metro  Dimensione spaziosa delle camere Pulizia Amenities (pigiama, ciabatte etc)")</f>
        <v>Posizione attaccata alla metro  Dimensione spaziosa delle camere Pulizia Amenities (pigiama, ciabatte etc)</v>
      </c>
      <c r="T66" s="21" t="str">
        <f>IFERROR(__xludf.DUMMYFUNCTION("""COMPUTED_VALUE"""),"No bottigliette d’acqua complimentary")</f>
        <v>No bottigliette d’acqua complimentary</v>
      </c>
      <c r="U66" s="21" t="str">
        <f>IFERROR(__xludf.DUMMYFUNCTION("""COMPUTED_VALUE"""),"")</f>
        <v/>
      </c>
      <c r="V66" s="21" t="str">
        <f>IFERROR(__xludf.DUMMYFUNCTION("""COMPUTED_VALUE"""),"地下鉄駅に近い立地 広々とした部屋 清潔さ アメニティ（パジャマ、スリッパなど）")</f>
        <v>地下鉄駅に近い立地 広々とした部屋 清潔さ アメニティ（パジャマ、スリッパなど）</v>
      </c>
      <c r="W66" s="21" t="str">
        <f>IFERROR(__xludf.DUMMYFUNCTION("""COMPUTED_VALUE"""),"無料のウォーターボトルはありません")</f>
        <v>無料のウォーターボトルはありません</v>
      </c>
      <c r="X66" s="21" t="str">
        <f>IFERROR(__xludf.DUMMYFUNCTION("""COMPUTED_VALUE"""),"Cristiana")</f>
        <v>Cristiana</v>
      </c>
    </row>
    <row r="67">
      <c r="B67" s="21" t="b">
        <f>IFERROR(__xludf.DUMMYFUNCTION("""COMPUTED_VALUE"""),FALSE)</f>
        <v>0</v>
      </c>
      <c r="C67" s="21" t="str">
        <f>IFERROR(__xludf.DUMMYFUNCTION("""COMPUTED_VALUE"""),"Agoda")</f>
        <v>Agoda</v>
      </c>
      <c r="D67" s="4">
        <f>IFERROR(__xludf.DUMMYFUNCTION("""COMPUTED_VALUE"""),8.0)</f>
        <v>8</v>
      </c>
      <c r="E67" s="20">
        <f>IFERROR(__xludf.DUMMYFUNCTION("""COMPUTED_VALUE"""),46094.0)</f>
        <v>46094</v>
      </c>
      <c r="F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67" s="4"/>
      <c r="H67" s="4"/>
      <c r="I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67" s="4" t="str">
        <f>IFERROR(__xludf.DUMMYFUNCTION("""COMPUTED_VALUE"""),"")</f>
        <v/>
      </c>
      <c r="K67" s="4" t="str">
        <f>IFERROR(__xludf.DUMMYFUNCTION("""COMPUTED_VALUE"""),"")</f>
        <v/>
      </c>
      <c r="L67" s="4" t="str">
        <f>IFERROR(__xludf.DUMMYFUNCTION("""COMPUTED_VALUE"""),"Aya")</f>
        <v>Aya</v>
      </c>
      <c r="N67" s="21" t="b">
        <f>IFERROR(__xludf.DUMMYFUNCTION("""COMPUTED_VALUE"""),FALSE)</f>
        <v>0</v>
      </c>
      <c r="O67" s="21" t="str">
        <f>IFERROR(__xludf.DUMMYFUNCTION("""COMPUTED_VALUE"""),"Agoda")</f>
        <v>Agoda</v>
      </c>
      <c r="P67" s="21">
        <f>IFERROR(__xludf.DUMMYFUNCTION("""COMPUTED_VALUE"""),8.0)</f>
        <v>8</v>
      </c>
      <c r="Q67" s="22">
        <f>IFERROR(__xludf.DUMMYFUNCTION("""COMPUTED_VALUE"""),46094.0)</f>
        <v>46094</v>
      </c>
      <c r="R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67" s="21"/>
      <c r="T67" s="21"/>
      <c r="U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67" s="21" t="str">
        <f>IFERROR(__xludf.DUMMYFUNCTION("""COMPUTED_VALUE"""),"")</f>
        <v/>
      </c>
      <c r="W67" s="21" t="str">
        <f>IFERROR(__xludf.DUMMYFUNCTION("""COMPUTED_VALUE"""),"")</f>
        <v/>
      </c>
      <c r="X67" s="21" t="str">
        <f>IFERROR(__xludf.DUMMYFUNCTION("""COMPUTED_VALUE"""),"Aya")</f>
        <v>Aya</v>
      </c>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IFERROR(__xludf.DUMMYFUNCTION("""COMPUTED_VALUE"""),"Kuang")</f>
        <v>Kuang</v>
      </c>
      <c r="N68" s="21" t="b">
        <f>IFERROR(__xludf.DUMMYFUNCTION("""COMPUTED_VALUE"""),FALSE)</f>
        <v>0</v>
      </c>
      <c r="O68" s="19" t="str">
        <f>IFERROR(__xludf.DUMMYFUNCTION("""COMPUTED_VALUE"""),"Booking.com")</f>
        <v>Booking.com</v>
      </c>
      <c r="P68" s="21">
        <f>IFERROR(__xludf.DUMMYFUNCTION("""COMPUTED_VALUE"""),8.0)</f>
        <v>8</v>
      </c>
      <c r="Q68" s="22">
        <f>IFERROR(__xludf.DUMMYFUNCTION("""COMPUTED_VALUE"""),46093.0)</f>
        <v>46093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IFERROR(__xludf.DUMMYFUNCTION("""COMPUTED_VALUE"""),"Kuang")</f>
        <v>Kuang</v>
      </c>
    </row>
    <row r="69">
      <c r="B69" s="21" t="b">
        <f>IFERROR(__xludf.DUMMYFUNCTION("""COMPUTED_VALUE"""),FALSE)</f>
        <v>0</v>
      </c>
      <c r="C69" s="21" t="str">
        <f>IFERROR(__xludf.DUMMYFUNCTION("""COMPUTED_VALUE"""),"じゃらん")</f>
        <v>じゃらん</v>
      </c>
      <c r="D69" s="4">
        <f>IFERROR(__xludf.DUMMYFUNCTION("""COMPUTED_VALUE"""),5.0)</f>
        <v>5</v>
      </c>
      <c r="E69" s="20">
        <f>IFERROR(__xludf.DUMMYFUNCTION("""COMPUTED_VALUE"""),46093.0)</f>
        <v>46093</v>
      </c>
      <c r="F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69" s="4"/>
      <c r="H69" s="4"/>
      <c r="I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69" s="4" t="str">
        <f>IFERROR(__xludf.DUMMYFUNCTION("""COMPUTED_VALUE"""),"")</f>
        <v/>
      </c>
      <c r="K69" s="4" t="str">
        <f>IFERROR(__xludf.DUMMYFUNCTION("""COMPUTED_VALUE"""),"")</f>
        <v/>
      </c>
      <c r="L69" s="4" t="str">
        <f>IFERROR(__xludf.DUMMYFUNCTION("""COMPUTED_VALUE"""),"みささん")</f>
        <v>みささん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IFERROR(__xludf.DUMMYFUNCTION("""COMPUTED_VALUE"""),46093.0)</f>
        <v>46093</v>
      </c>
      <c r="R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69" s="21"/>
      <c r="T69" s="21"/>
      <c r="U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69" s="21" t="str">
        <f>IFERROR(__xludf.DUMMYFUNCTION("""COMPUTED_VALUE"""),"")</f>
        <v/>
      </c>
      <c r="W69" s="21" t="str">
        <f>IFERROR(__xludf.DUMMYFUNCTION("""COMPUTED_VALUE"""),"")</f>
        <v/>
      </c>
      <c r="X69" s="21" t="str">
        <f>IFERROR(__xludf.DUMMYFUNCTION("""COMPUTED_VALUE"""),"みささん")</f>
        <v>みささん</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IFERROR(__xludf.DUMMYFUNCTION("""COMPUTED_VALUE"""),46092.0)</f>
        <v>46092</v>
      </c>
      <c r="F70" s="4"/>
      <c r="G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0" s="4"/>
      <c r="I70" s="4" t="str">
        <f>IFERROR(__xludf.DUMMYFUNCTION("""COMPUTED_VALUE"""),"")</f>
        <v/>
      </c>
      <c r="J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0" s="4" t="str">
        <f>IFERROR(__xludf.DUMMYFUNCTION("""COMPUTED_VALUE"""),"")</f>
        <v/>
      </c>
      <c r="L70" s="4" t="str">
        <f>IFERROR(__xludf.DUMMYFUNCTION("""COMPUTED_VALUE"""),"Akiko")</f>
        <v>Akiko</v>
      </c>
      <c r="N70" s="21" t="b">
        <f>IFERROR(__xludf.DUMMYFUNCTION("""COMPUTED_VALUE"""),FALSE)</f>
        <v>0</v>
      </c>
      <c r="O70" s="19" t="str">
        <f>IFERROR(__xludf.DUMMYFUNCTION("""COMPUTED_VALUE"""),"Booking.com")</f>
        <v>Booking.com</v>
      </c>
      <c r="P70" s="21">
        <f>IFERROR(__xludf.DUMMYFUNCTION("""COMPUTED_VALUE"""),8.0)</f>
        <v>8</v>
      </c>
      <c r="Q70" s="22">
        <f>IFERROR(__xludf.DUMMYFUNCTION("""COMPUTED_VALUE"""),46092.0)</f>
        <v>46092</v>
      </c>
      <c r="R70" s="21"/>
      <c r="S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70" s="21"/>
      <c r="U70" s="21" t="str">
        <f>IFERROR(__xludf.DUMMYFUNCTION("""COMPUTED_VALUE"""),"")</f>
        <v/>
      </c>
      <c r="V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70" s="21" t="str">
        <f>IFERROR(__xludf.DUMMYFUNCTION("""COMPUTED_VALUE"""),"")</f>
        <v/>
      </c>
      <c r="X70" s="21" t="str">
        <f>IFERROR(__xludf.DUMMYFUNCTION("""COMPUTED_VALUE"""),"Akiko")</f>
        <v>Akiko</v>
      </c>
    </row>
    <row r="71">
      <c r="B71" s="21" t="b">
        <f>IFERROR(__xludf.DUMMYFUNCTION("""COMPUTED_VALUE"""),FALSE)</f>
        <v>0</v>
      </c>
      <c r="C71" s="19" t="str">
        <f>IFERROR(__xludf.DUMMYFUNCTION("""COMPUTED_VALUE"""),"Booking.com")</f>
        <v>Booking.com</v>
      </c>
      <c r="D71" s="4">
        <f>IFERROR(__xludf.DUMMYFUNCTION("""COMPUTED_VALUE"""),7.0)</f>
        <v>7</v>
      </c>
      <c r="E71" s="20">
        <f>IFERROR(__xludf.DUMMYFUNCTION("""COMPUTED_VALUE"""),46092.0)</f>
        <v>46092</v>
      </c>
      <c r="F71" s="4"/>
      <c r="G71" s="4" t="str">
        <f>IFERROR(__xludf.DUMMYFUNCTION("""COMPUTED_VALUE"""),"Location, pillows, shower")</f>
        <v>Location, pillows, shower</v>
      </c>
      <c r="H71" s="4" t="str">
        <f>IFERROR(__xludf.DUMMYFUNCTION("""COMPUTED_VALUE"""),"Not so clean.")</f>
        <v>Not so clean.</v>
      </c>
      <c r="I71" s="4" t="str">
        <f>IFERROR(__xludf.DUMMYFUNCTION("""COMPUTED_VALUE"""),"")</f>
        <v/>
      </c>
      <c r="J71" s="4" t="str">
        <f>IFERROR(__xludf.DUMMYFUNCTION("""COMPUTED_VALUE"""),"立地、枕、シャワー")</f>
        <v>立地、枕、シャワー</v>
      </c>
      <c r="K71" s="4" t="str">
        <f>IFERROR(__xludf.DUMMYFUNCTION("""COMPUTED_VALUE"""),"あまり清潔ではない。")</f>
        <v>あまり清潔ではない。</v>
      </c>
      <c r="L71" s="4" t="str">
        <f>IFERROR(__xludf.DUMMYFUNCTION("""COMPUTED_VALUE"""),"Pia")</f>
        <v>Pia</v>
      </c>
      <c r="N71" s="21" t="b">
        <f>IFERROR(__xludf.DUMMYFUNCTION("""COMPUTED_VALUE"""),FALSE)</f>
        <v>0</v>
      </c>
      <c r="O71" s="19" t="str">
        <f>IFERROR(__xludf.DUMMYFUNCTION("""COMPUTED_VALUE"""),"Booking.com")</f>
        <v>Booking.com</v>
      </c>
      <c r="P71" s="21">
        <f>IFERROR(__xludf.DUMMYFUNCTION("""COMPUTED_VALUE"""),7.0)</f>
        <v>7</v>
      </c>
      <c r="Q71" s="22">
        <f>IFERROR(__xludf.DUMMYFUNCTION("""COMPUTED_VALUE"""),46092.0)</f>
        <v>46092</v>
      </c>
      <c r="R71" s="21"/>
      <c r="S71" s="21" t="str">
        <f>IFERROR(__xludf.DUMMYFUNCTION("""COMPUTED_VALUE"""),"Location, pillows, shower")</f>
        <v>Location, pillows, shower</v>
      </c>
      <c r="T71" s="21" t="str">
        <f>IFERROR(__xludf.DUMMYFUNCTION("""COMPUTED_VALUE"""),"Not so clean.")</f>
        <v>Not so clean.</v>
      </c>
      <c r="U71" s="21" t="str">
        <f>IFERROR(__xludf.DUMMYFUNCTION("""COMPUTED_VALUE"""),"")</f>
        <v/>
      </c>
      <c r="V71" s="21" t="str">
        <f>IFERROR(__xludf.DUMMYFUNCTION("""COMPUTED_VALUE"""),"立地、枕、シャワー")</f>
        <v>立地、枕、シャワー</v>
      </c>
      <c r="W71" s="21" t="str">
        <f>IFERROR(__xludf.DUMMYFUNCTION("""COMPUTED_VALUE"""),"あまり清潔ではない。")</f>
        <v>あまり清潔ではない。</v>
      </c>
      <c r="X71" s="21" t="str">
        <f>IFERROR(__xludf.DUMMYFUNCTION("""COMPUTED_VALUE"""),"Pia")</f>
        <v>Pia</v>
      </c>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IFERROR(__xludf.DUMMYFUNCTION("""COMPUTED_VALUE"""),46091.0)</f>
        <v>46091</v>
      </c>
      <c r="F72" s="4"/>
      <c r="G72"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2" s="4" t="str">
        <f>IFERROR(__xludf.DUMMYFUNCTION("""COMPUTED_VALUE"""),"都很滿意")</f>
        <v>都很滿意</v>
      </c>
      <c r="I72" s="4" t="str">
        <f>IFERROR(__xludf.DUMMYFUNCTION("""COMPUTED_VALUE"""),"")</f>
        <v/>
      </c>
      <c r="J72"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2" s="4" t="str">
        <f>IFERROR(__xludf.DUMMYFUNCTION("""COMPUTED_VALUE"""),"大変満足しています")</f>
        <v>大変満足しています</v>
      </c>
      <c r="L72" s="4" t="str">
        <f>IFERROR(__xludf.DUMMYFUNCTION("""COMPUTED_VALUE"""),"彥志")</f>
        <v>彥志</v>
      </c>
      <c r="N72" s="21" t="b">
        <f>IFERROR(__xludf.DUMMYFUNCTION("""COMPUTED_VALUE"""),FALSE)</f>
        <v>0</v>
      </c>
      <c r="O72" s="19" t="str">
        <f>IFERROR(__xludf.DUMMYFUNCTION("""COMPUTED_VALUE"""),"Booking.com")</f>
        <v>Booking.com</v>
      </c>
      <c r="P72" s="21">
        <f>IFERROR(__xludf.DUMMYFUNCTION("""COMPUTED_VALUE"""),9.0)</f>
        <v>9</v>
      </c>
      <c r="Q72" s="22">
        <f>IFERROR(__xludf.DUMMYFUNCTION("""COMPUTED_VALUE"""),46091.0)</f>
        <v>46091</v>
      </c>
      <c r="R72" s="21"/>
      <c r="S72"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72" s="21" t="str">
        <f>IFERROR(__xludf.DUMMYFUNCTION("""COMPUTED_VALUE"""),"都很滿意")</f>
        <v>都很滿意</v>
      </c>
      <c r="U72" s="21" t="str">
        <f>IFERROR(__xludf.DUMMYFUNCTION("""COMPUTED_VALUE"""),"")</f>
        <v/>
      </c>
      <c r="V72"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72" s="21" t="str">
        <f>IFERROR(__xludf.DUMMYFUNCTION("""COMPUTED_VALUE"""),"大変満足しています")</f>
        <v>大変満足しています</v>
      </c>
      <c r="X72" s="21" t="str">
        <f>IFERROR(__xludf.DUMMYFUNCTION("""COMPUTED_VALUE"""),"彥志")</f>
        <v>彥志</v>
      </c>
    </row>
    <row r="73">
      <c r="B73" s="21" t="b">
        <f>IFERROR(__xludf.DUMMYFUNCTION("""COMPUTED_VALUE"""),FALSE)</f>
        <v>0</v>
      </c>
      <c r="C73" s="21" t="str">
        <f>IFERROR(__xludf.DUMMYFUNCTION("""COMPUTED_VALUE"""),"楽天トラベル")</f>
        <v>楽天トラベル</v>
      </c>
      <c r="D73" s="4">
        <f>IFERROR(__xludf.DUMMYFUNCTION("""COMPUTED_VALUE"""),5.0)</f>
        <v>5</v>
      </c>
      <c r="E73" s="20">
        <f>IFERROR(__xludf.DUMMYFUNCTION("""COMPUTED_VALUE"""),46091.0)</f>
        <v>46091</v>
      </c>
      <c r="F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3" s="4"/>
      <c r="H73" s="4"/>
      <c r="I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3" s="4" t="str">
        <f>IFERROR(__xludf.DUMMYFUNCTION("""COMPUTED_VALUE"""),"")</f>
        <v/>
      </c>
      <c r="K73" s="4" t="str">
        <f>IFERROR(__xludf.DUMMYFUNCTION("""COMPUTED_VALUE"""),"")</f>
        <v/>
      </c>
      <c r="L73" s="4" t="str">
        <f>IFERROR(__xludf.DUMMYFUNCTION("""COMPUTED_VALUE"""),"ごろくあ")</f>
        <v>ごろくあ</v>
      </c>
      <c r="N73" s="21" t="b">
        <f>IFERROR(__xludf.DUMMYFUNCTION("""COMPUTED_VALUE"""),FALSE)</f>
        <v>0</v>
      </c>
      <c r="O73" s="21" t="str">
        <f>IFERROR(__xludf.DUMMYFUNCTION("""COMPUTED_VALUE"""),"楽天トラベル")</f>
        <v>楽天トラベル</v>
      </c>
      <c r="P73" s="21">
        <f>IFERROR(__xludf.DUMMYFUNCTION("""COMPUTED_VALUE"""),5.0)</f>
        <v>5</v>
      </c>
      <c r="Q73" s="22">
        <f>IFERROR(__xludf.DUMMYFUNCTION("""COMPUTED_VALUE"""),46091.0)</f>
        <v>46091</v>
      </c>
      <c r="R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73" s="21"/>
      <c r="T73" s="21"/>
      <c r="U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73" s="21" t="str">
        <f>IFERROR(__xludf.DUMMYFUNCTION("""COMPUTED_VALUE"""),"")</f>
        <v/>
      </c>
      <c r="W73" s="21" t="str">
        <f>IFERROR(__xludf.DUMMYFUNCTION("""COMPUTED_VALUE"""),"")</f>
        <v/>
      </c>
      <c r="X73" s="21" t="str">
        <f>IFERROR(__xludf.DUMMYFUNCTION("""COMPUTED_VALUE"""),"ごろくあ")</f>
        <v>ごろくあ</v>
      </c>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IFERROR(__xludf.DUMMYFUNCTION("""COMPUTED_VALUE"""),46089.0)</f>
        <v>46089</v>
      </c>
      <c r="F74" s="4"/>
      <c r="G74" s="4" t="str">
        <f>IFERROR(__xludf.DUMMYFUNCTION("""COMPUTED_VALUE"""),"Su ubicación es excelente. Nos sentimos muy a gusto en todo momento!")</f>
        <v>Su ubicación es excelente. Nos sentimos muy a gusto en todo momento!</v>
      </c>
      <c r="H74" s="4" t="str">
        <f>IFERROR(__xludf.DUMMYFUNCTION("""COMPUTED_VALUE"""),"-")</f>
        <v>-</v>
      </c>
      <c r="I74" s="4" t="str">
        <f>IFERROR(__xludf.DUMMYFUNCTION("""COMPUTED_VALUE"""),"")</f>
        <v/>
      </c>
      <c r="J74" s="4" t="str">
        <f>IFERROR(__xludf.DUMMYFUNCTION("""COMPUTED_VALUE"""),"立地が最高でした。滞在中ずっととても快適に過ごせました！")</f>
        <v>立地が最高でした。滞在中ずっととても快適に過ごせました！</v>
      </c>
      <c r="K74" s="4" t="str">
        <f>IFERROR(__xludf.DUMMYFUNCTION("""COMPUTED_VALUE"""),"-")</f>
        <v>-</v>
      </c>
      <c r="L74" s="4" t="str">
        <f>IFERROR(__xludf.DUMMYFUNCTION("""COMPUTED_VALUE"""),"Ivanna")</f>
        <v>Ivanna</v>
      </c>
      <c r="N74" s="21" t="b">
        <f>IFERROR(__xludf.DUMMYFUNCTION("""COMPUTED_VALUE"""),FALSE)</f>
        <v>0</v>
      </c>
      <c r="O74" s="19" t="str">
        <f>IFERROR(__xludf.DUMMYFUNCTION("""COMPUTED_VALUE"""),"Booking.com")</f>
        <v>Booking.com</v>
      </c>
      <c r="P74" s="21">
        <f>IFERROR(__xludf.DUMMYFUNCTION("""COMPUTED_VALUE"""),10.0)</f>
        <v>10</v>
      </c>
      <c r="Q74" s="22">
        <f>IFERROR(__xludf.DUMMYFUNCTION("""COMPUTED_VALUE"""),46089.0)</f>
        <v>46089</v>
      </c>
      <c r="R74" s="21"/>
      <c r="S74" s="21" t="str">
        <f>IFERROR(__xludf.DUMMYFUNCTION("""COMPUTED_VALUE"""),"Su ubicación es excelente. Nos sentimos muy a gusto en todo momento!")</f>
        <v>Su ubicación es excelente. Nos sentimos muy a gusto en todo momento!</v>
      </c>
      <c r="T74" s="21" t="str">
        <f>IFERROR(__xludf.DUMMYFUNCTION("""COMPUTED_VALUE"""),"-")</f>
        <v>-</v>
      </c>
      <c r="U74" s="21" t="str">
        <f>IFERROR(__xludf.DUMMYFUNCTION("""COMPUTED_VALUE"""),"")</f>
        <v/>
      </c>
      <c r="V74" s="21" t="str">
        <f>IFERROR(__xludf.DUMMYFUNCTION("""COMPUTED_VALUE"""),"立地が最高でした。滞在中ずっととても快適に過ごせました！")</f>
        <v>立地が最高でした。滞在中ずっととても快適に過ごせました！</v>
      </c>
      <c r="W74" s="21" t="str">
        <f>IFERROR(__xludf.DUMMYFUNCTION("""COMPUTED_VALUE"""),"-")</f>
        <v>-</v>
      </c>
      <c r="X74" s="21" t="str">
        <f>IFERROR(__xludf.DUMMYFUNCTION("""COMPUTED_VALUE"""),"Ivanna")</f>
        <v>Ivanna</v>
      </c>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IFERROR(__xludf.DUMMYFUNCTION("""COMPUTED_VALUE"""),46089.0)</f>
        <v>46089</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IFERROR(__xludf.DUMMYFUNCTION("""COMPUTED_VALUE"""),"Khalil")</f>
        <v>Khalil</v>
      </c>
      <c r="N75" s="21" t="b">
        <f>IFERROR(__xludf.DUMMYFUNCTION("""COMPUTED_VALUE"""),FALSE)</f>
        <v>0</v>
      </c>
      <c r="O75" s="19" t="str">
        <f>IFERROR(__xludf.DUMMYFUNCTION("""COMPUTED_VALUE"""),"Booking.com")</f>
        <v>Booking.com</v>
      </c>
      <c r="P75" s="21">
        <f>IFERROR(__xludf.DUMMYFUNCTION("""COMPUTED_VALUE"""),8.0)</f>
        <v>8</v>
      </c>
      <c r="Q75" s="22">
        <f>IFERROR(__xludf.DUMMYFUNCTION("""COMPUTED_VALUE"""),46089.0)</f>
        <v>46089</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IFERROR(__xludf.DUMMYFUNCTION("""COMPUTED_VALUE"""),"Khalil")</f>
        <v>Khalil</v>
      </c>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IFERROR(__xludf.DUMMYFUNCTION("""COMPUTED_VALUE"""),46089.0)</f>
        <v>46089</v>
      </c>
      <c r="F76" s="4"/>
      <c r="G76" s="4" t="str">
        <f>IFERROR(__xludf.DUMMYFUNCTION("""COMPUTED_VALUE"""),"Clean and tidy and the staff were very helpful.")</f>
        <v>Clean and tidy and the staff were very helpful.</v>
      </c>
      <c r="H76" s="4"/>
      <c r="I76" s="4" t="str">
        <f>IFERROR(__xludf.DUMMYFUNCTION("""COMPUTED_VALUE"""),"")</f>
        <v/>
      </c>
      <c r="J76" s="4" t="str">
        <f>IFERROR(__xludf.DUMMYFUNCTION("""COMPUTED_VALUE"""),"清潔で整頓されていて、スタッフの方々もとても親切でした。")</f>
        <v>清潔で整頓されていて、スタッフの方々もとても親切でした。</v>
      </c>
      <c r="K76" s="4" t="str">
        <f>IFERROR(__xludf.DUMMYFUNCTION("""COMPUTED_VALUE"""),"")</f>
        <v/>
      </c>
      <c r="L76" s="4" t="str">
        <f>IFERROR(__xludf.DUMMYFUNCTION("""COMPUTED_VALUE"""),"Stephanie")</f>
        <v>Stephanie</v>
      </c>
      <c r="N76" s="21" t="b">
        <f>IFERROR(__xludf.DUMMYFUNCTION("""COMPUTED_VALUE"""),FALSE)</f>
        <v>0</v>
      </c>
      <c r="O76" s="19" t="str">
        <f>IFERROR(__xludf.DUMMYFUNCTION("""COMPUTED_VALUE"""),"Booking.com")</f>
        <v>Booking.com</v>
      </c>
      <c r="P76" s="21">
        <f>IFERROR(__xludf.DUMMYFUNCTION("""COMPUTED_VALUE"""),9.0)</f>
        <v>9</v>
      </c>
      <c r="Q76" s="22">
        <f>IFERROR(__xludf.DUMMYFUNCTION("""COMPUTED_VALUE"""),46089.0)</f>
        <v>46089</v>
      </c>
      <c r="R76" s="21"/>
      <c r="S76" s="21" t="str">
        <f>IFERROR(__xludf.DUMMYFUNCTION("""COMPUTED_VALUE"""),"Clean and tidy and the staff were very helpful.")</f>
        <v>Clean and tidy and the staff were very helpful.</v>
      </c>
      <c r="T76" s="21"/>
      <c r="U76" s="21" t="str">
        <f>IFERROR(__xludf.DUMMYFUNCTION("""COMPUTED_VALUE"""),"")</f>
        <v/>
      </c>
      <c r="V76" s="21" t="str">
        <f>IFERROR(__xludf.DUMMYFUNCTION("""COMPUTED_VALUE"""),"清潔で整頓されていて、スタッフの方々もとても親切でした。")</f>
        <v>清潔で整頓されていて、スタッフの方々もとても親切でした。</v>
      </c>
      <c r="W76" s="21" t="str">
        <f>IFERROR(__xludf.DUMMYFUNCTION("""COMPUTED_VALUE"""),"")</f>
        <v/>
      </c>
      <c r="X76" s="21" t="str">
        <f>IFERROR(__xludf.DUMMYFUNCTION("""COMPUTED_VALUE"""),"Stephanie")</f>
        <v>Stephanie</v>
      </c>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IFERROR(__xludf.DUMMYFUNCTION("""COMPUTED_VALUE"""),46088.0)</f>
        <v>46088</v>
      </c>
      <c r="F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77" s="4"/>
      <c r="H77" s="4"/>
      <c r="I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77" s="4" t="str">
        <f>IFERROR(__xludf.DUMMYFUNCTION("""COMPUTED_VALUE"""),"")</f>
        <v/>
      </c>
      <c r="K77" s="4" t="str">
        <f>IFERROR(__xludf.DUMMYFUNCTION("""COMPUTED_VALUE"""),"")</f>
        <v/>
      </c>
      <c r="L77" s="4" t="str">
        <f>IFERROR(__xludf.DUMMYFUNCTION("""COMPUTED_VALUE"""),"とまとまとま")</f>
        <v>とまとまとま</v>
      </c>
      <c r="N77" s="21" t="b">
        <f>IFERROR(__xludf.DUMMYFUNCTION("""COMPUTED_VALUE"""),FALSE)</f>
        <v>0</v>
      </c>
      <c r="O77" s="21" t="str">
        <f>IFERROR(__xludf.DUMMYFUNCTION("""COMPUTED_VALUE"""),"楽天トラベル")</f>
        <v>楽天トラベル</v>
      </c>
      <c r="P77" s="21">
        <f>IFERROR(__xludf.DUMMYFUNCTION("""COMPUTED_VALUE"""),4.0)</f>
        <v>4</v>
      </c>
      <c r="Q77" s="22">
        <f>IFERROR(__xludf.DUMMYFUNCTION("""COMPUTED_VALUE"""),46088.0)</f>
        <v>46088</v>
      </c>
      <c r="R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77" s="21"/>
      <c r="T77" s="21"/>
      <c r="U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77" s="21" t="str">
        <f>IFERROR(__xludf.DUMMYFUNCTION("""COMPUTED_VALUE"""),"")</f>
        <v/>
      </c>
      <c r="W77" s="21" t="str">
        <f>IFERROR(__xludf.DUMMYFUNCTION("""COMPUTED_VALUE"""),"")</f>
        <v/>
      </c>
      <c r="X77" s="21" t="str">
        <f>IFERROR(__xludf.DUMMYFUNCTION("""COMPUTED_VALUE"""),"とまとまとま")</f>
        <v>とまとまとま</v>
      </c>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IFERROR(__xludf.DUMMYFUNCTION("""COMPUTED_VALUE"""),46086.0)</f>
        <v>46086</v>
      </c>
      <c r="F78" s="4"/>
      <c r="G78"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8"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8" s="4" t="str">
        <f>IFERROR(__xludf.DUMMYFUNCTION("""COMPUTED_VALUE"""),"")</f>
        <v/>
      </c>
      <c r="J78"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8"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8" s="4" t="str">
        <f>IFERROR(__xludf.DUMMYFUNCTION("""COMPUTED_VALUE"""),"Mariafrancesca")</f>
        <v>Mariafrancesca</v>
      </c>
      <c r="N78" s="21" t="b">
        <f>IFERROR(__xludf.DUMMYFUNCTION("""COMPUTED_VALUE"""),FALSE)</f>
        <v>0</v>
      </c>
      <c r="O78" s="19" t="str">
        <f>IFERROR(__xludf.DUMMYFUNCTION("""COMPUTED_VALUE"""),"Booking.com")</f>
        <v>Booking.com</v>
      </c>
      <c r="P78" s="21">
        <f>IFERROR(__xludf.DUMMYFUNCTION("""COMPUTED_VALUE"""),8.0)</f>
        <v>8</v>
      </c>
      <c r="Q78" s="22">
        <f>IFERROR(__xludf.DUMMYFUNCTION("""COMPUTED_VALUE"""),46086.0)</f>
        <v>46086</v>
      </c>
      <c r="R78" s="21"/>
      <c r="S78"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8"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8" s="21" t="str">
        <f>IFERROR(__xludf.DUMMYFUNCTION("""COMPUTED_VALUE"""),"")</f>
        <v/>
      </c>
      <c r="V78"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8"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8" s="21" t="str">
        <f>IFERROR(__xludf.DUMMYFUNCTION("""COMPUTED_VALUE"""),"Mariafrancesca")</f>
        <v>Mariafrancesca</v>
      </c>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IFERROR(__xludf.DUMMYFUNCTION("""COMPUTED_VALUE"""),46086.0)</f>
        <v>46086</v>
      </c>
      <c r="F79" s="4"/>
      <c r="G7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9" s="4" t="str">
        <f>IFERROR(__xludf.DUMMYFUNCTION("""COMPUTED_VALUE"""),"")</f>
        <v/>
      </c>
      <c r="J7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9"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9" s="4" t="str">
        <f>IFERROR(__xludf.DUMMYFUNCTION("""COMPUTED_VALUE"""),"Mariafrancesca")</f>
        <v>Mariafrancesca</v>
      </c>
      <c r="N79" s="21" t="b">
        <f>IFERROR(__xludf.DUMMYFUNCTION("""COMPUTED_VALUE"""),FALSE)</f>
        <v>0</v>
      </c>
      <c r="O79" s="19" t="str">
        <f>IFERROR(__xludf.DUMMYFUNCTION("""COMPUTED_VALUE"""),"Booking.com")</f>
        <v>Booking.com</v>
      </c>
      <c r="P79" s="21">
        <f>IFERROR(__xludf.DUMMYFUNCTION("""COMPUTED_VALUE"""),8.0)</f>
        <v>8</v>
      </c>
      <c r="Q79" s="22">
        <f>IFERROR(__xludf.DUMMYFUNCTION("""COMPUTED_VALUE"""),46086.0)</f>
        <v>46086</v>
      </c>
      <c r="R79" s="21"/>
      <c r="S79"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9"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9" s="21" t="str">
        <f>IFERROR(__xludf.DUMMYFUNCTION("""COMPUTED_VALUE"""),"")</f>
        <v/>
      </c>
      <c r="V79"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9"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9" s="21" t="str">
        <f>IFERROR(__xludf.DUMMYFUNCTION("""COMPUTED_VALUE"""),"Mariafrancesca")</f>
        <v>Mariafrancesca</v>
      </c>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IFERROR(__xludf.DUMMYFUNCTION("""COMPUTED_VALUE"""),46081.0)</f>
        <v>46081</v>
      </c>
      <c r="F80" s="4"/>
      <c r="G80" s="4"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H80" s="4" t="str">
        <f>IFERROR(__xludf.DUMMYFUNCTION("""COMPUTED_VALUE"""),"Breakfast is always the same.")</f>
        <v>Breakfast is always the same.</v>
      </c>
      <c r="I80" s="4" t="str">
        <f>IFERROR(__xludf.DUMMYFUNCTION("""COMPUTED_VALUE"""),"")</f>
        <v/>
      </c>
      <c r="J80" s="4"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K80" s="4" t="str">
        <f>IFERROR(__xludf.DUMMYFUNCTION("""COMPUTED_VALUE"""),"朝食はいつも同じだ。")</f>
        <v>朝食はいつも同じだ。</v>
      </c>
      <c r="L80" s="4" t="str">
        <f>IFERROR(__xludf.DUMMYFUNCTION("""COMPUTED_VALUE"""),"Pablo")</f>
        <v>Pablo</v>
      </c>
    </row>
    <row r="81">
      <c r="B81" s="21" t="b">
        <f>IFERROR(__xludf.DUMMYFUNCTION("""COMPUTED_VALUE"""),FALSE)</f>
        <v>0</v>
      </c>
      <c r="C81" s="21" t="str">
        <f>IFERROR(__xludf.DUMMYFUNCTION("""COMPUTED_VALUE"""),"Google")</f>
        <v>Google</v>
      </c>
      <c r="D81" s="4">
        <f>IFERROR(__xludf.DUMMYFUNCTION("""COMPUTED_VALUE"""),5.0)</f>
        <v>5</v>
      </c>
      <c r="E81" s="20">
        <f>IFERROR(__xludf.DUMMYFUNCTION("""COMPUTED_VALUE"""),46081.0)</f>
        <v>46081</v>
      </c>
      <c r="F81" s="4" t="str">
        <f>IFERROR(__xludf.DUMMYFUNCTION("""COMPUTED_VALUE"""),"用點數換房間，物超所值，地點好，旁邊有驚安殿堂，交通有兩條東京地鐵線。")</f>
        <v>用點數換房間，物超所值，地點好，旁邊有驚安殿堂，交通有兩條東京地鐵線。</v>
      </c>
      <c r="G81" s="4"/>
      <c r="H81" s="4"/>
      <c r="I81" s="4"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J81" s="4" t="str">
        <f>IFERROR(__xludf.DUMMYFUNCTION("""COMPUTED_VALUE"""),"")</f>
        <v/>
      </c>
      <c r="K81" s="4" t="str">
        <f>IFERROR(__xludf.DUMMYFUNCTION("""COMPUTED_VALUE"""),"")</f>
        <v/>
      </c>
      <c r="L81" s="4" t="str">
        <f>IFERROR(__xludf.DUMMYFUNCTION("""COMPUTED_VALUE"""),"黃厚平")</f>
        <v>黃厚平</v>
      </c>
    </row>
    <row r="82">
      <c r="B82" s="21" t="b">
        <f>IFERROR(__xludf.DUMMYFUNCTION("""COMPUTED_VALUE"""),FALSE)</f>
        <v>0</v>
      </c>
      <c r="C82" s="21" t="str">
        <f>IFERROR(__xludf.DUMMYFUNCTION("""COMPUTED_VALUE"""),"Google")</f>
        <v>Google</v>
      </c>
      <c r="D82" s="4">
        <f>IFERROR(__xludf.DUMMYFUNCTION("""COMPUTED_VALUE"""),4.0)</f>
        <v>4</v>
      </c>
      <c r="E82" s="20">
        <f>IFERROR(__xludf.DUMMYFUNCTION("""COMPUTED_VALUE"""),46081.0)</f>
        <v>46081</v>
      </c>
      <c r="F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G82" s="4"/>
      <c r="H82" s="4"/>
      <c r="I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J82" s="4" t="str">
        <f>IFERROR(__xludf.DUMMYFUNCTION("""COMPUTED_VALUE"""),"")</f>
        <v/>
      </c>
      <c r="K82" s="4" t="str">
        <f>IFERROR(__xludf.DUMMYFUNCTION("""COMPUTED_VALUE"""),"")</f>
        <v/>
      </c>
      <c r="L82" s="4" t="str">
        <f>IFERROR(__xludf.DUMMYFUNCTION("""COMPUTED_VALUE"""),"na -b")</f>
        <v>na -b</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IFERROR(__xludf.DUMMYFUNCTION("""COMPUTED_VALUE"""),46081.0)</f>
        <v>46081</v>
      </c>
      <c r="F83" s="4"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G83" s="4"/>
      <c r="H83" s="4"/>
      <c r="I83" s="4"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J83" s="4" t="str">
        <f>IFERROR(__xludf.DUMMYFUNCTION("""COMPUTED_VALUE"""),"")</f>
        <v/>
      </c>
      <c r="K83" s="4" t="str">
        <f>IFERROR(__xludf.DUMMYFUNCTION("""COMPUTED_VALUE"""),"")</f>
        <v/>
      </c>
      <c r="L83" s="4" t="str">
        <f>IFERROR(__xludf.DUMMYFUNCTION("""COMPUTED_VALUE"""),"James Conaghan")</f>
        <v>James Conaghan</v>
      </c>
    </row>
    <row r="84">
      <c r="B84" s="21" t="b">
        <f>IFERROR(__xludf.DUMMYFUNCTION("""COMPUTED_VALUE"""),FALSE)</f>
        <v>0</v>
      </c>
      <c r="C84" s="21" t="str">
        <f>IFERROR(__xludf.DUMMYFUNCTION("""COMPUTED_VALUE"""),"Google")</f>
        <v>Google</v>
      </c>
      <c r="D84" s="4">
        <f>IFERROR(__xludf.DUMMYFUNCTION("""COMPUTED_VALUE"""),5.0)</f>
        <v>5</v>
      </c>
      <c r="E84" s="20">
        <f>IFERROR(__xludf.DUMMYFUNCTION("""COMPUTED_VALUE"""),46081.0)</f>
        <v>46081</v>
      </c>
      <c r="F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G84" s="4"/>
      <c r="H84" s="4"/>
      <c r="I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J84" s="4" t="str">
        <f>IFERROR(__xludf.DUMMYFUNCTION("""COMPUTED_VALUE"""),"")</f>
        <v/>
      </c>
      <c r="K84" s="4" t="str">
        <f>IFERROR(__xludf.DUMMYFUNCTION("""COMPUTED_VALUE"""),"")</f>
        <v/>
      </c>
      <c r="L84" s="4" t="str">
        <f>IFERROR(__xludf.DUMMYFUNCTION("""COMPUTED_VALUE"""),"黃厚平")</f>
        <v>黃厚平</v>
      </c>
    </row>
    <row r="85">
      <c r="B85" s="21" t="b">
        <f>IFERROR(__xludf.DUMMYFUNCTION("""COMPUTED_VALUE"""),FALSE)</f>
        <v>0</v>
      </c>
      <c r="C85" s="21" t="str">
        <f>IFERROR(__xludf.DUMMYFUNCTION("""COMPUTED_VALUE"""),"Google")</f>
        <v>Google</v>
      </c>
      <c r="D85" s="4">
        <f>IFERROR(__xludf.DUMMYFUNCTION("""COMPUTED_VALUE"""),4.0)</f>
        <v>4</v>
      </c>
      <c r="E85" s="20">
        <f>IFERROR(__xludf.DUMMYFUNCTION("""COMPUTED_VALUE"""),46081.0)</f>
        <v>46081</v>
      </c>
      <c r="F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G85" s="4"/>
      <c r="H85" s="4"/>
      <c r="I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J85" s="4" t="str">
        <f>IFERROR(__xludf.DUMMYFUNCTION("""COMPUTED_VALUE"""),"")</f>
        <v/>
      </c>
      <c r="K85" s="4" t="str">
        <f>IFERROR(__xludf.DUMMYFUNCTION("""COMPUTED_VALUE"""),"")</f>
        <v/>
      </c>
      <c r="L85" s="4" t="str">
        <f>IFERROR(__xludf.DUMMYFUNCTION("""COMPUTED_VALUE"""),"James Conaghan")</f>
        <v>James Conaghan</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IFERROR(__xludf.DUMMYFUNCTION("""COMPUTED_VALUE"""),"Sei")</f>
        <v>Sei</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IFERROR(__xludf.DUMMYFUNCTION("""COMPUTED_VALUE"""),46078.0)</f>
        <v>46078</v>
      </c>
      <c r="F87" s="4"/>
      <c r="G87" s="4"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H87" s="4"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I87" s="4" t="str">
        <f>IFERROR(__xludf.DUMMYFUNCTION("""COMPUTED_VALUE"""),"")</f>
        <v/>
      </c>
      <c r="J87" s="4"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K87" s="4"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L87" s="4" t="str">
        <f>IFERROR(__xludf.DUMMYFUNCTION("""COMPUTED_VALUE"""),"Wanderwoman123")</f>
        <v>Wanderwoman123</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IFERROR(__xludf.DUMMYFUNCTION("""COMPUTED_VALUE"""),46078.0)</f>
        <v>46078</v>
      </c>
      <c r="F88" s="4" t="str">
        <f>IFERROR(__xludf.DUMMYFUNCTION("""COMPUTED_VALUE"""),"接客がとても丁寧で恐縮してしまいます。 また、使わせていただきます")</f>
        <v>接客がとても丁寧で恐縮してしまいます。 また、使わせていただきます</v>
      </c>
      <c r="G88" s="4"/>
      <c r="H88" s="4"/>
      <c r="I88" s="4" t="str">
        <f>IFERROR(__xludf.DUMMYFUNCTION("""COMPUTED_VALUE"""),"接客がとても丁寧で恐縮してしまいます。 また、使わせていただきます")</f>
        <v>接客がとても丁寧で恐縮してしまいます。 また、使わせていただきます</v>
      </c>
      <c r="J88" s="4" t="str">
        <f>IFERROR(__xludf.DUMMYFUNCTION("""COMPUTED_VALUE"""),"")</f>
        <v/>
      </c>
      <c r="K88" s="4" t="str">
        <f>IFERROR(__xludf.DUMMYFUNCTION("""COMPUTED_VALUE"""),"")</f>
        <v/>
      </c>
      <c r="L88" s="4" t="str">
        <f>IFERROR(__xludf.DUMMYFUNCTION("""COMPUTED_VALUE"""),"koco_o")</f>
        <v>koco_o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IFERROR(__xludf.DUMMYFUNCTION("""COMPUTED_VALUE"""),46077.0)</f>
        <v>46077</v>
      </c>
      <c r="F89" s="4"/>
      <c r="G89" s="4"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H89" s="4"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I89" s="4" t="str">
        <f>IFERROR(__xludf.DUMMYFUNCTION("""COMPUTED_VALUE"""),"")</f>
        <v/>
      </c>
      <c r="J89" s="4"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K89" s="4"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L89" s="4" t="str">
        <f>IFERROR(__xludf.DUMMYFUNCTION("""COMPUTED_VALUE"""),"James")</f>
        <v>James</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IFERROR(__xludf.DUMMYFUNCTION("""COMPUTED_VALUE"""),46077.0)</f>
        <v>46077</v>
      </c>
      <c r="F90" s="4"/>
      <c r="G90" s="4" t="str">
        <f>IFERROR(__xludf.DUMMYFUNCTION("""COMPUTED_VALUE"""),"Su ubicación y buen trato del personal")</f>
        <v>Su ubicación y buen trato del personal</v>
      </c>
      <c r="H90" s="4" t="str">
        <f>IFERROR(__xludf.DUMMYFUNCTION("""COMPUTED_VALUE"""),"Pocas lavadoras y secadoras")</f>
        <v>Pocas lavadoras y secadoras</v>
      </c>
      <c r="I90" s="4" t="str">
        <f>IFERROR(__xludf.DUMMYFUNCTION("""COMPUTED_VALUE"""),"")</f>
        <v/>
      </c>
      <c r="J90" s="4" t="str">
        <f>IFERROR(__xludf.DUMMYFUNCTION("""COMPUTED_VALUE"""),"立地とスタッフのサービスの良さ")</f>
        <v>立地とスタッフのサービスの良さ</v>
      </c>
      <c r="K90" s="4" t="str">
        <f>IFERROR(__xludf.DUMMYFUNCTION("""COMPUTED_VALUE"""),"洗濯機と乾燥機が少ない")</f>
        <v>洗濯機と乾燥機が少ない</v>
      </c>
      <c r="L90" s="4" t="str">
        <f>IFERROR(__xludf.DUMMYFUNCTION("""COMPUTED_VALUE"""),"David")</f>
        <v>David</v>
      </c>
    </row>
    <row r="91">
      <c r="B91" s="21" t="b">
        <f>IFERROR(__xludf.DUMMYFUNCTION("""COMPUTED_VALUE"""),FALSE)</f>
        <v>0</v>
      </c>
      <c r="C91" s="21" t="str">
        <f>IFERROR(__xludf.DUMMYFUNCTION("""COMPUTED_VALUE"""),"Google")</f>
        <v>Google</v>
      </c>
      <c r="D91" s="4">
        <f>IFERROR(__xludf.DUMMYFUNCTION("""COMPUTED_VALUE"""),5.0)</f>
        <v>5</v>
      </c>
      <c r="E91" s="20">
        <f>IFERROR(__xludf.DUMMYFUNCTION("""COMPUTED_VALUE"""),46077.0)</f>
        <v>46077</v>
      </c>
      <c r="F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G91" s="4"/>
      <c r="H91" s="4"/>
      <c r="I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J91" s="4" t="str">
        <f>IFERROR(__xludf.DUMMYFUNCTION("""COMPUTED_VALUE"""),"")</f>
        <v/>
      </c>
      <c r="K91" s="4" t="str">
        <f>IFERROR(__xludf.DUMMYFUNCTION("""COMPUTED_VALUE"""),"")</f>
        <v/>
      </c>
      <c r="L91" s="4" t="str">
        <f>IFERROR(__xludf.DUMMYFUNCTION("""COMPUTED_VALUE"""),"M T")</f>
        <v>M T</v>
      </c>
    </row>
    <row r="92">
      <c r="B92" s="21" t="b">
        <f>IFERROR(__xludf.DUMMYFUNCTION("""COMPUTED_VALUE"""),FALSE)</f>
        <v>0</v>
      </c>
      <c r="C92" s="21" t="str">
        <f>IFERROR(__xludf.DUMMYFUNCTION("""COMPUTED_VALUE"""),"楽天トラベル")</f>
        <v>楽天トラベル</v>
      </c>
      <c r="D92" s="4">
        <f>IFERROR(__xludf.DUMMYFUNCTION("""COMPUTED_VALUE"""),4.0)</f>
        <v>4</v>
      </c>
      <c r="E92" s="20">
        <f>IFERROR(__xludf.DUMMYFUNCTION("""COMPUTED_VALUE"""),46077.0)</f>
        <v>46077</v>
      </c>
      <c r="F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G92" s="4"/>
      <c r="H92" s="4"/>
      <c r="I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J92" s="4" t="str">
        <f>IFERROR(__xludf.DUMMYFUNCTION("""COMPUTED_VALUE"""),"")</f>
        <v/>
      </c>
      <c r="K92" s="4" t="str">
        <f>IFERROR(__xludf.DUMMYFUNCTION("""COMPUTED_VALUE"""),"")</f>
        <v/>
      </c>
      <c r="L92" s="4" t="str">
        <f>IFERROR(__xludf.DUMMYFUNCTION("""COMPUTED_VALUE"""),"Aya158")</f>
        <v>Aya158</v>
      </c>
    </row>
    <row r="93">
      <c r="B93" s="21" t="b">
        <f>IFERROR(__xludf.DUMMYFUNCTION("""COMPUTED_VALUE"""),FALSE)</f>
        <v>0</v>
      </c>
      <c r="C93" s="21" t="str">
        <f>IFERROR(__xludf.DUMMYFUNCTION("""COMPUTED_VALUE"""),"Google")</f>
        <v>Google</v>
      </c>
      <c r="D93" s="4">
        <f>IFERROR(__xludf.DUMMYFUNCTION("""COMPUTED_VALUE"""),5.0)</f>
        <v>5</v>
      </c>
      <c r="E93" s="20">
        <f>IFERROR(__xludf.DUMMYFUNCTION("""COMPUTED_VALUE"""),46077.0)</f>
        <v>46077</v>
      </c>
      <c r="F93" s="4"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G93" s="4"/>
      <c r="H93" s="4"/>
      <c r="I93" s="4"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J93" s="4" t="str">
        <f>IFERROR(__xludf.DUMMYFUNCTION("""COMPUTED_VALUE"""),"")</f>
        <v/>
      </c>
      <c r="K93" s="4" t="str">
        <f>IFERROR(__xludf.DUMMYFUNCTION("""COMPUTED_VALUE"""),"")</f>
        <v/>
      </c>
      <c r="L93" s="4" t="str">
        <f>IFERROR(__xludf.DUMMYFUNCTION("""COMPUTED_VALUE"""),"M T")</f>
        <v>M T</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IFERROR(__xludf.DUMMYFUNCTION("""COMPUTED_VALUE"""),46076.0)</f>
        <v>46076</v>
      </c>
      <c r="F94" s="4"/>
      <c r="G94" s="4" t="str">
        <f>IFERROR(__xludf.DUMMYFUNCTION("""COMPUTED_VALUE"""),"The beds were so comfortable! Nice place with proper black out blinds.")</f>
        <v>The beds were so comfortable! Nice place with proper black out blinds.</v>
      </c>
      <c r="H94" s="4"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I94" s="4" t="str">
        <f>IFERROR(__xludf.DUMMYFUNCTION("""COMPUTED_VALUE"""),"")</f>
        <v/>
      </c>
      <c r="J94" s="4" t="str">
        <f>IFERROR(__xludf.DUMMYFUNCTION("""COMPUTED_VALUE"""),"ベッドがとても快適でした！遮光カーテンもきちんと付いていて、素敵な場所でした。")</f>
        <v>ベッドがとても快適でした！遮光カーテンもきちんと付いていて、素敵な場所でした。</v>
      </c>
      <c r="K94" s="4"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L94" s="4" t="str">
        <f>IFERROR(__xludf.DUMMYFUNCTION("""COMPUTED_VALUE"""),"Susanne")</f>
        <v>Susanne</v>
      </c>
    </row>
    <row r="95">
      <c r="B95" s="21" t="b">
        <f>IFERROR(__xludf.DUMMYFUNCTION("""COMPUTED_VALUE"""),FALSE)</f>
        <v>0</v>
      </c>
      <c r="C95" s="19" t="str">
        <f>IFERROR(__xludf.DUMMYFUNCTION("""COMPUTED_VALUE"""),"Booking.com")</f>
        <v>Booking.com</v>
      </c>
      <c r="D95" s="4">
        <f>IFERROR(__xludf.DUMMYFUNCTION("""COMPUTED_VALUE"""),10.0)</f>
        <v>10</v>
      </c>
      <c r="E95" s="20">
        <f>IFERROR(__xludf.DUMMYFUNCTION("""COMPUTED_VALUE"""),46075.0)</f>
        <v>46075</v>
      </c>
      <c r="F95" s="4"/>
      <c r="G95" s="4" t="str">
        <f>IFERROR(__xludf.DUMMYFUNCTION("""COMPUTED_VALUE"""),"👍")</f>
        <v>👍</v>
      </c>
      <c r="H95" s="4" t="str">
        <f>IFERROR(__xludf.DUMMYFUNCTION("""COMPUTED_VALUE"""),"沒有")</f>
        <v>沒有</v>
      </c>
      <c r="I95" s="4" t="str">
        <f>IFERROR(__xludf.DUMMYFUNCTION("""COMPUTED_VALUE"""),"")</f>
        <v/>
      </c>
      <c r="J95" s="4" t="str">
        <f>IFERROR(__xludf.DUMMYFUNCTION("""COMPUTED_VALUE"""),"👍")</f>
        <v>👍</v>
      </c>
      <c r="K95" s="4" t="str">
        <f>IFERROR(__xludf.DUMMYFUNCTION("""COMPUTED_VALUE"""),"いいえ")</f>
        <v>いいえ</v>
      </c>
      <c r="L95" s="4" t="str">
        <f>IFERROR(__xludf.DUMMYFUNCTION("""COMPUTED_VALUE"""),"Jiawei")</f>
        <v>Jiawei</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IFERROR(__xludf.DUMMYFUNCTION("""COMPUTED_VALUE"""),46075.0)</f>
        <v>46075</v>
      </c>
      <c r="F96" s="4" t="str">
        <f>IFERROR(__xludf.DUMMYFUNCTION("""COMPUTED_VALUE"""),"雖然有點老，但是比apa大")</f>
        <v>雖然有點老，但是比apa大</v>
      </c>
      <c r="G96" s="4"/>
      <c r="H96" s="4"/>
      <c r="I96" s="4" t="str">
        <f>IFERROR(__xludf.DUMMYFUNCTION("""COMPUTED_VALUE"""),"少し古いが、APAよりも規模が大きい。")</f>
        <v>少し古いが、APAよりも規模が大きい。</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IFERROR(__xludf.DUMMYFUNCTION("""COMPUTED_VALUE"""),46074.0)</f>
        <v>46074</v>
      </c>
      <c r="F97" s="4"/>
      <c r="G97" s="4"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H97" s="4"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I97" s="4" t="str">
        <f>IFERROR(__xludf.DUMMYFUNCTION("""COMPUTED_VALUE"""),"")</f>
        <v/>
      </c>
      <c r="J97" s="4"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K97" s="4"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L97" s="4" t="str">
        <f>IFERROR(__xludf.DUMMYFUNCTION("""COMPUTED_VALUE"""),"James")</f>
        <v>James</v>
      </c>
    </row>
    <row r="98">
      <c r="B98" s="21" t="b">
        <f>IFERROR(__xludf.DUMMYFUNCTION("""COMPUTED_VALUE"""),FALSE)</f>
        <v>0</v>
      </c>
      <c r="C98" s="19" t="str">
        <f>IFERROR(__xludf.DUMMYFUNCTION("""COMPUTED_VALUE"""),"Booking.com")</f>
        <v>Booking.com</v>
      </c>
      <c r="D98" s="4">
        <f>IFERROR(__xludf.DUMMYFUNCTION("""COMPUTED_VALUE"""),4.0)</f>
        <v>4</v>
      </c>
      <c r="E98" s="20">
        <f>IFERROR(__xludf.DUMMYFUNCTION("""COMPUTED_VALUE"""),46074.0)</f>
        <v>46074</v>
      </c>
      <c r="F98" s="4"/>
      <c r="G98" s="4" t="str">
        <f>IFERROR(__xludf.DUMMYFUNCTION("""COMPUTED_VALUE"""),"Staff were very nice.")</f>
        <v>Staff were very nice.</v>
      </c>
      <c r="H98" s="4" t="str">
        <f>IFERROR(__xludf.DUMMYFUNCTION("""COMPUTED_VALUE"""),"Room wasn’t great for price. Can’t open windows so room gets stuffy.")</f>
        <v>Room wasn’t great for price. Can’t open windows so room gets stuffy.</v>
      </c>
      <c r="I98" s="4" t="str">
        <f>IFERROR(__xludf.DUMMYFUNCTION("""COMPUTED_VALUE"""),"")</f>
        <v/>
      </c>
      <c r="J98" s="4" t="str">
        <f>IFERROR(__xludf.DUMMYFUNCTION("""COMPUTED_VALUE"""),"スタッフの方々はとても親切でした。")</f>
        <v>スタッフの方々はとても親切でした。</v>
      </c>
      <c r="K98" s="4"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L98" s="4" t="str">
        <f>IFERROR(__xludf.DUMMYFUNCTION("""COMPUTED_VALUE"""),"Hayden")</f>
        <v>Hayden</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IFERROR(__xludf.DUMMYFUNCTION("""COMPUTED_VALUE"""),46073.0)</f>
        <v>46073</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IFERROR(__xludf.DUMMYFUNCTION("""COMPUTED_VALUE"""),"Berankis")</f>
        <v>Berankis</v>
      </c>
    </row>
    <row r="100">
      <c r="B100" s="21" t="b">
        <f>IFERROR(__xludf.DUMMYFUNCTION("""COMPUTED_VALUE"""),FALSE)</f>
        <v>0</v>
      </c>
      <c r="C100" s="19" t="str">
        <f>IFERROR(__xludf.DUMMYFUNCTION("""COMPUTED_VALUE"""),"Booking.com")</f>
        <v>Booking.com</v>
      </c>
      <c r="D100" s="4">
        <f>IFERROR(__xludf.DUMMYFUNCTION("""COMPUTED_VALUE"""),9.0)</f>
        <v>9</v>
      </c>
      <c r="E100" s="20">
        <f>IFERROR(__xludf.DUMMYFUNCTION("""COMPUTED_VALUE"""),46072.0)</f>
        <v>46072</v>
      </c>
      <c r="F100" s="4"/>
      <c r="G100" s="4"/>
      <c r="H100" s="4" t="str">
        <f>IFERROR(__xludf.DUMMYFUNCTION("""COMPUTED_VALUE"""),"Poderia variar o cardápio do café da manhã")</f>
        <v>Poderia variar o cardápio do café da manhã</v>
      </c>
      <c r="I100" s="4" t="str">
        <f>IFERROR(__xludf.DUMMYFUNCTION("""COMPUTED_VALUE"""),"")</f>
        <v/>
      </c>
      <c r="J100" s="4" t="str">
        <f>IFERROR(__xludf.DUMMYFUNCTION("""COMPUTED_VALUE"""),"")</f>
        <v/>
      </c>
      <c r="K100" s="4" t="str">
        <f>IFERROR(__xludf.DUMMYFUNCTION("""COMPUTED_VALUE"""),"朝食メニューは多様であるべきだ。")</f>
        <v>朝食メニューは多様であるべきだ。</v>
      </c>
      <c r="L100" s="4" t="str">
        <f>IFERROR(__xludf.DUMMYFUNCTION("""COMPUTED_VALUE"""),"Tilia")</f>
        <v>Tilia</v>
      </c>
      <c r="N100" s="21" t="b">
        <f>IFERROR(__xludf.DUMMYFUNCTION("IMPORTRANGE(C3,Q2&amp;R2&amp;T3)"),FALSE)</f>
        <v>0</v>
      </c>
      <c r="O100" s="19" t="str">
        <f>IFERROR(__xludf.DUMMYFUNCTION("""COMPUTED_VALUE"""),"Booking.com")</f>
        <v>Booking.com</v>
      </c>
      <c r="P100" s="21">
        <f>IFERROR(__xludf.DUMMYFUNCTION("""COMPUTED_VALUE"""),10.0)</f>
        <v>10</v>
      </c>
      <c r="Q100" s="22">
        <f>IFERROR(__xludf.DUMMYFUNCTION("""COMPUTED_VALUE"""),46081.0)</f>
        <v>46081</v>
      </c>
      <c r="R100" s="21"/>
      <c r="S100" s="21"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T100" s="21" t="str">
        <f>IFERROR(__xludf.DUMMYFUNCTION("""COMPUTED_VALUE"""),"Breakfast is always the same.")</f>
        <v>Breakfast is always the same.</v>
      </c>
      <c r="U100" s="21" t="str">
        <f>IFERROR(__xludf.DUMMYFUNCTION("""COMPUTED_VALUE"""),"")</f>
        <v/>
      </c>
      <c r="V100" s="21"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W100" s="21" t="str">
        <f>IFERROR(__xludf.DUMMYFUNCTION("""COMPUTED_VALUE"""),"朝食はいつも同じだ。")</f>
        <v>朝食はいつも同じだ。</v>
      </c>
      <c r="X100" s="21" t="str">
        <f>IFERROR(__xludf.DUMMYFUNCTION("""COMPUTED_VALUE"""),"Pablo")</f>
        <v>Pablo</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IFERROR(__xludf.DUMMYFUNCTION("""COMPUTED_VALUE"""),46072.0)</f>
        <v>46072</v>
      </c>
      <c r="F101" s="4"/>
      <c r="G101" s="4" t="str">
        <f>IFERROR(__xludf.DUMMYFUNCTION("""COMPUTED_VALUE"""),"施設は古いが清潔でした")</f>
        <v>施設は古いが清潔でした</v>
      </c>
      <c r="H101" s="4" t="str">
        <f>IFERROR(__xludf.DUMMYFUNCTION("""COMPUTED_VALUE"""),"冷蔵庫スイッチ1にして下段に入れても冷凍されてしまった")</f>
        <v>冷蔵庫スイッチ1にして下段に入れても冷凍されてしまった</v>
      </c>
      <c r="I101" s="4" t="str">
        <f>IFERROR(__xludf.DUMMYFUNCTION("""COMPUTED_VALUE"""),"")</f>
        <v/>
      </c>
      <c r="J101" s="4" t="str">
        <f>IFERROR(__xludf.DUMMYFUNCTION("""COMPUTED_VALUE"""),"施設は古いが清潔でした")</f>
        <v>施設は古いが清潔でした</v>
      </c>
      <c r="K101" s="4" t="str">
        <f>IFERROR(__xludf.DUMMYFUNCTION("""COMPUTED_VALUE"""),"冷蔵庫スイッチ1にして下段に入れても冷凍されてしまった")</f>
        <v>冷蔵庫スイッチ1にして下段に入れても冷凍されてしまった</v>
      </c>
      <c r="L101" s="4" t="str">
        <f>IFERROR(__xludf.DUMMYFUNCTION("""COMPUTED_VALUE"""),"Kyoko")</f>
        <v>Kyoko</v>
      </c>
      <c r="N101" s="21" t="b">
        <f>IFERROR(__xludf.DUMMYFUNCTION("""COMPUTED_VALUE"""),FALSE)</f>
        <v>0</v>
      </c>
      <c r="O101" s="21" t="str">
        <f>IFERROR(__xludf.DUMMYFUNCTION("""COMPUTED_VALUE"""),"Google")</f>
        <v>Google</v>
      </c>
      <c r="P101" s="21">
        <f>IFERROR(__xludf.DUMMYFUNCTION("""COMPUTED_VALUE"""),5.0)</f>
        <v>5</v>
      </c>
      <c r="Q101" s="22">
        <f>IFERROR(__xludf.DUMMYFUNCTION("""COMPUTED_VALUE"""),46081.0)</f>
        <v>46081</v>
      </c>
      <c r="R101" s="21" t="str">
        <f>IFERROR(__xludf.DUMMYFUNCTION("""COMPUTED_VALUE"""),"用點數換房間，物超所值，地點好，旁邊有驚安殿堂，交通有兩條東京地鐵線。")</f>
        <v>用點數換房間，物超所值，地點好，旁邊有驚安殿堂，交通有兩條東京地鐵線。</v>
      </c>
      <c r="S101" s="21"/>
      <c r="T101" s="21"/>
      <c r="U101" s="21"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V101" s="21" t="str">
        <f>IFERROR(__xludf.DUMMYFUNCTION("""COMPUTED_VALUE"""),"")</f>
        <v/>
      </c>
      <c r="W101" s="21" t="str">
        <f>IFERROR(__xludf.DUMMYFUNCTION("""COMPUTED_VALUE"""),"")</f>
        <v/>
      </c>
      <c r="X101" s="21" t="str">
        <f>IFERROR(__xludf.DUMMYFUNCTION("""COMPUTED_VALUE"""),"黃厚平")</f>
        <v>黃厚平</v>
      </c>
    </row>
    <row r="102">
      <c r="B102" s="21" t="b">
        <f>IFERROR(__xludf.DUMMYFUNCTION("""COMPUTED_VALUE"""),FALSE)</f>
        <v>0</v>
      </c>
      <c r="C102" s="19" t="str">
        <f>IFERROR(__xludf.DUMMYFUNCTION("""COMPUTED_VALUE"""),"Booking.com")</f>
        <v>Booking.com</v>
      </c>
      <c r="D102" s="4">
        <f>IFERROR(__xludf.DUMMYFUNCTION("""COMPUTED_VALUE"""),10.0)</f>
        <v>10</v>
      </c>
      <c r="E102" s="20">
        <f>IFERROR(__xludf.DUMMYFUNCTION("""COMPUTED_VALUE"""),46071.0)</f>
        <v>46071</v>
      </c>
      <c r="F102" s="4"/>
      <c r="G102" s="4" t="str">
        <f>IFERROR(__xludf.DUMMYFUNCTION("""COMPUTED_VALUE"""),"Emplacement, propreté, gentillesse du personnel")</f>
        <v>Emplacement, propreté, gentillesse du personnel</v>
      </c>
      <c r="H102" s="4"/>
      <c r="I102" s="4" t="str">
        <f>IFERROR(__xludf.DUMMYFUNCTION("""COMPUTED_VALUE"""),"")</f>
        <v/>
      </c>
      <c r="J102" s="4" t="str">
        <f>IFERROR(__xludf.DUMMYFUNCTION("""COMPUTED_VALUE"""),"立地、清潔さ、スタッフの親切さ")</f>
        <v>立地、清潔さ、スタッフの親切さ</v>
      </c>
      <c r="K102" s="4" t="str">
        <f>IFERROR(__xludf.DUMMYFUNCTION("""COMPUTED_VALUE"""),"")</f>
        <v/>
      </c>
      <c r="L102" s="4" t="str">
        <f>IFERROR(__xludf.DUMMYFUNCTION("""COMPUTED_VALUE"""),"Aleksandra")</f>
        <v>Aleksandra</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S102" s="21"/>
      <c r="T102" s="21"/>
      <c r="U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V102" s="21" t="str">
        <f>IFERROR(__xludf.DUMMYFUNCTION("""COMPUTED_VALUE"""),"")</f>
        <v/>
      </c>
      <c r="W102" s="21" t="str">
        <f>IFERROR(__xludf.DUMMYFUNCTION("""COMPUTED_VALUE"""),"")</f>
        <v/>
      </c>
      <c r="X102" s="21" t="str">
        <f>IFERROR(__xludf.DUMMYFUNCTION("""COMPUTED_VALUE"""),"na -b")</f>
        <v>na -b</v>
      </c>
    </row>
    <row r="103">
      <c r="B103" s="21" t="b">
        <f>IFERROR(__xludf.DUMMYFUNCTION("""COMPUTED_VALUE"""),FALSE)</f>
        <v>0</v>
      </c>
      <c r="C103" s="21" t="str">
        <f>IFERROR(__xludf.DUMMYFUNCTION("""COMPUTED_VALUE"""),"楽天トラベル")</f>
        <v>楽天トラベル</v>
      </c>
      <c r="D103" s="4">
        <f>IFERROR(__xludf.DUMMYFUNCTION("""COMPUTED_VALUE"""),5.0)</f>
        <v>5</v>
      </c>
      <c r="E103" s="20">
        <f>IFERROR(__xludf.DUMMYFUNCTION("""COMPUTED_VALUE"""),46071.0)</f>
        <v>46071</v>
      </c>
      <c r="F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G103" s="4"/>
      <c r="H103" s="4"/>
      <c r="I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J103" s="4" t="str">
        <f>IFERROR(__xludf.DUMMYFUNCTION("""COMPUTED_VALUE"""),"")</f>
        <v/>
      </c>
      <c r="K103" s="4" t="str">
        <f>IFERROR(__xludf.DUMMYFUNCTION("""COMPUTED_VALUE"""),"")</f>
        <v/>
      </c>
      <c r="L103" s="4" t="str">
        <f>IFERROR(__xludf.DUMMYFUNCTION("""COMPUTED_VALUE"""),"えりかりえ")</f>
        <v>えりかりえ</v>
      </c>
      <c r="N103" s="21" t="b">
        <f>IFERROR(__xludf.DUMMYFUNCTION("""COMPUTED_VALUE"""),FALSE)</f>
        <v>0</v>
      </c>
      <c r="O103" s="21" t="str">
        <f>IFERROR(__xludf.DUMMYFUNCTION("""COMPUTED_VALUE"""),"Google")</f>
        <v>Google</v>
      </c>
      <c r="P103" s="21">
        <f>IFERROR(__xludf.DUMMYFUNCTION("""COMPUTED_VALUE"""),4.0)</f>
        <v>4</v>
      </c>
      <c r="Q103" s="22">
        <f>IFERROR(__xludf.DUMMYFUNCTION("""COMPUTED_VALUE"""),46081.0)</f>
        <v>46081</v>
      </c>
      <c r="R103" s="21"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S103" s="21"/>
      <c r="T103" s="21"/>
      <c r="U103" s="21"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V103" s="21" t="str">
        <f>IFERROR(__xludf.DUMMYFUNCTION("""COMPUTED_VALUE"""),"")</f>
        <v/>
      </c>
      <c r="W103" s="21" t="str">
        <f>IFERROR(__xludf.DUMMYFUNCTION("""COMPUTED_VALUE"""),"")</f>
        <v/>
      </c>
      <c r="X103" s="21" t="str">
        <f>IFERROR(__xludf.DUMMYFUNCTION("""COMPUTED_VALUE"""),"James Conaghan")</f>
        <v>James Conaghan</v>
      </c>
    </row>
    <row r="104">
      <c r="B104" s="21" t="b">
        <f>IFERROR(__xludf.DUMMYFUNCTION("""COMPUTED_VALUE"""),FALSE)</f>
        <v>0</v>
      </c>
      <c r="C104" s="19" t="str">
        <f>IFERROR(__xludf.DUMMYFUNCTION("""COMPUTED_VALUE"""),"Booking.com")</f>
        <v>Booking.com</v>
      </c>
      <c r="D104" s="4">
        <f>IFERROR(__xludf.DUMMYFUNCTION("""COMPUTED_VALUE"""),7.0)</f>
        <v>7</v>
      </c>
      <c r="E104" s="20">
        <f>IFERROR(__xludf.DUMMYFUNCTION("""COMPUTED_VALUE"""),46070.0)</f>
        <v>46070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IFERROR(__xludf.DUMMYFUNCTION("""COMPUTED_VALUE"""),"Ghassen")</f>
        <v>Ghassen</v>
      </c>
      <c r="N104" s="21" t="b">
        <f>IFERROR(__xludf.DUMMYFUNCTION("""COMPUTED_VALUE"""),FALSE)</f>
        <v>0</v>
      </c>
      <c r="O104" s="21" t="str">
        <f>IFERROR(__xludf.DUMMYFUNCTION("""COMPUTED_VALUE"""),"Google")</f>
        <v>Google</v>
      </c>
      <c r="P104" s="21">
        <f>IFERROR(__xludf.DUMMYFUNCTION("""COMPUTED_VALUE"""),5.0)</f>
        <v>5</v>
      </c>
      <c r="Q104" s="22">
        <f>IFERROR(__xludf.DUMMYFUNCTION("""COMPUTED_VALUE"""),46081.0)</f>
        <v>46081</v>
      </c>
      <c r="R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S104" s="21"/>
      <c r="T104" s="21"/>
      <c r="U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V104" s="21" t="str">
        <f>IFERROR(__xludf.DUMMYFUNCTION("""COMPUTED_VALUE"""),"")</f>
        <v/>
      </c>
      <c r="W104" s="21" t="str">
        <f>IFERROR(__xludf.DUMMYFUNCTION("""COMPUTED_VALUE"""),"")</f>
        <v/>
      </c>
      <c r="X104" s="21" t="str">
        <f>IFERROR(__xludf.DUMMYFUNCTION("""COMPUTED_VALUE"""),"黃厚平")</f>
        <v>黃厚平</v>
      </c>
    </row>
    <row r="105">
      <c r="B105" s="21" t="b">
        <f>IFERROR(__xludf.DUMMYFUNCTION("""COMPUTED_VALUE"""),FALSE)</f>
        <v>0</v>
      </c>
      <c r="C105" s="19" t="str">
        <f>IFERROR(__xludf.DUMMYFUNCTION("""COMPUTED_VALUE"""),"Booking.com")</f>
        <v>Booking.com</v>
      </c>
      <c r="D105" s="4">
        <f>IFERROR(__xludf.DUMMYFUNCTION("""COMPUTED_VALUE"""),9.0)</f>
        <v>9</v>
      </c>
      <c r="E105" s="20">
        <f>IFERROR(__xludf.DUMMYFUNCTION("""COMPUTED_VALUE"""),46070.0)</f>
        <v>46070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IFERROR(__xludf.DUMMYFUNCTION("""COMPUTED_VALUE"""),"Kanako")</f>
        <v>Kanako</v>
      </c>
      <c r="N105" s="21" t="b">
        <f>IFERROR(__xludf.DUMMYFUNCTION("""COMPUTED_VALUE"""),FALSE)</f>
        <v>0</v>
      </c>
      <c r="O105" s="21" t="str">
        <f>IFERROR(__xludf.DUMMYFUNCTION("""COMPUTED_VALUE"""),"Google")</f>
        <v>Google</v>
      </c>
      <c r="P105" s="21">
        <f>IFERROR(__xludf.DUMMYFUNCTION("""COMPUTED_VALUE"""),4.0)</f>
        <v>4</v>
      </c>
      <c r="Q105" s="22">
        <f>IFERROR(__xludf.DUMMYFUNCTION("""COMPUTED_VALUE"""),46081.0)</f>
        <v>46081</v>
      </c>
      <c r="R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S105" s="21"/>
      <c r="T105" s="21"/>
      <c r="U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V105" s="21" t="str">
        <f>IFERROR(__xludf.DUMMYFUNCTION("""COMPUTED_VALUE"""),"")</f>
        <v/>
      </c>
      <c r="W105" s="21" t="str">
        <f>IFERROR(__xludf.DUMMYFUNCTION("""COMPUTED_VALUE"""),"")</f>
        <v/>
      </c>
      <c r="X105" s="21" t="str">
        <f>IFERROR(__xludf.DUMMYFUNCTION("""COMPUTED_VALUE"""),"James Conaghan")</f>
        <v>James Conaghan</v>
      </c>
    </row>
    <row r="106">
      <c r="B106" s="21" t="b">
        <f>IFERROR(__xludf.DUMMYFUNCTION("""COMPUTED_VALUE"""),FALSE)</f>
        <v>0</v>
      </c>
      <c r="C106" s="19" t="str">
        <f>IFERROR(__xludf.DUMMYFUNCTION("""COMPUTED_VALUE"""),"Booking.com")</f>
        <v>Booking.com</v>
      </c>
      <c r="D106" s="4">
        <f>IFERROR(__xludf.DUMMYFUNCTION("""COMPUTED_VALUE"""),10.0)</f>
        <v>10</v>
      </c>
      <c r="E106" s="20">
        <f>IFERROR(__xludf.DUMMYFUNCTION("""COMPUTED_VALUE"""),46069.0)</f>
        <v>46069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IFERROR(__xludf.DUMMYFUNCTION("""COMPUTED_VALUE"""),"Onon")</f>
        <v>Onon</v>
      </c>
      <c r="N106" s="21" t="b">
        <f>IFERROR(__xludf.DUMMYFUNCTION("""COMPUTED_VALUE"""),FALSE)</f>
        <v>0</v>
      </c>
      <c r="O106" s="19" t="str">
        <f>IFERROR(__xludf.DUMMYFUNCTION("""COMPUTED_VALUE"""),"Booking.com")</f>
        <v>Booking.com</v>
      </c>
      <c r="P106" s="21">
        <f>IFERROR(__xludf.DUMMYFUNCTION("""COMPUTED_VALUE"""),9.0)</f>
        <v>9</v>
      </c>
      <c r="Q106" s="22">
        <f>IFERROR(__xludf.DUMMYFUNCTION("""COMPUTED_VALUE"""),46079.0)</f>
        <v>46079</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IFERROR(__xludf.DUMMYFUNCTION("""COMPUTED_VALUE"""),"Sei")</f>
        <v>Sei</v>
      </c>
    </row>
    <row r="107">
      <c r="B107" s="21" t="b">
        <f>IFERROR(__xludf.DUMMYFUNCTION("""COMPUTED_VALUE"""),FALSE)</f>
        <v>0</v>
      </c>
      <c r="C107" s="19" t="str">
        <f>IFERROR(__xludf.DUMMYFUNCTION("""COMPUTED_VALUE"""),"Booking.com")</f>
        <v>Booking.com</v>
      </c>
      <c r="D107" s="4">
        <f>IFERROR(__xludf.DUMMYFUNCTION("""COMPUTED_VALUE"""),10.0)</f>
        <v>10</v>
      </c>
      <c r="E107" s="20">
        <f>IFERROR(__xludf.DUMMYFUNCTION("""COMPUTED_VALUE"""),46069.0)</f>
        <v>46069</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IFERROR(__xludf.DUMMYFUNCTION("""COMPUTED_VALUE"""),"Linda")</f>
        <v>Linda</v>
      </c>
      <c r="N107" s="21" t="b">
        <f>IFERROR(__xludf.DUMMYFUNCTION("""COMPUTED_VALUE"""),FALSE)</f>
        <v>0</v>
      </c>
      <c r="O107" s="19" t="str">
        <f>IFERROR(__xludf.DUMMYFUNCTION("""COMPUTED_VALUE"""),"Booking.com")</f>
        <v>Booking.com</v>
      </c>
      <c r="P107" s="21">
        <f>IFERROR(__xludf.DUMMYFUNCTION("""COMPUTED_VALUE"""),10.0)</f>
        <v>10</v>
      </c>
      <c r="Q107" s="22">
        <f>IFERROR(__xludf.DUMMYFUNCTION("""COMPUTED_VALUE"""),46078.0)</f>
        <v>46078</v>
      </c>
      <c r="R107" s="21"/>
      <c r="S107" s="21"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T107" s="21"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U107" s="21" t="str">
        <f>IFERROR(__xludf.DUMMYFUNCTION("""COMPUTED_VALUE"""),"")</f>
        <v/>
      </c>
      <c r="V107" s="21"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W107" s="21"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X107" s="21" t="str">
        <f>IFERROR(__xludf.DUMMYFUNCTION("""COMPUTED_VALUE"""),"Wanderwoman123")</f>
        <v>Wanderwoman123</v>
      </c>
    </row>
    <row r="108">
      <c r="B108" s="21" t="b">
        <f>IFERROR(__xludf.DUMMYFUNCTION("""COMPUTED_VALUE"""),FALSE)</f>
        <v>0</v>
      </c>
      <c r="C108" s="19" t="str">
        <f>IFERROR(__xludf.DUMMYFUNCTION("""COMPUTED_VALUE"""),"Booking.com")</f>
        <v>Booking.com</v>
      </c>
      <c r="D108" s="4">
        <f>IFERROR(__xludf.DUMMYFUNCTION("""COMPUTED_VALUE"""),7.0)</f>
        <v>7</v>
      </c>
      <c r="E108" s="20">
        <f>IFERROR(__xludf.DUMMYFUNCTION("""COMPUTED_VALUE"""),46069.0)</f>
        <v>46069</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IFERROR(__xludf.DUMMYFUNCTION("""COMPUTED_VALUE"""),"Kumiko")</f>
        <v>Kumiko</v>
      </c>
      <c r="N108" s="21" t="b">
        <f>IFERROR(__xludf.DUMMYFUNCTION("""COMPUTED_VALUE"""),FALSE)</f>
        <v>0</v>
      </c>
      <c r="O108" s="21" t="str">
        <f>IFERROR(__xludf.DUMMYFUNCTION("""COMPUTED_VALUE"""),"楽天トラベル")</f>
        <v>楽天トラベル</v>
      </c>
      <c r="P108" s="21">
        <f>IFERROR(__xludf.DUMMYFUNCTION("""COMPUTED_VALUE"""),4.0)</f>
        <v>4</v>
      </c>
      <c r="Q108" s="22">
        <f>IFERROR(__xludf.DUMMYFUNCTION("""COMPUTED_VALUE"""),46078.0)</f>
        <v>46078</v>
      </c>
      <c r="R108" s="21" t="str">
        <f>IFERROR(__xludf.DUMMYFUNCTION("""COMPUTED_VALUE"""),"接客がとても丁寧で恐縮してしまいます。 また、使わせていただきます")</f>
        <v>接客がとても丁寧で恐縮してしまいます。 また、使わせていただきます</v>
      </c>
      <c r="S108" s="21"/>
      <c r="T108" s="21"/>
      <c r="U108" s="21" t="str">
        <f>IFERROR(__xludf.DUMMYFUNCTION("""COMPUTED_VALUE"""),"接客がとても丁寧で恐縮してしまいます。 また、使わせていただきます")</f>
        <v>接客がとても丁寧で恐縮してしまいます。 また、使わせていただきます</v>
      </c>
      <c r="V108" s="21" t="str">
        <f>IFERROR(__xludf.DUMMYFUNCTION("""COMPUTED_VALUE"""),"")</f>
        <v/>
      </c>
      <c r="W108" s="21" t="str">
        <f>IFERROR(__xludf.DUMMYFUNCTION("""COMPUTED_VALUE"""),"")</f>
        <v/>
      </c>
      <c r="X108" s="21" t="str">
        <f>IFERROR(__xludf.DUMMYFUNCTION("""COMPUTED_VALUE"""),"koco_o")</f>
        <v>koco_o</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IFERROR(__xludf.DUMMYFUNCTION("""COMPUTED_VALUE"""),46068.0)</f>
        <v>46068</v>
      </c>
      <c r="F109" s="4"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G109" s="4"/>
      <c r="H109" s="4"/>
      <c r="I109" s="4"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IFERROR(__xludf.DUMMYFUNCTION("""COMPUTED_VALUE"""),7.0)</f>
        <v>7</v>
      </c>
      <c r="Q109" s="22">
        <f>IFERROR(__xludf.DUMMYFUNCTION("""COMPUTED_VALUE"""),46077.0)</f>
        <v>46077</v>
      </c>
      <c r="R109" s="21"/>
      <c r="S109" s="21"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T109" s="21"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U109" s="21" t="str">
        <f>IFERROR(__xludf.DUMMYFUNCTION("""COMPUTED_VALUE"""),"")</f>
        <v/>
      </c>
      <c r="V109" s="21"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W109" s="21"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X109" s="21" t="str">
        <f>IFERROR(__xludf.DUMMYFUNCTION("""COMPUTED_VALUE"""),"James")</f>
        <v>James</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IFERROR(__xludf.DUMMYFUNCTION("""COMPUTED_VALUE"""),46068.0)</f>
        <v>46068</v>
      </c>
      <c r="F110" s="4"/>
      <c r="G110" s="4" t="str">
        <f>IFERROR(__xludf.DUMMYFUNCTION("""COMPUTED_VALUE"""),"駅から近く、掃除が行き届いていて綺麗で過ごしやすい部屋だった")</f>
        <v>駅から近く、掃除が行き届いていて綺麗で過ごしやすい部屋だった</v>
      </c>
      <c r="H110" s="4" t="str">
        <f>IFERROR(__xludf.DUMMYFUNCTION("""COMPUTED_VALUE"""),"朝食がエスニック料理気味で食べれるものが限られた")</f>
        <v>朝食がエスニック料理気味で食べれるものが限られた</v>
      </c>
      <c r="I110" s="4" t="str">
        <f>IFERROR(__xludf.DUMMYFUNCTION("""COMPUTED_VALUE"""),"")</f>
        <v/>
      </c>
      <c r="J110" s="4" t="str">
        <f>IFERROR(__xludf.DUMMYFUNCTION("""COMPUTED_VALUE"""),"駅から近く、掃除が行き届いていて綺麗で過ごしやすい部屋だった")</f>
        <v>駅から近く、掃除が行き届いていて綺麗で過ごしやすい部屋だった</v>
      </c>
      <c r="K110" s="4" t="str">
        <f>IFERROR(__xludf.DUMMYFUNCTION("""COMPUTED_VALUE"""),"朝食がエスニック料理気味で食べれるものが限られた")</f>
        <v>朝食がエスニック料理気味で食べれるものが限られた</v>
      </c>
      <c r="L110" s="4" t="str">
        <f>IFERROR(__xludf.DUMMYFUNCTION("""COMPUTED_VALUE"""),"ゆうこ")</f>
        <v>ゆうこ</v>
      </c>
      <c r="N110" s="21" t="b">
        <f>IFERROR(__xludf.DUMMYFUNCTION("""COMPUTED_VALUE"""),FALSE)</f>
        <v>0</v>
      </c>
      <c r="O110" s="19" t="str">
        <f>IFERROR(__xludf.DUMMYFUNCTION("""COMPUTED_VALUE"""),"Booking.com")</f>
        <v>Booking.com</v>
      </c>
      <c r="P110" s="21">
        <f>IFERROR(__xludf.DUMMYFUNCTION("""COMPUTED_VALUE"""),8.0)</f>
        <v>8</v>
      </c>
      <c r="Q110" s="22">
        <f>IFERROR(__xludf.DUMMYFUNCTION("""COMPUTED_VALUE"""),46077.0)</f>
        <v>46077</v>
      </c>
      <c r="R110" s="21"/>
      <c r="S110" s="21" t="str">
        <f>IFERROR(__xludf.DUMMYFUNCTION("""COMPUTED_VALUE"""),"Su ubicación y buen trato del personal")</f>
        <v>Su ubicación y buen trato del personal</v>
      </c>
      <c r="T110" s="21" t="str">
        <f>IFERROR(__xludf.DUMMYFUNCTION("""COMPUTED_VALUE"""),"Pocas lavadoras y secadoras")</f>
        <v>Pocas lavadoras y secadoras</v>
      </c>
      <c r="U110" s="21" t="str">
        <f>IFERROR(__xludf.DUMMYFUNCTION("""COMPUTED_VALUE"""),"")</f>
        <v/>
      </c>
      <c r="V110" s="21" t="str">
        <f>IFERROR(__xludf.DUMMYFUNCTION("""COMPUTED_VALUE"""),"立地とスタッフのサービスの良さ")</f>
        <v>立地とスタッフのサービスの良さ</v>
      </c>
      <c r="W110" s="21" t="str">
        <f>IFERROR(__xludf.DUMMYFUNCTION("""COMPUTED_VALUE"""),"洗濯機と乾燥機が少ない")</f>
        <v>洗濯機と乾燥機が少ない</v>
      </c>
      <c r="X110" s="21" t="str">
        <f>IFERROR(__xludf.DUMMYFUNCTION("""COMPUTED_VALUE"""),"David")</f>
        <v>David</v>
      </c>
    </row>
    <row r="111">
      <c r="B111" s="21" t="b">
        <f>IFERROR(__xludf.DUMMYFUNCTION("""COMPUTED_VALUE"""),FALSE)</f>
        <v>0</v>
      </c>
      <c r="C111" s="19" t="str">
        <f>IFERROR(__xludf.DUMMYFUNCTION("""COMPUTED_VALUE"""),"Booking.com")</f>
        <v>Booking.com</v>
      </c>
      <c r="D111" s="4">
        <f>IFERROR(__xludf.DUMMYFUNCTION("""COMPUTED_VALUE"""),2.0)</f>
        <v>2</v>
      </c>
      <c r="E111" s="20">
        <f>IFERROR(__xludf.DUMMYFUNCTION("""COMPUTED_VALUE"""),46068.0)</f>
        <v>46068</v>
      </c>
      <c r="F111" s="4"/>
      <c r="G111" s="4"/>
      <c r="H111"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I111" s="4" t="str">
        <f>IFERROR(__xludf.DUMMYFUNCTION("""COMPUTED_VALUE"""),"")</f>
        <v/>
      </c>
      <c r="J111" s="4" t="str">
        <f>IFERROR(__xludf.DUMMYFUNCTION("""COMPUTED_VALUE"""),"")</f>
        <v/>
      </c>
      <c r="K111"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L111" s="4" t="str">
        <f>IFERROR(__xludf.DUMMYFUNCTION("""COMPUTED_VALUE"""),"Corey")</f>
        <v>Corey</v>
      </c>
      <c r="N111" s="21" t="b">
        <f>IFERROR(__xludf.DUMMYFUNCTION("""COMPUTED_VALUE"""),FALSE)</f>
        <v>0</v>
      </c>
      <c r="O111" s="21" t="str">
        <f>IFERROR(__xludf.DUMMYFUNCTION("""COMPUTED_VALUE"""),"Google")</f>
        <v>Google</v>
      </c>
      <c r="P111" s="21">
        <f>IFERROR(__xludf.DUMMYFUNCTION("""COMPUTED_VALUE"""),5.0)</f>
        <v>5</v>
      </c>
      <c r="Q111" s="22">
        <f>IFERROR(__xludf.DUMMYFUNCTION("""COMPUTED_VALUE"""),46077.0)</f>
        <v>46077</v>
      </c>
      <c r="R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S111" s="21"/>
      <c r="T111" s="21"/>
      <c r="U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V111" s="21" t="str">
        <f>IFERROR(__xludf.DUMMYFUNCTION("""COMPUTED_VALUE"""),"")</f>
        <v/>
      </c>
      <c r="W111" s="21" t="str">
        <f>IFERROR(__xludf.DUMMYFUNCTION("""COMPUTED_VALUE"""),"")</f>
        <v/>
      </c>
      <c r="X111" s="21" t="str">
        <f>IFERROR(__xludf.DUMMYFUNCTION("""COMPUTED_VALUE"""),"M T")</f>
        <v>M T</v>
      </c>
    </row>
    <row r="112">
      <c r="B112" s="21" t="b">
        <f>IFERROR(__xludf.DUMMYFUNCTION("""COMPUTED_VALUE"""),FALSE)</f>
        <v>0</v>
      </c>
      <c r="C112" s="21" t="str">
        <f>IFERROR(__xludf.DUMMYFUNCTION("""COMPUTED_VALUE"""),"Google")</f>
        <v>Google</v>
      </c>
      <c r="D112" s="4">
        <f>IFERROR(__xludf.DUMMYFUNCTION("""COMPUTED_VALUE"""),1.0)</f>
        <v>1</v>
      </c>
      <c r="E112" s="20">
        <f>IFERROR(__xludf.DUMMYFUNCTION("""COMPUTED_VALUE"""),46068.0)</f>
        <v>46068</v>
      </c>
      <c r="F112" s="4"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G112" s="4"/>
      <c r="H112" s="4"/>
      <c r="I112" s="4"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J112" s="4" t="str">
        <f>IFERROR(__xludf.DUMMYFUNCTION("""COMPUTED_VALUE"""),"")</f>
        <v/>
      </c>
      <c r="K112" s="4" t="str">
        <f>IFERROR(__xludf.DUMMYFUNCTION("""COMPUTED_VALUE"""),"")</f>
        <v/>
      </c>
      <c r="L112" s="4" t="str">
        <f>IFERROR(__xludf.DUMMYFUNCTION("""COMPUTED_VALUE"""),"바른생활")</f>
        <v>바른생활</v>
      </c>
      <c r="N112" s="21" t="b">
        <f>IFERROR(__xludf.DUMMYFUNCTION("""COMPUTED_VALUE"""),FALSE)</f>
        <v>0</v>
      </c>
      <c r="O112" s="21" t="str">
        <f>IFERROR(__xludf.DUMMYFUNCTION("""COMPUTED_VALUE"""),"楽天トラベル")</f>
        <v>楽天トラベル</v>
      </c>
      <c r="P112" s="21">
        <f>IFERROR(__xludf.DUMMYFUNCTION("""COMPUTED_VALUE"""),4.0)</f>
        <v>4</v>
      </c>
      <c r="Q112" s="22">
        <f>IFERROR(__xludf.DUMMYFUNCTION("""COMPUTED_VALUE"""),46077.0)</f>
        <v>46077</v>
      </c>
      <c r="R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S112" s="21"/>
      <c r="T112" s="21"/>
      <c r="U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V112" s="21" t="str">
        <f>IFERROR(__xludf.DUMMYFUNCTION("""COMPUTED_VALUE"""),"")</f>
        <v/>
      </c>
      <c r="W112" s="21" t="str">
        <f>IFERROR(__xludf.DUMMYFUNCTION("""COMPUTED_VALUE"""),"")</f>
        <v/>
      </c>
      <c r="X112" s="21" t="str">
        <f>IFERROR(__xludf.DUMMYFUNCTION("""COMPUTED_VALUE"""),"Aya158")</f>
        <v>Aya158</v>
      </c>
    </row>
    <row r="113">
      <c r="B113" s="21" t="b">
        <f>IFERROR(__xludf.DUMMYFUNCTION("""COMPUTED_VALUE"""),FALSE)</f>
        <v>0</v>
      </c>
      <c r="C113" s="21" t="str">
        <f>IFERROR(__xludf.DUMMYFUNCTION("""COMPUTED_VALUE"""),"Google")</f>
        <v>Google</v>
      </c>
      <c r="D113" s="4">
        <f>IFERROR(__xludf.DUMMYFUNCTION("""COMPUTED_VALUE"""),1.0)</f>
        <v>1</v>
      </c>
      <c r="E113" s="20">
        <f>IFERROR(__xludf.DUMMYFUNCTION("""COMPUTED_VALUE"""),46068.0)</f>
        <v>46068</v>
      </c>
      <c r="F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3" s="4"/>
      <c r="H113" s="4"/>
      <c r="I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3" s="4" t="str">
        <f>IFERROR(__xludf.DUMMYFUNCTION("""COMPUTED_VALUE"""),"")</f>
        <v/>
      </c>
      <c r="K113" s="4" t="str">
        <f>IFERROR(__xludf.DUMMYFUNCTION("""COMPUTED_VALUE"""),"")</f>
        <v/>
      </c>
      <c r="L113" s="4" t="str">
        <f>IFERROR(__xludf.DUMMYFUNCTION("""COMPUTED_VALUE"""),"Corey Gossett")</f>
        <v>Corey Gossett</v>
      </c>
      <c r="N113" s="21" t="b">
        <f>IFERROR(__xludf.DUMMYFUNCTION("""COMPUTED_VALUE"""),FALSE)</f>
        <v>0</v>
      </c>
      <c r="O113" s="21" t="str">
        <f>IFERROR(__xludf.DUMMYFUNCTION("""COMPUTED_VALUE"""),"Google")</f>
        <v>Google</v>
      </c>
      <c r="P113" s="21">
        <f>IFERROR(__xludf.DUMMYFUNCTION("""COMPUTED_VALUE"""),5.0)</f>
        <v>5</v>
      </c>
      <c r="Q113" s="22">
        <f>IFERROR(__xludf.DUMMYFUNCTION("""COMPUTED_VALUE"""),46077.0)</f>
        <v>46077</v>
      </c>
      <c r="R113" s="21"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S113" s="21"/>
      <c r="T113" s="21"/>
      <c r="U113" s="21"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V113" s="21" t="str">
        <f>IFERROR(__xludf.DUMMYFUNCTION("""COMPUTED_VALUE"""),"")</f>
        <v/>
      </c>
      <c r="W113" s="21" t="str">
        <f>IFERROR(__xludf.DUMMYFUNCTION("""COMPUTED_VALUE"""),"")</f>
        <v/>
      </c>
      <c r="X113" s="21" t="str">
        <f>IFERROR(__xludf.DUMMYFUNCTION("""COMPUTED_VALUE"""),"M T")</f>
        <v>M T</v>
      </c>
    </row>
    <row r="114">
      <c r="B114" s="21" t="b">
        <f>IFERROR(__xludf.DUMMYFUNCTION("""COMPUTED_VALUE"""),FALSE)</f>
        <v>0</v>
      </c>
      <c r="C114" s="21" t="str">
        <f>IFERROR(__xludf.DUMMYFUNCTION("""COMPUTED_VALUE"""),"Google")</f>
        <v>Google</v>
      </c>
      <c r="D114" s="4">
        <f>IFERROR(__xludf.DUMMYFUNCTION("""COMPUTED_VALUE"""),1.0)</f>
        <v>1</v>
      </c>
      <c r="E114" s="20">
        <f>IFERROR(__xludf.DUMMYFUNCTION("""COMPUTED_VALUE"""),46068.0)</f>
        <v>46068</v>
      </c>
      <c r="F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G114" s="4"/>
      <c r="H114" s="4"/>
      <c r="I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J114" s="4" t="str">
        <f>IFERROR(__xludf.DUMMYFUNCTION("""COMPUTED_VALUE"""),"")</f>
        <v/>
      </c>
      <c r="K114" s="4" t="str">
        <f>IFERROR(__xludf.DUMMYFUNCTION("""COMPUTED_VALUE"""),"")</f>
        <v/>
      </c>
      <c r="L114" s="4" t="str">
        <f>IFERROR(__xludf.DUMMYFUNCTION("""COMPUTED_VALUE"""),"바른생활")</f>
        <v>바른생활</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IFERROR(__xludf.DUMMYFUNCTION("""COMPUTED_VALUE"""),46076.0)</f>
        <v>46076</v>
      </c>
      <c r="R114" s="21"/>
      <c r="S114" s="21" t="str">
        <f>IFERROR(__xludf.DUMMYFUNCTION("""COMPUTED_VALUE"""),"The beds were so comfortable! Nice place with proper black out blinds.")</f>
        <v>The beds were so comfortable! Nice place with proper black out blinds.</v>
      </c>
      <c r="T114" s="21"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U114" s="21" t="str">
        <f>IFERROR(__xludf.DUMMYFUNCTION("""COMPUTED_VALUE"""),"")</f>
        <v/>
      </c>
      <c r="V114" s="21" t="str">
        <f>IFERROR(__xludf.DUMMYFUNCTION("""COMPUTED_VALUE"""),"ベッドがとても快適でした！遮光カーテンもきちんと付いていて、素敵な場所でした。")</f>
        <v>ベッドがとても快適でした！遮光カーテンもきちんと付いていて、素敵な場所でした。</v>
      </c>
      <c r="W114" s="21"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X114" s="21" t="str">
        <f>IFERROR(__xludf.DUMMYFUNCTION("""COMPUTED_VALUE"""),"Susanne")</f>
        <v>Susanne</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IFERROR(__xludf.DUMMYFUNCTION("""COMPUTED_VALUE"""),46067.0)</f>
        <v>46067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IFERROR(__xludf.DUMMYFUNCTION("""COMPUTED_VALUE"""),"Saki")</f>
        <v>Saki</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IFERROR(__xludf.DUMMYFUNCTION("""COMPUTED_VALUE"""),46075.0)</f>
        <v>46075</v>
      </c>
      <c r="R115" s="21"/>
      <c r="S115" s="21" t="str">
        <f>IFERROR(__xludf.DUMMYFUNCTION("""COMPUTED_VALUE"""),"👍")</f>
        <v>👍</v>
      </c>
      <c r="T115" s="21" t="str">
        <f>IFERROR(__xludf.DUMMYFUNCTION("""COMPUTED_VALUE"""),"沒有")</f>
        <v>沒有</v>
      </c>
      <c r="U115" s="21" t="str">
        <f>IFERROR(__xludf.DUMMYFUNCTION("""COMPUTED_VALUE"""),"")</f>
        <v/>
      </c>
      <c r="V115" s="21" t="str">
        <f>IFERROR(__xludf.DUMMYFUNCTION("""COMPUTED_VALUE"""),"👍")</f>
        <v>👍</v>
      </c>
      <c r="W115" s="21" t="str">
        <f>IFERROR(__xludf.DUMMYFUNCTION("""COMPUTED_VALUE"""),"いいえ")</f>
        <v>いいえ</v>
      </c>
      <c r="X115" s="21" t="str">
        <f>IFERROR(__xludf.DUMMYFUNCTION("""COMPUTED_VALUE"""),"Jiawei")</f>
        <v>Jiawei</v>
      </c>
    </row>
    <row r="116">
      <c r="B116" s="21" t="b">
        <f>IFERROR(__xludf.DUMMYFUNCTION("""COMPUTED_VALUE"""),FALSE)</f>
        <v>0</v>
      </c>
      <c r="C116" s="21" t="str">
        <f>IFERROR(__xludf.DUMMYFUNCTION("""COMPUTED_VALUE"""),"Google")</f>
        <v>Google</v>
      </c>
      <c r="D116" s="4">
        <f>IFERROR(__xludf.DUMMYFUNCTION("""COMPUTED_VALUE"""),1.0)</f>
        <v>1</v>
      </c>
      <c r="E116" s="20">
        <f>IFERROR(__xludf.DUMMYFUNCTION("""COMPUTED_VALUE"""),46067.0)</f>
        <v>46067</v>
      </c>
      <c r="F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6" s="4"/>
      <c r="H116" s="4"/>
      <c r="I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6" s="4" t="str">
        <f>IFERROR(__xludf.DUMMYFUNCTION("""COMPUTED_VALUE"""),"")</f>
        <v/>
      </c>
      <c r="K116" s="4" t="str">
        <f>IFERROR(__xludf.DUMMYFUNCTION("""COMPUTED_VALUE"""),"")</f>
        <v/>
      </c>
      <c r="L116" s="4" t="str">
        <f>IFERROR(__xludf.DUMMYFUNCTION("""COMPUTED_VALUE"""),"Corey Gossett")</f>
        <v>Corey Gossett</v>
      </c>
      <c r="N116" s="21" t="b">
        <f>IFERROR(__xludf.DUMMYFUNCTION("""COMPUTED_VALUE"""),FALSE)</f>
        <v>0</v>
      </c>
      <c r="O116" s="19" t="str">
        <f>IFERROR(__xludf.DUMMYFUNCTION("""COMPUTED_VALUE"""),"Trip.com")</f>
        <v>Trip.com</v>
      </c>
      <c r="P116" s="21">
        <f>IFERROR(__xludf.DUMMYFUNCTION("""COMPUTED_VALUE"""),10.0)</f>
        <v>10</v>
      </c>
      <c r="Q116" s="22">
        <f>IFERROR(__xludf.DUMMYFUNCTION("""COMPUTED_VALUE"""),46075.0)</f>
        <v>46075</v>
      </c>
      <c r="R116" s="21" t="str">
        <f>IFERROR(__xludf.DUMMYFUNCTION("""COMPUTED_VALUE"""),"雖然有點老，但是比apa大")</f>
        <v>雖然有點老，但是比apa大</v>
      </c>
      <c r="S116" s="21"/>
      <c r="T116" s="21"/>
      <c r="U116" s="21" t="str">
        <f>IFERROR(__xludf.DUMMYFUNCTION("""COMPUTED_VALUE"""),"少し古いが、APAよりも規模が大きい。")</f>
        <v>少し古いが、APAよりも規模が大きい。</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4">
        <f>IFERROR(__xludf.DUMMYFUNCTION("""COMPUTED_VALUE"""),1.0)</f>
        <v>1</v>
      </c>
      <c r="E117" s="20">
        <f>IFERROR(__xludf.DUMMYFUNCTION("""COMPUTED_VALUE"""),46067.0)</f>
        <v>46067</v>
      </c>
      <c r="F117"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G117" s="4"/>
      <c r="H117" s="4"/>
      <c r="I117"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J117" s="4" t="str">
        <f>IFERROR(__xludf.DUMMYFUNCTION("""COMPUTED_VALUE"""),"")</f>
        <v/>
      </c>
      <c r="K117" s="4" t="str">
        <f>IFERROR(__xludf.DUMMYFUNCTION("""COMPUTED_VALUE"""),"")</f>
        <v/>
      </c>
      <c r="L117" s="4" t="str">
        <f>IFERROR(__xludf.DUMMYFUNCTION("""COMPUTED_VALUE"""),"Corey Gossett")</f>
        <v>Corey Gossett</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IFERROR(__xludf.DUMMYFUNCTION("""COMPUTED_VALUE"""),46074.0)</f>
        <v>46074</v>
      </c>
      <c r="R117" s="21"/>
      <c r="S117" s="21"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T117" s="21"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U117" s="21" t="str">
        <f>IFERROR(__xludf.DUMMYFUNCTION("""COMPUTED_VALUE"""),"")</f>
        <v/>
      </c>
      <c r="V117" s="21"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W117" s="21"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X117" s="21" t="str">
        <f>IFERROR(__xludf.DUMMYFUNCTION("""COMPUTED_VALUE"""),"James")</f>
        <v>James</v>
      </c>
    </row>
    <row r="118">
      <c r="B118" s="21" t="b">
        <f>IFERROR(__xludf.DUMMYFUNCTION("""COMPUTED_VALUE"""),FALSE)</f>
        <v>0</v>
      </c>
      <c r="C118" s="19" t="str">
        <f>IFERROR(__xludf.DUMMYFUNCTION("""COMPUTED_VALUE"""),"Booking.com")</f>
        <v>Booking.com</v>
      </c>
      <c r="D118" s="4">
        <f>IFERROR(__xludf.DUMMYFUNCTION("""COMPUTED_VALUE"""),10.0)</f>
        <v>10</v>
      </c>
      <c r="E118" s="20">
        <f>IFERROR(__xludf.DUMMYFUNCTION("""COMPUTED_VALUE"""),46066.0)</f>
        <v>46066</v>
      </c>
      <c r="F118" s="4"/>
      <c r="G118" s="4" t="str">
        <f>IFERROR(__xludf.DUMMYFUNCTION("""COMPUTED_VALUE"""),"Las personas son muy amables en la recepción y las habitaciones son cómodas, las del piso 5.")</f>
        <v>Las personas son muy amables en la recepción y las habitaciones son cómodas, las del piso 5.</v>
      </c>
      <c r="H118" s="4" t="str">
        <f>IFERROR(__xludf.DUMMYFUNCTION("""COMPUTED_VALUE"""),"Que el desayuno siempre es el mismo todos los días.")</f>
        <v>Que el desayuno siempre es el mismo todos los días.</v>
      </c>
      <c r="I118" s="4" t="str">
        <f>IFERROR(__xludf.DUMMYFUNCTION("""COMPUTED_VALUE"""),"")</f>
        <v/>
      </c>
      <c r="J118" s="4" t="str">
        <f>IFERROR(__xludf.DUMMYFUNCTION("""COMPUTED_VALUE"""),"受付のスタッフはとても親切で、部屋も快適です。特に5階の部屋はおすすめです。")</f>
        <v>受付のスタッフはとても親切で、部屋も快適です。特に5階の部屋はおすすめです。</v>
      </c>
      <c r="K118" s="4" t="str">
        <f>IFERROR(__xludf.DUMMYFUNCTION("""COMPUTED_VALUE"""),"その朝食は毎日同じだ。")</f>
        <v>その朝食は毎日同じだ。</v>
      </c>
      <c r="L118" s="4" t="str">
        <f>IFERROR(__xludf.DUMMYFUNCTION("""COMPUTED_VALUE"""),"Pablo")</f>
        <v>Pablo</v>
      </c>
      <c r="N118" s="21" t="b">
        <f>IFERROR(__xludf.DUMMYFUNCTION("""COMPUTED_VALUE"""),FALSE)</f>
        <v>0</v>
      </c>
      <c r="O118" s="19" t="str">
        <f>IFERROR(__xludf.DUMMYFUNCTION("""COMPUTED_VALUE"""),"Booking.com")</f>
        <v>Booking.com</v>
      </c>
      <c r="P118" s="21">
        <f>IFERROR(__xludf.DUMMYFUNCTION("""COMPUTED_VALUE"""),4.0)</f>
        <v>4</v>
      </c>
      <c r="Q118" s="22">
        <f>IFERROR(__xludf.DUMMYFUNCTION("""COMPUTED_VALUE"""),46074.0)</f>
        <v>46074</v>
      </c>
      <c r="R118" s="21"/>
      <c r="S118" s="21" t="str">
        <f>IFERROR(__xludf.DUMMYFUNCTION("""COMPUTED_VALUE"""),"Staff were very nice.")</f>
        <v>Staff were very nice.</v>
      </c>
      <c r="T118" s="21" t="str">
        <f>IFERROR(__xludf.DUMMYFUNCTION("""COMPUTED_VALUE"""),"Room wasn’t great for price. Can’t open windows so room gets stuffy.")</f>
        <v>Room wasn’t great for price. Can’t open windows so room gets stuffy.</v>
      </c>
      <c r="U118" s="21" t="str">
        <f>IFERROR(__xludf.DUMMYFUNCTION("""COMPUTED_VALUE"""),"")</f>
        <v/>
      </c>
      <c r="V118" s="21" t="str">
        <f>IFERROR(__xludf.DUMMYFUNCTION("""COMPUTED_VALUE"""),"スタッフの方々はとても親切でした。")</f>
        <v>スタッフの方々はとても親切でした。</v>
      </c>
      <c r="W118" s="21"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X118" s="21" t="str">
        <f>IFERROR(__xludf.DUMMYFUNCTION("""COMPUTED_VALUE"""),"Hayden")</f>
        <v>Hayden</v>
      </c>
    </row>
    <row r="119">
      <c r="B119" s="21" t="b">
        <f>IFERROR(__xludf.DUMMYFUNCTION("""COMPUTED_VALUE"""),FALSE)</f>
        <v>0</v>
      </c>
      <c r="C119" s="19" t="str">
        <f>IFERROR(__xludf.DUMMYFUNCTION("""COMPUTED_VALUE"""),"Booking.com")</f>
        <v>Booking.com</v>
      </c>
      <c r="D119" s="4">
        <f>IFERROR(__xludf.DUMMYFUNCTION("""COMPUTED_VALUE"""),10.0)</f>
        <v>10</v>
      </c>
      <c r="E119" s="20">
        <f>IFERROR(__xludf.DUMMYFUNCTION("""COMPUTED_VALUE"""),46066.0)</f>
        <v>46066</v>
      </c>
      <c r="F119" s="4"/>
      <c r="G119" s="4" t="str">
        <f>IFERROR(__xludf.DUMMYFUNCTION("""COMPUTED_VALUE"""),"Location, and friendly staff")</f>
        <v>Location, and friendly staff</v>
      </c>
      <c r="H119" s="4" t="str">
        <f>IFERROR(__xludf.DUMMYFUNCTION("""COMPUTED_VALUE"""),"Nothing")</f>
        <v>Nothing</v>
      </c>
      <c r="I119" s="4" t="str">
        <f>IFERROR(__xludf.DUMMYFUNCTION("""COMPUTED_VALUE"""),"")</f>
        <v/>
      </c>
      <c r="J119" s="4" t="str">
        <f>IFERROR(__xludf.DUMMYFUNCTION("""COMPUTED_VALUE"""),"立地とフレンドリーなスタッフ")</f>
        <v>立地とフレンドリーなスタッフ</v>
      </c>
      <c r="K119" s="4" t="str">
        <f>IFERROR(__xludf.DUMMYFUNCTION("""COMPUTED_VALUE"""),"何もない")</f>
        <v>何もない</v>
      </c>
      <c r="L119" s="4" t="str">
        <f>IFERROR(__xludf.DUMMYFUNCTION("""COMPUTED_VALUE"""),"Ulf")</f>
        <v>Ulf</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IFERROR(__xludf.DUMMYFUNCTION("""COMPUTED_VALUE"""),46073.0)</f>
        <v>46073</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IFERROR(__xludf.DUMMYFUNCTION("""COMPUTED_VALUE"""),"Berankis")</f>
        <v>Berankis</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IFERROR(__xludf.DUMMYFUNCTION("""COMPUTED_VALUE"""),46066.0)</f>
        <v>46066</v>
      </c>
      <c r="F120" s="4"/>
      <c r="G120" s="4"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H120" s="4"/>
      <c r="I120" s="4" t="str">
        <f>IFERROR(__xludf.DUMMYFUNCTION("""COMPUTED_VALUE"""),"")</f>
        <v/>
      </c>
      <c r="J120" s="4"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K120" s="4" t="str">
        <f>IFERROR(__xludf.DUMMYFUNCTION("""COMPUTED_VALUE"""),"")</f>
        <v/>
      </c>
      <c r="L120" s="4" t="str">
        <f>IFERROR(__xludf.DUMMYFUNCTION("""COMPUTED_VALUE"""),"Hakan")</f>
        <v>Hakan</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IFERROR(__xludf.DUMMYFUNCTION("""COMPUTED_VALUE"""),46072.0)</f>
        <v>46072</v>
      </c>
      <c r="R120" s="21"/>
      <c r="S120" s="21"/>
      <c r="T120" s="21" t="str">
        <f>IFERROR(__xludf.DUMMYFUNCTION("""COMPUTED_VALUE"""),"Poderia variar o cardápio do café da manhã")</f>
        <v>Poderia variar o cardápio do café da manhã</v>
      </c>
      <c r="U120" s="21" t="str">
        <f>IFERROR(__xludf.DUMMYFUNCTION("""COMPUTED_VALUE"""),"")</f>
        <v/>
      </c>
      <c r="V120" s="21" t="str">
        <f>IFERROR(__xludf.DUMMYFUNCTION("""COMPUTED_VALUE"""),"")</f>
        <v/>
      </c>
      <c r="W120" s="21" t="str">
        <f>IFERROR(__xludf.DUMMYFUNCTION("""COMPUTED_VALUE"""),"朝食メニューは多様であるべきだ。")</f>
        <v>朝食メニューは多様であるべきだ。</v>
      </c>
      <c r="X120" s="21" t="str">
        <f>IFERROR(__xludf.DUMMYFUNCTION("""COMPUTED_VALUE"""),"Tilia")</f>
        <v>Tilia</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IFERROR(__xludf.DUMMYFUNCTION("""COMPUTED_VALUE"""),46066.0)</f>
        <v>46066</v>
      </c>
      <c r="F121" s="4" t="str">
        <f>IFERROR(__xludf.DUMMYFUNCTION("""COMPUTED_VALUE"""),"櫃檯服務親切 房間乾淨")</f>
        <v>櫃檯服務親切 房間乾淨</v>
      </c>
      <c r="G121" s="4"/>
      <c r="H121" s="4"/>
      <c r="I121" s="4" t="str">
        <f>IFERROR(__xludf.DUMMYFUNCTION("""COMPUTED_VALUE"""),"フロントのスタッフは親切で、部屋も清潔だった。")</f>
        <v>フロントのスタッフは親切で、部屋も清潔だった。</v>
      </c>
      <c r="J121" s="4" t="str">
        <f>IFERROR(__xludf.DUMMYFUNCTION("""COMPUTED_VALUE"""),"")</f>
        <v/>
      </c>
      <c r="K121" s="4" t="str">
        <f>IFERROR(__xludf.DUMMYFUNCTION("""COMPUTED_VALUE"""),"")</f>
        <v/>
      </c>
      <c r="L121" s="4" t="str">
        <f>IFERROR(__xludf.DUMMYFUNCTION("""COMPUTED_VALUE"""),"-‍W‍h‍o‍-")</f>
        <v>-‍W‍h‍o‍-</v>
      </c>
      <c r="N121" s="21" t="b">
        <f>IFERROR(__xludf.DUMMYFUNCTION("""COMPUTED_VALUE"""),FALSE)</f>
        <v>0</v>
      </c>
      <c r="O121" s="19" t="str">
        <f>IFERROR(__xludf.DUMMYFUNCTION("""COMPUTED_VALUE"""),"Booking.com")</f>
        <v>Booking.com</v>
      </c>
      <c r="P121" s="21">
        <f>IFERROR(__xludf.DUMMYFUNCTION("""COMPUTED_VALUE"""),8.0)</f>
        <v>8</v>
      </c>
      <c r="Q121" s="22">
        <f>IFERROR(__xludf.DUMMYFUNCTION("""COMPUTED_VALUE"""),46072.0)</f>
        <v>46072</v>
      </c>
      <c r="R121" s="21"/>
      <c r="S121" s="21" t="str">
        <f>IFERROR(__xludf.DUMMYFUNCTION("""COMPUTED_VALUE"""),"施設は古いが清潔でした")</f>
        <v>施設は古いが清潔でした</v>
      </c>
      <c r="T121" s="21" t="str">
        <f>IFERROR(__xludf.DUMMYFUNCTION("""COMPUTED_VALUE"""),"冷蔵庫スイッチ1にして下段に入れても冷凍されてしまった")</f>
        <v>冷蔵庫スイッチ1にして下段に入れても冷凍されてしまった</v>
      </c>
      <c r="U121" s="21" t="str">
        <f>IFERROR(__xludf.DUMMYFUNCTION("""COMPUTED_VALUE"""),"")</f>
        <v/>
      </c>
      <c r="V121" s="21" t="str">
        <f>IFERROR(__xludf.DUMMYFUNCTION("""COMPUTED_VALUE"""),"施設は古いが清潔でした")</f>
        <v>施設は古いが清潔でした</v>
      </c>
      <c r="W121" s="21" t="str">
        <f>IFERROR(__xludf.DUMMYFUNCTION("""COMPUTED_VALUE"""),"冷蔵庫スイッチ1にして下段に入れても冷凍されてしまった")</f>
        <v>冷蔵庫スイッチ1にして下段に入れても冷凍されてしまった</v>
      </c>
      <c r="X121" s="21" t="str">
        <f>IFERROR(__xludf.DUMMYFUNCTION("""COMPUTED_VALUE"""),"Kyoko")</f>
        <v>Kyoko</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IFERROR(__xludf.DUMMYFUNCTION("""COMPUTED_VALUE"""),46064.0)</f>
        <v>46064</v>
      </c>
      <c r="F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G122" s="4"/>
      <c r="H122" s="4"/>
      <c r="I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J122" s="4" t="str">
        <f>IFERROR(__xludf.DUMMYFUNCTION("""COMPUTED_VALUE"""),"")</f>
        <v/>
      </c>
      <c r="K122" s="4" t="str">
        <f>IFERROR(__xludf.DUMMYFUNCTION("""COMPUTED_VALUE"""),"")</f>
        <v/>
      </c>
      <c r="L122" s="4" t="str">
        <f>IFERROR(__xludf.DUMMYFUNCTION("""COMPUTED_VALUE"""),"HAKAN YAPICI")</f>
        <v>HAKAN YAPICI</v>
      </c>
      <c r="N122" s="21" t="b">
        <f>IFERROR(__xludf.DUMMYFUNCTION("""COMPUTED_VALUE"""),FALSE)</f>
        <v>0</v>
      </c>
      <c r="O122" s="19" t="str">
        <f>IFERROR(__xludf.DUMMYFUNCTION("""COMPUTED_VALUE"""),"Booking.com")</f>
        <v>Booking.com</v>
      </c>
      <c r="P122" s="21">
        <f>IFERROR(__xludf.DUMMYFUNCTION("""COMPUTED_VALUE"""),10.0)</f>
        <v>10</v>
      </c>
      <c r="Q122" s="22">
        <f>IFERROR(__xludf.DUMMYFUNCTION("""COMPUTED_VALUE"""),46071.0)</f>
        <v>46071</v>
      </c>
      <c r="R122" s="21"/>
      <c r="S122" s="21" t="str">
        <f>IFERROR(__xludf.DUMMYFUNCTION("""COMPUTED_VALUE"""),"Emplacement, propreté, gentillesse du personnel")</f>
        <v>Emplacement, propreté, gentillesse du personnel</v>
      </c>
      <c r="T122" s="21"/>
      <c r="U122" s="21" t="str">
        <f>IFERROR(__xludf.DUMMYFUNCTION("""COMPUTED_VALUE"""),"")</f>
        <v/>
      </c>
      <c r="V122" s="21" t="str">
        <f>IFERROR(__xludf.DUMMYFUNCTION("""COMPUTED_VALUE"""),"立地、清潔さ、スタッフの親切さ")</f>
        <v>立地、清潔さ、スタッフの親切さ</v>
      </c>
      <c r="W122" s="21" t="str">
        <f>IFERROR(__xludf.DUMMYFUNCTION("""COMPUTED_VALUE"""),"")</f>
        <v/>
      </c>
      <c r="X122" s="21" t="str">
        <f>IFERROR(__xludf.DUMMYFUNCTION("""COMPUTED_VALUE"""),"Aleksandra")</f>
        <v>Aleksandra</v>
      </c>
    </row>
    <row r="123">
      <c r="B123" s="21" t="b">
        <f>IFERROR(__xludf.DUMMYFUNCTION("""COMPUTED_VALUE"""),FALSE)</f>
        <v>0</v>
      </c>
      <c r="C123" s="21" t="str">
        <f>IFERROR(__xludf.DUMMYFUNCTION("""COMPUTED_VALUE"""),"Google")</f>
        <v>Google</v>
      </c>
      <c r="D123" s="4">
        <f>IFERROR(__xludf.DUMMYFUNCTION("""COMPUTED_VALUE"""),5.0)</f>
        <v>5</v>
      </c>
      <c r="E123" s="20">
        <f>IFERROR(__xludf.DUMMYFUNCTION("""COMPUTED_VALUE"""),46064.0)</f>
        <v>46064</v>
      </c>
      <c r="F123" s="4"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G123" s="4"/>
      <c r="H123" s="4"/>
      <c r="I123" s="4"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J123" s="4" t="str">
        <f>IFERROR(__xludf.DUMMYFUNCTION("""COMPUTED_VALUE"""),"")</f>
        <v/>
      </c>
      <c r="K123" s="4" t="str">
        <f>IFERROR(__xludf.DUMMYFUNCTION("""COMPUTED_VALUE"""),"")</f>
        <v/>
      </c>
      <c r="L123" s="4" t="str">
        <f>IFERROR(__xludf.DUMMYFUNCTION("""COMPUTED_VALUE"""),"HAKAN YAPICI")</f>
        <v>HAKAN YAPICI</v>
      </c>
      <c r="N123" s="21" t="b">
        <f>IFERROR(__xludf.DUMMYFUNCTION("""COMPUTED_VALUE"""),FALSE)</f>
        <v>0</v>
      </c>
      <c r="O123" s="21" t="str">
        <f>IFERROR(__xludf.DUMMYFUNCTION("""COMPUTED_VALUE"""),"楽天トラベル")</f>
        <v>楽天トラベル</v>
      </c>
      <c r="P123" s="21">
        <f>IFERROR(__xludf.DUMMYFUNCTION("""COMPUTED_VALUE"""),5.0)</f>
        <v>5</v>
      </c>
      <c r="Q123" s="22">
        <f>IFERROR(__xludf.DUMMYFUNCTION("""COMPUTED_VALUE"""),46071.0)</f>
        <v>46071</v>
      </c>
      <c r="R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S123" s="21"/>
      <c r="T123" s="21"/>
      <c r="U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V123" s="21" t="str">
        <f>IFERROR(__xludf.DUMMYFUNCTION("""COMPUTED_VALUE"""),"")</f>
        <v/>
      </c>
      <c r="W123" s="21" t="str">
        <f>IFERROR(__xludf.DUMMYFUNCTION("""COMPUTED_VALUE"""),"")</f>
        <v/>
      </c>
      <c r="X123" s="21" t="str">
        <f>IFERROR(__xludf.DUMMYFUNCTION("""COMPUTED_VALUE"""),"えりかりえ")</f>
        <v>えりかりえ</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IFERROR(__xludf.DUMMYFUNCTION("""COMPUTED_VALUE"""),46063.0)</f>
        <v>46063</v>
      </c>
      <c r="F124" s="4"/>
      <c r="G124" s="4" t="str">
        <f>IFERROR(__xludf.DUMMYFUNCTION("""COMPUTED_VALUE"""),"It was clean, the rates were reasonable, the staff were so friendly and helpful and location was great.")</f>
        <v>It was clean, the rates were reasonable, the staff were so friendly and helpful and location was great.</v>
      </c>
      <c r="H124" s="4"/>
      <c r="I124" s="4" t="str">
        <f>IFERROR(__xludf.DUMMYFUNCTION("""COMPUTED_VALUE"""),"")</f>
        <v/>
      </c>
      <c r="J124" s="4" t="str">
        <f>IFERROR(__xludf.DUMMYFUNCTION("""COMPUTED_VALUE"""),"清潔で、料金も手頃で、スタッフはとても親切で協力的で、立地も最高でした。")</f>
        <v>清潔で、料金も手頃で、スタッフはとても親切で協力的で、立地も最高でした。</v>
      </c>
      <c r="K124" s="4" t="str">
        <f>IFERROR(__xludf.DUMMYFUNCTION("""COMPUTED_VALUE"""),"")</f>
        <v/>
      </c>
      <c r="L124" s="4" t="str">
        <f>IFERROR(__xludf.DUMMYFUNCTION("""COMPUTED_VALUE"""),"Vikram")</f>
        <v>Vikram</v>
      </c>
      <c r="N124" s="21" t="b">
        <f>IFERROR(__xludf.DUMMYFUNCTION("""COMPUTED_VALUE"""),FALSE)</f>
        <v>0</v>
      </c>
      <c r="O124" s="19" t="str">
        <f>IFERROR(__xludf.DUMMYFUNCTION("""COMPUTED_VALUE"""),"Booking.com")</f>
        <v>Booking.com</v>
      </c>
      <c r="P124" s="21">
        <f>IFERROR(__xludf.DUMMYFUNCTION("""COMPUTED_VALUE"""),7.0)</f>
        <v>7</v>
      </c>
      <c r="Q124" s="22">
        <f>IFERROR(__xludf.DUMMYFUNCTION("""COMPUTED_VALUE"""),46070.0)</f>
        <v>46070</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IFERROR(__xludf.DUMMYFUNCTION("""COMPUTED_VALUE"""),"Ghassen")</f>
        <v>Ghassen</v>
      </c>
    </row>
    <row r="125">
      <c r="B125" s="21" t="b">
        <f>IFERROR(__xludf.DUMMYFUNCTION("""COMPUTED_VALUE"""),FALSE)</f>
        <v>0</v>
      </c>
      <c r="C125" s="21" t="str">
        <f>IFERROR(__xludf.DUMMYFUNCTION("""COMPUTED_VALUE"""),"Google")</f>
        <v>Google</v>
      </c>
      <c r="D125" s="4">
        <f>IFERROR(__xludf.DUMMYFUNCTION("""COMPUTED_VALUE"""),4.0)</f>
        <v>4</v>
      </c>
      <c r="E125" s="20">
        <f>IFERROR(__xludf.DUMMYFUNCTION("""COMPUTED_VALUE"""),46063.0)</f>
        <v>46063</v>
      </c>
      <c r="F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G125" s="4"/>
      <c r="H125" s="4"/>
      <c r="I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J125" s="4" t="str">
        <f>IFERROR(__xludf.DUMMYFUNCTION("""COMPUTED_VALUE"""),"")</f>
        <v/>
      </c>
      <c r="K125" s="4" t="str">
        <f>IFERROR(__xludf.DUMMYFUNCTION("""COMPUTED_VALUE"""),"")</f>
        <v/>
      </c>
      <c r="L125" s="4" t="str">
        <f>IFERROR(__xludf.DUMMYFUNCTION("""COMPUTED_VALUE"""),"Sirena Huston")</f>
        <v>Sirena Huston</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IFERROR(__xludf.DUMMYFUNCTION("""COMPUTED_VALUE"""),46070.0)</f>
        <v>46070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IFERROR(__xludf.DUMMYFUNCTION("""COMPUTED_VALUE"""),"Kanako")</f>
        <v>Kanako</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IFERROR(__xludf.DUMMYFUNCTION("""COMPUTED_VALUE"""),46063.0)</f>
        <v>46063</v>
      </c>
      <c r="F126" s="4"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G126" s="4"/>
      <c r="H126" s="4"/>
      <c r="I126" s="4"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J126" s="4" t="str">
        <f>IFERROR(__xludf.DUMMYFUNCTION("""COMPUTED_VALUE"""),"")</f>
        <v/>
      </c>
      <c r="K126" s="4" t="str">
        <f>IFERROR(__xludf.DUMMYFUNCTION("""COMPUTED_VALUE"""),"")</f>
        <v/>
      </c>
      <c r="L126" s="4" t="str">
        <f>IFERROR(__xludf.DUMMYFUNCTION("""COMPUTED_VALUE"""),"Sirena Huston")</f>
        <v>Sirena Huston</v>
      </c>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IFERROR(__xludf.DUMMYFUNCTION("""COMPUTED_VALUE"""),46069.0)</f>
        <v>46069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IFERROR(__xludf.DUMMYFUNCTION("""COMPUTED_VALUE"""),"Onon")</f>
        <v>Onon</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IFERROR(__xludf.DUMMYFUNCTION("""COMPUTED_VALUE"""),46062.0)</f>
        <v>46062</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IFERROR(__xludf.DUMMYFUNCTION("""COMPUTED_VALUE"""),"Shohei")</f>
        <v>Shohei</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IFERROR(__xludf.DUMMYFUNCTION("""COMPUTED_VALUE"""),46069.0)</f>
        <v>46069</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IFERROR(__xludf.DUMMYFUNCTION("""COMPUTED_VALUE"""),"Linda")</f>
        <v>Linda</v>
      </c>
    </row>
    <row r="128">
      <c r="B128" s="21" t="b">
        <f>IFERROR(__xludf.DUMMYFUNCTION("""COMPUTED_VALUE"""),FALSE)</f>
        <v>0</v>
      </c>
      <c r="C128" s="21" t="str">
        <f>IFERROR(__xludf.DUMMYFUNCTION("""COMPUTED_VALUE"""),"楽天トラベル")</f>
        <v>楽天トラベル</v>
      </c>
      <c r="D128" s="4">
        <f>IFERROR(__xludf.DUMMYFUNCTION("""COMPUTED_VALUE"""),2.0)</f>
        <v>2</v>
      </c>
      <c r="E128" s="20">
        <f>IFERROR(__xludf.DUMMYFUNCTION("""COMPUTED_VALUE"""),46062.0)</f>
        <v>46062</v>
      </c>
      <c r="F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G128" s="4"/>
      <c r="H128" s="4"/>
      <c r="I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J128" s="4" t="str">
        <f>IFERROR(__xludf.DUMMYFUNCTION("""COMPUTED_VALUE"""),"")</f>
        <v/>
      </c>
      <c r="K128" s="4" t="str">
        <f>IFERROR(__xludf.DUMMYFUNCTION("""COMPUTED_VALUE"""),"")</f>
        <v/>
      </c>
      <c r="L128" s="4" t="str">
        <f>IFERROR(__xludf.DUMMYFUNCTION("""COMPUTED_VALUE"""),"メタボ太郎")</f>
        <v>メタボ太郎</v>
      </c>
      <c r="N128" s="21" t="b">
        <f>IFERROR(__xludf.DUMMYFUNCTION("""COMPUTED_VALUE"""),FALSE)</f>
        <v>0</v>
      </c>
      <c r="O128" s="19" t="str">
        <f>IFERROR(__xludf.DUMMYFUNCTION("""COMPUTED_VALUE"""),"Booking.com")</f>
        <v>Booking.com</v>
      </c>
      <c r="P128" s="21">
        <f>IFERROR(__xludf.DUMMYFUNCTION("""COMPUTED_VALUE"""),7.0)</f>
        <v>7</v>
      </c>
      <c r="Q128" s="22">
        <f>IFERROR(__xludf.DUMMYFUNCTION("""COMPUTED_VALUE"""),46069.0)</f>
        <v>46069</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IFERROR(__xludf.DUMMYFUNCTION("""COMPUTED_VALUE"""),"Kumiko")</f>
        <v>Kumiko</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IFERROR(__xludf.DUMMYFUNCTION("""COMPUTED_VALUE"""),46062.0)</f>
        <v>46062</v>
      </c>
      <c r="F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G129" s="4"/>
      <c r="H129" s="4"/>
      <c r="I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J129" s="4" t="str">
        <f>IFERROR(__xludf.DUMMYFUNCTION("""COMPUTED_VALUE"""),"")</f>
        <v/>
      </c>
      <c r="K129" s="4" t="str">
        <f>IFERROR(__xludf.DUMMYFUNCTION("""COMPUTED_VALUE"""),"")</f>
        <v/>
      </c>
      <c r="L129" s="4" t="str">
        <f>IFERROR(__xludf.DUMMYFUNCTION("""COMPUTED_VALUE"""),"ゆみちゃん＊")</f>
        <v>ゆみちゃん＊</v>
      </c>
      <c r="N129" s="21" t="b">
        <f>IFERROR(__xludf.DUMMYFUNCTION("""COMPUTED_VALUE"""),FALSE)</f>
        <v>0</v>
      </c>
      <c r="O129" s="19" t="str">
        <f>IFERROR(__xludf.DUMMYFUNCTION("""COMPUTED_VALUE"""),"Trip.com")</f>
        <v>Trip.com</v>
      </c>
      <c r="P129" s="21">
        <f>IFERROR(__xludf.DUMMYFUNCTION("""COMPUTED_VALUE"""),9.0)</f>
        <v>9</v>
      </c>
      <c r="Q129" s="22">
        <f>IFERROR(__xludf.DUMMYFUNCTION("""COMPUTED_VALUE"""),46068.0)</f>
        <v>46068</v>
      </c>
      <c r="R129" s="21"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S129" s="21"/>
      <c r="T129" s="21"/>
      <c r="U129" s="21"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IFERROR(__xludf.DUMMYFUNCTION("""COMPUTED_VALUE"""),"Booking.com")</f>
        <v>Booking.com</v>
      </c>
      <c r="D130" s="4">
        <f>IFERROR(__xludf.DUMMYFUNCTION("""COMPUTED_VALUE"""),10.0)</f>
        <v>10</v>
      </c>
      <c r="E130" s="20">
        <f>IFERROR(__xludf.DUMMYFUNCTION("""COMPUTED_VALUE"""),46062.0)</f>
        <v>46062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IFERROR(__xludf.DUMMYFUNCTION("""COMPUTED_VALUE"""),"Bruno")</f>
        <v>Bruno</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IFERROR(__xludf.DUMMYFUNCTION("""COMPUTED_VALUE"""),46068.0)</f>
        <v>46068</v>
      </c>
      <c r="R130" s="21"/>
      <c r="S130" s="21" t="str">
        <f>IFERROR(__xludf.DUMMYFUNCTION("""COMPUTED_VALUE"""),"駅から近く、掃除が行き届いていて綺麗で過ごしやすい部屋だった")</f>
        <v>駅から近く、掃除が行き届いていて綺麗で過ごしやすい部屋だった</v>
      </c>
      <c r="T130" s="21" t="str">
        <f>IFERROR(__xludf.DUMMYFUNCTION("""COMPUTED_VALUE"""),"朝食がエスニック料理気味で食べれるものが限られた")</f>
        <v>朝食がエスニック料理気味で食べれるものが限られた</v>
      </c>
      <c r="U130" s="21" t="str">
        <f>IFERROR(__xludf.DUMMYFUNCTION("""COMPUTED_VALUE"""),"")</f>
        <v/>
      </c>
      <c r="V130" s="21" t="str">
        <f>IFERROR(__xludf.DUMMYFUNCTION("""COMPUTED_VALUE"""),"駅から近く、掃除が行き届いていて綺麗で過ごしやすい部屋だった")</f>
        <v>駅から近く、掃除が行き届いていて綺麗で過ごしやすい部屋だった</v>
      </c>
      <c r="W130" s="21" t="str">
        <f>IFERROR(__xludf.DUMMYFUNCTION("""COMPUTED_VALUE"""),"朝食がエスニック料理気味で食べれるものが限られた")</f>
        <v>朝食がエスニック料理気味で食べれるものが限られた</v>
      </c>
      <c r="X130" s="21" t="str">
        <f>IFERROR(__xludf.DUMMYFUNCTION("""COMPUTED_VALUE"""),"ゆうこ")</f>
        <v>ゆうこ</v>
      </c>
    </row>
    <row r="131">
      <c r="B131" s="21" t="b">
        <f>IFERROR(__xludf.DUMMYFUNCTION("""COMPUTED_VALUE"""),FALSE)</f>
        <v>0</v>
      </c>
      <c r="C131" s="19" t="str">
        <f>IFERROR(__xludf.DUMMYFUNCTION("""COMPUTED_VALUE"""),"Trip.com")</f>
        <v>Trip.com</v>
      </c>
      <c r="D131" s="4">
        <f>IFERROR(__xludf.DUMMYFUNCTION("""COMPUTED_VALUE"""),10.0)</f>
        <v>10</v>
      </c>
      <c r="E131" s="20">
        <f>IFERROR(__xludf.DUMMYFUNCTION("""COMPUTED_VALUE"""),46061.0)</f>
        <v>46061</v>
      </c>
      <c r="F131" s="4" t="str">
        <f>IFERROR(__xludf.DUMMYFUNCTION("""COMPUTED_VALUE"""),"飯店位子非常之好，房間很大很舒適")</f>
        <v>飯店位子非常之好，房間很大很舒適</v>
      </c>
      <c r="G131" s="4"/>
      <c r="H131" s="4"/>
      <c r="I131" s="4" t="str">
        <f>IFERROR(__xludf.DUMMYFUNCTION("""COMPUTED_VALUE"""),"このホテルは立地が素晴らしく、部屋も広くて快適です。")</f>
        <v>このホテルは立地が素晴らしく、部屋も広くて快適です。</v>
      </c>
      <c r="J131" s="4" t="str">
        <f>IFERROR(__xludf.DUMMYFUNCTION("""COMPUTED_VALUE"""),"")</f>
        <v/>
      </c>
      <c r="K131" s="4" t="str">
        <f>IFERROR(__xludf.DUMMYFUNCTION("""COMPUTED_VALUE"""),"")</f>
        <v/>
      </c>
      <c r="L131" s="4" t="str">
        <f>IFERROR(__xludf.DUMMYFUNCTION("""COMPUTED_VALUE"""),"ゲ‍ス‍ト")</f>
        <v>ゲ‍ス‍ト</v>
      </c>
      <c r="N131" s="21" t="b">
        <f>IFERROR(__xludf.DUMMYFUNCTION("""COMPUTED_VALUE"""),FALSE)</f>
        <v>0</v>
      </c>
      <c r="O131" s="19" t="str">
        <f>IFERROR(__xludf.DUMMYFUNCTION("""COMPUTED_VALUE"""),"Booking.com")</f>
        <v>Booking.com</v>
      </c>
      <c r="P131" s="21">
        <f>IFERROR(__xludf.DUMMYFUNCTION("""COMPUTED_VALUE"""),2.0)</f>
        <v>2</v>
      </c>
      <c r="Q131" s="22">
        <f>IFERROR(__xludf.DUMMYFUNCTION("""COMPUTED_VALUE"""),46068.0)</f>
        <v>46068</v>
      </c>
      <c r="R131" s="21"/>
      <c r="S131" s="21"/>
      <c r="T131"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U131" s="21" t="str">
        <f>IFERROR(__xludf.DUMMYFUNCTION("""COMPUTED_VALUE"""),"")</f>
        <v/>
      </c>
      <c r="V131" s="21" t="str">
        <f>IFERROR(__xludf.DUMMYFUNCTION("""COMPUTED_VALUE"""),"")</f>
        <v/>
      </c>
      <c r="W131"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X131" s="21" t="str">
        <f>IFERROR(__xludf.DUMMYFUNCTION("""COMPUTED_VALUE"""),"Corey")</f>
        <v>Corey</v>
      </c>
    </row>
    <row r="132">
      <c r="B132" s="21" t="b">
        <f>IFERROR(__xludf.DUMMYFUNCTION("""COMPUTED_VALUE"""),FALSE)</f>
        <v>0</v>
      </c>
      <c r="C132" s="21" t="str">
        <f>IFERROR(__xludf.DUMMYFUNCTION("""COMPUTED_VALUE"""),"Google")</f>
        <v>Google</v>
      </c>
      <c r="D132" s="4">
        <f>IFERROR(__xludf.DUMMYFUNCTION("""COMPUTED_VALUE"""),5.0)</f>
        <v>5</v>
      </c>
      <c r="E132" s="20">
        <f>IFERROR(__xludf.DUMMYFUNCTION("""COMPUTED_VALUE"""),46061.0)</f>
        <v>46061</v>
      </c>
      <c r="F132" s="4" t="str">
        <f>IFERROR(__xludf.DUMMYFUNCTION("""COMPUTED_VALUE"""),"素晴らしい！")</f>
        <v>素晴らしい！</v>
      </c>
      <c r="G132" s="4"/>
      <c r="H132" s="4"/>
      <c r="I132" s="4" t="str">
        <f>IFERROR(__xludf.DUMMYFUNCTION("""COMPUTED_VALUE"""),"素晴らしい！")</f>
        <v>素晴らしい！</v>
      </c>
      <c r="J132" s="4" t="str">
        <f>IFERROR(__xludf.DUMMYFUNCTION("""COMPUTED_VALUE"""),"")</f>
        <v/>
      </c>
      <c r="K132" s="4" t="str">
        <f>IFERROR(__xludf.DUMMYFUNCTION("""COMPUTED_VALUE"""),"")</f>
        <v/>
      </c>
      <c r="L132" s="4" t="str">
        <f>IFERROR(__xludf.DUMMYFUNCTION("""COMPUTED_VALUE"""),"Mario Mantovani")</f>
        <v>Mario Mantovani</v>
      </c>
      <c r="N132" s="21" t="b">
        <f>IFERROR(__xludf.DUMMYFUNCTION("""COMPUTED_VALUE"""),FALSE)</f>
        <v>0</v>
      </c>
      <c r="O132" s="21" t="str">
        <f>IFERROR(__xludf.DUMMYFUNCTION("""COMPUTED_VALUE"""),"Google")</f>
        <v>Google</v>
      </c>
      <c r="P132" s="21">
        <f>IFERROR(__xludf.DUMMYFUNCTION("""COMPUTED_VALUE"""),1.0)</f>
        <v>1</v>
      </c>
      <c r="Q132" s="22">
        <f>IFERROR(__xludf.DUMMYFUNCTION("""COMPUTED_VALUE"""),46068.0)</f>
        <v>46068</v>
      </c>
      <c r="R132" s="21"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S132" s="21"/>
      <c r="T132" s="21"/>
      <c r="U132" s="21"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V132" s="21" t="str">
        <f>IFERROR(__xludf.DUMMYFUNCTION("""COMPUTED_VALUE"""),"")</f>
        <v/>
      </c>
      <c r="W132" s="21" t="str">
        <f>IFERROR(__xludf.DUMMYFUNCTION("""COMPUTED_VALUE"""),"")</f>
        <v/>
      </c>
      <c r="X132" s="21" t="str">
        <f>IFERROR(__xludf.DUMMYFUNCTION("""COMPUTED_VALUE"""),"바른생활")</f>
        <v>바른생활</v>
      </c>
    </row>
    <row r="133">
      <c r="B133" s="21" t="b">
        <f>IFERROR(__xludf.DUMMYFUNCTION("""COMPUTED_VALUE"""),FALSE)</f>
        <v>0</v>
      </c>
      <c r="C133" s="21" t="str">
        <f>IFERROR(__xludf.DUMMYFUNCTION("""COMPUTED_VALUE"""),"Google")</f>
        <v>Google</v>
      </c>
      <c r="D133" s="4">
        <f>IFERROR(__xludf.DUMMYFUNCTION("""COMPUTED_VALUE"""),5.0)</f>
        <v>5</v>
      </c>
      <c r="E133" s="20">
        <f>IFERROR(__xludf.DUMMYFUNCTION("""COMPUTED_VALUE"""),46061.0)</f>
        <v>46061</v>
      </c>
      <c r="F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G133" s="4"/>
      <c r="H133" s="4"/>
      <c r="I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3" s="4" t="str">
        <f>IFERROR(__xludf.DUMMYFUNCTION("""COMPUTED_VALUE"""),"")</f>
        <v/>
      </c>
      <c r="K133" s="4" t="str">
        <f>IFERROR(__xludf.DUMMYFUNCTION("""COMPUTED_VALUE"""),"")</f>
        <v/>
      </c>
      <c r="L133" s="4" t="str">
        <f>IFERROR(__xludf.DUMMYFUNCTION("""COMPUTED_VALUE"""),"jong gu kim")</f>
        <v>jong gu kim</v>
      </c>
      <c r="N133" s="21" t="b">
        <f>IFERROR(__xludf.DUMMYFUNCTION("""COMPUTED_VALUE"""),FALSE)</f>
        <v>0</v>
      </c>
      <c r="O133" s="21" t="str">
        <f>IFERROR(__xludf.DUMMYFUNCTION("""COMPUTED_VALUE"""),"Google")</f>
        <v>Google</v>
      </c>
      <c r="P133" s="21">
        <f>IFERROR(__xludf.DUMMYFUNCTION("""COMPUTED_VALUE"""),1.0)</f>
        <v>1</v>
      </c>
      <c r="Q133" s="22">
        <f>IFERROR(__xludf.DUMMYFUNCTION("""COMPUTED_VALUE"""),46068.0)</f>
        <v>46068</v>
      </c>
      <c r="R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3" s="21"/>
      <c r="T133" s="21"/>
      <c r="U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3" s="21" t="str">
        <f>IFERROR(__xludf.DUMMYFUNCTION("""COMPUTED_VALUE"""),"")</f>
        <v/>
      </c>
      <c r="W133" s="21" t="str">
        <f>IFERROR(__xludf.DUMMYFUNCTION("""COMPUTED_VALUE"""),"")</f>
        <v/>
      </c>
      <c r="X133" s="21" t="str">
        <f>IFERROR(__xludf.DUMMYFUNCTION("""COMPUTED_VALUE"""),"Corey Gossett")</f>
        <v>Corey Gossett</v>
      </c>
    </row>
    <row r="134">
      <c r="B134" s="21" t="b">
        <f>IFERROR(__xludf.DUMMYFUNCTION("""COMPUTED_VALUE"""),FALSE)</f>
        <v>0</v>
      </c>
      <c r="C134" s="21" t="str">
        <f>IFERROR(__xludf.DUMMYFUNCTION("""COMPUTED_VALUE"""),"Google")</f>
        <v>Google</v>
      </c>
      <c r="D134" s="4">
        <f>IFERROR(__xludf.DUMMYFUNCTION("""COMPUTED_VALUE"""),5.0)</f>
        <v>5</v>
      </c>
      <c r="E134" s="20">
        <f>IFERROR(__xludf.DUMMYFUNCTION("""COMPUTED_VALUE"""),46061.0)</f>
        <v>46061</v>
      </c>
      <c r="F134" s="4"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G134" s="4"/>
      <c r="H134" s="4"/>
      <c r="I134"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4" s="4" t="str">
        <f>IFERROR(__xludf.DUMMYFUNCTION("""COMPUTED_VALUE"""),"")</f>
        <v/>
      </c>
      <c r="K134" s="4" t="str">
        <f>IFERROR(__xludf.DUMMYFUNCTION("""COMPUTED_VALUE"""),"")</f>
        <v/>
      </c>
      <c r="L134" s="4" t="str">
        <f>IFERROR(__xludf.DUMMYFUNCTION("""COMPUTED_VALUE"""),"jong gu kim")</f>
        <v>jong gu kim</v>
      </c>
      <c r="N134" s="21" t="b">
        <f>IFERROR(__xludf.DUMMYFUNCTION("""COMPUTED_VALUE"""),FALSE)</f>
        <v>0</v>
      </c>
      <c r="O134" s="21" t="str">
        <f>IFERROR(__xludf.DUMMYFUNCTION("""COMPUTED_VALUE"""),"Google")</f>
        <v>Google</v>
      </c>
      <c r="P134" s="21">
        <f>IFERROR(__xludf.DUMMYFUNCTION("""COMPUTED_VALUE"""),1.0)</f>
        <v>1</v>
      </c>
      <c r="Q134" s="22">
        <f>IFERROR(__xludf.DUMMYFUNCTION("""COMPUTED_VALUE"""),46068.0)</f>
        <v>46068</v>
      </c>
      <c r="R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S134" s="21"/>
      <c r="T134" s="21"/>
      <c r="U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V134" s="21" t="str">
        <f>IFERROR(__xludf.DUMMYFUNCTION("""COMPUTED_VALUE"""),"")</f>
        <v/>
      </c>
      <c r="W134" s="21" t="str">
        <f>IFERROR(__xludf.DUMMYFUNCTION("""COMPUTED_VALUE"""),"")</f>
        <v/>
      </c>
      <c r="X134" s="21" t="str">
        <f>IFERROR(__xludf.DUMMYFUNCTION("""COMPUTED_VALUE"""),"바른생활")</f>
        <v>바른생활</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IFERROR(__xludf.DUMMYFUNCTION("""COMPUTED_VALUE"""),46061.0)</f>
        <v>46061</v>
      </c>
      <c r="F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G135" s="4"/>
      <c r="H135" s="4"/>
      <c r="I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5" s="4" t="str">
        <f>IFERROR(__xludf.DUMMYFUNCTION("""COMPUTED_VALUE"""),"")</f>
        <v/>
      </c>
      <c r="K135" s="4" t="str">
        <f>IFERROR(__xludf.DUMMYFUNCTION("""COMPUTED_VALUE"""),"")</f>
        <v/>
      </c>
      <c r="L135" s="4" t="str">
        <f>IFERROR(__xludf.DUMMYFUNCTION("""COMPUTED_VALUE"""),"jong gu kim")</f>
        <v>jong gu kim</v>
      </c>
      <c r="N135" s="21" t="b">
        <f>IFERROR(__xludf.DUMMYFUNCTION("""COMPUTED_VALUE"""),FALSE)</f>
        <v>0</v>
      </c>
      <c r="O135" s="19" t="str">
        <f>IFERROR(__xludf.DUMMYFUNCTION("""COMPUTED_VALUE"""),"Booking.com")</f>
        <v>Booking.com</v>
      </c>
      <c r="P135" s="21">
        <f>IFERROR(__xludf.DUMMYFUNCTION("""COMPUTED_VALUE"""),7.0)</f>
        <v>7</v>
      </c>
      <c r="Q135" s="22">
        <f>IFERROR(__xludf.DUMMYFUNCTION("""COMPUTED_VALUE"""),46067.0)</f>
        <v>46067</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IFERROR(__xludf.DUMMYFUNCTION("""COMPUTED_VALUE"""),"Saki")</f>
        <v>Saki</v>
      </c>
    </row>
    <row r="136">
      <c r="B136" s="21" t="b">
        <f>IFERROR(__xludf.DUMMYFUNCTION("""COMPUTED_VALUE"""),FALSE)</f>
        <v>0</v>
      </c>
      <c r="C136" s="19" t="str">
        <f>IFERROR(__xludf.DUMMYFUNCTION("""COMPUTED_VALUE"""),"Booking.com")</f>
        <v>Booking.com</v>
      </c>
      <c r="D136" s="4">
        <f>IFERROR(__xludf.DUMMYFUNCTION("""COMPUTED_VALUE"""),7.0)</f>
        <v>7</v>
      </c>
      <c r="E136" s="20">
        <f>IFERROR(__xludf.DUMMYFUNCTION("""COMPUTED_VALUE"""),46060.0)</f>
        <v>46060</v>
      </c>
      <c r="F136" s="4"/>
      <c r="G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H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I136" s="4" t="str">
        <f>IFERROR(__xludf.DUMMYFUNCTION("""COMPUTED_VALUE"""),"")</f>
        <v/>
      </c>
      <c r="J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K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L136" s="4" t="str">
        <f>IFERROR(__xludf.DUMMYFUNCTION("""COMPUTED_VALUE"""),"Naomi")</f>
        <v>Naomi</v>
      </c>
      <c r="N136" s="21" t="b">
        <f>IFERROR(__xludf.DUMMYFUNCTION("""COMPUTED_VALUE"""),FALSE)</f>
        <v>0</v>
      </c>
      <c r="O136" s="21" t="str">
        <f>IFERROR(__xludf.DUMMYFUNCTION("""COMPUTED_VALUE"""),"Google")</f>
        <v>Google</v>
      </c>
      <c r="P136" s="21">
        <f>IFERROR(__xludf.DUMMYFUNCTION("""COMPUTED_VALUE"""),1.0)</f>
        <v>1</v>
      </c>
      <c r="Q136" s="22">
        <f>IFERROR(__xludf.DUMMYFUNCTION("""COMPUTED_VALUE"""),46067.0)</f>
        <v>46067</v>
      </c>
      <c r="R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6" s="21"/>
      <c r="T136" s="21"/>
      <c r="U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6" s="21" t="str">
        <f>IFERROR(__xludf.DUMMYFUNCTION("""COMPUTED_VALUE"""),"")</f>
        <v/>
      </c>
      <c r="W136" s="21" t="str">
        <f>IFERROR(__xludf.DUMMYFUNCTION("""COMPUTED_VALUE"""),"")</f>
        <v/>
      </c>
      <c r="X136" s="21" t="str">
        <f>IFERROR(__xludf.DUMMYFUNCTION("""COMPUTED_VALUE"""),"Corey Gossett")</f>
        <v>Corey Gossett</v>
      </c>
    </row>
    <row r="137">
      <c r="B137" s="21" t="b">
        <f>IFERROR(__xludf.DUMMYFUNCTION("""COMPUTED_VALUE"""),FALSE)</f>
        <v>0</v>
      </c>
      <c r="C137" s="21" t="str">
        <f>IFERROR(__xludf.DUMMYFUNCTION("""COMPUTED_VALUE"""),"Google")</f>
        <v>Google</v>
      </c>
      <c r="D137" s="4">
        <f>IFERROR(__xludf.DUMMYFUNCTION("""COMPUTED_VALUE"""),3.0)</f>
        <v>3</v>
      </c>
      <c r="E137" s="20">
        <f>IFERROR(__xludf.DUMMYFUNCTION("""COMPUTED_VALUE"""),46060.0)</f>
        <v>46060</v>
      </c>
      <c r="F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G137" s="4"/>
      <c r="H137" s="4"/>
      <c r="I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J137" s="4" t="str">
        <f>IFERROR(__xludf.DUMMYFUNCTION("""COMPUTED_VALUE"""),"")</f>
        <v/>
      </c>
      <c r="K137" s="4" t="str">
        <f>IFERROR(__xludf.DUMMYFUNCTION("""COMPUTED_VALUE"""),"")</f>
        <v/>
      </c>
      <c r="L137" s="4" t="str">
        <f>IFERROR(__xludf.DUMMYFUNCTION("""COMPUTED_VALUE"""),"o n")</f>
        <v>o n</v>
      </c>
      <c r="N137" s="21" t="b">
        <f>IFERROR(__xludf.DUMMYFUNCTION("""COMPUTED_VALUE"""),FALSE)</f>
        <v>0</v>
      </c>
      <c r="O137" s="21" t="str">
        <f>IFERROR(__xludf.DUMMYFUNCTION("""COMPUTED_VALUE"""),"Google")</f>
        <v>Google</v>
      </c>
      <c r="P137" s="21">
        <f>IFERROR(__xludf.DUMMYFUNCTION("""COMPUTED_VALUE"""),1.0)</f>
        <v>1</v>
      </c>
      <c r="Q137" s="22">
        <f>IFERROR(__xludf.DUMMYFUNCTION("""COMPUTED_VALUE"""),46067.0)</f>
        <v>46067</v>
      </c>
      <c r="R137"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S137" s="21"/>
      <c r="T137" s="21"/>
      <c r="U137"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V137" s="21" t="str">
        <f>IFERROR(__xludf.DUMMYFUNCTION("""COMPUTED_VALUE"""),"")</f>
        <v/>
      </c>
      <c r="W137" s="21" t="str">
        <f>IFERROR(__xludf.DUMMYFUNCTION("""COMPUTED_VALUE"""),"")</f>
        <v/>
      </c>
      <c r="X137" s="21" t="str">
        <f>IFERROR(__xludf.DUMMYFUNCTION("""COMPUTED_VALUE"""),"Corey Gossett")</f>
        <v>Corey Gossett</v>
      </c>
    </row>
    <row r="138">
      <c r="B138" s="21" t="b">
        <f>IFERROR(__xludf.DUMMYFUNCTION("""COMPUTED_VALUE"""),FALSE)</f>
        <v>0</v>
      </c>
      <c r="C138" s="19" t="str">
        <f>IFERROR(__xludf.DUMMYFUNCTION("""COMPUTED_VALUE"""),"Trip.com")</f>
        <v>Trip.com</v>
      </c>
      <c r="D138" s="4">
        <f>IFERROR(__xludf.DUMMYFUNCTION("""COMPUTED_VALUE"""),9.0)</f>
        <v>9</v>
      </c>
      <c r="E138" s="20">
        <f>IFERROR(__xludf.DUMMYFUNCTION("""COMPUTED_VALUE"""),46060.0)</f>
        <v>46060</v>
      </c>
      <c r="F138" s="4"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G138" s="4"/>
      <c r="H138" s="4"/>
      <c r="I138" s="4"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J138" s="4" t="str">
        <f>IFERROR(__xludf.DUMMYFUNCTION("""COMPUTED_VALUE"""),"")</f>
        <v/>
      </c>
      <c r="K138" s="4" t="str">
        <f>IFERROR(__xludf.DUMMYFUNCTION("""COMPUTED_VALUE"""),"")</f>
        <v/>
      </c>
      <c r="L138" s="4" t="str">
        <f>IFERROR(__xludf.DUMMYFUNCTION("""COMPUTED_VALUE"""),"ゲ‍ス‍ト")</f>
        <v>ゲ‍ス‍ト</v>
      </c>
      <c r="N138" s="21" t="b">
        <f>IFERROR(__xludf.DUMMYFUNCTION("""COMPUTED_VALUE"""),FALSE)</f>
        <v>0</v>
      </c>
      <c r="O138" s="19" t="str">
        <f>IFERROR(__xludf.DUMMYFUNCTION("""COMPUTED_VALUE"""),"Booking.com")</f>
        <v>Booking.com</v>
      </c>
      <c r="P138" s="21">
        <f>IFERROR(__xludf.DUMMYFUNCTION("""COMPUTED_VALUE"""),10.0)</f>
        <v>10</v>
      </c>
      <c r="Q138" s="22">
        <f>IFERROR(__xludf.DUMMYFUNCTION("""COMPUTED_VALUE"""),46066.0)</f>
        <v>46066</v>
      </c>
      <c r="R138" s="21"/>
      <c r="S138" s="21" t="str">
        <f>IFERROR(__xludf.DUMMYFUNCTION("""COMPUTED_VALUE"""),"Las personas son muy amables en la recepción y las habitaciones son cómodas, las del piso 5.")</f>
        <v>Las personas son muy amables en la recepción y las habitaciones son cómodas, las del piso 5.</v>
      </c>
      <c r="T138" s="21" t="str">
        <f>IFERROR(__xludf.DUMMYFUNCTION("""COMPUTED_VALUE"""),"Que el desayuno siempre es el mismo todos los días.")</f>
        <v>Que el desayuno siempre es el mismo todos los días.</v>
      </c>
      <c r="U138" s="21" t="str">
        <f>IFERROR(__xludf.DUMMYFUNCTION("""COMPUTED_VALUE"""),"")</f>
        <v/>
      </c>
      <c r="V138" s="21" t="str">
        <f>IFERROR(__xludf.DUMMYFUNCTION("""COMPUTED_VALUE"""),"受付のスタッフはとても親切で、部屋も快適です。特に5階の部屋はおすすめです。")</f>
        <v>受付のスタッフはとても親切で、部屋も快適です。特に5階の部屋はおすすめです。</v>
      </c>
      <c r="W138" s="21" t="str">
        <f>IFERROR(__xludf.DUMMYFUNCTION("""COMPUTED_VALUE"""),"その朝食は毎日同じだ。")</f>
        <v>その朝食は毎日同じだ。</v>
      </c>
      <c r="X138" s="21" t="str">
        <f>IFERROR(__xludf.DUMMYFUNCTION("""COMPUTED_VALUE"""),"Pablo")</f>
        <v>Pablo</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IFERROR(__xludf.DUMMYFUNCTION("""COMPUTED_VALUE"""),46060.0)</f>
        <v>46060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IFERROR(__xludf.DUMMYFUNCTION("""COMPUTED_VALUE"""),"Michal Brozynski")</f>
        <v>Michal Brozynski</v>
      </c>
      <c r="N139" s="21" t="b">
        <f>IFERROR(__xludf.DUMMYFUNCTION("""COMPUTED_VALUE"""),FALSE)</f>
        <v>0</v>
      </c>
      <c r="O139" s="19" t="str">
        <f>IFERROR(__xludf.DUMMYFUNCTION("""COMPUTED_VALUE"""),"Booking.com")</f>
        <v>Booking.com</v>
      </c>
      <c r="P139" s="21">
        <f>IFERROR(__xludf.DUMMYFUNCTION("""COMPUTED_VALUE"""),10.0)</f>
        <v>10</v>
      </c>
      <c r="Q139" s="22">
        <f>IFERROR(__xludf.DUMMYFUNCTION("""COMPUTED_VALUE"""),46066.0)</f>
        <v>46066</v>
      </c>
      <c r="R139" s="21"/>
      <c r="S139" s="21" t="str">
        <f>IFERROR(__xludf.DUMMYFUNCTION("""COMPUTED_VALUE"""),"Location, and friendly staff")</f>
        <v>Location, and friendly staff</v>
      </c>
      <c r="T139" s="21" t="str">
        <f>IFERROR(__xludf.DUMMYFUNCTION("""COMPUTED_VALUE"""),"Nothing")</f>
        <v>Nothing</v>
      </c>
      <c r="U139" s="21" t="str">
        <f>IFERROR(__xludf.DUMMYFUNCTION("""COMPUTED_VALUE"""),"")</f>
        <v/>
      </c>
      <c r="V139" s="21" t="str">
        <f>IFERROR(__xludf.DUMMYFUNCTION("""COMPUTED_VALUE"""),"立地とフレンドリーなスタッフ")</f>
        <v>立地とフレンドリーなスタッフ</v>
      </c>
      <c r="W139" s="21" t="str">
        <f>IFERROR(__xludf.DUMMYFUNCTION("""COMPUTED_VALUE"""),"何もない")</f>
        <v>何もない</v>
      </c>
      <c r="X139" s="21" t="str">
        <f>IFERROR(__xludf.DUMMYFUNCTION("""COMPUTED_VALUE"""),"Ulf")</f>
        <v>Ulf</v>
      </c>
    </row>
    <row r="140">
      <c r="B140" s="21" t="b">
        <f>IFERROR(__xludf.DUMMYFUNCTION("""COMPUTED_VALUE"""),FALSE)</f>
        <v>0</v>
      </c>
      <c r="C140" s="19" t="str">
        <f>IFERROR(__xludf.DUMMYFUNCTION("""COMPUTED_VALUE"""),"Booking.com")</f>
        <v>Booking.com</v>
      </c>
      <c r="D140" s="4">
        <f>IFERROR(__xludf.DUMMYFUNCTION("""COMPUTED_VALUE"""),9.0)</f>
        <v>9</v>
      </c>
      <c r="E140" s="20">
        <f>IFERROR(__xludf.DUMMYFUNCTION("""COMPUTED_VALUE"""),46059.0)</f>
        <v>46059</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IFERROR(__xludf.DUMMYFUNCTION("""COMPUTED_VALUE"""),"Ulf")</f>
        <v>Ulf</v>
      </c>
      <c r="N140" s="21" t="b">
        <f>IFERROR(__xludf.DUMMYFUNCTION("""COMPUTED_VALUE"""),FALSE)</f>
        <v>0</v>
      </c>
      <c r="O140" s="19" t="str">
        <f>IFERROR(__xludf.DUMMYFUNCTION("""COMPUTED_VALUE"""),"Booking.com")</f>
        <v>Booking.com</v>
      </c>
      <c r="P140" s="21">
        <f>IFERROR(__xludf.DUMMYFUNCTION("""COMPUTED_VALUE"""),10.0)</f>
        <v>10</v>
      </c>
      <c r="Q140" s="22">
        <f>IFERROR(__xludf.DUMMYFUNCTION("""COMPUTED_VALUE"""),46066.0)</f>
        <v>46066</v>
      </c>
      <c r="R140" s="21"/>
      <c r="S140" s="21"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T140" s="21"/>
      <c r="U140" s="21" t="str">
        <f>IFERROR(__xludf.DUMMYFUNCTION("""COMPUTED_VALUE"""),"")</f>
        <v/>
      </c>
      <c r="V140" s="21"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W140" s="21" t="str">
        <f>IFERROR(__xludf.DUMMYFUNCTION("""COMPUTED_VALUE"""),"")</f>
        <v/>
      </c>
      <c r="X140" s="21" t="str">
        <f>IFERROR(__xludf.DUMMYFUNCTION("""COMPUTED_VALUE"""),"Hakan")</f>
        <v>Hakan</v>
      </c>
    </row>
    <row r="141">
      <c r="B141" s="21" t="b">
        <f>IFERROR(__xludf.DUMMYFUNCTION("""COMPUTED_VALUE"""),FALSE)</f>
        <v>0</v>
      </c>
      <c r="C141" s="21" t="str">
        <f>IFERROR(__xludf.DUMMYFUNCTION("""COMPUTED_VALUE"""),"楽天トラベル")</f>
        <v>楽天トラベル</v>
      </c>
      <c r="D141" s="4">
        <f>IFERROR(__xludf.DUMMYFUNCTION("""COMPUTED_VALUE"""),4.0)</f>
        <v>4</v>
      </c>
      <c r="E141" s="20">
        <f>IFERROR(__xludf.DUMMYFUNCTION("""COMPUTED_VALUE"""),46059.0)</f>
        <v>46059</v>
      </c>
      <c r="F141" s="4" t="str">
        <f>IFERROR(__xludf.DUMMYFUNCTION("""COMPUTED_VALUE"""),"朝食が美味しかった。 朝からタイ料理幸せでした")</f>
        <v>朝食が美味しかった。 朝からタイ料理幸せでした</v>
      </c>
      <c r="G141" s="4"/>
      <c r="H141" s="4"/>
      <c r="I141" s="4" t="str">
        <f>IFERROR(__xludf.DUMMYFUNCTION("""COMPUTED_VALUE"""),"朝食が美味しかった。 朝からタイ料理幸せでした")</f>
        <v>朝食が美味しかった。 朝からタイ料理幸せでした</v>
      </c>
      <c r="J141" s="4" t="str">
        <f>IFERROR(__xludf.DUMMYFUNCTION("""COMPUTED_VALUE"""),"")</f>
        <v/>
      </c>
      <c r="K141" s="4" t="str">
        <f>IFERROR(__xludf.DUMMYFUNCTION("""COMPUTED_VALUE"""),"")</f>
        <v/>
      </c>
      <c r="L141" s="4" t="str">
        <f>IFERROR(__xludf.DUMMYFUNCTION("""COMPUTED_VALUE"""),"ヨシ8449")</f>
        <v>ヨシ8449</v>
      </c>
      <c r="N141" s="21" t="b">
        <f>IFERROR(__xludf.DUMMYFUNCTION("""COMPUTED_VALUE"""),FALSE)</f>
        <v>0</v>
      </c>
      <c r="O141" s="19" t="str">
        <f>IFERROR(__xludf.DUMMYFUNCTION("""COMPUTED_VALUE"""),"Trip.com")</f>
        <v>Trip.com</v>
      </c>
      <c r="P141" s="21">
        <f>IFERROR(__xludf.DUMMYFUNCTION("""COMPUTED_VALUE"""),10.0)</f>
        <v>10</v>
      </c>
      <c r="Q141" s="22">
        <f>IFERROR(__xludf.DUMMYFUNCTION("""COMPUTED_VALUE"""),46066.0)</f>
        <v>46066</v>
      </c>
      <c r="R141" s="21" t="str">
        <f>IFERROR(__xludf.DUMMYFUNCTION("""COMPUTED_VALUE"""),"櫃檯服務親切 房間乾淨")</f>
        <v>櫃檯服務親切 房間乾淨</v>
      </c>
      <c r="S141" s="21"/>
      <c r="T141" s="21"/>
      <c r="U141" s="21" t="str">
        <f>IFERROR(__xludf.DUMMYFUNCTION("""COMPUTED_VALUE"""),"フロントのスタッフは親切で、部屋も清潔だった。")</f>
        <v>フロントのスタッフは親切で、部屋も清潔だった。</v>
      </c>
      <c r="V141" s="21" t="str">
        <f>IFERROR(__xludf.DUMMYFUNCTION("""COMPUTED_VALUE"""),"")</f>
        <v/>
      </c>
      <c r="W141" s="21" t="str">
        <f>IFERROR(__xludf.DUMMYFUNCTION("""COMPUTED_VALUE"""),"")</f>
        <v/>
      </c>
      <c r="X141" s="21" t="str">
        <f>IFERROR(__xludf.DUMMYFUNCTION("""COMPUTED_VALUE"""),"-‍W‍h‍o‍-")</f>
        <v>-‍W‍h‍o‍-</v>
      </c>
    </row>
    <row r="142">
      <c r="B142" s="21" t="b">
        <f>IFERROR(__xludf.DUMMYFUNCTION("""COMPUTED_VALUE"""),FALSE)</f>
        <v>0</v>
      </c>
      <c r="C142" s="19" t="str">
        <f>IFERROR(__xludf.DUMMYFUNCTION("""COMPUTED_VALUE"""),"Booking.com")</f>
        <v>Booking.com</v>
      </c>
      <c r="D142" s="4">
        <f>IFERROR(__xludf.DUMMYFUNCTION("""COMPUTED_VALUE"""),8.0)</f>
        <v>8</v>
      </c>
      <c r="E142" s="20">
        <f>IFERROR(__xludf.DUMMYFUNCTION("""COMPUTED_VALUE"""),46058.0)</f>
        <v>46058</v>
      </c>
      <c r="F142" s="4"/>
      <c r="G142" s="4" t="str">
        <f>IFERROR(__xludf.DUMMYFUNCTION("""COMPUTED_VALUE"""),"Расположение хорошее. Район Roppongi достаточно известен ;-)")</f>
        <v>Расположение хорошее. Район Roppongi достаточно известен ;-)</v>
      </c>
      <c r="H142" s="4" t="str">
        <f>IFERROR(__xludf.DUMMYFUNCTION("""COMPUTED_VALUE"""),"Завтраки могли бы быть и получше.")</f>
        <v>Завтраки могли бы быть и получше.</v>
      </c>
      <c r="I142" s="4" t="str">
        <f>IFERROR(__xludf.DUMMYFUNCTION("""COMPUTED_VALUE"""),"")</f>
        <v/>
      </c>
      <c r="J142" s="4" t="str">
        <f>IFERROR(__xludf.DUMMYFUNCTION("""COMPUTED_VALUE"""),"立地は良いですね。六本木エリアはかなり有名ですからね ;-)")</f>
        <v>立地は良いですね。六本木エリアはかなり有名ですからね ;-)</v>
      </c>
      <c r="K142" s="4" t="str">
        <f>IFERROR(__xludf.DUMMYFUNCTION("""COMPUTED_VALUE"""),"朝食はもっと改善できるはずだ。")</f>
        <v>朝食はもっと改善できるはずだ。</v>
      </c>
      <c r="L142" s="4" t="str">
        <f>IFERROR(__xludf.DUMMYFUNCTION("""COMPUTED_VALUE"""),"Ivan")</f>
        <v>Ivan</v>
      </c>
      <c r="N142" s="21" t="b">
        <f>IFERROR(__xludf.DUMMYFUNCTION("""COMPUTED_VALUE"""),FALSE)</f>
        <v>0</v>
      </c>
      <c r="O142" s="21" t="str">
        <f>IFERROR(__xludf.DUMMYFUNCTION("""COMPUTED_VALUE"""),"Google")</f>
        <v>Google</v>
      </c>
      <c r="P142" s="21">
        <f>IFERROR(__xludf.DUMMYFUNCTION("""COMPUTED_VALUE"""),5.0)</f>
        <v>5</v>
      </c>
      <c r="Q142" s="22">
        <f>IFERROR(__xludf.DUMMYFUNCTION("""COMPUTED_VALUE"""),46064.0)</f>
        <v>46064</v>
      </c>
      <c r="R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S142" s="21"/>
      <c r="T142" s="21"/>
      <c r="U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V142" s="21" t="str">
        <f>IFERROR(__xludf.DUMMYFUNCTION("""COMPUTED_VALUE"""),"")</f>
        <v/>
      </c>
      <c r="W142" s="21" t="str">
        <f>IFERROR(__xludf.DUMMYFUNCTION("""COMPUTED_VALUE"""),"")</f>
        <v/>
      </c>
      <c r="X142" s="21" t="str">
        <f>IFERROR(__xludf.DUMMYFUNCTION("""COMPUTED_VALUE"""),"HAKAN YAPICI")</f>
        <v>HAKAN YAPICI</v>
      </c>
    </row>
    <row r="143">
      <c r="B143" s="21" t="b">
        <f>IFERROR(__xludf.DUMMYFUNCTION("""COMPUTED_VALUE"""),FALSE)</f>
        <v>0</v>
      </c>
      <c r="C143" s="19" t="str">
        <f>IFERROR(__xludf.DUMMYFUNCTION("""COMPUTED_VALUE"""),"Booking.com")</f>
        <v>Booking.com</v>
      </c>
      <c r="D143" s="4">
        <f>IFERROR(__xludf.DUMMYFUNCTION("""COMPUTED_VALUE"""),8.0)</f>
        <v>8</v>
      </c>
      <c r="E143" s="20">
        <f>IFERROR(__xludf.DUMMYFUNCTION("""COMPUTED_VALUE"""),46056.0)</f>
        <v>46056</v>
      </c>
      <c r="F143" s="4"/>
      <c r="G143" s="4"/>
      <c r="H143" s="4"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I143" s="4" t="str">
        <f>IFERROR(__xludf.DUMMYFUNCTION("""COMPUTED_VALUE"""),"")</f>
        <v/>
      </c>
      <c r="J143" s="4" t="str">
        <f>IFERROR(__xludf.DUMMYFUNCTION("""COMPUTED_VALUE"""),"")</f>
        <v/>
      </c>
      <c r="K143" s="4"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L143" s="4" t="str">
        <f>IFERROR(__xludf.DUMMYFUNCTION("""COMPUTED_VALUE"""),"Ivan")</f>
        <v>Ivan</v>
      </c>
      <c r="N143" s="21" t="b">
        <f>IFERROR(__xludf.DUMMYFUNCTION("""COMPUTED_VALUE"""),FALSE)</f>
        <v>0</v>
      </c>
      <c r="O143" s="21" t="str">
        <f>IFERROR(__xludf.DUMMYFUNCTION("""COMPUTED_VALUE"""),"Google")</f>
        <v>Google</v>
      </c>
      <c r="P143" s="21">
        <f>IFERROR(__xludf.DUMMYFUNCTION("""COMPUTED_VALUE"""),5.0)</f>
        <v>5</v>
      </c>
      <c r="Q143" s="22">
        <f>IFERROR(__xludf.DUMMYFUNCTION("""COMPUTED_VALUE"""),46064.0)</f>
        <v>46064</v>
      </c>
      <c r="R143" s="21"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S143" s="21"/>
      <c r="T143" s="21"/>
      <c r="U143" s="21"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V143" s="21" t="str">
        <f>IFERROR(__xludf.DUMMYFUNCTION("""COMPUTED_VALUE"""),"")</f>
        <v/>
      </c>
      <c r="W143" s="21" t="str">
        <f>IFERROR(__xludf.DUMMYFUNCTION("""COMPUTED_VALUE"""),"")</f>
        <v/>
      </c>
      <c r="X143" s="21" t="str">
        <f>IFERROR(__xludf.DUMMYFUNCTION("""COMPUTED_VALUE"""),"HAKAN YAPICI")</f>
        <v>HAKAN YAPICI</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IFERROR(__xludf.DUMMYFUNCTION("""COMPUTED_VALUE"""),46056.0)</f>
        <v>46056</v>
      </c>
      <c r="F144" s="4" t="str">
        <f>IFERROR(__xludf.DUMMYFUNCTION("""COMPUTED_VALUE"""),"Great experience the lobby. Coffee was great as were the amenities like pajamas, slippers, and toiletries")</f>
        <v>Great experience the lobby. Coffee was great as were the amenities like pajamas, slippers, and toiletries</v>
      </c>
      <c r="G144" s="4"/>
      <c r="H144" s="4"/>
      <c r="I144" s="4"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J144" s="4" t="str">
        <f>IFERROR(__xludf.DUMMYFUNCTION("""COMPUTED_VALUE"""),"")</f>
        <v/>
      </c>
      <c r="K144" s="4" t="str">
        <f>IFERROR(__xludf.DUMMYFUNCTION("""COMPUTED_VALUE"""),"")</f>
        <v/>
      </c>
      <c r="L144" s="4" t="str">
        <f>IFERROR(__xludf.DUMMYFUNCTION("""COMPUTED_VALUE"""),"linda brach")</f>
        <v>linda brach</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IFERROR(__xludf.DUMMYFUNCTION("""COMPUTED_VALUE"""),46063.0)</f>
        <v>46063</v>
      </c>
      <c r="R144" s="21"/>
      <c r="S144" s="21" t="str">
        <f>IFERROR(__xludf.DUMMYFUNCTION("""COMPUTED_VALUE"""),"It was clean, the rates were reasonable, the staff were so friendly and helpful and location was great.")</f>
        <v>It was clean, the rates were reasonable, the staff were so friendly and helpful and location was great.</v>
      </c>
      <c r="T144" s="21"/>
      <c r="U144" s="21" t="str">
        <f>IFERROR(__xludf.DUMMYFUNCTION("""COMPUTED_VALUE"""),"")</f>
        <v/>
      </c>
      <c r="V144" s="21" t="str">
        <f>IFERROR(__xludf.DUMMYFUNCTION("""COMPUTED_VALUE"""),"清潔で、料金も手頃で、スタッフはとても親切で協力的で、立地も最高でした。")</f>
        <v>清潔で、料金も手頃で、スタッフはとても親切で協力的で、立地も最高でした。</v>
      </c>
      <c r="W144" s="21" t="str">
        <f>IFERROR(__xludf.DUMMYFUNCTION("""COMPUTED_VALUE"""),"")</f>
        <v/>
      </c>
      <c r="X144" s="21" t="str">
        <f>IFERROR(__xludf.DUMMYFUNCTION("""COMPUTED_VALUE"""),"Vikram")</f>
        <v>Vikram</v>
      </c>
    </row>
    <row r="145">
      <c r="B145" s="21" t="b">
        <f>IFERROR(__xludf.DUMMYFUNCTION("""COMPUTED_VALUE"""),FALSE)</f>
        <v>0</v>
      </c>
      <c r="C145" s="21" t="str">
        <f>IFERROR(__xludf.DUMMYFUNCTION("""COMPUTED_VALUE"""),"Google")</f>
        <v>Google</v>
      </c>
      <c r="D145" s="4">
        <f>IFERROR(__xludf.DUMMYFUNCTION("""COMPUTED_VALUE"""),5.0)</f>
        <v>5</v>
      </c>
      <c r="E145" s="20">
        <f>IFERROR(__xludf.DUMMYFUNCTION("""COMPUTED_VALUE"""),46056.0)</f>
        <v>46056</v>
      </c>
      <c r="F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G145" s="4"/>
      <c r="H145" s="4"/>
      <c r="I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J145" s="4" t="str">
        <f>IFERROR(__xludf.DUMMYFUNCTION("""COMPUTED_VALUE"""),"")</f>
        <v/>
      </c>
      <c r="K145" s="4" t="str">
        <f>IFERROR(__xludf.DUMMYFUNCTION("""COMPUTED_VALUE"""),"")</f>
        <v/>
      </c>
      <c r="L145" s="4" t="str">
        <f>IFERROR(__xludf.DUMMYFUNCTION("""COMPUTED_VALUE"""),"linda brach")</f>
        <v>linda brach</v>
      </c>
      <c r="N145" s="21" t="b">
        <f>IFERROR(__xludf.DUMMYFUNCTION("""COMPUTED_VALUE"""),FALSE)</f>
        <v>0</v>
      </c>
      <c r="O145" s="21" t="str">
        <f>IFERROR(__xludf.DUMMYFUNCTION("""COMPUTED_VALUE"""),"Google")</f>
        <v>Google</v>
      </c>
      <c r="P145" s="21">
        <f>IFERROR(__xludf.DUMMYFUNCTION("""COMPUTED_VALUE"""),4.0)</f>
        <v>4</v>
      </c>
      <c r="Q145" s="22">
        <f>IFERROR(__xludf.DUMMYFUNCTION("""COMPUTED_VALUE"""),46063.0)</f>
        <v>46063</v>
      </c>
      <c r="R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S145" s="21"/>
      <c r="T145" s="21"/>
      <c r="U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V145" s="21" t="str">
        <f>IFERROR(__xludf.DUMMYFUNCTION("""COMPUTED_VALUE"""),"")</f>
        <v/>
      </c>
      <c r="W145" s="21" t="str">
        <f>IFERROR(__xludf.DUMMYFUNCTION("""COMPUTED_VALUE"""),"")</f>
        <v/>
      </c>
      <c r="X145" s="21" t="str">
        <f>IFERROR(__xludf.DUMMYFUNCTION("""COMPUTED_VALUE"""),"Sirena Huston")</f>
        <v>Sirena Huston</v>
      </c>
    </row>
    <row r="146">
      <c r="B146" s="21" t="b">
        <f>IFERROR(__xludf.DUMMYFUNCTION("""COMPUTED_VALUE"""),FALSE)</f>
        <v>0</v>
      </c>
      <c r="C146" s="19" t="str">
        <f>IFERROR(__xludf.DUMMYFUNCTION("""COMPUTED_VALUE"""),"Booking.com")</f>
        <v>Booking.com</v>
      </c>
      <c r="D146" s="4">
        <f>IFERROR(__xludf.DUMMYFUNCTION("""COMPUTED_VALUE"""),9.0)</f>
        <v>9</v>
      </c>
      <c r="E146" s="20">
        <f>IFERROR(__xludf.DUMMYFUNCTION("""COMPUTED_VALUE"""),46055.0)</f>
        <v>46055</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IFERROR(__xludf.DUMMYFUNCTION("""COMPUTED_VALUE"""),"Andrea")</f>
        <v>Andrea</v>
      </c>
      <c r="N146" s="21" t="b">
        <f>IFERROR(__xludf.DUMMYFUNCTION("""COMPUTED_VALUE"""),FALSE)</f>
        <v>0</v>
      </c>
      <c r="O146" s="21" t="str">
        <f>IFERROR(__xludf.DUMMYFUNCTION("""COMPUTED_VALUE"""),"Google")</f>
        <v>Google</v>
      </c>
      <c r="P146" s="21">
        <f>IFERROR(__xludf.DUMMYFUNCTION("""COMPUTED_VALUE"""),4.0)</f>
        <v>4</v>
      </c>
      <c r="Q146" s="22">
        <f>IFERROR(__xludf.DUMMYFUNCTION("""COMPUTED_VALUE"""),46063.0)</f>
        <v>46063</v>
      </c>
      <c r="R146" s="21"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S146" s="21"/>
      <c r="T146" s="21"/>
      <c r="U146" s="21"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V146" s="21" t="str">
        <f>IFERROR(__xludf.DUMMYFUNCTION("""COMPUTED_VALUE"""),"")</f>
        <v/>
      </c>
      <c r="W146" s="21" t="str">
        <f>IFERROR(__xludf.DUMMYFUNCTION("""COMPUTED_VALUE"""),"")</f>
        <v/>
      </c>
      <c r="X146" s="21" t="str">
        <f>IFERROR(__xludf.DUMMYFUNCTION("""COMPUTED_VALUE"""),"Sirena Huston")</f>
        <v>Sirena Huston</v>
      </c>
    </row>
    <row r="147">
      <c r="B147" s="21" t="b">
        <f>IFERROR(__xludf.DUMMYFUNCTION("""COMPUTED_VALUE"""),FALSE)</f>
        <v>0</v>
      </c>
      <c r="C147" s="19" t="str">
        <f>IFERROR(__xludf.DUMMYFUNCTION("""COMPUTED_VALUE"""),"Booking.com")</f>
        <v>Booking.com</v>
      </c>
      <c r="D147" s="4">
        <f>IFERROR(__xludf.DUMMYFUNCTION("""COMPUTED_VALUE"""),8.0)</f>
        <v>8</v>
      </c>
      <c r="E147" s="20">
        <f>IFERROR(__xludf.DUMMYFUNCTION("""COMPUTED_VALUE"""),46055.0)</f>
        <v>46055</v>
      </c>
      <c r="F147" s="4"/>
      <c r="G147" s="4" t="str">
        <f>IFERROR(__xludf.DUMMYFUNCTION("""COMPUTED_VALUE"""),"Room was huge, they lent us a humidifier during winter dry time. Bed was ok.")</f>
        <v>Room was huge, they lent us a humidifier during winter dry time. Bed was ok.</v>
      </c>
      <c r="H147" s="4" t="str">
        <f>IFERROR(__xludf.DUMMYFUNCTION("""COMPUTED_VALUE"""),"toilet has some sewage smell, think the building is quite old.")</f>
        <v>toilet has some sewage smell, think the building is quite old.</v>
      </c>
      <c r="I147" s="4" t="str">
        <f>IFERROR(__xludf.DUMMYFUNCTION("""COMPUTED_VALUE"""),"")</f>
        <v/>
      </c>
      <c r="J147" s="4"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K147" s="4" t="str">
        <f>IFERROR(__xludf.DUMMYFUNCTION("""COMPUTED_VALUE"""),"トイレから下水の臭いがする。建物がかなり古いようだ。")</f>
        <v>トイレから下水の臭いがする。建物がかなり古いようだ。</v>
      </c>
      <c r="L147" s="4" t="str">
        <f>IFERROR(__xludf.DUMMYFUNCTION("""COMPUTED_VALUE"""),"Lazyslogger")</f>
        <v>Lazyslogger</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IFERROR(__xludf.DUMMYFUNCTION("""COMPUTED_VALUE"""),46062.0)</f>
        <v>46062</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IFERROR(__xludf.DUMMYFUNCTION("""COMPUTED_VALUE"""),"Shohei")</f>
        <v>Shohei</v>
      </c>
    </row>
    <row r="148">
      <c r="B148" s="21" t="b">
        <f>IFERROR(__xludf.DUMMYFUNCTION("""COMPUTED_VALUE"""),FALSE)</f>
        <v>0</v>
      </c>
      <c r="C148" s="19" t="str">
        <f>IFERROR(__xludf.DUMMYFUNCTION("""COMPUTED_VALUE"""),"Booking.com")</f>
        <v>Booking.com</v>
      </c>
      <c r="D148" s="4">
        <f>IFERROR(__xludf.DUMMYFUNCTION("""COMPUTED_VALUE"""),8.0)</f>
        <v>8</v>
      </c>
      <c r="E148" s="20">
        <f>IFERROR(__xludf.DUMMYFUNCTION("""COMPUTED_VALUE"""),46055.0)</f>
        <v>46055</v>
      </c>
      <c r="F148" s="4"/>
      <c r="G148" s="4" t="str">
        <f>IFERROR(__xludf.DUMMYFUNCTION("""COMPUTED_VALUE"""),"朝食のカレーが美味しかった。")</f>
        <v>朝食のカレーが美味しかった。</v>
      </c>
      <c r="H148" s="4"/>
      <c r="I148" s="4" t="str">
        <f>IFERROR(__xludf.DUMMYFUNCTION("""COMPUTED_VALUE"""),"")</f>
        <v/>
      </c>
      <c r="J148" s="4" t="str">
        <f>IFERROR(__xludf.DUMMYFUNCTION("""COMPUTED_VALUE"""),"朝食のカレーが美味しかった。")</f>
        <v>朝食のカレーが美味しかった。</v>
      </c>
      <c r="K148" s="4" t="str">
        <f>IFERROR(__xludf.DUMMYFUNCTION("""COMPUTED_VALUE"""),"")</f>
        <v/>
      </c>
      <c r="L148" s="4" t="str">
        <f>IFERROR(__xludf.DUMMYFUNCTION("""COMPUTED_VALUE"""),"Junichi")</f>
        <v>Junichi</v>
      </c>
      <c r="N148" s="21" t="b">
        <f>IFERROR(__xludf.DUMMYFUNCTION("""COMPUTED_VALUE"""),FALSE)</f>
        <v>0</v>
      </c>
      <c r="O148" s="21" t="str">
        <f>IFERROR(__xludf.DUMMYFUNCTION("""COMPUTED_VALUE"""),"楽天トラベル")</f>
        <v>楽天トラベル</v>
      </c>
      <c r="P148" s="21">
        <f>IFERROR(__xludf.DUMMYFUNCTION("""COMPUTED_VALUE"""),2.0)</f>
        <v>2</v>
      </c>
      <c r="Q148" s="22">
        <f>IFERROR(__xludf.DUMMYFUNCTION("""COMPUTED_VALUE"""),46062.0)</f>
        <v>46062</v>
      </c>
      <c r="R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S148" s="21"/>
      <c r="T148" s="21"/>
      <c r="U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V148" s="21" t="str">
        <f>IFERROR(__xludf.DUMMYFUNCTION("""COMPUTED_VALUE"""),"")</f>
        <v/>
      </c>
      <c r="W148" s="21" t="str">
        <f>IFERROR(__xludf.DUMMYFUNCTION("""COMPUTED_VALUE"""),"")</f>
        <v/>
      </c>
      <c r="X148" s="21" t="str">
        <f>IFERROR(__xludf.DUMMYFUNCTION("""COMPUTED_VALUE"""),"メタボ太郎")</f>
        <v>メタボ太郎</v>
      </c>
    </row>
    <row r="149">
      <c r="B149" s="21" t="b">
        <f>IFERROR(__xludf.DUMMYFUNCTION("""COMPUTED_VALUE"""),FALSE)</f>
        <v>0</v>
      </c>
      <c r="C149" s="21" t="str">
        <f>IFERROR(__xludf.DUMMYFUNCTION("""COMPUTED_VALUE"""),"Google")</f>
        <v>Google</v>
      </c>
      <c r="D149" s="4">
        <f>IFERROR(__xludf.DUMMYFUNCTION("""COMPUTED_VALUE"""),5.0)</f>
        <v>5</v>
      </c>
      <c r="E149" s="20">
        <f>IFERROR(__xludf.DUMMYFUNCTION("""COMPUTED_VALUE"""),46054.0)</f>
        <v>46054</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IFERROR(__xludf.DUMMYFUNCTION("""COMPUTED_VALUE"""),"sookhyun Hong")</f>
        <v>sookhyun Hong</v>
      </c>
      <c r="N149" s="21" t="b">
        <f>IFERROR(__xludf.DUMMYFUNCTION("""COMPUTED_VALUE"""),FALSE)</f>
        <v>0</v>
      </c>
      <c r="O149" s="21" t="str">
        <f>IFERROR(__xludf.DUMMYFUNCTION("""COMPUTED_VALUE"""),"楽天トラベル")</f>
        <v>楽天トラベル</v>
      </c>
      <c r="P149" s="21">
        <f>IFERROR(__xludf.DUMMYFUNCTION("""COMPUTED_VALUE"""),4.0)</f>
        <v>4</v>
      </c>
      <c r="Q149" s="22">
        <f>IFERROR(__xludf.DUMMYFUNCTION("""COMPUTED_VALUE"""),46062.0)</f>
        <v>46062</v>
      </c>
      <c r="R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S149" s="21"/>
      <c r="T149" s="21"/>
      <c r="U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V149" s="21" t="str">
        <f>IFERROR(__xludf.DUMMYFUNCTION("""COMPUTED_VALUE"""),"")</f>
        <v/>
      </c>
      <c r="W149" s="21" t="str">
        <f>IFERROR(__xludf.DUMMYFUNCTION("""COMPUTED_VALUE"""),"")</f>
        <v/>
      </c>
      <c r="X149" s="21" t="str">
        <f>IFERROR(__xludf.DUMMYFUNCTION("""COMPUTED_VALUE"""),"ゆみちゃん＊")</f>
        <v>ゆみちゃん＊</v>
      </c>
    </row>
    <row r="150">
      <c r="B150" s="21" t="b">
        <f>IFERROR(__xludf.DUMMYFUNCTION("""COMPUTED_VALUE"""),FALSE)</f>
        <v>0</v>
      </c>
      <c r="C150" s="21" t="str">
        <f>IFERROR(__xludf.DUMMYFUNCTION("""COMPUTED_VALUE"""),"Google")</f>
        <v>Google</v>
      </c>
      <c r="D150" s="4">
        <f>IFERROR(__xludf.DUMMYFUNCTION("""COMPUTED_VALUE"""),1.0)</f>
        <v>1</v>
      </c>
      <c r="E150" s="20">
        <f>IFERROR(__xludf.DUMMYFUNCTION("""COMPUTED_VALUE"""),46054.0)</f>
        <v>46054</v>
      </c>
      <c r="F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G150" s="4"/>
      <c r="H150" s="4"/>
      <c r="I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J150" s="4" t="str">
        <f>IFERROR(__xludf.DUMMYFUNCTION("""COMPUTED_VALUE"""),"")</f>
        <v/>
      </c>
      <c r="K150" s="4" t="str">
        <f>IFERROR(__xludf.DUMMYFUNCTION("""COMPUTED_VALUE"""),"")</f>
        <v/>
      </c>
      <c r="L150" s="4" t="str">
        <f>IFERROR(__xludf.DUMMYFUNCTION("""COMPUTED_VALUE"""),"たかまつa")</f>
        <v>たかまつa</v>
      </c>
      <c r="N150" s="21" t="b">
        <f>IFERROR(__xludf.DUMMYFUNCTION("""COMPUTED_VALUE"""),FALSE)</f>
        <v>0</v>
      </c>
      <c r="O150" s="19" t="str">
        <f>IFERROR(__xludf.DUMMYFUNCTION("""COMPUTED_VALUE"""),"Booking.com")</f>
        <v>Booking.com</v>
      </c>
      <c r="P150" s="21">
        <f>IFERROR(__xludf.DUMMYFUNCTION("""COMPUTED_VALUE"""),10.0)</f>
        <v>10</v>
      </c>
      <c r="Q150" s="22">
        <f>IFERROR(__xludf.DUMMYFUNCTION("""COMPUTED_VALUE"""),46062.0)</f>
        <v>46062</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IFERROR(__xludf.DUMMYFUNCTION("""COMPUTED_VALUE"""),"Bruno")</f>
        <v>Bruno</v>
      </c>
    </row>
    <row r="151">
      <c r="B151" s="21" t="b">
        <f>IFERROR(__xludf.DUMMYFUNCTION("""COMPUTED_VALUE"""),FALSE)</f>
        <v>0</v>
      </c>
      <c r="C151" s="21" t="str">
        <f>IFERROR(__xludf.DUMMYFUNCTION("""COMPUTED_VALUE"""),"Google")</f>
        <v>Google</v>
      </c>
      <c r="D151" s="4">
        <f>IFERROR(__xludf.DUMMYFUNCTION("""COMPUTED_VALUE"""),4.0)</f>
        <v>4</v>
      </c>
      <c r="E151" s="20">
        <f>IFERROR(__xludf.DUMMYFUNCTION("""COMPUTED_VALUE"""),46054.0)</f>
        <v>46054</v>
      </c>
      <c r="F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G151" s="4"/>
      <c r="H151" s="4"/>
      <c r="I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J151" s="4" t="str">
        <f>IFERROR(__xludf.DUMMYFUNCTION("""COMPUTED_VALUE"""),"")</f>
        <v/>
      </c>
      <c r="K151" s="4" t="str">
        <f>IFERROR(__xludf.DUMMYFUNCTION("""COMPUTED_VALUE"""),"")</f>
        <v/>
      </c>
      <c r="L151" s="4" t="str">
        <f>IFERROR(__xludf.DUMMYFUNCTION("""COMPUTED_VALUE"""),"Rei R")</f>
        <v>Rei R</v>
      </c>
      <c r="N151" s="21" t="b">
        <f>IFERROR(__xludf.DUMMYFUNCTION("""COMPUTED_VALUE"""),FALSE)</f>
        <v>0</v>
      </c>
      <c r="O151" s="19" t="str">
        <f>IFERROR(__xludf.DUMMYFUNCTION("""COMPUTED_VALUE"""),"Trip.com")</f>
        <v>Trip.com</v>
      </c>
      <c r="P151" s="21">
        <f>IFERROR(__xludf.DUMMYFUNCTION("""COMPUTED_VALUE"""),10.0)</f>
        <v>10</v>
      </c>
      <c r="Q151" s="22">
        <f>IFERROR(__xludf.DUMMYFUNCTION("""COMPUTED_VALUE"""),46061.0)</f>
        <v>46061</v>
      </c>
      <c r="R151" s="21" t="str">
        <f>IFERROR(__xludf.DUMMYFUNCTION("""COMPUTED_VALUE"""),"飯店位子非常之好，房間很大很舒適")</f>
        <v>飯店位子非常之好，房間很大很舒適</v>
      </c>
      <c r="S151" s="21"/>
      <c r="T151" s="21"/>
      <c r="U151" s="21" t="str">
        <f>IFERROR(__xludf.DUMMYFUNCTION("""COMPUTED_VALUE"""),"このホテルは立地が素晴らしく、部屋も広くて快適です。")</f>
        <v>このホテルは立地が素晴らしく、部屋も広くて快適です。</v>
      </c>
      <c r="V151" s="21" t="str">
        <f>IFERROR(__xludf.DUMMYFUNCTION("""COMPUTED_VALUE"""),"")</f>
        <v/>
      </c>
      <c r="W151" s="21" t="str">
        <f>IFERROR(__xludf.DUMMYFUNCTION("""COMPUTED_VALUE"""),"")</f>
        <v/>
      </c>
      <c r="X151" s="21" t="str">
        <f>IFERROR(__xludf.DUMMYFUNCTION("""COMPUTED_VALUE"""),"ゲ‍ス‍ト")</f>
        <v>ゲ‍ス‍ト</v>
      </c>
    </row>
    <row r="152">
      <c r="D152" s="4"/>
      <c r="E152" s="4"/>
      <c r="F152" s="4"/>
      <c r="G152" s="4"/>
      <c r="H152" s="4"/>
      <c r="I152" s="4"/>
      <c r="J152" s="4"/>
      <c r="K152" s="4"/>
      <c r="L152" s="4"/>
      <c r="N152" s="21" t="b">
        <f>IFERROR(__xludf.DUMMYFUNCTION("""COMPUTED_VALUE"""),FALSE)</f>
        <v>0</v>
      </c>
      <c r="O152" s="21" t="str">
        <f>IFERROR(__xludf.DUMMYFUNCTION("""COMPUTED_VALUE"""),"Google")</f>
        <v>Google</v>
      </c>
      <c r="P152" s="21">
        <f>IFERROR(__xludf.DUMMYFUNCTION("""COMPUTED_VALUE"""),5.0)</f>
        <v>5</v>
      </c>
      <c r="Q152" s="22">
        <f>IFERROR(__xludf.DUMMYFUNCTION("""COMPUTED_VALUE"""),46061.0)</f>
        <v>46061</v>
      </c>
      <c r="R152" s="21" t="str">
        <f>IFERROR(__xludf.DUMMYFUNCTION("""COMPUTED_VALUE"""),"素晴らしい！")</f>
        <v>素晴らしい！</v>
      </c>
      <c r="S152" s="21"/>
      <c r="T152" s="21"/>
      <c r="U152" s="21" t="str">
        <f>IFERROR(__xludf.DUMMYFUNCTION("""COMPUTED_VALUE"""),"素晴らしい！")</f>
        <v>素晴らしい！</v>
      </c>
      <c r="V152" s="21" t="str">
        <f>IFERROR(__xludf.DUMMYFUNCTION("""COMPUTED_VALUE"""),"")</f>
        <v/>
      </c>
      <c r="W152" s="21" t="str">
        <f>IFERROR(__xludf.DUMMYFUNCTION("""COMPUTED_VALUE"""),"")</f>
        <v/>
      </c>
      <c r="X152" s="21" t="str">
        <f>IFERROR(__xludf.DUMMYFUNCTION("""COMPUTED_VALUE"""),"Mario Mantovani")</f>
        <v>Mario Mantovani</v>
      </c>
    </row>
    <row r="153">
      <c r="D153" s="4"/>
      <c r="E153" s="4"/>
      <c r="F153" s="4"/>
      <c r="G153" s="4"/>
      <c r="H153" s="4"/>
      <c r="I153" s="4"/>
      <c r="J153" s="4"/>
      <c r="K153" s="4"/>
      <c r="L153" s="4"/>
      <c r="N153" s="21" t="b">
        <f>IFERROR(__xludf.DUMMYFUNCTION("""COMPUTED_VALUE"""),FALSE)</f>
        <v>0</v>
      </c>
      <c r="O153" s="21" t="str">
        <f>IFERROR(__xludf.DUMMYFUNCTION("""COMPUTED_VALUE"""),"Google")</f>
        <v>Google</v>
      </c>
      <c r="P153" s="21">
        <f>IFERROR(__xludf.DUMMYFUNCTION("""COMPUTED_VALUE"""),5.0)</f>
        <v>5</v>
      </c>
      <c r="Q153" s="22">
        <f>IFERROR(__xludf.DUMMYFUNCTION("""COMPUTED_VALUE"""),46061.0)</f>
        <v>46061</v>
      </c>
      <c r="R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S153" s="21"/>
      <c r="T153" s="21"/>
      <c r="U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3" s="21" t="str">
        <f>IFERROR(__xludf.DUMMYFUNCTION("""COMPUTED_VALUE"""),"")</f>
        <v/>
      </c>
      <c r="W153" s="21" t="str">
        <f>IFERROR(__xludf.DUMMYFUNCTION("""COMPUTED_VALUE"""),"")</f>
        <v/>
      </c>
      <c r="X153" s="21" t="str">
        <f>IFERROR(__xludf.DUMMYFUNCTION("""COMPUTED_VALUE"""),"jong gu kim")</f>
        <v>jong gu kim</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IFERROR(__xludf.DUMMYFUNCTION("""COMPUTED_VALUE"""),5.0)</f>
        <v>5</v>
      </c>
      <c r="Q154" s="22">
        <f>IFERROR(__xludf.DUMMYFUNCTION("""COMPUTED_VALUE"""),46061.0)</f>
        <v>46061</v>
      </c>
      <c r="R154" s="21"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S154" s="21"/>
      <c r="T154" s="21"/>
      <c r="U154"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4" s="21" t="str">
        <f>IFERROR(__xludf.DUMMYFUNCTION("""COMPUTED_VALUE"""),"")</f>
        <v/>
      </c>
      <c r="W154" s="21" t="str">
        <f>IFERROR(__xludf.DUMMYFUNCTION("""COMPUTED_VALUE"""),"")</f>
        <v/>
      </c>
      <c r="X154" s="21" t="str">
        <f>IFERROR(__xludf.DUMMYFUNCTION("""COMPUTED_VALUE"""),"jong gu kim")</f>
        <v>jong gu kim</v>
      </c>
    </row>
    <row r="155">
      <c r="D155" s="4"/>
      <c r="E155" s="4"/>
      <c r="F155" s="4"/>
      <c r="G155" s="4"/>
      <c r="H155" s="4"/>
      <c r="I155" s="4"/>
      <c r="J155" s="4"/>
      <c r="K155" s="4"/>
      <c r="L155" s="4"/>
      <c r="N155" s="21" t="b">
        <f>IFERROR(__xludf.DUMMYFUNCTION("""COMPUTED_VALUE"""),FALSE)</f>
        <v>0</v>
      </c>
      <c r="O155" s="21" t="str">
        <f>IFERROR(__xludf.DUMMYFUNCTION("""COMPUTED_VALUE"""),"Google")</f>
        <v>Google</v>
      </c>
      <c r="P155" s="21">
        <f>IFERROR(__xludf.DUMMYFUNCTION("""COMPUTED_VALUE"""),5.0)</f>
        <v>5</v>
      </c>
      <c r="Q155" s="22">
        <f>IFERROR(__xludf.DUMMYFUNCTION("""COMPUTED_VALUE"""),46061.0)</f>
        <v>46061</v>
      </c>
      <c r="R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S155" s="21"/>
      <c r="T155" s="21"/>
      <c r="U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5" s="21" t="str">
        <f>IFERROR(__xludf.DUMMYFUNCTION("""COMPUTED_VALUE"""),"")</f>
        <v/>
      </c>
      <c r="W155" s="21" t="str">
        <f>IFERROR(__xludf.DUMMYFUNCTION("""COMPUTED_VALUE"""),"")</f>
        <v/>
      </c>
      <c r="X155" s="21" t="str">
        <f>IFERROR(__xludf.DUMMYFUNCTION("""COMPUTED_VALUE"""),"jong gu kim")</f>
        <v>jong gu kim</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IFERROR(__xludf.DUMMYFUNCTION("""COMPUTED_VALUE"""),7.0)</f>
        <v>7</v>
      </c>
      <c r="Q156" s="22">
        <f>IFERROR(__xludf.DUMMYFUNCTION("""COMPUTED_VALUE"""),46060.0)</f>
        <v>46060</v>
      </c>
      <c r="R156" s="21"/>
      <c r="S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T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U156" s="21" t="str">
        <f>IFERROR(__xludf.DUMMYFUNCTION("""COMPUTED_VALUE"""),"")</f>
        <v/>
      </c>
      <c r="V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W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X156" s="21" t="str">
        <f>IFERROR(__xludf.DUMMYFUNCTION("""COMPUTED_VALUE"""),"Naomi")</f>
        <v>Naomi</v>
      </c>
    </row>
    <row r="157">
      <c r="D157" s="4"/>
      <c r="E157" s="4"/>
      <c r="F157" s="4"/>
      <c r="G157" s="4"/>
      <c r="H157" s="4"/>
      <c r="I157" s="4"/>
      <c r="J157" s="4"/>
      <c r="K157" s="4"/>
      <c r="L157" s="4"/>
      <c r="N157" s="21" t="b">
        <f>IFERROR(__xludf.DUMMYFUNCTION("""COMPUTED_VALUE"""),FALSE)</f>
        <v>0</v>
      </c>
      <c r="O157" s="21" t="str">
        <f>IFERROR(__xludf.DUMMYFUNCTION("""COMPUTED_VALUE"""),"Google")</f>
        <v>Google</v>
      </c>
      <c r="P157" s="21">
        <f>IFERROR(__xludf.DUMMYFUNCTION("""COMPUTED_VALUE"""),3.0)</f>
        <v>3</v>
      </c>
      <c r="Q157" s="22">
        <f>IFERROR(__xludf.DUMMYFUNCTION("""COMPUTED_VALUE"""),46060.0)</f>
        <v>46060</v>
      </c>
      <c r="R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S157" s="21"/>
      <c r="T157" s="21"/>
      <c r="U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V157" s="21" t="str">
        <f>IFERROR(__xludf.DUMMYFUNCTION("""COMPUTED_VALUE"""),"")</f>
        <v/>
      </c>
      <c r="W157" s="21" t="str">
        <f>IFERROR(__xludf.DUMMYFUNCTION("""COMPUTED_VALUE"""),"")</f>
        <v/>
      </c>
      <c r="X157" s="21" t="str">
        <f>IFERROR(__xludf.DUMMYFUNCTION("""COMPUTED_VALUE"""),"o n")</f>
        <v>o n</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IFERROR(__xludf.DUMMYFUNCTION("""COMPUTED_VALUE"""),9.0)</f>
        <v>9</v>
      </c>
      <c r="Q158" s="22">
        <f>IFERROR(__xludf.DUMMYFUNCTION("""COMPUTED_VALUE"""),46060.0)</f>
        <v>46060</v>
      </c>
      <c r="R158" s="21"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S158" s="21"/>
      <c r="T158" s="21"/>
      <c r="U158" s="21" t="str">
        <f>IFERROR(__xludf.DUMMYFUNCTION("""COMPUTED_VALUE"""),"トイレが大きくて部屋が狭い方で年式があってそうだ。窓側に雨風がひどく枕を二つ立てると風を防ぎます。駅に近く、スタッフも親切")</f>
        <v>トイレが大きくて部屋が狭い方で年式があってそうだ。窓側に雨風がひどく枕を二つ立てると風を防ぎます。駅に近く、スタッフも親切</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IFERROR(__xludf.DUMMYFUNCTION("""COMPUTED_VALUE"""),5.0)</f>
        <v>5</v>
      </c>
      <c r="Q159" s="22">
        <f>IFERROR(__xludf.DUMMYFUNCTION("""COMPUTED_VALUE"""),46060.0)</f>
        <v>46060</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IFERROR(__xludf.DUMMYFUNCTION("""COMPUTED_VALUE"""),"Michal Brozynski")</f>
        <v>Michal Brozynski</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IFERROR(__xludf.DUMMYFUNCTION("""COMPUTED_VALUE"""),9.0)</f>
        <v>9</v>
      </c>
      <c r="Q160" s="22">
        <f>IFERROR(__xludf.DUMMYFUNCTION("""COMPUTED_VALUE"""),46059.0)</f>
        <v>46059</v>
      </c>
      <c r="R160" s="21"/>
      <c r="S160" s="21"/>
      <c r="T160" s="21"/>
      <c r="U160" s="21" t="str">
        <f>IFERROR(__xludf.DUMMYFUNCTION("""COMPUTED_VALUE"""),"")</f>
        <v/>
      </c>
      <c r="V160" s="21" t="str">
        <f>IFERROR(__xludf.DUMMYFUNCTION("""COMPUTED_VALUE"""),"")</f>
        <v/>
      </c>
      <c r="W160" s="21" t="str">
        <f>IFERROR(__xludf.DUMMYFUNCTION("""COMPUTED_VALUE"""),"")</f>
        <v/>
      </c>
      <c r="X160" s="21" t="str">
        <f>IFERROR(__xludf.DUMMYFUNCTION("""COMPUTED_VALUE"""),"Ulf")</f>
        <v>Ulf</v>
      </c>
    </row>
    <row r="161">
      <c r="D161" s="4"/>
      <c r="E161" s="4"/>
      <c r="F161" s="4"/>
      <c r="G161" s="4"/>
      <c r="H161" s="4"/>
      <c r="I161" s="4"/>
      <c r="J161" s="4"/>
      <c r="K161" s="4"/>
      <c r="L161" s="4"/>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IFERROR(__xludf.DUMMYFUNCTION("""COMPUTED_VALUE"""),46059.0)</f>
        <v>46059</v>
      </c>
      <c r="R161" s="21" t="str">
        <f>IFERROR(__xludf.DUMMYFUNCTION("""COMPUTED_VALUE"""),"朝食が美味しかった。 朝からタイ料理幸せでした")</f>
        <v>朝食が美味しかった。 朝からタイ料理幸せでした</v>
      </c>
      <c r="S161" s="21"/>
      <c r="T161" s="21"/>
      <c r="U161" s="21" t="str">
        <f>IFERROR(__xludf.DUMMYFUNCTION("""COMPUTED_VALUE"""),"朝食が美味しかった。 朝からタイ料理幸せでした")</f>
        <v>朝食が美味しかった。 朝からタイ料理幸せでした</v>
      </c>
      <c r="V161" s="21" t="str">
        <f>IFERROR(__xludf.DUMMYFUNCTION("""COMPUTED_VALUE"""),"")</f>
        <v/>
      </c>
      <c r="W161" s="21" t="str">
        <f>IFERROR(__xludf.DUMMYFUNCTION("""COMPUTED_VALUE"""),"")</f>
        <v/>
      </c>
      <c r="X161" s="21" t="str">
        <f>IFERROR(__xludf.DUMMYFUNCTION("""COMPUTED_VALUE"""),"ヨシ8449")</f>
        <v>ヨシ8449</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IFERROR(__xludf.DUMMYFUNCTION("""COMPUTED_VALUE"""),46058.0)</f>
        <v>46058</v>
      </c>
      <c r="R162" s="21"/>
      <c r="S162" s="21" t="str">
        <f>IFERROR(__xludf.DUMMYFUNCTION("""COMPUTED_VALUE"""),"Расположение хорошее. Район Roppongi достаточно известен ;-)")</f>
        <v>Расположение хорошее. Район Roppongi достаточно известен ;-)</v>
      </c>
      <c r="T162" s="21" t="str">
        <f>IFERROR(__xludf.DUMMYFUNCTION("""COMPUTED_VALUE"""),"Завтраки могли бы быть и получше.")</f>
        <v>Завтраки могли бы быть и получше.</v>
      </c>
      <c r="U162" s="21" t="str">
        <f>IFERROR(__xludf.DUMMYFUNCTION("""COMPUTED_VALUE"""),"")</f>
        <v/>
      </c>
      <c r="V162" s="21" t="str">
        <f>IFERROR(__xludf.DUMMYFUNCTION("""COMPUTED_VALUE"""),"立地は良いですね。六本木エリアはかなり有名ですからね ;-)")</f>
        <v>立地は良いですね。六本木エリアはかなり有名ですからね ;-)</v>
      </c>
      <c r="W162" s="21" t="str">
        <f>IFERROR(__xludf.DUMMYFUNCTION("""COMPUTED_VALUE"""),"朝食はもっと改善できるはずだ。")</f>
        <v>朝食はもっと改善できるはずだ。</v>
      </c>
      <c r="X162" s="21" t="str">
        <f>IFERROR(__xludf.DUMMYFUNCTION("""COMPUTED_VALUE"""),"Ivan")</f>
        <v>Ivan</v>
      </c>
    </row>
    <row r="163">
      <c r="D163" s="4"/>
      <c r="E163" s="4"/>
      <c r="F163" s="4"/>
      <c r="G163" s="4"/>
      <c r="H163" s="4"/>
      <c r="I163" s="4"/>
      <c r="J163" s="4"/>
      <c r="K163" s="4"/>
      <c r="L163" s="4"/>
      <c r="N163" s="21" t="b">
        <f>IFERROR(__xludf.DUMMYFUNCTION("""COMPUTED_VALUE"""),FALSE)</f>
        <v>0</v>
      </c>
      <c r="O163" s="19" t="str">
        <f>IFERROR(__xludf.DUMMYFUNCTION("""COMPUTED_VALUE"""),"Booking.com")</f>
        <v>Booking.com</v>
      </c>
      <c r="P163" s="21">
        <f>IFERROR(__xludf.DUMMYFUNCTION("""COMPUTED_VALUE"""),8.0)</f>
        <v>8</v>
      </c>
      <c r="Q163" s="22">
        <f>IFERROR(__xludf.DUMMYFUNCTION("""COMPUTED_VALUE"""),46056.0)</f>
        <v>46056</v>
      </c>
      <c r="R163" s="21"/>
      <c r="S163" s="21"/>
      <c r="T163" s="21"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U163" s="21" t="str">
        <f>IFERROR(__xludf.DUMMYFUNCTION("""COMPUTED_VALUE"""),"")</f>
        <v/>
      </c>
      <c r="V163" s="21" t="str">
        <f>IFERROR(__xludf.DUMMYFUNCTION("""COMPUTED_VALUE"""),"")</f>
        <v/>
      </c>
      <c r="W163" s="21"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X163" s="21" t="str">
        <f>IFERROR(__xludf.DUMMYFUNCTION("""COMPUTED_VALUE"""),"Ivan")</f>
        <v>Ivan</v>
      </c>
    </row>
    <row r="164">
      <c r="D164" s="4"/>
      <c r="E164" s="4"/>
      <c r="F164" s="4"/>
      <c r="G164" s="4"/>
      <c r="H164" s="4"/>
      <c r="I164" s="4"/>
      <c r="J164" s="4"/>
      <c r="K164" s="4"/>
      <c r="L164" s="4"/>
      <c r="N164" s="21" t="b">
        <f>IFERROR(__xludf.DUMMYFUNCTION("""COMPUTED_VALUE"""),FALSE)</f>
        <v>0</v>
      </c>
      <c r="O164" s="21" t="str">
        <f>IFERROR(__xludf.DUMMYFUNCTION("""COMPUTED_VALUE"""),"Google")</f>
        <v>Google</v>
      </c>
      <c r="P164" s="21">
        <f>IFERROR(__xludf.DUMMYFUNCTION("""COMPUTED_VALUE"""),5.0)</f>
        <v>5</v>
      </c>
      <c r="Q164" s="22">
        <f>IFERROR(__xludf.DUMMYFUNCTION("""COMPUTED_VALUE"""),46056.0)</f>
        <v>46056</v>
      </c>
      <c r="R164" s="21" t="str">
        <f>IFERROR(__xludf.DUMMYFUNCTION("""COMPUTED_VALUE"""),"Great experience the lobby. Coffee was great as were the amenities like pajamas, slippers, and toiletries")</f>
        <v>Great experience the lobby. Coffee was great as were the amenities like pajamas, slippers, and toiletries</v>
      </c>
      <c r="S164" s="21"/>
      <c r="T164" s="21"/>
      <c r="U164" s="21"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V164" s="21" t="str">
        <f>IFERROR(__xludf.DUMMYFUNCTION("""COMPUTED_VALUE"""),"")</f>
        <v/>
      </c>
      <c r="W164" s="21" t="str">
        <f>IFERROR(__xludf.DUMMYFUNCTION("""COMPUTED_VALUE"""),"")</f>
        <v/>
      </c>
      <c r="X164" s="21" t="str">
        <f>IFERROR(__xludf.DUMMYFUNCTION("""COMPUTED_VALUE"""),"linda brach")</f>
        <v>linda brach</v>
      </c>
    </row>
    <row r="165">
      <c r="D165" s="4"/>
      <c r="E165" s="4"/>
      <c r="F165" s="4"/>
      <c r="G165" s="4"/>
      <c r="H165" s="4"/>
      <c r="I165" s="4"/>
      <c r="J165" s="4"/>
      <c r="K165" s="4"/>
      <c r="L165" s="4"/>
      <c r="N165" s="21" t="b">
        <f>IFERROR(__xludf.DUMMYFUNCTION("""COMPUTED_VALUE"""),FALSE)</f>
        <v>0</v>
      </c>
      <c r="O165" s="21" t="str">
        <f>IFERROR(__xludf.DUMMYFUNCTION("""COMPUTED_VALUE"""),"Google")</f>
        <v>Google</v>
      </c>
      <c r="P165" s="21">
        <f>IFERROR(__xludf.DUMMYFUNCTION("""COMPUTED_VALUE"""),5.0)</f>
        <v>5</v>
      </c>
      <c r="Q165" s="22">
        <f>IFERROR(__xludf.DUMMYFUNCTION("""COMPUTED_VALUE"""),46056.0)</f>
        <v>46056</v>
      </c>
      <c r="R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S165" s="21"/>
      <c r="T165" s="21"/>
      <c r="U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V165" s="21" t="str">
        <f>IFERROR(__xludf.DUMMYFUNCTION("""COMPUTED_VALUE"""),"")</f>
        <v/>
      </c>
      <c r="W165" s="21" t="str">
        <f>IFERROR(__xludf.DUMMYFUNCTION("""COMPUTED_VALUE"""),"")</f>
        <v/>
      </c>
      <c r="X165" s="21" t="str">
        <f>IFERROR(__xludf.DUMMYFUNCTION("""COMPUTED_VALUE"""),"linda brach")</f>
        <v>linda brach</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IFERROR(__xludf.DUMMYFUNCTION("""COMPUTED_VALUE"""),46055.0)</f>
        <v>46055</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IFERROR(__xludf.DUMMYFUNCTION("""COMPUTED_VALUE"""),"Andrea")</f>
        <v>Andrea</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IFERROR(__xludf.DUMMYFUNCTION("""COMPUTED_VALUE"""),8.0)</f>
        <v>8</v>
      </c>
      <c r="Q167" s="22">
        <f>IFERROR(__xludf.DUMMYFUNCTION("""COMPUTED_VALUE"""),46055.0)</f>
        <v>46055</v>
      </c>
      <c r="R167" s="21"/>
      <c r="S167" s="21" t="str">
        <f>IFERROR(__xludf.DUMMYFUNCTION("""COMPUTED_VALUE"""),"Room was huge, they lent us a humidifier during winter dry time. Bed was ok.")</f>
        <v>Room was huge, they lent us a humidifier during winter dry time. Bed was ok.</v>
      </c>
      <c r="T167" s="21" t="str">
        <f>IFERROR(__xludf.DUMMYFUNCTION("""COMPUTED_VALUE"""),"toilet has some sewage smell, think the building is quite old.")</f>
        <v>toilet has some sewage smell, think the building is quite old.</v>
      </c>
      <c r="U167" s="21" t="str">
        <f>IFERROR(__xludf.DUMMYFUNCTION("""COMPUTED_VALUE"""),"")</f>
        <v/>
      </c>
      <c r="V167" s="21"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W167" s="21" t="str">
        <f>IFERROR(__xludf.DUMMYFUNCTION("""COMPUTED_VALUE"""),"トイレから下水の臭いがする。建物がかなり古いようだ。")</f>
        <v>トイレから下水の臭いがする。建物がかなり古いようだ。</v>
      </c>
      <c r="X167" s="21" t="str">
        <f>IFERROR(__xludf.DUMMYFUNCTION("""COMPUTED_VALUE"""),"Lazyslogger")</f>
        <v>Lazyslogger</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IFERROR(__xludf.DUMMYFUNCTION("""COMPUTED_VALUE"""),8.0)</f>
        <v>8</v>
      </c>
      <c r="Q168" s="22">
        <f>IFERROR(__xludf.DUMMYFUNCTION("""COMPUTED_VALUE"""),46055.0)</f>
        <v>46055</v>
      </c>
      <c r="R168" s="21"/>
      <c r="S168" s="21" t="str">
        <f>IFERROR(__xludf.DUMMYFUNCTION("""COMPUTED_VALUE"""),"朝食のカレーが美味しかった。")</f>
        <v>朝食のカレーが美味しかった。</v>
      </c>
      <c r="T168" s="21"/>
      <c r="U168" s="21" t="str">
        <f>IFERROR(__xludf.DUMMYFUNCTION("""COMPUTED_VALUE"""),"")</f>
        <v/>
      </c>
      <c r="V168" s="21" t="str">
        <f>IFERROR(__xludf.DUMMYFUNCTION("""COMPUTED_VALUE"""),"朝食のカレーが美味しかった。")</f>
        <v>朝食のカレーが美味しかった。</v>
      </c>
      <c r="W168" s="21" t="str">
        <f>IFERROR(__xludf.DUMMYFUNCTION("""COMPUTED_VALUE"""),"")</f>
        <v/>
      </c>
      <c r="X168" s="21" t="str">
        <f>IFERROR(__xludf.DUMMYFUNCTION("""COMPUTED_VALUE"""),"Junichi")</f>
        <v>Junichi</v>
      </c>
    </row>
    <row r="169">
      <c r="D169" s="4"/>
      <c r="E169" s="4"/>
      <c r="F169" s="4"/>
      <c r="G169" s="4"/>
      <c r="H169" s="4"/>
      <c r="I169" s="4"/>
      <c r="J169" s="4"/>
      <c r="K169" s="4"/>
      <c r="L169" s="4"/>
      <c r="N169" s="21" t="b">
        <f>IFERROR(__xludf.DUMMYFUNCTION("""COMPUTED_VALUE"""),FALSE)</f>
        <v>0</v>
      </c>
      <c r="O169" s="21" t="str">
        <f>IFERROR(__xludf.DUMMYFUNCTION("""COMPUTED_VALUE"""),"Google")</f>
        <v>Google</v>
      </c>
      <c r="P169" s="21">
        <f>IFERROR(__xludf.DUMMYFUNCTION("""COMPUTED_VALUE"""),5.0)</f>
        <v>5</v>
      </c>
      <c r="Q169" s="22">
        <f>IFERROR(__xludf.DUMMYFUNCTION("""COMPUTED_VALUE"""),46054.0)</f>
        <v>46054</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IFERROR(__xludf.DUMMYFUNCTION("""COMPUTED_VALUE"""),"sookhyun Hong")</f>
        <v>sookhyun Hong</v>
      </c>
    </row>
    <row r="170">
      <c r="D170" s="4"/>
      <c r="E170" s="4"/>
      <c r="F170" s="4"/>
      <c r="G170" s="4"/>
      <c r="H170" s="4"/>
      <c r="I170" s="4"/>
      <c r="J170" s="4"/>
      <c r="K170" s="4"/>
      <c r="L170" s="4"/>
      <c r="N170" s="21" t="b">
        <f>IFERROR(__xludf.DUMMYFUNCTION("""COMPUTED_VALUE"""),FALSE)</f>
        <v>0</v>
      </c>
      <c r="O170" s="21" t="str">
        <f>IFERROR(__xludf.DUMMYFUNCTION("""COMPUTED_VALUE"""),"Google")</f>
        <v>Google</v>
      </c>
      <c r="P170" s="21">
        <f>IFERROR(__xludf.DUMMYFUNCTION("""COMPUTED_VALUE"""),1.0)</f>
        <v>1</v>
      </c>
      <c r="Q170" s="22">
        <f>IFERROR(__xludf.DUMMYFUNCTION("""COMPUTED_VALUE"""),46054.0)</f>
        <v>46054</v>
      </c>
      <c r="R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S170" s="21"/>
      <c r="T170" s="21"/>
      <c r="U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V170" s="21" t="str">
        <f>IFERROR(__xludf.DUMMYFUNCTION("""COMPUTED_VALUE"""),"")</f>
        <v/>
      </c>
      <c r="W170" s="21" t="str">
        <f>IFERROR(__xludf.DUMMYFUNCTION("""COMPUTED_VALUE"""),"")</f>
        <v/>
      </c>
      <c r="X170" s="21" t="str">
        <f>IFERROR(__xludf.DUMMYFUNCTION("""COMPUTED_VALUE"""),"たかまつa")</f>
        <v>たかまつa</v>
      </c>
    </row>
    <row r="171">
      <c r="D171" s="4"/>
      <c r="E171" s="4"/>
      <c r="F171" s="4"/>
      <c r="G171" s="4"/>
      <c r="H171" s="4"/>
      <c r="I171" s="4"/>
      <c r="J171" s="4"/>
      <c r="K171" s="4"/>
      <c r="L171" s="4"/>
      <c r="N171" s="21" t="b">
        <f>IFERROR(__xludf.DUMMYFUNCTION("""COMPUTED_VALUE"""),FALSE)</f>
        <v>0</v>
      </c>
      <c r="O171" s="21" t="str">
        <f>IFERROR(__xludf.DUMMYFUNCTION("""COMPUTED_VALUE"""),"Google")</f>
        <v>Google</v>
      </c>
      <c r="P171" s="21">
        <f>IFERROR(__xludf.DUMMYFUNCTION("""COMPUTED_VALUE"""),4.0)</f>
        <v>4</v>
      </c>
      <c r="Q171" s="22">
        <f>IFERROR(__xludf.DUMMYFUNCTION("""COMPUTED_VALUE"""),46054.0)</f>
        <v>46054</v>
      </c>
      <c r="R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S171" s="21"/>
      <c r="T171" s="21"/>
      <c r="U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V171" s="21" t="str">
        <f>IFERROR(__xludf.DUMMYFUNCTION("""COMPUTED_VALUE"""),"")</f>
        <v/>
      </c>
      <c r="W171" s="21" t="str">
        <f>IFERROR(__xludf.DUMMYFUNCTION("""COMPUTED_VALUE"""),"")</f>
        <v/>
      </c>
      <c r="X171" s="21" t="str">
        <f>IFERROR(__xludf.DUMMYFUNCTION("""COMPUTED_VALUE"""),"Rei R")</f>
        <v>Rei R</v>
      </c>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8"/>
    <hyperlink r:id="rId21" ref="O18"/>
    <hyperlink r:id="rId22" ref="C19"/>
    <hyperlink r:id="rId23" ref="O19"/>
    <hyperlink r:id="rId24" ref="C20"/>
    <hyperlink r:id="rId25" ref="O20"/>
    <hyperlink r:id="rId26" ref="C23"/>
    <hyperlink r:id="rId27" ref="O23"/>
    <hyperlink r:id="rId28" ref="C27"/>
    <hyperlink r:id="rId29" ref="O27"/>
    <hyperlink r:id="rId30" ref="C28"/>
    <hyperlink r:id="rId31" ref="O28"/>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6"/>
    <hyperlink r:id="rId43" ref="O36"/>
    <hyperlink r:id="rId44" ref="C39"/>
    <hyperlink r:id="rId45" ref="O39"/>
    <hyperlink r:id="rId46" ref="C40"/>
    <hyperlink r:id="rId47" ref="O40"/>
    <hyperlink r:id="rId48" ref="C42"/>
    <hyperlink r:id="rId49" ref="O42"/>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3"/>
    <hyperlink r:id="rId61" ref="O53"/>
    <hyperlink r:id="rId62" ref="C54"/>
    <hyperlink r:id="rId63" ref="O54"/>
    <hyperlink r:id="rId64" ref="C56"/>
    <hyperlink r:id="rId65" ref="O56"/>
    <hyperlink r:id="rId66" ref="C58"/>
    <hyperlink r:id="rId67" ref="O58"/>
    <hyperlink r:id="rId68" ref="C60"/>
    <hyperlink r:id="rId69" ref="O60"/>
    <hyperlink r:id="rId70" ref="C62"/>
    <hyperlink r:id="rId71" ref="O62"/>
    <hyperlink r:id="rId72" ref="C64"/>
    <hyperlink r:id="rId73" ref="O64"/>
    <hyperlink r:id="rId74" ref="C66"/>
    <hyperlink r:id="rId75" ref="O66"/>
    <hyperlink r:id="rId76" ref="C68"/>
    <hyperlink r:id="rId77" ref="O68"/>
    <hyperlink r:id="rId78" ref="C70"/>
    <hyperlink r:id="rId79" ref="O70"/>
    <hyperlink r:id="rId80" ref="C71"/>
    <hyperlink r:id="rId81" ref="O71"/>
    <hyperlink r:id="rId82" ref="C72"/>
    <hyperlink r:id="rId83" ref="O72"/>
    <hyperlink r:id="rId84" ref="C74"/>
    <hyperlink r:id="rId85" ref="O74"/>
    <hyperlink r:id="rId86" ref="C75"/>
    <hyperlink r:id="rId87" ref="O75"/>
    <hyperlink r:id="rId88" ref="C76"/>
    <hyperlink r:id="rId89" ref="O76"/>
    <hyperlink r:id="rId90" ref="C78"/>
    <hyperlink r:id="rId91" ref="O78"/>
    <hyperlink r:id="rId92" ref="C79"/>
    <hyperlink r:id="rId93" ref="O79"/>
    <hyperlink r:id="rId94" ref="C80"/>
    <hyperlink r:id="rId95" ref="C86"/>
    <hyperlink r:id="rId96" ref="C87"/>
    <hyperlink r:id="rId97" ref="C89"/>
    <hyperlink r:id="rId98" ref="C90"/>
    <hyperlink r:id="rId99" ref="C94"/>
    <hyperlink r:id="rId100" ref="C95"/>
    <hyperlink r:id="rId101" ref="C96"/>
    <hyperlink r:id="rId102" ref="C97"/>
    <hyperlink r:id="rId103" ref="C98"/>
    <hyperlink r:id="rId104" ref="C99"/>
    <hyperlink r:id="rId105" ref="C100"/>
    <hyperlink r:id="rId106" ref="O100"/>
    <hyperlink r:id="rId107" ref="C101"/>
    <hyperlink r:id="rId108" ref="C102"/>
    <hyperlink r:id="rId109" ref="C104"/>
    <hyperlink r:id="rId110" ref="C105"/>
    <hyperlink r:id="rId111" ref="C106"/>
    <hyperlink r:id="rId112" ref="O106"/>
    <hyperlink r:id="rId113" ref="C107"/>
    <hyperlink r:id="rId114" ref="O107"/>
    <hyperlink r:id="rId115" ref="C108"/>
    <hyperlink r:id="rId116" ref="C109"/>
    <hyperlink r:id="rId117" ref="O109"/>
    <hyperlink r:id="rId118" ref="C110"/>
    <hyperlink r:id="rId119" ref="O110"/>
    <hyperlink r:id="rId120" ref="C111"/>
    <hyperlink r:id="rId121" ref="O114"/>
    <hyperlink r:id="rId122" ref="C115"/>
    <hyperlink r:id="rId123" ref="O115"/>
    <hyperlink r:id="rId124" ref="O116"/>
    <hyperlink r:id="rId125" ref="O117"/>
    <hyperlink r:id="rId126" ref="C118"/>
    <hyperlink r:id="rId127" ref="O118"/>
    <hyperlink r:id="rId128" ref="C119"/>
    <hyperlink r:id="rId129" ref="O119"/>
    <hyperlink r:id="rId130" ref="C120"/>
    <hyperlink r:id="rId131" ref="O120"/>
    <hyperlink r:id="rId132" ref="C121"/>
    <hyperlink r:id="rId133" ref="O121"/>
    <hyperlink r:id="rId134" ref="O122"/>
    <hyperlink r:id="rId135" ref="C124"/>
    <hyperlink r:id="rId136" ref="O124"/>
    <hyperlink r:id="rId137" ref="O125"/>
    <hyperlink r:id="rId138" ref="O126"/>
    <hyperlink r:id="rId139" ref="C127"/>
    <hyperlink r:id="rId140" ref="O127"/>
    <hyperlink r:id="rId141" ref="O128"/>
    <hyperlink r:id="rId142" ref="O129"/>
    <hyperlink r:id="rId143" ref="C130"/>
    <hyperlink r:id="rId144" ref="O130"/>
    <hyperlink r:id="rId145" ref="C131"/>
    <hyperlink r:id="rId146" ref="O131"/>
    <hyperlink r:id="rId147" ref="O135"/>
    <hyperlink r:id="rId148" ref="C136"/>
    <hyperlink r:id="rId149" ref="C138"/>
    <hyperlink r:id="rId150" ref="O138"/>
    <hyperlink r:id="rId151" ref="O139"/>
    <hyperlink r:id="rId152" ref="C140"/>
    <hyperlink r:id="rId153" ref="O140"/>
    <hyperlink r:id="rId154" ref="O141"/>
    <hyperlink r:id="rId155" ref="C142"/>
    <hyperlink r:id="rId156" ref="C143"/>
    <hyperlink r:id="rId157" ref="O144"/>
    <hyperlink r:id="rId158" ref="C146"/>
    <hyperlink r:id="rId159" ref="C147"/>
    <hyperlink r:id="rId160" ref="O147"/>
    <hyperlink r:id="rId161" ref="C148"/>
    <hyperlink r:id="rId162" ref="O150"/>
    <hyperlink r:id="rId163" ref="O151"/>
    <hyperlink r:id="rId164" ref="O156"/>
    <hyperlink r:id="rId165" ref="O158"/>
    <hyperlink r:id="rId166" ref="O160"/>
    <hyperlink r:id="rId167" ref="O162"/>
    <hyperlink r:id="rId168" ref="O163"/>
    <hyperlink r:id="rId169" ref="O166"/>
    <hyperlink r:id="rId170" ref="O167"/>
    <hyperlink r:id="rId171" ref="O168"/>
  </hyperlinks>
  <drawing r:id="rId17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108</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9"/>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119</v>
      </c>
      <c r="E35" s="160" t="s">
        <v>120</v>
      </c>
      <c r="F35" s="161"/>
      <c r="G35" s="161"/>
      <c r="H35" s="161"/>
      <c r="I35" s="150"/>
      <c r="J35" s="150" t="s">
        <v>28</v>
      </c>
      <c r="K35" s="161"/>
      <c r="L35" s="161"/>
      <c r="M35" s="161" t="s">
        <v>103</v>
      </c>
      <c r="N35" s="162" t="s">
        <v>121</v>
      </c>
      <c r="O35" s="163"/>
      <c r="P35" s="163"/>
      <c r="Q35" s="163"/>
      <c r="R35" s="163"/>
      <c r="S35" s="164"/>
      <c r="T35" s="162" t="s">
        <v>122</v>
      </c>
      <c r="U35" s="163"/>
      <c r="V35" s="163"/>
      <c r="W35" s="163"/>
      <c r="X35" s="163"/>
      <c r="Y35" s="164"/>
      <c r="Z35" s="162" t="s">
        <v>123</v>
      </c>
      <c r="AA35" s="163"/>
      <c r="AB35" s="163"/>
      <c r="AC35" s="163"/>
      <c r="AD35" s="163"/>
      <c r="AE35" s="164"/>
      <c r="AF35" s="169"/>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124</v>
      </c>
      <c r="E36" s="160" t="s">
        <v>125</v>
      </c>
      <c r="F36" s="161"/>
      <c r="G36" s="161"/>
      <c r="H36" s="161"/>
      <c r="I36" s="150"/>
      <c r="J36" s="150" t="s">
        <v>28</v>
      </c>
      <c r="K36" s="161"/>
      <c r="L36" s="161"/>
      <c r="M36" s="161" t="s">
        <v>103</v>
      </c>
      <c r="N36" s="162" t="s">
        <v>126</v>
      </c>
      <c r="O36" s="163"/>
      <c r="P36" s="163"/>
      <c r="Q36" s="163"/>
      <c r="R36" s="163"/>
      <c r="S36" s="164"/>
      <c r="T36" s="162" t="s">
        <v>127</v>
      </c>
      <c r="U36" s="163"/>
      <c r="V36" s="163"/>
      <c r="W36" s="163"/>
      <c r="X36" s="163"/>
      <c r="Y36" s="164"/>
      <c r="Z36" s="162" t="s">
        <v>128</v>
      </c>
      <c r="AA36" s="163"/>
      <c r="AB36" s="163"/>
      <c r="AC36" s="163"/>
      <c r="AD36" s="163"/>
      <c r="AE36" s="164"/>
      <c r="AF36" s="169"/>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129</v>
      </c>
      <c r="E37" s="160" t="s">
        <v>99</v>
      </c>
      <c r="F37" s="161"/>
      <c r="G37" s="161"/>
      <c r="H37" s="161"/>
      <c r="I37" s="150"/>
      <c r="J37" s="150" t="s">
        <v>28</v>
      </c>
      <c r="K37" s="161"/>
      <c r="L37" s="161"/>
      <c r="M37" s="161" t="s">
        <v>103</v>
      </c>
      <c r="N37" s="162" t="s">
        <v>130</v>
      </c>
      <c r="O37" s="163"/>
      <c r="P37" s="163"/>
      <c r="Q37" s="163"/>
      <c r="R37" s="163"/>
      <c r="S37" s="164"/>
      <c r="T37" s="162" t="s">
        <v>131</v>
      </c>
      <c r="U37" s="163"/>
      <c r="V37" s="163"/>
      <c r="W37" s="163"/>
      <c r="X37" s="163"/>
      <c r="Y37" s="164"/>
      <c r="Z37" s="162" t="s">
        <v>132</v>
      </c>
      <c r="AA37" s="163"/>
      <c r="AB37" s="163"/>
      <c r="AC37" s="163"/>
      <c r="AD37" s="163"/>
      <c r="AE37" s="164"/>
      <c r="AF37" s="169"/>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133</v>
      </c>
      <c r="E38" s="171" t="s">
        <v>125</v>
      </c>
      <c r="F38" s="161"/>
      <c r="G38" s="161"/>
      <c r="H38" s="161"/>
      <c r="I38" s="150"/>
      <c r="J38" s="150" t="s">
        <v>28</v>
      </c>
      <c r="K38" s="161"/>
      <c r="L38" s="161"/>
      <c r="M38" s="161" t="s">
        <v>103</v>
      </c>
      <c r="N38" s="162" t="s">
        <v>134</v>
      </c>
      <c r="O38" s="163"/>
      <c r="P38" s="163"/>
      <c r="Q38" s="163"/>
      <c r="R38" s="163"/>
      <c r="S38" s="164"/>
      <c r="T38" s="162" t="s">
        <v>135</v>
      </c>
      <c r="U38" s="163"/>
      <c r="V38" s="163"/>
      <c r="W38" s="163"/>
      <c r="X38" s="163"/>
      <c r="Y38" s="164"/>
      <c r="Z38" s="162" t="s">
        <v>136</v>
      </c>
      <c r="AA38" s="163"/>
      <c r="AB38" s="163"/>
      <c r="AC38" s="163"/>
      <c r="AD38" s="163"/>
      <c r="AE38" s="164"/>
      <c r="AF38" s="169"/>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133</v>
      </c>
      <c r="E39" s="160" t="s">
        <v>125</v>
      </c>
      <c r="F39" s="161"/>
      <c r="G39" s="161"/>
      <c r="H39" s="161"/>
      <c r="I39" s="150"/>
      <c r="J39" s="150" t="s">
        <v>28</v>
      </c>
      <c r="K39" s="161"/>
      <c r="L39" s="161"/>
      <c r="M39" s="161" t="s">
        <v>103</v>
      </c>
      <c r="N39" s="162" t="s">
        <v>137</v>
      </c>
      <c r="O39" s="163"/>
      <c r="P39" s="163"/>
      <c r="Q39" s="163"/>
      <c r="R39" s="163"/>
      <c r="S39" s="164"/>
      <c r="T39" s="162" t="s">
        <v>138</v>
      </c>
      <c r="U39" s="163"/>
      <c r="V39" s="163"/>
      <c r="W39" s="163"/>
      <c r="X39" s="163"/>
      <c r="Y39" s="164"/>
      <c r="Z39" s="162" t="s">
        <v>139</v>
      </c>
      <c r="AA39" s="163"/>
      <c r="AB39" s="163"/>
      <c r="AC39" s="163"/>
      <c r="AD39" s="163"/>
      <c r="AE39" s="164"/>
      <c r="AF39" s="169"/>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140</v>
      </c>
      <c r="E40" s="160" t="s">
        <v>141</v>
      </c>
      <c r="F40" s="161" t="s">
        <v>100</v>
      </c>
      <c r="G40" s="161">
        <v>311.0</v>
      </c>
      <c r="H40" s="161" t="s">
        <v>101</v>
      </c>
      <c r="I40" s="150" t="s">
        <v>39</v>
      </c>
      <c r="J40" s="150"/>
      <c r="K40" s="161" t="s">
        <v>100</v>
      </c>
      <c r="L40" s="161" t="s">
        <v>142</v>
      </c>
      <c r="M40" s="161" t="s">
        <v>110</v>
      </c>
      <c r="N40" s="162" t="s">
        <v>143</v>
      </c>
      <c r="O40" s="163"/>
      <c r="P40" s="163"/>
      <c r="Q40" s="163"/>
      <c r="R40" s="163"/>
      <c r="S40" s="164"/>
      <c r="T40" s="162" t="s">
        <v>144</v>
      </c>
      <c r="U40" s="163"/>
      <c r="V40" s="163"/>
      <c r="W40" s="163"/>
      <c r="X40" s="163"/>
      <c r="Y40" s="164"/>
      <c r="Z40" s="162" t="s">
        <v>145</v>
      </c>
      <c r="AA40" s="163"/>
      <c r="AB40" s="163"/>
      <c r="AC40" s="163"/>
      <c r="AD40" s="163"/>
      <c r="AE40" s="164"/>
      <c r="AF40" s="169"/>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140</v>
      </c>
      <c r="E41" s="160" t="s">
        <v>141</v>
      </c>
      <c r="F41" s="161" t="s">
        <v>100</v>
      </c>
      <c r="G41" s="161">
        <v>807.0</v>
      </c>
      <c r="H41" s="161" t="s">
        <v>146</v>
      </c>
      <c r="I41" s="150" t="s">
        <v>43</v>
      </c>
      <c r="J41" s="150"/>
      <c r="K41" s="161" t="s">
        <v>100</v>
      </c>
      <c r="L41" s="161" t="s">
        <v>102</v>
      </c>
      <c r="M41" s="161" t="s">
        <v>110</v>
      </c>
      <c r="N41" s="162" t="s">
        <v>147</v>
      </c>
      <c r="O41" s="163"/>
      <c r="P41" s="163"/>
      <c r="Q41" s="163"/>
      <c r="R41" s="163"/>
      <c r="S41" s="164"/>
      <c r="T41" s="162" t="s">
        <v>148</v>
      </c>
      <c r="U41" s="163"/>
      <c r="V41" s="163"/>
      <c r="W41" s="163"/>
      <c r="X41" s="163"/>
      <c r="Y41" s="164"/>
      <c r="Z41" s="162" t="s">
        <v>149</v>
      </c>
      <c r="AA41" s="163"/>
      <c r="AB41" s="163"/>
      <c r="AC41" s="163"/>
      <c r="AD41" s="163"/>
      <c r="AE41" s="164"/>
      <c r="AF41" s="169"/>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150</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151</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152</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153</v>
      </c>
      <c r="C5" s="198" t="s">
        <v>154</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155</v>
      </c>
      <c r="D6" s="196" t="s">
        <v>156</v>
      </c>
      <c r="F6" s="207"/>
      <c r="G6" s="208" t="s">
        <v>157</v>
      </c>
      <c r="J6" s="209" t="s">
        <v>157</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158</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159</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160</v>
      </c>
      <c r="C9" s="224" t="s">
        <v>161</v>
      </c>
      <c r="D9" s="225"/>
      <c r="E9" s="225"/>
      <c r="F9" s="225"/>
      <c r="G9" s="226" t="s">
        <v>161</v>
      </c>
      <c r="H9" s="225"/>
      <c r="I9" s="225"/>
      <c r="J9" s="226" t="s">
        <v>161</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162</v>
      </c>
      <c r="C10" s="228" t="s">
        <v>163</v>
      </c>
      <c r="D10" s="221"/>
      <c r="E10" s="221"/>
      <c r="F10" s="221"/>
      <c r="G10" s="229" t="s">
        <v>163</v>
      </c>
      <c r="H10" s="221"/>
      <c r="I10" s="221"/>
      <c r="J10" s="229" t="s">
        <v>163</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164</v>
      </c>
      <c r="C11" s="228" t="s">
        <v>165</v>
      </c>
      <c r="D11" s="221"/>
      <c r="E11" s="221"/>
      <c r="F11" s="221"/>
      <c r="G11" s="229" t="s">
        <v>163</v>
      </c>
      <c r="H11" s="221"/>
      <c r="I11" s="221"/>
      <c r="J11" s="229" t="s">
        <v>163</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166</v>
      </c>
      <c r="C12" s="231"/>
      <c r="D12" s="221"/>
      <c r="E12" s="221"/>
      <c r="F12" s="221"/>
      <c r="G12" s="229" t="s">
        <v>161</v>
      </c>
      <c r="H12" s="221"/>
      <c r="I12" s="221"/>
      <c r="J12" s="229" t="s">
        <v>161</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167</v>
      </c>
      <c r="C13" s="231"/>
      <c r="D13" s="221"/>
      <c r="E13" s="221"/>
      <c r="F13" s="221"/>
      <c r="G13" s="229" t="s">
        <v>161</v>
      </c>
      <c r="H13" s="221"/>
      <c r="I13" s="221"/>
      <c r="J13" s="229" t="s">
        <v>161</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168</v>
      </c>
      <c r="C14" s="231"/>
      <c r="D14" s="221"/>
      <c r="E14" s="221"/>
      <c r="F14" s="221"/>
      <c r="G14" s="229" t="s">
        <v>161</v>
      </c>
      <c r="H14" s="221"/>
      <c r="I14" s="221"/>
      <c r="J14" s="229" t="s">
        <v>161</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169</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170</v>
      </c>
      <c r="C16" s="231"/>
      <c r="D16" s="221"/>
      <c r="E16" s="221"/>
      <c r="F16" s="221"/>
      <c r="G16" s="229" t="s">
        <v>161</v>
      </c>
      <c r="H16" s="221"/>
      <c r="I16" s="221"/>
      <c r="J16" s="229" t="s">
        <v>161</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171</v>
      </c>
      <c r="C17" s="231"/>
      <c r="D17" s="221"/>
      <c r="E17" s="221"/>
      <c r="F17" s="221"/>
      <c r="G17" s="229" t="s">
        <v>161</v>
      </c>
      <c r="H17" s="221"/>
      <c r="I17" s="221"/>
      <c r="J17" s="229" t="s">
        <v>161</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172</v>
      </c>
      <c r="C18" s="231"/>
      <c r="D18" s="221"/>
      <c r="E18" s="221"/>
      <c r="F18" s="221"/>
      <c r="G18" s="229" t="s">
        <v>161</v>
      </c>
      <c r="H18" s="221"/>
      <c r="I18" s="221"/>
      <c r="J18" s="229" t="s">
        <v>161</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173</v>
      </c>
      <c r="C19" s="235"/>
      <c r="D19" s="236"/>
      <c r="E19" s="236"/>
      <c r="F19" s="236"/>
      <c r="G19" s="237" t="s">
        <v>161</v>
      </c>
      <c r="H19" s="236"/>
      <c r="I19" s="236"/>
      <c r="J19" s="237" t="s">
        <v>161</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174</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175</v>
      </c>
      <c r="C21" s="241"/>
      <c r="D21" s="225"/>
      <c r="E21" s="225"/>
      <c r="F21" s="225"/>
      <c r="G21" s="226" t="s">
        <v>161</v>
      </c>
      <c r="H21" s="225"/>
      <c r="I21" s="225"/>
      <c r="J21" s="226" t="s">
        <v>161</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176</v>
      </c>
      <c r="C22" s="231"/>
      <c r="D22" s="221"/>
      <c r="E22" s="221"/>
      <c r="F22" s="221"/>
      <c r="G22" s="229" t="s">
        <v>161</v>
      </c>
      <c r="H22" s="221"/>
      <c r="I22" s="221"/>
      <c r="J22" s="229" t="s">
        <v>161</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177</v>
      </c>
      <c r="C23" s="231"/>
      <c r="D23" s="221"/>
      <c r="E23" s="221"/>
      <c r="F23" s="221"/>
      <c r="G23" s="229" t="s">
        <v>161</v>
      </c>
      <c r="H23" s="221"/>
      <c r="I23" s="221"/>
      <c r="J23" s="229" t="s">
        <v>161</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178</v>
      </c>
      <c r="C24" s="231"/>
      <c r="D24" s="221"/>
      <c r="E24" s="221"/>
      <c r="F24" s="221"/>
      <c r="G24" s="229" t="s">
        <v>161</v>
      </c>
      <c r="H24" s="221"/>
      <c r="I24" s="221"/>
      <c r="J24" s="229" t="s">
        <v>161</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179</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180</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181</v>
      </c>
      <c r="C27" s="228" t="s">
        <v>182</v>
      </c>
      <c r="D27" s="221"/>
      <c r="E27" s="221"/>
      <c r="F27" s="221"/>
      <c r="G27" s="229" t="s">
        <v>183</v>
      </c>
      <c r="H27" s="221"/>
      <c r="I27" s="221"/>
      <c r="J27" s="229" t="s">
        <v>184</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185</v>
      </c>
      <c r="C28" s="228" t="s">
        <v>183</v>
      </c>
      <c r="D28" s="221"/>
      <c r="E28" s="221"/>
      <c r="F28" s="221"/>
      <c r="G28" s="229" t="s">
        <v>184</v>
      </c>
      <c r="H28" s="221"/>
      <c r="I28" s="221"/>
      <c r="J28" s="229" t="s">
        <v>184</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186</v>
      </c>
      <c r="C29" s="228" t="s">
        <v>184</v>
      </c>
      <c r="D29" s="221"/>
      <c r="E29" s="221"/>
      <c r="F29" s="221"/>
      <c r="G29" s="229" t="s">
        <v>183</v>
      </c>
      <c r="H29" s="221"/>
      <c r="I29" s="221"/>
      <c r="J29" s="229" t="s">
        <v>183</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187</v>
      </c>
      <c r="C30" s="228" t="s">
        <v>188</v>
      </c>
      <c r="D30" s="221"/>
      <c r="E30" s="221"/>
      <c r="F30" s="221"/>
      <c r="G30" s="229" t="s">
        <v>183</v>
      </c>
      <c r="H30" s="221"/>
      <c r="I30" s="221"/>
      <c r="J30" s="229" t="s">
        <v>183</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189</v>
      </c>
      <c r="C31" s="228" t="s">
        <v>190</v>
      </c>
      <c r="D31" s="221"/>
      <c r="E31" s="221"/>
      <c r="F31" s="221"/>
      <c r="G31" s="229" t="s">
        <v>182</v>
      </c>
      <c r="H31" s="221"/>
      <c r="I31" s="221"/>
      <c r="J31" s="229" t="s">
        <v>182</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191</v>
      </c>
      <c r="C32" s="231"/>
      <c r="D32" s="221"/>
      <c r="E32" s="221"/>
      <c r="F32" s="221"/>
      <c r="G32" s="229" t="s">
        <v>183</v>
      </c>
      <c r="H32" s="221"/>
      <c r="I32" s="221"/>
      <c r="J32" s="229" t="s">
        <v>184</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192</v>
      </c>
      <c r="C33" s="235"/>
      <c r="D33" s="236"/>
      <c r="E33" s="236"/>
      <c r="F33" s="236"/>
      <c r="G33" s="237" t="s">
        <v>183</v>
      </c>
      <c r="H33" s="236"/>
      <c r="I33" s="236"/>
      <c r="J33" s="237" t="s">
        <v>183</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193</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194</v>
      </c>
      <c r="C35" s="241"/>
      <c r="D35" s="225"/>
      <c r="E35" s="225"/>
      <c r="F35" s="225"/>
      <c r="G35" s="226" t="s">
        <v>182</v>
      </c>
      <c r="H35" s="225"/>
      <c r="I35" s="225"/>
      <c r="J35" s="226" t="s">
        <v>182</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195</v>
      </c>
      <c r="C36" s="231"/>
      <c r="D36" s="221"/>
      <c r="E36" s="221"/>
      <c r="F36" s="221"/>
      <c r="G36" s="229" t="s">
        <v>182</v>
      </c>
      <c r="H36" s="221"/>
      <c r="I36" s="221"/>
      <c r="J36" s="229" t="s">
        <v>182</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196</v>
      </c>
      <c r="C37" s="231"/>
      <c r="D37" s="221"/>
      <c r="E37" s="221"/>
      <c r="F37" s="221"/>
      <c r="G37" s="229" t="s">
        <v>183</v>
      </c>
      <c r="H37" s="221"/>
      <c r="I37" s="221"/>
      <c r="J37" s="229" t="s">
        <v>183</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197</v>
      </c>
      <c r="C38" s="231"/>
      <c r="D38" s="221"/>
      <c r="E38" s="221"/>
      <c r="F38" s="221"/>
      <c r="G38" s="229" t="s">
        <v>182</v>
      </c>
      <c r="H38" s="221"/>
      <c r="I38" s="221"/>
      <c r="J38" s="229" t="s">
        <v>182</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198</v>
      </c>
      <c r="C39" s="231"/>
      <c r="D39" s="221"/>
      <c r="E39" s="221"/>
      <c r="F39" s="221"/>
      <c r="G39" s="229" t="s">
        <v>182</v>
      </c>
      <c r="H39" s="221"/>
      <c r="I39" s="221"/>
      <c r="J39" s="229" t="s">
        <v>182</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199</v>
      </c>
      <c r="C40" s="231"/>
      <c r="D40" s="221"/>
      <c r="E40" s="221"/>
      <c r="F40" s="221"/>
      <c r="G40" s="229" t="s">
        <v>183</v>
      </c>
      <c r="H40" s="221"/>
      <c r="I40" s="221"/>
      <c r="J40" s="229" t="s">
        <v>183</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200</v>
      </c>
      <c r="C41" s="231"/>
      <c r="D41" s="221"/>
      <c r="E41" s="221"/>
      <c r="F41" s="221"/>
      <c r="G41" s="229" t="s">
        <v>183</v>
      </c>
      <c r="H41" s="221"/>
      <c r="I41" s="221"/>
      <c r="J41" s="229" t="s">
        <v>183</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201</v>
      </c>
      <c r="C42" s="231"/>
      <c r="D42" s="221"/>
      <c r="E42" s="221"/>
      <c r="F42" s="221"/>
      <c r="G42" s="229" t="s">
        <v>183</v>
      </c>
      <c r="H42" s="221"/>
      <c r="I42" s="221"/>
      <c r="J42" s="229" t="s">
        <v>183</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202</v>
      </c>
      <c r="C43" s="231"/>
      <c r="D43" s="221"/>
      <c r="E43" s="221"/>
      <c r="F43" s="221"/>
      <c r="G43" s="229" t="s">
        <v>183</v>
      </c>
      <c r="H43" s="221"/>
      <c r="I43" s="221"/>
      <c r="J43" s="229" t="s">
        <v>183</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203</v>
      </c>
      <c r="C44" s="235"/>
      <c r="D44" s="236"/>
      <c r="E44" s="236"/>
      <c r="F44" s="236"/>
      <c r="G44" s="237" t="s">
        <v>183</v>
      </c>
      <c r="H44" s="236"/>
      <c r="I44" s="236"/>
      <c r="J44" s="237" t="s">
        <v>183</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204</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205</v>
      </c>
      <c r="C46" s="241"/>
      <c r="D46" s="225"/>
      <c r="E46" s="225"/>
      <c r="F46" s="225"/>
      <c r="G46" s="226" t="s">
        <v>182</v>
      </c>
      <c r="H46" s="225"/>
      <c r="I46" s="225"/>
      <c r="J46" s="226" t="s">
        <v>182</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206</v>
      </c>
      <c r="C47" s="231"/>
      <c r="D47" s="221"/>
      <c r="E47" s="221"/>
      <c r="F47" s="221"/>
      <c r="G47" s="229" t="s">
        <v>182</v>
      </c>
      <c r="H47" s="221"/>
      <c r="I47" s="221"/>
      <c r="J47" s="229" t="s">
        <v>182</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207</v>
      </c>
      <c r="C48" s="231"/>
      <c r="D48" s="221"/>
      <c r="E48" s="221"/>
      <c r="F48" s="221"/>
      <c r="G48" s="229" t="s">
        <v>182</v>
      </c>
      <c r="H48" s="221"/>
      <c r="I48" s="221"/>
      <c r="J48" s="229" t="s">
        <v>182</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208</v>
      </c>
      <c r="C49" s="235"/>
      <c r="D49" s="236"/>
      <c r="E49" s="236"/>
      <c r="F49" s="236"/>
      <c r="G49" s="237" t="s">
        <v>182</v>
      </c>
      <c r="H49" s="236"/>
      <c r="I49" s="236"/>
      <c r="J49" s="237" t="s">
        <v>182</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209</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210</v>
      </c>
      <c r="C51" s="241"/>
      <c r="D51" s="225"/>
      <c r="E51" s="225"/>
      <c r="F51" s="225"/>
      <c r="G51" s="226" t="s">
        <v>183</v>
      </c>
      <c r="H51" s="225"/>
      <c r="I51" s="225"/>
      <c r="J51" s="226" t="s">
        <v>183</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211</v>
      </c>
      <c r="C52" s="231"/>
      <c r="D52" s="221"/>
      <c r="E52" s="221"/>
      <c r="F52" s="221"/>
      <c r="G52" s="229" t="s">
        <v>183</v>
      </c>
      <c r="H52" s="221"/>
      <c r="I52" s="221"/>
      <c r="J52" s="229" t="s">
        <v>183</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212</v>
      </c>
      <c r="C53" s="252"/>
      <c r="D53" s="253"/>
      <c r="E53" s="253"/>
      <c r="F53" s="253"/>
      <c r="G53" s="254" t="s">
        <v>182</v>
      </c>
      <c r="H53" s="253"/>
      <c r="I53" s="253"/>
      <c r="J53" s="254" t="s">
        <v>182</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213</v>
      </c>
      <c r="C54" s="258" t="s">
        <v>214</v>
      </c>
      <c r="D54" s="225"/>
      <c r="E54" s="225"/>
      <c r="F54" s="225"/>
      <c r="G54" s="258" t="s">
        <v>215</v>
      </c>
      <c r="H54" s="225"/>
      <c r="I54" s="225"/>
      <c r="J54" s="258" t="s">
        <v>216</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217</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218</v>
      </c>
      <c r="C1" s="275">
        <f>BB30</f>
        <v>99910</v>
      </c>
      <c r="D1" s="275">
        <f>AZ20</f>
        <v>16118.66667</v>
      </c>
      <c r="E1" s="275">
        <f>BG23</f>
        <v>52441.5</v>
      </c>
      <c r="F1" s="275">
        <f>BB23+BG40</f>
        <v>0</v>
      </c>
      <c r="G1" s="275">
        <f t="shared" ref="G1:H1" si="1">I8</f>
        <v>2426.5</v>
      </c>
      <c r="H1" s="275">
        <f t="shared" si="1"/>
        <v>0</v>
      </c>
      <c r="I1" s="276">
        <f>G8</f>
        <v>0.7631578947</v>
      </c>
      <c r="J1" s="276">
        <f>AT7</f>
        <v>0</v>
      </c>
      <c r="K1" s="277">
        <f>AV44</f>
        <v>0</v>
      </c>
      <c r="L1" s="278">
        <f>F44</f>
        <v>108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219</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220</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220</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221</v>
      </c>
      <c r="C5" s="72"/>
      <c r="D5" s="291">
        <v>46113.0</v>
      </c>
      <c r="E5" s="72"/>
      <c r="F5" s="292" t="s">
        <v>222</v>
      </c>
      <c r="G5" s="293">
        <f>DAY(EOMONTH(D5,0))</f>
        <v>30</v>
      </c>
      <c r="H5" s="294" t="s">
        <v>223</v>
      </c>
      <c r="I5" s="292" t="s">
        <v>224</v>
      </c>
      <c r="J5" s="295" t="b">
        <v>0</v>
      </c>
      <c r="K5" s="292" t="s">
        <v>225</v>
      </c>
      <c r="L5" s="296" t="b">
        <v>0</v>
      </c>
      <c r="M5" s="297" t="s">
        <v>226</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227</v>
      </c>
      <c r="C6" s="301" t="s">
        <v>228</v>
      </c>
      <c r="D6" s="88"/>
      <c r="E6" s="302" t="s">
        <v>229</v>
      </c>
      <c r="F6" s="72"/>
      <c r="G6" s="303" t="s">
        <v>230</v>
      </c>
      <c r="H6" s="303" t="s">
        <v>231</v>
      </c>
      <c r="I6" s="303" t="s">
        <v>232</v>
      </c>
      <c r="J6" s="303" t="s">
        <v>233</v>
      </c>
      <c r="K6" s="301" t="s">
        <v>234</v>
      </c>
      <c r="L6" s="304" t="s">
        <v>235</v>
      </c>
      <c r="M6" s="305" t="s">
        <v>236</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237</v>
      </c>
      <c r="AW6" s="309" t="s">
        <v>238</v>
      </c>
      <c r="AX6" s="310"/>
      <c r="AY6" s="311" t="s">
        <v>239</v>
      </c>
      <c r="AZ6" s="312"/>
      <c r="BA6" s="312"/>
      <c r="BB6" s="312"/>
      <c r="BC6" s="312"/>
      <c r="BD6" s="313"/>
      <c r="BE6" s="75"/>
      <c r="BF6" s="75"/>
      <c r="BG6" s="72"/>
      <c r="BL6" s="314"/>
    </row>
    <row r="7" ht="15.75" customHeight="1" outlineLevel="1">
      <c r="B7" s="315" t="s">
        <v>36</v>
      </c>
      <c r="C7" s="316">
        <f t="array" ref="C7">xlookup($D$5,'🌟目標数値'!$A$3:$A$14,'🌟目標数値'!F$3:F14)</f>
        <v>0.2204319126</v>
      </c>
      <c r="D7" s="72"/>
      <c r="E7" s="317">
        <f>AU12</f>
        <v>0.4965200282</v>
      </c>
      <c r="F7" s="72"/>
      <c r="G7" s="318" t="s">
        <v>240</v>
      </c>
      <c r="H7" s="319">
        <f t="array" ref="H7">xlookup($D$5,'🌟目標数値'!$A$3:$A$14,'🌟目標数値'!D$3:D14)</f>
        <v>2994780</v>
      </c>
      <c r="I7" s="319" t="s">
        <v>240</v>
      </c>
      <c r="J7" s="320" t="s">
        <v>240</v>
      </c>
      <c r="K7" s="321" t="s">
        <v>240</v>
      </c>
      <c r="L7" s="321" t="s">
        <v>240</v>
      </c>
      <c r="M7" s="322">
        <f t="array" ref="M7">xlookup($D$5,'🌟目標数値'!$A$3:$A$14,'🌟目標数値'!E$3:E14)</f>
        <v>660145.0833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0.5560836304</v>
      </c>
      <c r="AX7" s="310"/>
      <c r="AY7" s="326" t="s">
        <v>241</v>
      </c>
      <c r="BG7" s="327"/>
      <c r="BL7" s="314"/>
    </row>
    <row r="8" ht="15.75" customHeight="1" outlineLevel="1">
      <c r="B8" s="328" t="s">
        <v>242</v>
      </c>
      <c r="C8" s="329">
        <f>M8/H8</f>
        <v>0.2894938778</v>
      </c>
      <c r="D8" s="72"/>
      <c r="E8" s="330">
        <f>(BB23+BG23-BE24)/H8</f>
        <v>0.5248873987</v>
      </c>
      <c r="F8" s="72"/>
      <c r="G8" s="331">
        <f>G47</f>
        <v>0.7631578947</v>
      </c>
      <c r="H8" s="332">
        <f>BB30</f>
        <v>99910</v>
      </c>
      <c r="I8" s="333">
        <f>IFERROR(__xludf.DUMMYFUNCTION("IMPORTRANGE(""https://docs.google.com/spreadsheets/d/1QbHfX9wvC_RRupa4CCe_ZxA6O4e2Ap9vqX5hrZPeQRg/edit"",""date2_1!R6"")/G5*COUNTIFS($E$13:$E$43,""&gt;0"")"),2426.5)</f>
        <v>2426.5</v>
      </c>
      <c r="J8" s="334">
        <f>IFERROR(__xludf.DUMMYFUNCTION("IMPORTRANGE(""https://docs.google.com/spreadsheets/d/1PIAlDmsTatDNi42y_Nu-aVFqvVCXfe6jiDJFQImKjZ0/edit#gid=630612029"",""R8_4!J11"")"),0.0)</f>
        <v>0</v>
      </c>
      <c r="K8" s="335">
        <f>BE24</f>
        <v>0</v>
      </c>
      <c r="L8" s="335">
        <f>BB30-BB23-AZ20-BG45-BG23+BE24</f>
        <v>31349.83333</v>
      </c>
      <c r="M8" s="336">
        <f>L8-I8</f>
        <v>28923.33333</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243</v>
      </c>
      <c r="C9" s="344" t="s">
        <v>240</v>
      </c>
      <c r="D9" s="72"/>
      <c r="E9" s="345" t="s">
        <v>240</v>
      </c>
      <c r="F9" s="72"/>
      <c r="G9" s="346" t="s">
        <v>240</v>
      </c>
      <c r="H9" s="347">
        <f>H7/G5*COUNTIFS($E$11:$E$41,"&gt;0")</f>
        <v>99826</v>
      </c>
      <c r="I9" s="347" t="s">
        <v>240</v>
      </c>
      <c r="J9" s="348" t="s">
        <v>240</v>
      </c>
      <c r="K9" s="349" t="s">
        <v>240</v>
      </c>
      <c r="L9" s="349" t="s">
        <v>240</v>
      </c>
      <c r="M9" s="350">
        <f>M7/G5*COUNTIFS($E$11:$E$41,"&gt;0")</f>
        <v>22004.83611</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244</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245</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246</v>
      </c>
      <c r="C11" s="358" t="s">
        <v>247</v>
      </c>
      <c r="D11" s="359" t="s">
        <v>248</v>
      </c>
      <c r="E11" s="359" t="s">
        <v>249</v>
      </c>
      <c r="F11" s="357" t="s">
        <v>250</v>
      </c>
      <c r="G11" s="360" t="s">
        <v>251</v>
      </c>
      <c r="H11" s="361" t="s">
        <v>252</v>
      </c>
      <c r="I11" s="362" t="s">
        <v>253</v>
      </c>
      <c r="J11" s="362" t="s">
        <v>254</v>
      </c>
      <c r="K11" s="362" t="s">
        <v>255</v>
      </c>
      <c r="L11" s="362" t="s">
        <v>256</v>
      </c>
      <c r="M11" s="361" t="s">
        <v>257</v>
      </c>
      <c r="N11" s="361" t="s">
        <v>258</v>
      </c>
      <c r="O11" s="361" t="s">
        <v>259</v>
      </c>
      <c r="P11" s="357" t="s">
        <v>260</v>
      </c>
      <c r="Q11" s="357" t="s">
        <v>261</v>
      </c>
      <c r="R11" s="357" t="s">
        <v>262</v>
      </c>
      <c r="S11" s="357" t="s">
        <v>263</v>
      </c>
      <c r="T11" s="357" t="s">
        <v>264</v>
      </c>
      <c r="U11" s="357" t="s">
        <v>265</v>
      </c>
      <c r="V11" s="357" t="s">
        <v>266</v>
      </c>
      <c r="W11" s="357" t="s">
        <v>267</v>
      </c>
      <c r="X11" s="357" t="s">
        <v>268</v>
      </c>
      <c r="Y11" s="357" t="s">
        <v>269</v>
      </c>
      <c r="Z11" s="357" t="s">
        <v>270</v>
      </c>
      <c r="AA11" s="357" t="s">
        <v>271</v>
      </c>
      <c r="AB11" s="357" t="s">
        <v>272</v>
      </c>
      <c r="AC11" s="363" t="s">
        <v>273</v>
      </c>
      <c r="AD11" s="364" t="s">
        <v>274</v>
      </c>
      <c r="AE11" s="364" t="s">
        <v>275</v>
      </c>
      <c r="AF11" s="364" t="s">
        <v>276</v>
      </c>
      <c r="AG11" s="363" t="s">
        <v>277</v>
      </c>
      <c r="AH11" s="364" t="s">
        <v>278</v>
      </c>
      <c r="AI11" s="364" t="s">
        <v>279</v>
      </c>
      <c r="AJ11" s="364" t="s">
        <v>280</v>
      </c>
      <c r="AK11" s="364" t="s">
        <v>281</v>
      </c>
      <c r="AL11" s="364" t="s">
        <v>282</v>
      </c>
      <c r="AM11" s="364" t="s">
        <v>283</v>
      </c>
      <c r="AN11" s="364" t="s">
        <v>284</v>
      </c>
      <c r="AO11" s="364" t="s">
        <v>285</v>
      </c>
      <c r="AP11" s="364" t="s">
        <v>286</v>
      </c>
      <c r="AQ11" s="364" t="s">
        <v>287</v>
      </c>
      <c r="AR11" s="364" t="s">
        <v>288</v>
      </c>
      <c r="AS11" s="357" t="s">
        <v>289</v>
      </c>
      <c r="AT11" s="359" t="s">
        <v>290</v>
      </c>
      <c r="AU11" s="365" t="s">
        <v>291</v>
      </c>
      <c r="AV11" s="357" t="s">
        <v>37</v>
      </c>
      <c r="AW11" s="366" t="s">
        <v>292</v>
      </c>
      <c r="AX11" s="367"/>
      <c r="AY11" s="368">
        <f>$D$5</f>
        <v>46113</v>
      </c>
      <c r="BI11" s="204" t="s">
        <v>96</v>
      </c>
      <c r="BJ11" s="204" t="s">
        <v>97</v>
      </c>
      <c r="BL11" s="369" t="s">
        <v>96</v>
      </c>
      <c r="BM11" s="369" t="s">
        <v>293</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0.4965200282</v>
      </c>
      <c r="AV12" s="370"/>
      <c r="AW12" s="370"/>
      <c r="AX12" s="285"/>
      <c r="AY12" s="373" t="s">
        <v>294</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0.5057001301</v>
      </c>
      <c r="AV13" s="376">
        <f>countifs('🔵クレーム'!$C:$C,MONTH($D$5)&amp;"月",'🔵クレーム'!$D:$D,day(C13)&amp;"日",'🔵クレーム'!$I:$I,"&lt;&gt;")</f>
        <v>0</v>
      </c>
      <c r="AW13" s="386"/>
      <c r="AX13" s="285"/>
      <c r="AY13" s="387" t="s">
        <v>295</v>
      </c>
      <c r="AZ13" s="388" t="s">
        <v>296</v>
      </c>
      <c r="BA13" s="388" t="s">
        <v>297</v>
      </c>
      <c r="BB13" s="388" t="s">
        <v>298</v>
      </c>
      <c r="BC13" s="299"/>
      <c r="BD13" s="387" t="s">
        <v>90</v>
      </c>
      <c r="BE13" s="388" t="s">
        <v>299</v>
      </c>
      <c r="BF13" s="388" t="s">
        <v>297</v>
      </c>
      <c r="BG13" s="388" t="s">
        <v>298</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IFERROR(__xludf.DUMMYFUNCTION("""COMPUTED_VALUE"""),0.0)</f>
        <v>0</v>
      </c>
      <c r="AU14" s="385" t="str">
        <f t="shared" si="7"/>
        <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IFERROR(__xludf.DUMMYFUNCTION("""COMPUTED_VALUE"""),0.0)</f>
        <v>0</v>
      </c>
      <c r="AU15" s="385" t="str">
        <f t="shared" si="7"/>
        <v/>
      </c>
      <c r="AV15" s="376">
        <f>countifs('🔵クレーム'!$C:$C,MONTH($D$5)&amp;"月",'🔵クレーム'!$D:$D,day(C15)&amp;"日",'🔵クレーム'!$I:$I,"&lt;&gt;")</f>
        <v>0</v>
      </c>
      <c r="AW15" s="386"/>
      <c r="AX15" s="285"/>
      <c r="AY15" s="397" t="s">
        <v>300</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IFERROR(__xludf.DUMMYFUNCTION("""COMPUTED_VALUE"""),0.0)</f>
        <v>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IFERROR(__xludf.DUMMYFUNCTION("""COMPUTED_VALUE"""),0.0)</f>
        <v>0</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301</v>
      </c>
      <c r="AZ20" s="408">
        <f>IFERROR(__xludf.DUMMYFUNCTION("IMPORTRANGE(""https://docs.google.com/spreadsheets/d/1QbHfX9wvC_RRupa4CCe_ZxA6O4e2Ap9vqX5hrZPeQRg/edit?gid=284905409#gid=284905409"",""date2_1!D6"")/G5*COUNTIFS($E$13:$E$43,""&gt;0"")+sum(AZ14:BA19)"),16118.666666666666)</f>
        <v>16118.66667</v>
      </c>
      <c r="BA20" s="409"/>
      <c r="BB20" s="410"/>
      <c r="BC20" s="285"/>
      <c r="BD20" s="407" t="s">
        <v>301</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302</v>
      </c>
      <c r="AZ22" s="412"/>
      <c r="BA22" s="412"/>
      <c r="BB22" s="413" t="s">
        <v>303</v>
      </c>
      <c r="BC22" s="299"/>
      <c r="BD22" s="414"/>
      <c r="BE22" s="413" t="s">
        <v>304</v>
      </c>
      <c r="BF22" s="413" t="s">
        <v>305</v>
      </c>
      <c r="BG22" s="413" t="s">
        <v>301</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306</v>
      </c>
      <c r="AZ23" s="416">
        <f>AR44</f>
        <v>0</v>
      </c>
      <c r="BA23" s="72"/>
      <c r="BB23" s="417">
        <f>AZ23-AZ24</f>
        <v>0</v>
      </c>
      <c r="BC23" s="285"/>
      <c r="BD23" s="418" t="s">
        <v>307</v>
      </c>
      <c r="BE23" s="419">
        <f>IFERROR(__xludf.DUMMYFUNCTION("IMPORTRANGE(AT9,""total!ai2"")"),48607.5)</f>
        <v>48607.5</v>
      </c>
      <c r="BF23" s="419">
        <f>IFERROR(__xludf.DUMMYFUNCTION("IMPORTRANGE(AT9,""total!an2"")"),3834.0)</f>
        <v>3834</v>
      </c>
      <c r="BG23" s="417">
        <f>sum(BE23:BF27)+BE20</f>
        <v>52441.5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308</v>
      </c>
      <c r="AZ24" s="416">
        <f>BE36</f>
        <v>0</v>
      </c>
      <c r="BA24" s="72"/>
      <c r="BB24" s="420"/>
      <c r="BC24" s="285"/>
      <c r="BD24" s="415" t="s">
        <v>309</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310</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311</v>
      </c>
      <c r="AZ29" s="426" t="s">
        <v>231</v>
      </c>
      <c r="BA29" s="426" t="s">
        <v>312</v>
      </c>
      <c r="BB29" s="426" t="s">
        <v>313</v>
      </c>
      <c r="BC29" s="285"/>
      <c r="BD29" s="427" t="s">
        <v>314</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315</v>
      </c>
      <c r="AZ30" s="419">
        <f>AS46</f>
        <v>90030</v>
      </c>
      <c r="BA30" s="430" t="s">
        <v>240</v>
      </c>
      <c r="BB30" s="417">
        <f>SUM(AZ30:AZ36)</f>
        <v>99910</v>
      </c>
      <c r="BC30" s="285"/>
      <c r="BD30" s="431" t="s">
        <v>316</v>
      </c>
      <c r="BE30" s="432" t="s">
        <v>317</v>
      </c>
      <c r="BF30" s="432" t="s">
        <v>318</v>
      </c>
      <c r="BG30" s="433" t="s">
        <v>301</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319</v>
      </c>
      <c r="AZ31" s="419">
        <f t="shared" ref="AZ31:AZ33" si="9">BA31/$G$5*COUNTIFS($E$13:$E$43,"&gt;0")</f>
        <v>5066.666667</v>
      </c>
      <c r="BA31" s="435">
        <v>152000.0</v>
      </c>
      <c r="BB31" s="420"/>
      <c r="BC31" s="285"/>
      <c r="BD31" s="436" t="s">
        <v>320</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321</v>
      </c>
      <c r="AZ32" s="419">
        <f t="shared" si="9"/>
        <v>2280</v>
      </c>
      <c r="BA32" s="435">
        <v>68400.0</v>
      </c>
      <c r="BB32" s="420"/>
      <c r="BC32" s="285"/>
      <c r="BD32" s="436" t="s">
        <v>322</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323</v>
      </c>
      <c r="AZ33" s="419">
        <f t="shared" si="9"/>
        <v>2533.333333</v>
      </c>
      <c r="BA33" s="435">
        <v>76000.0</v>
      </c>
      <c r="BB33" s="420"/>
      <c r="BC33" s="285"/>
      <c r="BD33" s="439" t="s">
        <v>324</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325</v>
      </c>
      <c r="AZ36" s="398">
        <f>BB40</f>
        <v>0</v>
      </c>
      <c r="BA36" s="398"/>
      <c r="BB36" s="211"/>
      <c r="BC36" s="285"/>
      <c r="BD36" s="407" t="s">
        <v>301</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326</v>
      </c>
      <c r="AZ38" s="443"/>
      <c r="BA38" s="285"/>
      <c r="BB38" s="367"/>
      <c r="BC38" s="285"/>
      <c r="BD38" s="285" t="s">
        <v>327</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311</v>
      </c>
      <c r="AZ39" s="426" t="s">
        <v>231</v>
      </c>
      <c r="BA39" s="426" t="s">
        <v>328</v>
      </c>
      <c r="BB39" s="426" t="s">
        <v>313</v>
      </c>
      <c r="BC39" s="299"/>
      <c r="BD39" s="425" t="s">
        <v>329</v>
      </c>
      <c r="BE39" s="426" t="s">
        <v>330</v>
      </c>
      <c r="BF39" s="426" t="s">
        <v>328</v>
      </c>
      <c r="BG39" s="426" t="s">
        <v>301</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301</v>
      </c>
      <c r="D44" s="454"/>
      <c r="E44" s="455">
        <f>sum(E13:E43)</f>
        <v>114</v>
      </c>
      <c r="F44" s="455">
        <f t="shared" ref="F44:AB44" si="11">SUM(F13:F43)</f>
        <v>108</v>
      </c>
      <c r="G44" s="455">
        <f t="shared" si="11"/>
        <v>87</v>
      </c>
      <c r="H44" s="455">
        <f t="shared" si="11"/>
        <v>19</v>
      </c>
      <c r="I44" s="455">
        <f t="shared" si="11"/>
        <v>2</v>
      </c>
      <c r="J44" s="455">
        <f t="shared" si="11"/>
        <v>0</v>
      </c>
      <c r="K44" s="455">
        <f t="shared" si="11"/>
        <v>5</v>
      </c>
      <c r="L44" s="455">
        <f t="shared" si="11"/>
        <v>0</v>
      </c>
      <c r="M44" s="455">
        <f t="shared" si="11"/>
        <v>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90030</v>
      </c>
      <c r="AT44" s="458">
        <f t="shared" si="12"/>
        <v>48607.5</v>
      </c>
      <c r="AU44" s="459">
        <f>AVERAGE(AU13:AU43)</f>
        <v>0.5057001301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317</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331</v>
      </c>
      <c r="F46" s="465"/>
      <c r="G46" s="477">
        <f t="shared" ref="G46:AI46" si="14">G44*G45</f>
        <v>86130</v>
      </c>
      <c r="H46" s="477">
        <f t="shared" si="14"/>
        <v>1900</v>
      </c>
      <c r="I46" s="477">
        <f t="shared" si="14"/>
        <v>0</v>
      </c>
      <c r="J46" s="477">
        <f t="shared" si="14"/>
        <v>0</v>
      </c>
      <c r="K46" s="477">
        <f t="shared" si="14"/>
        <v>1500</v>
      </c>
      <c r="L46" s="477">
        <f t="shared" si="14"/>
        <v>0</v>
      </c>
      <c r="M46" s="477">
        <f t="shared" si="14"/>
        <v>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90030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332</v>
      </c>
      <c r="F47" s="484"/>
      <c r="G47" s="485">
        <f t="shared" ref="G47:H47" si="15">G44/$E$44</f>
        <v>0.7631578947</v>
      </c>
      <c r="H47" s="485">
        <f t="shared" si="15"/>
        <v>0.1666666667</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333</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334</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335</v>
      </c>
      <c r="M2" s="505"/>
      <c r="N2" s="506" t="s">
        <v>336</v>
      </c>
      <c r="O2" s="507"/>
      <c r="P2" s="508"/>
      <c r="Q2" s="509"/>
      <c r="R2" s="509"/>
      <c r="S2" s="510"/>
      <c r="T2" s="509"/>
      <c r="U2" s="509"/>
      <c r="V2" s="509"/>
      <c r="W2" s="509"/>
      <c r="X2" s="509"/>
      <c r="Y2" s="511"/>
      <c r="Z2" s="270"/>
      <c r="AA2" s="270"/>
      <c r="AB2" s="270"/>
      <c r="AC2" s="270"/>
      <c r="AD2" s="270"/>
      <c r="AE2" s="270"/>
      <c r="AF2" s="512"/>
      <c r="AG2" s="513"/>
      <c r="AH2" s="514"/>
      <c r="AI2" s="515" t="s">
        <v>337</v>
      </c>
      <c r="AJ2" s="270"/>
      <c r="AS2" s="270"/>
      <c r="AT2" s="516" t="s">
        <v>338</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339</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340</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301</v>
      </c>
      <c r="BI3" s="189"/>
      <c r="BJ3" s="536" t="s">
        <v>341</v>
      </c>
      <c r="BK3" s="2"/>
      <c r="BL3" s="537">
        <v>46113.0</v>
      </c>
      <c r="BT3" s="189"/>
      <c r="BU3" s="189"/>
      <c r="BV3" s="189"/>
      <c r="BW3" s="189"/>
      <c r="BX3" s="189"/>
    </row>
    <row r="4" ht="18.0" customHeight="1">
      <c r="A4" s="502"/>
      <c r="B4" s="538" t="s">
        <v>342</v>
      </c>
      <c r="C4" s="539"/>
      <c r="D4" s="540"/>
      <c r="E4" s="541" t="s">
        <v>343</v>
      </c>
      <c r="F4" s="501"/>
      <c r="G4" s="502"/>
      <c r="H4" s="502"/>
      <c r="I4" s="542" t="s">
        <v>344</v>
      </c>
      <c r="J4" s="2"/>
      <c r="K4" s="543" t="s">
        <v>345</v>
      </c>
      <c r="L4" s="544"/>
      <c r="M4" s="545" t="s">
        <v>346</v>
      </c>
      <c r="N4" s="546"/>
      <c r="O4" s="547"/>
      <c r="P4" s="548" t="s">
        <v>347</v>
      </c>
      <c r="Q4" s="549" t="s">
        <v>348</v>
      </c>
      <c r="R4" s="547"/>
      <c r="S4" s="547"/>
      <c r="T4" s="548" t="s">
        <v>349</v>
      </c>
      <c r="U4" s="549" t="s">
        <v>350</v>
      </c>
      <c r="V4" s="547"/>
      <c r="W4" s="547"/>
      <c r="X4" s="550" t="s">
        <v>161</v>
      </c>
      <c r="Y4" s="549" t="s">
        <v>351</v>
      </c>
      <c r="Z4" s="547"/>
      <c r="AA4" s="547"/>
      <c r="AB4" s="551" t="s">
        <v>352</v>
      </c>
      <c r="AC4" s="549" t="s">
        <v>353</v>
      </c>
      <c r="AD4" s="547"/>
      <c r="AE4" s="547"/>
      <c r="AF4" s="552" t="s">
        <v>354</v>
      </c>
      <c r="AG4" s="549" t="s">
        <v>355</v>
      </c>
      <c r="AH4" s="547"/>
      <c r="AI4" s="547"/>
      <c r="AJ4" s="552" t="s">
        <v>356</v>
      </c>
      <c r="AK4" s="549" t="s">
        <v>357</v>
      </c>
      <c r="AL4" s="547"/>
      <c r="AM4" s="553"/>
      <c r="AN4" s="554"/>
      <c r="AO4" s="554"/>
      <c r="AP4" s="528"/>
      <c r="AQ4" s="555"/>
      <c r="AR4" s="530"/>
      <c r="AS4" s="189"/>
      <c r="AT4" s="556" t="s">
        <v>358</v>
      </c>
      <c r="AU4" s="557" t="s">
        <v>182</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359</v>
      </c>
      <c r="BK4" s="239"/>
      <c r="BL4" s="537">
        <v>46143.0</v>
      </c>
      <c r="BT4" s="494"/>
      <c r="BU4" s="494"/>
      <c r="BV4" s="494"/>
      <c r="BW4" s="494"/>
      <c r="BX4" s="494"/>
    </row>
    <row r="5" ht="19.5" customHeight="1">
      <c r="A5" s="502"/>
      <c r="B5" s="562" t="s">
        <v>360</v>
      </c>
      <c r="C5" s="563"/>
      <c r="D5" s="502"/>
      <c r="E5" s="564" t="s">
        <v>361</v>
      </c>
      <c r="F5" s="563"/>
      <c r="G5" s="502"/>
      <c r="H5" s="502"/>
      <c r="I5" s="565" t="b">
        <v>0</v>
      </c>
      <c r="J5" s="2"/>
      <c r="K5" s="566"/>
      <c r="L5" s="567"/>
      <c r="M5" s="568" t="s">
        <v>362</v>
      </c>
      <c r="N5" s="569"/>
      <c r="O5" s="547"/>
      <c r="P5" s="570" t="s">
        <v>363</v>
      </c>
      <c r="Q5" s="549" t="s">
        <v>364</v>
      </c>
      <c r="R5" s="547"/>
      <c r="S5" s="547"/>
      <c r="T5" s="570" t="s">
        <v>365</v>
      </c>
      <c r="U5" s="549" t="s">
        <v>366</v>
      </c>
      <c r="V5" s="547"/>
      <c r="W5" s="547"/>
      <c r="X5" s="570" t="s">
        <v>367</v>
      </c>
      <c r="Y5" s="549" t="s">
        <v>368</v>
      </c>
      <c r="Z5" s="547"/>
      <c r="AA5" s="547"/>
      <c r="AB5" s="570" t="s">
        <v>369</v>
      </c>
      <c r="AC5" s="549" t="s">
        <v>370</v>
      </c>
      <c r="AD5" s="547"/>
      <c r="AE5" s="547"/>
      <c r="AF5" s="570" t="s">
        <v>371</v>
      </c>
      <c r="AG5" s="549" t="s">
        <v>372</v>
      </c>
      <c r="AH5" s="547"/>
      <c r="AI5" s="547"/>
      <c r="AJ5" s="570" t="s">
        <v>373</v>
      </c>
      <c r="AK5" s="549" t="s">
        <v>374</v>
      </c>
      <c r="AL5" s="547"/>
      <c r="AM5" s="553"/>
      <c r="AN5" s="554"/>
      <c r="AO5" s="554"/>
      <c r="AP5" s="528"/>
      <c r="AQ5" s="555"/>
      <c r="AR5" s="530"/>
      <c r="AS5" s="189"/>
      <c r="AT5" s="556" t="s">
        <v>100</v>
      </c>
      <c r="AU5" s="557" t="s">
        <v>183</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375</v>
      </c>
      <c r="J7" s="590" t="s">
        <v>376</v>
      </c>
      <c r="K7" s="591">
        <v>46113.0</v>
      </c>
      <c r="L7" s="592" t="s">
        <v>377</v>
      </c>
      <c r="M7" s="593" t="s">
        <v>378</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379</v>
      </c>
      <c r="AT7" s="597" t="s">
        <v>380</v>
      </c>
      <c r="AU7" s="598" t="s">
        <v>81</v>
      </c>
      <c r="AV7" s="598" t="s">
        <v>381</v>
      </c>
      <c r="AW7" s="598" t="s">
        <v>382</v>
      </c>
      <c r="AX7" s="598" t="s">
        <v>383</v>
      </c>
      <c r="AY7" s="598" t="s">
        <v>384</v>
      </c>
      <c r="AZ7" s="598" t="s">
        <v>385</v>
      </c>
      <c r="BA7" s="598" t="s">
        <v>82</v>
      </c>
      <c r="BB7" s="599" t="s">
        <v>298</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248</v>
      </c>
      <c r="C8" s="601" t="str">
        <f>TEXT(B7,"ddd")</f>
        <v>木</v>
      </c>
      <c r="D8" s="114"/>
      <c r="E8" s="602" t="s">
        <v>248</v>
      </c>
      <c r="F8" s="603" t="str">
        <f>TEXT(E7,"ddd")</f>
        <v>金</v>
      </c>
      <c r="G8" s="189"/>
      <c r="H8" s="189"/>
      <c r="I8" s="589"/>
      <c r="J8" s="604" t="s">
        <v>386</v>
      </c>
      <c r="K8" s="592" t="s">
        <v>387</v>
      </c>
      <c r="L8" s="605" t="s">
        <v>388</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8</v>
      </c>
      <c r="G9" s="189"/>
      <c r="H9" s="189"/>
      <c r="I9" s="170" t="b">
        <v>0</v>
      </c>
      <c r="J9" s="604"/>
      <c r="K9" s="610" t="s">
        <v>389</v>
      </c>
      <c r="L9" s="611" t="s">
        <v>390</v>
      </c>
      <c r="M9" s="612" t="s">
        <v>391</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5</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7</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390</v>
      </c>
      <c r="AT9" s="614" t="s">
        <v>390</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392</v>
      </c>
      <c r="L10" s="611" t="s">
        <v>390</v>
      </c>
      <c r="M10" s="612" t="s">
        <v>393</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0</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1</v>
      </c>
      <c r="AO10" s="613">
        <f t="array" ref="AO10">SUM(COUNTIF(AO11:AO102, {"◎","☆"}))</f>
        <v>2</v>
      </c>
      <c r="AP10" s="613">
        <f t="array" ref="AP10">SUM(COUNTIF(AP11:AP102, {"◎","☆"}))</f>
        <v>2</v>
      </c>
      <c r="AQ10" s="613">
        <f t="array" ref="AQ10">SUM(COUNTIF(AQ11:AQ102, {"◎","☆"}))</f>
        <v>1</v>
      </c>
      <c r="AR10" s="613">
        <f t="array" ref="AR10">SUM(COUNTIF(AR11:AR102, {"◎","☆"}))</f>
        <v>0</v>
      </c>
      <c r="AS10" s="606" t="s">
        <v>390</v>
      </c>
      <c r="AT10" s="614" t="s">
        <v>390</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
      </c>
      <c r="D11" s="189"/>
      <c r="E11" s="608" t="str">
        <f t="shared" si="6"/>
        <v>コウ</v>
      </c>
      <c r="F11" s="609" t="str">
        <f t="shared" si="7"/>
        <v>◎</v>
      </c>
      <c r="G11" s="189"/>
      <c r="H11" s="189"/>
      <c r="I11" s="170" t="b">
        <v>0</v>
      </c>
      <c r="J11" s="590"/>
      <c r="K11" s="610" t="s">
        <v>100</v>
      </c>
      <c r="L11" s="611" t="s">
        <v>394</v>
      </c>
      <c r="M11" s="617"/>
      <c r="N11" s="618" t="s">
        <v>347</v>
      </c>
      <c r="O11" s="618"/>
      <c r="P11" s="618" t="s">
        <v>347</v>
      </c>
      <c r="Q11" s="618" t="s">
        <v>347</v>
      </c>
      <c r="R11" s="618" t="s">
        <v>347</v>
      </c>
      <c r="S11" s="618" t="s">
        <v>347</v>
      </c>
      <c r="T11" s="618"/>
      <c r="U11" s="618" t="s">
        <v>347</v>
      </c>
      <c r="V11" s="618"/>
      <c r="W11" s="618" t="s">
        <v>347</v>
      </c>
      <c r="X11" s="618" t="s">
        <v>347</v>
      </c>
      <c r="Y11" s="618" t="s">
        <v>347</v>
      </c>
      <c r="Z11" s="618"/>
      <c r="AA11" s="618" t="s">
        <v>347</v>
      </c>
      <c r="AB11" s="618" t="s">
        <v>347</v>
      </c>
      <c r="AC11" s="618"/>
      <c r="AD11" s="618" t="s">
        <v>347</v>
      </c>
      <c r="AE11" s="618" t="s">
        <v>347</v>
      </c>
      <c r="AF11" s="618" t="s">
        <v>347</v>
      </c>
      <c r="AG11" s="618" t="s">
        <v>347</v>
      </c>
      <c r="AH11" s="618"/>
      <c r="AI11" s="618" t="s">
        <v>347</v>
      </c>
      <c r="AJ11" s="618"/>
      <c r="AK11" s="618" t="s">
        <v>347</v>
      </c>
      <c r="AL11" s="618" t="s">
        <v>347</v>
      </c>
      <c r="AM11" s="618" t="s">
        <v>347</v>
      </c>
      <c r="AN11" s="618"/>
      <c r="AO11" s="618" t="s">
        <v>347</v>
      </c>
      <c r="AP11" s="618" t="s">
        <v>347</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v>
      </c>
      <c r="D12" s="189"/>
      <c r="E12" s="608" t="str">
        <f t="shared" si="6"/>
        <v>バニヤ</v>
      </c>
      <c r="F12" s="609" t="str">
        <f t="shared" si="7"/>
        <v>H</v>
      </c>
      <c r="G12" s="189"/>
      <c r="H12" s="189"/>
      <c r="I12" s="170" t="b">
        <v>0</v>
      </c>
      <c r="J12" s="590"/>
      <c r="K12" s="610" t="s">
        <v>300</v>
      </c>
      <c r="L12" s="611" t="s">
        <v>395</v>
      </c>
      <c r="M12" s="617"/>
      <c r="N12" s="618" t="s">
        <v>363</v>
      </c>
      <c r="O12" s="618" t="s">
        <v>347</v>
      </c>
      <c r="P12" s="618" t="s">
        <v>396</v>
      </c>
      <c r="Q12" s="618" t="s">
        <v>363</v>
      </c>
      <c r="R12" s="618" t="s">
        <v>396</v>
      </c>
      <c r="S12" s="618" t="s">
        <v>396</v>
      </c>
      <c r="T12" s="618" t="s">
        <v>347</v>
      </c>
      <c r="U12" s="618" t="s">
        <v>363</v>
      </c>
      <c r="V12" s="618" t="s">
        <v>347</v>
      </c>
      <c r="W12" s="618" t="s">
        <v>396</v>
      </c>
      <c r="X12" s="618" t="s">
        <v>363</v>
      </c>
      <c r="Y12" s="618" t="s">
        <v>396</v>
      </c>
      <c r="Z12" s="618" t="s">
        <v>396</v>
      </c>
      <c r="AA12" s="618" t="s">
        <v>347</v>
      </c>
      <c r="AB12" s="618" t="s">
        <v>363</v>
      </c>
      <c r="AC12" s="618" t="s">
        <v>347</v>
      </c>
      <c r="AD12" s="618" t="s">
        <v>396</v>
      </c>
      <c r="AE12" s="618" t="s">
        <v>347</v>
      </c>
      <c r="AF12" s="618" t="s">
        <v>396</v>
      </c>
      <c r="AG12" s="618" t="s">
        <v>396</v>
      </c>
      <c r="AH12" s="618" t="s">
        <v>347</v>
      </c>
      <c r="AI12" s="618" t="s">
        <v>363</v>
      </c>
      <c r="AJ12" s="618" t="s">
        <v>347</v>
      </c>
      <c r="AK12" s="618" t="s">
        <v>396</v>
      </c>
      <c r="AL12" s="618" t="s">
        <v>363</v>
      </c>
      <c r="AM12" s="618" t="s">
        <v>396</v>
      </c>
      <c r="AN12" s="618" t="s">
        <v>396</v>
      </c>
      <c r="AO12" s="618" t="s">
        <v>347</v>
      </c>
      <c r="AP12" s="618" t="s">
        <v>363</v>
      </c>
      <c r="AQ12" s="618" t="s">
        <v>347</v>
      </c>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397</v>
      </c>
      <c r="L13" s="611" t="s">
        <v>395</v>
      </c>
      <c r="M13" s="612"/>
      <c r="N13" s="618" t="s">
        <v>398</v>
      </c>
      <c r="O13" s="618" t="s">
        <v>347</v>
      </c>
      <c r="P13" s="618" t="s">
        <v>347</v>
      </c>
      <c r="Q13" s="618"/>
      <c r="R13" s="618" t="s">
        <v>347</v>
      </c>
      <c r="S13" s="618" t="s">
        <v>398</v>
      </c>
      <c r="T13" s="618" t="s">
        <v>347</v>
      </c>
      <c r="U13" s="618" t="s">
        <v>347</v>
      </c>
      <c r="V13" s="618"/>
      <c r="W13" s="618" t="s">
        <v>347</v>
      </c>
      <c r="X13" s="618" t="s">
        <v>347</v>
      </c>
      <c r="Y13" s="618" t="s">
        <v>347</v>
      </c>
      <c r="Z13" s="618" t="s">
        <v>398</v>
      </c>
      <c r="AA13" s="618"/>
      <c r="AB13" s="618" t="s">
        <v>347</v>
      </c>
      <c r="AC13" s="618"/>
      <c r="AD13" s="618" t="s">
        <v>347</v>
      </c>
      <c r="AE13" s="618" t="s">
        <v>347</v>
      </c>
      <c r="AF13" s="618"/>
      <c r="AG13" s="618" t="s">
        <v>398</v>
      </c>
      <c r="AH13" s="618" t="s">
        <v>347</v>
      </c>
      <c r="AI13" s="618" t="s">
        <v>347</v>
      </c>
      <c r="AJ13" s="618"/>
      <c r="AK13" s="618" t="s">
        <v>347</v>
      </c>
      <c r="AL13" s="618" t="s">
        <v>347</v>
      </c>
      <c r="AM13" s="618" t="s">
        <v>347</v>
      </c>
      <c r="AN13" s="618" t="s">
        <v>347</v>
      </c>
      <c r="AO13" s="618"/>
      <c r="AP13" s="618" t="s">
        <v>347</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399</v>
      </c>
      <c r="L41" s="611" t="s">
        <v>400</v>
      </c>
      <c r="M41" s="612" t="s">
        <v>161</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390</v>
      </c>
      <c r="AT41" s="618" t="s">
        <v>390</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401</v>
      </c>
      <c r="L42" s="611" t="s">
        <v>400</v>
      </c>
      <c r="M42" s="612" t="s">
        <v>352</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390</v>
      </c>
      <c r="AT42" s="618" t="s">
        <v>390</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402</v>
      </c>
      <c r="L43" s="628" t="s">
        <v>403</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390</v>
      </c>
      <c r="AT43" s="618" t="s">
        <v>390</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404</v>
      </c>
      <c r="L44" s="611" t="s">
        <v>403</v>
      </c>
      <c r="M44" s="612" t="s">
        <v>405</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390</v>
      </c>
      <c r="AT44" s="618" t="s">
        <v>390</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
      </c>
      <c r="D45" s="189"/>
      <c r="E45" s="608" t="str">
        <f t="shared" si="6"/>
        <v>浅野</v>
      </c>
      <c r="F45" s="609" t="str">
        <f t="shared" si="7"/>
        <v>〇</v>
      </c>
      <c r="G45" s="189"/>
      <c r="H45" s="189"/>
      <c r="I45" s="170" t="b">
        <v>0</v>
      </c>
      <c r="J45" s="590"/>
      <c r="K45" s="610" t="s">
        <v>406</v>
      </c>
      <c r="L45" s="611" t="s">
        <v>407</v>
      </c>
      <c r="M45" s="617"/>
      <c r="N45" s="618" t="s">
        <v>161</v>
      </c>
      <c r="O45" s="618"/>
      <c r="P45" s="618" t="s">
        <v>161</v>
      </c>
      <c r="Q45" s="618" t="s">
        <v>161</v>
      </c>
      <c r="R45" s="618" t="s">
        <v>161</v>
      </c>
      <c r="S45" s="618" t="s">
        <v>161</v>
      </c>
      <c r="T45" s="618"/>
      <c r="U45" s="618" t="s">
        <v>161</v>
      </c>
      <c r="V45" s="618"/>
      <c r="W45" s="618" t="s">
        <v>161</v>
      </c>
      <c r="X45" s="618" t="s">
        <v>161</v>
      </c>
      <c r="Y45" s="618" t="s">
        <v>161</v>
      </c>
      <c r="Z45" s="618" t="s">
        <v>161</v>
      </c>
      <c r="AA45" s="618"/>
      <c r="AB45" s="618" t="s">
        <v>161</v>
      </c>
      <c r="AC45" s="618"/>
      <c r="AD45" s="618" t="s">
        <v>161</v>
      </c>
      <c r="AE45" s="618" t="s">
        <v>161</v>
      </c>
      <c r="AF45" s="618" t="s">
        <v>161</v>
      </c>
      <c r="AG45" s="618" t="s">
        <v>161</v>
      </c>
      <c r="AH45" s="618"/>
      <c r="AI45" s="618" t="s">
        <v>161</v>
      </c>
      <c r="AJ45" s="618"/>
      <c r="AK45" s="618" t="s">
        <v>161</v>
      </c>
      <c r="AL45" s="618" t="s">
        <v>161</v>
      </c>
      <c r="AM45" s="618" t="s">
        <v>161</v>
      </c>
      <c r="AN45" s="618" t="s">
        <v>161</v>
      </c>
      <c r="AO45" s="618"/>
      <c r="AP45" s="618" t="s">
        <v>161</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408</v>
      </c>
      <c r="L46" s="611" t="s">
        <v>407</v>
      </c>
      <c r="M46" s="617"/>
      <c r="N46" s="618" t="s">
        <v>161</v>
      </c>
      <c r="O46" s="618"/>
      <c r="P46" s="618"/>
      <c r="Q46" s="618"/>
      <c r="R46" s="618" t="s">
        <v>161</v>
      </c>
      <c r="S46" s="618" t="s">
        <v>161</v>
      </c>
      <c r="T46" s="618" t="s">
        <v>161</v>
      </c>
      <c r="U46" s="618" t="s">
        <v>161</v>
      </c>
      <c r="V46" s="618"/>
      <c r="W46" s="618"/>
      <c r="X46" s="618"/>
      <c r="Y46" s="618" t="s">
        <v>161</v>
      </c>
      <c r="Z46" s="618" t="s">
        <v>161</v>
      </c>
      <c r="AA46" s="618" t="s">
        <v>161</v>
      </c>
      <c r="AB46" s="618" t="s">
        <v>161</v>
      </c>
      <c r="AC46" s="618"/>
      <c r="AD46" s="618"/>
      <c r="AE46" s="618"/>
      <c r="AF46" s="618" t="s">
        <v>161</v>
      </c>
      <c r="AG46" s="618" t="s">
        <v>161</v>
      </c>
      <c r="AH46" s="618" t="s">
        <v>161</v>
      </c>
      <c r="AI46" s="618" t="s">
        <v>161</v>
      </c>
      <c r="AJ46" s="618"/>
      <c r="AK46" s="618"/>
      <c r="AL46" s="618"/>
      <c r="AM46" s="618" t="s">
        <v>161</v>
      </c>
      <c r="AN46" s="618" t="s">
        <v>161</v>
      </c>
      <c r="AO46" s="618" t="s">
        <v>161</v>
      </c>
      <c r="AP46" s="618" t="s">
        <v>161</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409</v>
      </c>
      <c r="L47" s="611" t="s">
        <v>407</v>
      </c>
      <c r="M47" s="617"/>
      <c r="N47" s="618"/>
      <c r="O47" s="618" t="s">
        <v>161</v>
      </c>
      <c r="P47" s="618" t="s">
        <v>161</v>
      </c>
      <c r="Q47" s="618" t="s">
        <v>161</v>
      </c>
      <c r="R47" s="618"/>
      <c r="S47" s="618"/>
      <c r="T47" s="618"/>
      <c r="U47" s="618"/>
      <c r="V47" s="618" t="s">
        <v>161</v>
      </c>
      <c r="W47" s="618" t="s">
        <v>161</v>
      </c>
      <c r="X47" s="618" t="s">
        <v>161</v>
      </c>
      <c r="Y47" s="618"/>
      <c r="Z47" s="618"/>
      <c r="AA47" s="618"/>
      <c r="AB47" s="618"/>
      <c r="AC47" s="618" t="s">
        <v>161</v>
      </c>
      <c r="AD47" s="618" t="s">
        <v>161</v>
      </c>
      <c r="AE47" s="618" t="s">
        <v>161</v>
      </c>
      <c r="AF47" s="618"/>
      <c r="AG47" s="618"/>
      <c r="AH47" s="618"/>
      <c r="AI47" s="618"/>
      <c r="AJ47" s="618" t="s">
        <v>161</v>
      </c>
      <c r="AK47" s="618" t="s">
        <v>161</v>
      </c>
      <c r="AL47" s="618" t="s">
        <v>161</v>
      </c>
      <c r="AM47" s="618"/>
      <c r="AN47" s="618"/>
      <c r="AO47" s="618"/>
      <c r="AP47" s="618"/>
      <c r="AQ47" s="618" t="s">
        <v>161</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407</v>
      </c>
      <c r="M48" s="617"/>
      <c r="N48" s="618"/>
      <c r="O48" s="618"/>
      <c r="P48" s="618"/>
      <c r="Q48" s="618"/>
      <c r="R48" s="618" t="s">
        <v>161</v>
      </c>
      <c r="S48" s="618" t="s">
        <v>161</v>
      </c>
      <c r="T48" s="618" t="s">
        <v>161</v>
      </c>
      <c r="U48" s="618"/>
      <c r="V48" s="618"/>
      <c r="W48" s="618"/>
      <c r="X48" s="618"/>
      <c r="Y48" s="618" t="s">
        <v>161</v>
      </c>
      <c r="Z48" s="618" t="s">
        <v>161</v>
      </c>
      <c r="AA48" s="618" t="s">
        <v>161</v>
      </c>
      <c r="AB48" s="618"/>
      <c r="AC48" s="618"/>
      <c r="AD48" s="618"/>
      <c r="AE48" s="618"/>
      <c r="AF48" s="618" t="s">
        <v>161</v>
      </c>
      <c r="AG48" s="618" t="s">
        <v>161</v>
      </c>
      <c r="AH48" s="618" t="s">
        <v>161</v>
      </c>
      <c r="AI48" s="618"/>
      <c r="AJ48" s="618"/>
      <c r="AK48" s="618"/>
      <c r="AL48" s="618"/>
      <c r="AM48" s="618" t="s">
        <v>161</v>
      </c>
      <c r="AN48" s="618" t="s">
        <v>161</v>
      </c>
      <c r="AO48" s="618" t="s">
        <v>161</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〇</v>
      </c>
      <c r="G49" s="189"/>
      <c r="H49" s="189"/>
      <c r="I49" s="170" t="b">
        <v>0</v>
      </c>
      <c r="J49" s="590"/>
      <c r="K49" s="610" t="s">
        <v>410</v>
      </c>
      <c r="L49" s="611" t="s">
        <v>407</v>
      </c>
      <c r="M49" s="612"/>
      <c r="N49" s="618"/>
      <c r="O49" s="618"/>
      <c r="P49" s="618" t="s">
        <v>161</v>
      </c>
      <c r="Q49" s="618" t="s">
        <v>161</v>
      </c>
      <c r="R49" s="618"/>
      <c r="S49" s="618"/>
      <c r="T49" s="618"/>
      <c r="U49" s="618"/>
      <c r="V49" s="618"/>
      <c r="W49" s="618" t="s">
        <v>161</v>
      </c>
      <c r="X49" s="618" t="s">
        <v>161</v>
      </c>
      <c r="Y49" s="618"/>
      <c r="Z49" s="618"/>
      <c r="AA49" s="618"/>
      <c r="AB49" s="618"/>
      <c r="AC49" s="618"/>
      <c r="AD49" s="618" t="s">
        <v>161</v>
      </c>
      <c r="AE49" s="618" t="s">
        <v>161</v>
      </c>
      <c r="AF49" s="618"/>
      <c r="AG49" s="631"/>
      <c r="AH49" s="631"/>
      <c r="AI49" s="618"/>
      <c r="AJ49" s="618"/>
      <c r="AK49" s="618" t="s">
        <v>161</v>
      </c>
      <c r="AL49" s="618" t="s">
        <v>161</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411</v>
      </c>
      <c r="L50" s="611" t="s">
        <v>407</v>
      </c>
      <c r="M50" s="612"/>
      <c r="N50" s="618"/>
      <c r="O50" s="618"/>
      <c r="P50" s="618"/>
      <c r="Q50" s="618" t="s">
        <v>161</v>
      </c>
      <c r="R50" s="618" t="s">
        <v>161</v>
      </c>
      <c r="S50" s="618"/>
      <c r="T50" s="618"/>
      <c r="U50" s="618"/>
      <c r="V50" s="618"/>
      <c r="W50" s="618"/>
      <c r="X50" s="618" t="s">
        <v>161</v>
      </c>
      <c r="Y50" s="618" t="s">
        <v>161</v>
      </c>
      <c r="Z50" s="618"/>
      <c r="AA50" s="618"/>
      <c r="AB50" s="618"/>
      <c r="AC50" s="618"/>
      <c r="AD50" s="618"/>
      <c r="AE50" s="618" t="s">
        <v>161</v>
      </c>
      <c r="AF50" s="618" t="s">
        <v>161</v>
      </c>
      <c r="AG50" s="631"/>
      <c r="AH50" s="631"/>
      <c r="AI50" s="618"/>
      <c r="AJ50" s="618"/>
      <c r="AK50" s="618"/>
      <c r="AL50" s="618" t="s">
        <v>161</v>
      </c>
      <c r="AM50" s="618" t="s">
        <v>161</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412</v>
      </c>
      <c r="L51" s="611" t="s">
        <v>407</v>
      </c>
      <c r="M51" s="612"/>
      <c r="N51" s="618"/>
      <c r="O51" s="618" t="s">
        <v>161</v>
      </c>
      <c r="P51" s="618"/>
      <c r="Q51" s="618" t="s">
        <v>161</v>
      </c>
      <c r="R51" s="618" t="s">
        <v>161</v>
      </c>
      <c r="S51" s="618"/>
      <c r="T51" s="618"/>
      <c r="U51" s="618"/>
      <c r="V51" s="618" t="s">
        <v>161</v>
      </c>
      <c r="W51" s="618"/>
      <c r="X51" s="618" t="s">
        <v>161</v>
      </c>
      <c r="Y51" s="618" t="s">
        <v>161</v>
      </c>
      <c r="Z51" s="618"/>
      <c r="AA51" s="618"/>
      <c r="AB51" s="618"/>
      <c r="AC51" s="618" t="s">
        <v>161</v>
      </c>
      <c r="AD51" s="618"/>
      <c r="AE51" s="618" t="s">
        <v>161</v>
      </c>
      <c r="AF51" s="618" t="s">
        <v>161</v>
      </c>
      <c r="AG51" s="631"/>
      <c r="AH51" s="631"/>
      <c r="AI51" s="618"/>
      <c r="AJ51" s="618" t="s">
        <v>161</v>
      </c>
      <c r="AK51" s="618"/>
      <c r="AL51" s="618" t="s">
        <v>161</v>
      </c>
      <c r="AM51" s="618" t="s">
        <v>161</v>
      </c>
      <c r="AN51" s="618"/>
      <c r="AO51" s="618"/>
      <c r="AP51" s="618"/>
      <c r="AQ51" s="618" t="s">
        <v>161</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407</v>
      </c>
      <c r="M52" s="617"/>
      <c r="N52" s="618"/>
      <c r="O52" s="618" t="s">
        <v>161</v>
      </c>
      <c r="P52" s="618" t="s">
        <v>161</v>
      </c>
      <c r="Q52" s="618" t="s">
        <v>161</v>
      </c>
      <c r="R52" s="618" t="s">
        <v>161</v>
      </c>
      <c r="S52" s="618"/>
      <c r="T52" s="618"/>
      <c r="U52" s="618"/>
      <c r="V52" s="618"/>
      <c r="W52" s="618"/>
      <c r="X52" s="618" t="s">
        <v>161</v>
      </c>
      <c r="Y52" s="618" t="s">
        <v>161</v>
      </c>
      <c r="Z52" s="618"/>
      <c r="AA52" s="618"/>
      <c r="AB52" s="618"/>
      <c r="AC52" s="618"/>
      <c r="AD52" s="618"/>
      <c r="AE52" s="618" t="s">
        <v>161</v>
      </c>
      <c r="AF52" s="618" t="s">
        <v>161</v>
      </c>
      <c r="AG52" s="631"/>
      <c r="AH52" s="631"/>
      <c r="AI52" s="618"/>
      <c r="AJ52" s="618"/>
      <c r="AK52" s="618"/>
      <c r="AL52" s="618" t="s">
        <v>161</v>
      </c>
      <c r="AM52" s="618" t="s">
        <v>161</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413</v>
      </c>
      <c r="L53" s="611" t="s">
        <v>407</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〇</v>
      </c>
      <c r="D54" s="189"/>
      <c r="E54" s="608" t="str">
        <f t="shared" si="6"/>
        <v>イサ</v>
      </c>
      <c r="F54" s="609" t="str">
        <f t="shared" si="7"/>
        <v>〇</v>
      </c>
      <c r="G54" s="189"/>
      <c r="H54" s="189"/>
      <c r="I54" s="170" t="b">
        <v>0</v>
      </c>
      <c r="J54" s="590"/>
      <c r="K54" s="610" t="s">
        <v>142</v>
      </c>
      <c r="L54" s="611" t="s">
        <v>407</v>
      </c>
      <c r="M54" s="617"/>
      <c r="N54" s="618" t="s">
        <v>161</v>
      </c>
      <c r="O54" s="618" t="s">
        <v>161</v>
      </c>
      <c r="P54" s="618" t="s">
        <v>161</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161</v>
      </c>
      <c r="AO54" s="618" t="s">
        <v>161</v>
      </c>
      <c r="AP54" s="618" t="s">
        <v>161</v>
      </c>
      <c r="AQ54" s="618" t="s">
        <v>161</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
      </c>
      <c r="G55" s="189"/>
      <c r="H55" s="189"/>
      <c r="I55" s="170" t="b">
        <v>0</v>
      </c>
      <c r="J55" s="590"/>
      <c r="K55" s="610" t="s">
        <v>414</v>
      </c>
      <c r="L55" s="611" t="s">
        <v>407</v>
      </c>
      <c r="M55" s="617"/>
      <c r="N55" s="618" t="s">
        <v>161</v>
      </c>
      <c r="O55" s="618" t="s">
        <v>161</v>
      </c>
      <c r="P55" s="618"/>
      <c r="Q55" s="618"/>
      <c r="R55" s="618"/>
      <c r="S55" s="618" t="s">
        <v>161</v>
      </c>
      <c r="T55" s="618" t="s">
        <v>161</v>
      </c>
      <c r="U55" s="618" t="s">
        <v>161</v>
      </c>
      <c r="V55" s="618" t="s">
        <v>161</v>
      </c>
      <c r="W55" s="618"/>
      <c r="X55" s="618"/>
      <c r="Y55" s="618"/>
      <c r="Z55" s="618" t="s">
        <v>161</v>
      </c>
      <c r="AA55" s="618" t="s">
        <v>161</v>
      </c>
      <c r="AB55" s="618" t="s">
        <v>161</v>
      </c>
      <c r="AC55" s="618" t="s">
        <v>161</v>
      </c>
      <c r="AD55" s="618"/>
      <c r="AE55" s="618"/>
      <c r="AF55" s="618"/>
      <c r="AG55" s="618" t="s">
        <v>161</v>
      </c>
      <c r="AH55" s="618" t="s">
        <v>161</v>
      </c>
      <c r="AI55" s="618" t="s">
        <v>161</v>
      </c>
      <c r="AJ55" s="618" t="s">
        <v>161</v>
      </c>
      <c r="AK55" s="618"/>
      <c r="AL55" s="618"/>
      <c r="AM55" s="618"/>
      <c r="AN55" s="618" t="s">
        <v>161</v>
      </c>
      <c r="AO55" s="618" t="s">
        <v>161</v>
      </c>
      <c r="AP55" s="618" t="s">
        <v>161</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
      </c>
      <c r="G56" s="189"/>
      <c r="H56" s="189"/>
      <c r="I56" s="170" t="b">
        <v>0</v>
      </c>
      <c r="J56" s="590"/>
      <c r="K56" s="610" t="s">
        <v>415</v>
      </c>
      <c r="L56" s="611" t="s">
        <v>416</v>
      </c>
      <c r="M56" s="617"/>
      <c r="N56" s="618" t="s">
        <v>161</v>
      </c>
      <c r="O56" s="618" t="s">
        <v>161</v>
      </c>
      <c r="P56" s="618"/>
      <c r="Q56" s="618"/>
      <c r="R56" s="618"/>
      <c r="S56" s="618"/>
      <c r="T56" s="618" t="s">
        <v>161</v>
      </c>
      <c r="U56" s="618" t="s">
        <v>161</v>
      </c>
      <c r="V56" s="618" t="s">
        <v>161</v>
      </c>
      <c r="W56" s="618"/>
      <c r="X56" s="618"/>
      <c r="Y56" s="618"/>
      <c r="Z56" s="618"/>
      <c r="AA56" s="618" t="s">
        <v>161</v>
      </c>
      <c r="AB56" s="618" t="s">
        <v>161</v>
      </c>
      <c r="AC56" s="618" t="s">
        <v>161</v>
      </c>
      <c r="AD56" s="618"/>
      <c r="AE56" s="618"/>
      <c r="AF56" s="618"/>
      <c r="AG56" s="618"/>
      <c r="AH56" s="618" t="s">
        <v>161</v>
      </c>
      <c r="AI56" s="618" t="s">
        <v>161</v>
      </c>
      <c r="AJ56" s="618" t="s">
        <v>161</v>
      </c>
      <c r="AK56" s="618"/>
      <c r="AL56" s="618"/>
      <c r="AM56" s="618"/>
      <c r="AN56" s="618"/>
      <c r="AO56" s="618" t="s">
        <v>161</v>
      </c>
      <c r="AP56" s="618" t="s">
        <v>161</v>
      </c>
      <c r="AQ56" s="618" t="s">
        <v>161</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417</v>
      </c>
      <c r="L57" s="611" t="s">
        <v>416</v>
      </c>
      <c r="M57" s="617"/>
      <c r="N57" s="618"/>
      <c r="O57" s="613"/>
      <c r="P57" s="618" t="s">
        <v>161</v>
      </c>
      <c r="Q57" s="618"/>
      <c r="R57" s="618"/>
      <c r="S57" s="618" t="s">
        <v>161</v>
      </c>
      <c r="T57" s="613"/>
      <c r="U57" s="618"/>
      <c r="V57" s="618" t="s">
        <v>161</v>
      </c>
      <c r="W57" s="618" t="s">
        <v>161</v>
      </c>
      <c r="X57" s="618"/>
      <c r="Y57" s="618"/>
      <c r="Z57" s="618" t="s">
        <v>161</v>
      </c>
      <c r="AA57" s="613"/>
      <c r="AB57" s="618"/>
      <c r="AC57" s="618" t="s">
        <v>161</v>
      </c>
      <c r="AD57" s="618" t="s">
        <v>161</v>
      </c>
      <c r="AE57" s="618"/>
      <c r="AF57" s="618"/>
      <c r="AG57" s="618" t="s">
        <v>161</v>
      </c>
      <c r="AH57" s="618"/>
      <c r="AI57" s="618"/>
      <c r="AJ57" s="618" t="s">
        <v>161</v>
      </c>
      <c r="AK57" s="618" t="s">
        <v>161</v>
      </c>
      <c r="AL57" s="618"/>
      <c r="AM57" s="618"/>
      <c r="AN57" s="618" t="s">
        <v>161</v>
      </c>
      <c r="AO57" s="618"/>
      <c r="AP57" s="618"/>
      <c r="AQ57" s="618" t="s">
        <v>161</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418</v>
      </c>
      <c r="C2" s="504"/>
      <c r="D2" s="504"/>
      <c r="E2" s="504"/>
      <c r="F2" s="638" t="s">
        <v>419</v>
      </c>
      <c r="G2" s="639"/>
      <c r="H2" s="221"/>
      <c r="I2" s="221"/>
      <c r="J2" s="221"/>
      <c r="K2" s="221"/>
      <c r="L2" s="221"/>
      <c r="M2" s="221"/>
      <c r="N2" s="221"/>
      <c r="O2" s="221"/>
      <c r="P2" s="221"/>
      <c r="Q2" s="2"/>
      <c r="R2" s="640" t="s">
        <v>334</v>
      </c>
      <c r="S2" s="633"/>
      <c r="T2" s="635"/>
      <c r="U2" s="641"/>
      <c r="V2" s="637"/>
      <c r="W2" s="633"/>
      <c r="X2" s="633"/>
      <c r="Y2" s="633"/>
      <c r="Z2" s="633"/>
    </row>
    <row r="3" ht="33.0" customHeight="1">
      <c r="A3" s="633"/>
      <c r="B3" s="642" t="s">
        <v>420</v>
      </c>
      <c r="C3" s="504"/>
      <c r="D3" s="504"/>
      <c r="E3" s="504"/>
      <c r="F3" s="643" t="s">
        <v>421</v>
      </c>
      <c r="G3" s="644"/>
      <c r="H3" s="221"/>
      <c r="I3" s="221"/>
      <c r="J3" s="221"/>
      <c r="K3" s="221"/>
      <c r="L3" s="221"/>
      <c r="M3" s="221"/>
      <c r="N3" s="221"/>
      <c r="O3" s="221"/>
      <c r="P3" s="221"/>
      <c r="Q3" s="2"/>
      <c r="R3" s="645" t="s">
        <v>334</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221</v>
      </c>
      <c r="C5" s="647"/>
      <c r="D5" s="648">
        <v>46113.0</v>
      </c>
      <c r="E5" s="647"/>
      <c r="F5" s="649" t="s">
        <v>422</v>
      </c>
      <c r="G5" s="650" t="s">
        <v>423</v>
      </c>
      <c r="H5" s="651"/>
      <c r="I5" s="651"/>
      <c r="J5" s="651"/>
      <c r="K5" s="651"/>
      <c r="L5" s="651"/>
      <c r="M5" s="651"/>
      <c r="N5" s="651"/>
      <c r="O5" s="651"/>
      <c r="P5" s="651"/>
      <c r="Q5" s="113"/>
      <c r="R5" s="652"/>
      <c r="S5" s="633"/>
      <c r="T5" s="635"/>
      <c r="U5" s="636"/>
      <c r="V5" s="653" t="s">
        <v>424</v>
      </c>
      <c r="W5" s="633"/>
      <c r="X5" s="633"/>
      <c r="Y5" s="633"/>
      <c r="Z5" s="633"/>
    </row>
    <row r="6">
      <c r="A6" s="633"/>
      <c r="B6" s="654" t="s">
        <v>425</v>
      </c>
      <c r="C6" s="655" t="s">
        <v>247</v>
      </c>
      <c r="D6" s="655" t="s">
        <v>248</v>
      </c>
      <c r="E6" s="655" t="s">
        <v>426</v>
      </c>
      <c r="F6" s="655" t="s">
        <v>84</v>
      </c>
      <c r="G6" s="656" t="s">
        <v>427</v>
      </c>
      <c r="H6" s="657" t="s">
        <v>37</v>
      </c>
      <c r="I6" s="658" t="s">
        <v>428</v>
      </c>
      <c r="J6" s="658" t="s">
        <v>429</v>
      </c>
      <c r="K6" s="658" t="s">
        <v>430</v>
      </c>
      <c r="L6" s="659" t="s">
        <v>431</v>
      </c>
      <c r="M6" s="660"/>
      <c r="N6" s="661" t="s">
        <v>432</v>
      </c>
      <c r="O6" s="662" t="s">
        <v>433</v>
      </c>
      <c r="P6" s="651"/>
      <c r="Q6" s="113"/>
      <c r="R6" s="663"/>
      <c r="S6" s="664" t="s">
        <v>96</v>
      </c>
      <c r="T6" s="664" t="s">
        <v>97</v>
      </c>
      <c r="U6" s="636"/>
      <c r="V6" s="665" t="s">
        <v>434</v>
      </c>
      <c r="W6" s="666"/>
      <c r="X6" s="667" t="s">
        <v>221</v>
      </c>
      <c r="Y6" s="633"/>
      <c r="Z6" s="633"/>
    </row>
    <row r="7">
      <c r="A7" s="633"/>
      <c r="B7" s="668"/>
      <c r="C7" s="669"/>
      <c r="D7" s="669"/>
      <c r="E7" s="669"/>
      <c r="F7" s="669"/>
      <c r="G7" s="670"/>
      <c r="H7" s="669"/>
      <c r="I7" s="669"/>
      <c r="J7" s="669"/>
      <c r="K7" s="669"/>
      <c r="L7" s="671" t="s">
        <v>435</v>
      </c>
      <c r="M7" s="671" t="s">
        <v>436</v>
      </c>
      <c r="N7" s="669"/>
      <c r="O7" s="672"/>
      <c r="P7" s="673"/>
      <c r="Q7" s="674"/>
      <c r="R7" s="663"/>
      <c r="S7" s="211"/>
      <c r="T7" s="211"/>
      <c r="V7" s="675">
        <f>month(D5)</f>
        <v>4</v>
      </c>
      <c r="W7" s="676"/>
      <c r="X7" s="667" t="s">
        <v>437</v>
      </c>
      <c r="Y7" s="633"/>
      <c r="Z7" s="633"/>
    </row>
    <row r="8" ht="17.25" customHeight="1">
      <c r="A8" s="633"/>
      <c r="B8" s="677" t="s">
        <v>438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439</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outlineLevel="1">
      <c r="B19" s="710"/>
      <c r="C19" s="669"/>
      <c r="D19" s="669"/>
      <c r="E19" s="669"/>
      <c r="F19" s="711" t="s">
        <v>440</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441</v>
      </c>
      <c r="G20" s="720" t="s">
        <v>442</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outlineLevel="1">
      <c r="A30" s="633"/>
      <c r="B30" s="710"/>
      <c r="C30" s="669"/>
      <c r="D30" s="669"/>
      <c r="E30" s="669"/>
      <c r="F30" s="730" t="s">
        <v>440</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outlineLevel="1">
      <c r="A31" s="633"/>
      <c r="B31" s="733"/>
      <c r="C31" s="734">
        <f>IF(C20="","",IF(DAY(C20+1)=1,"",C20+1))</f>
        <v>46115</v>
      </c>
      <c r="D31" s="735" t="str">
        <f>TEXT(C31,"ddd")</f>
        <v>金</v>
      </c>
      <c r="E31" s="736"/>
      <c r="F31" s="737" t="s">
        <v>441</v>
      </c>
      <c r="G31" s="738" t="s">
        <v>442</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outlineLevel="1">
      <c r="A41" s="633"/>
      <c r="B41" s="710"/>
      <c r="C41" s="669"/>
      <c r="D41" s="669"/>
      <c r="E41" s="669"/>
      <c r="F41" s="711" t="s">
        <v>440</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outlineLevel="1">
      <c r="A42" s="633"/>
      <c r="B42" s="715"/>
      <c r="C42" s="716">
        <f>IF(C31="","",IF(DAY(C31+1)=1,"",C31+1))</f>
        <v>46116</v>
      </c>
      <c r="D42" s="717" t="str">
        <f>TEXT(C42,"ddd")</f>
        <v>土</v>
      </c>
      <c r="E42" s="718"/>
      <c r="F42" s="746" t="s">
        <v>441</v>
      </c>
      <c r="G42" s="747" t="s">
        <v>442</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outlineLevel="1">
      <c r="A52" s="633"/>
      <c r="B52" s="710"/>
      <c r="C52" s="669"/>
      <c r="D52" s="669"/>
      <c r="E52" s="669"/>
      <c r="F52" s="730" t="s">
        <v>440</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441</v>
      </c>
      <c r="G53" s="738" t="s">
        <v>442</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440</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443</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441</v>
      </c>
      <c r="G65" s="747" t="s">
        <v>442</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440</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441</v>
      </c>
      <c r="G76" s="738" t="s">
        <v>442</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440</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441</v>
      </c>
      <c r="G87" s="747" t="s">
        <v>442</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440</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441</v>
      </c>
      <c r="G98" s="738" t="s">
        <v>442</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440</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441</v>
      </c>
      <c r="G109" s="747" t="s">
        <v>442</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440</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444</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441</v>
      </c>
      <c r="G121" s="738" t="s">
        <v>442</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440</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441</v>
      </c>
      <c r="G132" s="747" t="s">
        <v>442</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440</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441</v>
      </c>
      <c r="G143" s="738" t="s">
        <v>442</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440</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441</v>
      </c>
      <c r="G154" s="747" t="s">
        <v>442</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440</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441</v>
      </c>
      <c r="G165" s="738" t="s">
        <v>442</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440</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445</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441</v>
      </c>
      <c r="G177" s="747" t="s">
        <v>442</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440</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441</v>
      </c>
      <c r="G188" s="738" t="s">
        <v>442</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440</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441</v>
      </c>
      <c r="G199" s="747" t="s">
        <v>442</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440</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441</v>
      </c>
      <c r="G210" s="738" t="s">
        <v>442</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440</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441</v>
      </c>
      <c r="G221" s="747" t="s">
        <v>442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440</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446</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441</v>
      </c>
      <c r="G233" s="738" t="s">
        <v>442</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440</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441</v>
      </c>
      <c r="G244" s="747" t="s">
        <v>442</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440</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441</v>
      </c>
      <c r="G255" s="738" t="s">
        <v>442</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440</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441</v>
      </c>
      <c r="G266" s="747" t="s">
        <v>442</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440</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441</v>
      </c>
      <c r="G277" s="738" t="s">
        <v>442</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440</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447</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441</v>
      </c>
      <c r="G289" s="747" t="s">
        <v>442</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441</v>
      </c>
      <c r="G300" s="738" t="s">
        <v>442</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441</v>
      </c>
      <c r="G311" s="747" t="s">
        <v>442</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441</v>
      </c>
      <c r="G322" s="738" t="s">
        <v>442</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441</v>
      </c>
      <c r="G333" s="747" t="s">
        <v>442</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441</v>
      </c>
      <c r="G344" s="738" t="s">
        <v>442</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448</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449</v>
      </c>
      <c r="C4" s="777"/>
      <c r="D4" s="778" t="s">
        <v>450</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451</v>
      </c>
      <c r="G5" s="783"/>
      <c r="H5" s="784" t="b">
        <v>0</v>
      </c>
      <c r="J5" s="785"/>
      <c r="K5" s="769"/>
      <c r="L5" s="786" t="s">
        <v>452</v>
      </c>
      <c r="T5" s="785"/>
      <c r="U5" s="787" t="s">
        <v>453</v>
      </c>
      <c r="AC5" s="770"/>
      <c r="AD5" s="788" t="s">
        <v>96</v>
      </c>
      <c r="AE5" s="788" t="s">
        <v>454</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455</v>
      </c>
      <c r="M7" s="225"/>
      <c r="N7" s="225"/>
      <c r="O7" s="225"/>
      <c r="P7" s="225"/>
      <c r="Q7" s="225"/>
      <c r="R7" s="225"/>
      <c r="S7" s="108"/>
      <c r="T7" s="792" t="s">
        <v>456</v>
      </c>
      <c r="U7" s="793" t="s">
        <v>457</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458</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227</v>
      </c>
      <c r="C9" s="800" t="s">
        <v>228</v>
      </c>
      <c r="D9" s="800" t="s">
        <v>229</v>
      </c>
      <c r="E9" s="801" t="s">
        <v>230</v>
      </c>
      <c r="F9" s="801" t="s">
        <v>231</v>
      </c>
      <c r="G9" s="800" t="s">
        <v>235</v>
      </c>
      <c r="H9" s="800" t="s">
        <v>236</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242</v>
      </c>
      <c r="C10" s="804">
        <f t="array" ref="C10">INDIRECT($E$8 &amp; "!C8")</f>
        <v>0.2894938778</v>
      </c>
      <c r="D10" s="804">
        <f t="array" ref="D10">INDIRECT($E$8 &amp; "!E8")</f>
        <v>0.5248873987</v>
      </c>
      <c r="E10" s="804">
        <f t="array" ref="E10">INDIRECT($E$8 &amp; "!G8")</f>
        <v>0.7631578947</v>
      </c>
      <c r="F10" s="805">
        <f t="array" ref="F10">INDIRECT($E$8 &amp; "!H8")</f>
        <v>99910</v>
      </c>
      <c r="G10" s="805">
        <f t="array" ref="G10">INDIRECT($E$8 &amp; "!K8")</f>
        <v>0</v>
      </c>
      <c r="H10" s="805">
        <f t="array" ref="H10">INDIRECT($E$8 &amp; "!M8")</f>
        <v>28923.33333</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0.2204319126</v>
      </c>
      <c r="D11" s="808"/>
      <c r="E11" s="809"/>
      <c r="F11" s="810">
        <f t="array" ref="F11">INDIRECT($E$8 &amp; "!H7")</f>
        <v>2994780</v>
      </c>
      <c r="G11" s="808"/>
      <c r="H11" s="811">
        <f t="array" ref="H11">INDIRECT($E$8 &amp; "!M7")</f>
        <v>660145.0833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459</v>
      </c>
      <c r="C13" s="815"/>
      <c r="D13" s="816" t="s">
        <v>51</v>
      </c>
      <c r="E13" s="817" t="s">
        <v>460</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461</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462</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463</v>
      </c>
      <c r="C20" s="801" t="s">
        <v>464</v>
      </c>
      <c r="D20" s="801" t="s">
        <v>89</v>
      </c>
      <c r="E20" s="801" t="s">
        <v>90</v>
      </c>
      <c r="F20" s="801" t="s">
        <v>465</v>
      </c>
      <c r="G20" s="801" t="s">
        <v>390</v>
      </c>
      <c r="H20" s="801" t="s">
        <v>390</v>
      </c>
      <c r="I20" s="801" t="s">
        <v>466</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467</v>
      </c>
      <c r="M21" s="221"/>
      <c r="N21" s="221"/>
      <c r="O21" s="221"/>
      <c r="P21" s="221"/>
      <c r="Q21" s="221"/>
      <c r="R21" s="221"/>
      <c r="S21" s="2"/>
      <c r="T21" s="792" t="s">
        <v>456</v>
      </c>
      <c r="U21" s="793" t="s">
        <v>468</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469</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470</v>
      </c>
      <c r="C25" s="841" t="s">
        <v>471</v>
      </c>
      <c r="D25" s="2"/>
      <c r="E25" s="841" t="s">
        <v>472</v>
      </c>
      <c r="F25" s="221"/>
      <c r="G25" s="221"/>
      <c r="H25" s="841" t="s">
        <v>473</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474</v>
      </c>
      <c r="M35" s="221"/>
      <c r="N35" s="221"/>
      <c r="O35" s="221"/>
      <c r="P35" s="221"/>
      <c r="Q35" s="221"/>
      <c r="R35" s="221"/>
      <c r="S35" s="2"/>
      <c r="T35" s="792" t="s">
        <v>456</v>
      </c>
      <c r="U35" s="793" t="s">
        <v>474</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475</v>
      </c>
      <c r="C37" s="848"/>
      <c r="D37" s="849">
        <f>counta(C39:D48)</f>
        <v>0</v>
      </c>
      <c r="E37" s="850" t="s">
        <v>476</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247</v>
      </c>
      <c r="C38" s="853" t="s">
        <v>387</v>
      </c>
      <c r="D38" s="854"/>
      <c r="E38" s="853" t="s">
        <v>472</v>
      </c>
      <c r="F38" s="854"/>
      <c r="G38" s="853" t="s">
        <v>477</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478</v>
      </c>
      <c r="M49" s="221"/>
      <c r="N49" s="221"/>
      <c r="O49" s="221"/>
      <c r="P49" s="221"/>
      <c r="Q49" s="221"/>
      <c r="R49" s="221"/>
      <c r="S49" s="2"/>
      <c r="T49" s="792" t="s">
        <v>456</v>
      </c>
      <c r="U49" s="793" t="s">
        <v>479</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480</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481</v>
      </c>
      <c r="C51" s="853" t="s">
        <v>387</v>
      </c>
      <c r="D51" s="854"/>
      <c r="E51" s="852" t="s">
        <v>482</v>
      </c>
      <c r="F51" s="852" t="s">
        <v>483</v>
      </c>
      <c r="G51" s="852" t="s">
        <v>484</v>
      </c>
      <c r="H51" s="853" t="s">
        <v>485</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486</v>
      </c>
      <c r="M63" s="221"/>
      <c r="N63" s="221"/>
      <c r="O63" s="221"/>
      <c r="P63" s="221"/>
      <c r="Q63" s="221"/>
      <c r="R63" s="221"/>
      <c r="S63" s="2"/>
      <c r="T63" s="792" t="s">
        <v>456</v>
      </c>
      <c r="U63" s="793" t="s">
        <v>487</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488</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481</v>
      </c>
      <c r="C65" s="853" t="s">
        <v>387</v>
      </c>
      <c r="D65" s="854"/>
      <c r="E65" s="852" t="s">
        <v>489</v>
      </c>
      <c r="F65" s="853" t="s">
        <v>490</v>
      </c>
      <c r="G65" s="854"/>
      <c r="H65" s="853" t="s">
        <v>485</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491</v>
      </c>
      <c r="M77" s="221"/>
      <c r="N77" s="221"/>
      <c r="O77" s="221"/>
      <c r="P77" s="221"/>
      <c r="Q77" s="221"/>
      <c r="R77" s="221"/>
      <c r="S77" s="2"/>
      <c r="T77" s="785"/>
      <c r="U77" s="877" t="s">
        <v>492</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493</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218</v>
      </c>
      <c r="C1" s="275">
        <f>BB30</f>
        <v>2893810</v>
      </c>
      <c r="D1" s="275">
        <f>AZ20</f>
        <v>483560</v>
      </c>
      <c r="E1" s="275">
        <f>BG23</f>
        <v>1367601.5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219</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220</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220</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221</v>
      </c>
      <c r="C5" s="72"/>
      <c r="D5" s="291">
        <v>46082.0</v>
      </c>
      <c r="E5" s="72"/>
      <c r="F5" s="292" t="s">
        <v>222</v>
      </c>
      <c r="G5" s="293">
        <f>DAY(EOMONTH(D5,0))</f>
        <v>31</v>
      </c>
      <c r="H5" s="294" t="s">
        <v>223</v>
      </c>
      <c r="I5" s="292" t="s">
        <v>224</v>
      </c>
      <c r="J5" s="295" t="b">
        <v>0</v>
      </c>
      <c r="K5" s="292" t="s">
        <v>225</v>
      </c>
      <c r="L5" s="296" t="b">
        <v>0</v>
      </c>
      <c r="M5" s="297" t="s">
        <v>226</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227</v>
      </c>
      <c r="C6" s="301" t="s">
        <v>228</v>
      </c>
      <c r="D6" s="88"/>
      <c r="E6" s="302" t="s">
        <v>229</v>
      </c>
      <c r="F6" s="72"/>
      <c r="G6" s="303" t="s">
        <v>230</v>
      </c>
      <c r="H6" s="303" t="s">
        <v>231</v>
      </c>
      <c r="I6" s="303" t="s">
        <v>232</v>
      </c>
      <c r="J6" s="303" t="s">
        <v>233</v>
      </c>
      <c r="K6" s="301" t="s">
        <v>234</v>
      </c>
      <c r="L6" s="304" t="s">
        <v>235</v>
      </c>
      <c r="M6" s="305" t="s">
        <v>236</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237</v>
      </c>
      <c r="AW6" s="309" t="s">
        <v>238</v>
      </c>
      <c r="AX6" s="310"/>
      <c r="AY6" s="311" t="s">
        <v>239</v>
      </c>
      <c r="AZ6" s="312"/>
      <c r="BA6" s="312"/>
      <c r="BB6" s="312"/>
      <c r="BC6" s="312"/>
      <c r="BD6" s="313"/>
      <c r="BE6" s="75"/>
      <c r="BF6" s="75"/>
      <c r="BG6" s="72"/>
      <c r="BL6" s="314"/>
    </row>
    <row r="7" ht="15.75" customHeight="1" outlineLevel="1">
      <c r="B7" s="315" t="s">
        <v>36</v>
      </c>
      <c r="C7" s="316">
        <f t="array" ref="C7">xlookup($D$5,'🌟目標数値'!$A$3:$A$14,'🌟目標数値'!F$3:F14)</f>
        <v>0.2878179889</v>
      </c>
      <c r="D7" s="72"/>
      <c r="E7" s="317">
        <f>AU12</f>
        <v>0.4969973216</v>
      </c>
      <c r="F7" s="72"/>
      <c r="G7" s="318" t="s">
        <v>240</v>
      </c>
      <c r="H7" s="319">
        <f t="array" ref="H7">xlookup($D$5,'🌟目標数値'!$A$3:$A$14,'🌟目標数値'!D$3:D14)</f>
        <v>2734860</v>
      </c>
      <c r="I7" s="319" t="s">
        <v>240</v>
      </c>
      <c r="J7" s="320" t="s">
        <v>240</v>
      </c>
      <c r="K7" s="321" t="s">
        <v>240</v>
      </c>
      <c r="L7" s="321" t="s">
        <v>240</v>
      </c>
      <c r="M7" s="322">
        <f t="array" ref="M7">xlookup($D$5,'🌟目標数値'!$A$3:$A$14,'🌟目標数値'!E$3:E14)</f>
        <v>787141.905</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0.3348028047</v>
      </c>
      <c r="AX7" s="310"/>
      <c r="AY7" s="326" t="s">
        <v>241</v>
      </c>
      <c r="BG7" s="327"/>
      <c r="BL7" s="314"/>
    </row>
    <row r="8" ht="15.75" customHeight="1" outlineLevel="1">
      <c r="B8" s="328" t="s">
        <v>242</v>
      </c>
      <c r="C8" s="329">
        <f>M8/H8</f>
        <v>0.3351476082</v>
      </c>
      <c r="D8" s="72"/>
      <c r="E8" s="330">
        <f>(BB23+BG23-BE24)/H8</f>
        <v>0.472595471</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0</v>
      </c>
      <c r="L8" s="335">
        <f>BB30-BB23-AZ20-BG45-BG23+BE24</f>
        <v>1042648.5</v>
      </c>
      <c r="M8" s="336">
        <f>L8-I8</f>
        <v>969853.5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243</v>
      </c>
      <c r="C9" s="344" t="s">
        <v>240</v>
      </c>
      <c r="D9" s="72"/>
      <c r="E9" s="345" t="s">
        <v>240</v>
      </c>
      <c r="F9" s="72"/>
      <c r="G9" s="346" t="s">
        <v>240</v>
      </c>
      <c r="H9" s="347">
        <f>H7/G5*COUNTIFS($E$11:$E$41,"&gt;0")</f>
        <v>2558417.419</v>
      </c>
      <c r="I9" s="347" t="s">
        <v>240</v>
      </c>
      <c r="J9" s="348" t="s">
        <v>240</v>
      </c>
      <c r="K9" s="349" t="s">
        <v>240</v>
      </c>
      <c r="L9" s="349" t="s">
        <v>240</v>
      </c>
      <c r="M9" s="350">
        <f>M7/G5*COUNTIFS($E$11:$E$41,"&gt;0")</f>
        <v>736358.5563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245</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246</v>
      </c>
      <c r="C11" s="358" t="s">
        <v>247</v>
      </c>
      <c r="D11" s="359" t="s">
        <v>248</v>
      </c>
      <c r="E11" s="359" t="s">
        <v>249</v>
      </c>
      <c r="F11" s="357" t="s">
        <v>250</v>
      </c>
      <c r="G11" s="360" t="s">
        <v>251</v>
      </c>
      <c r="H11" s="361" t="s">
        <v>252</v>
      </c>
      <c r="I11" s="362" t="s">
        <v>253</v>
      </c>
      <c r="J11" s="362" t="s">
        <v>254</v>
      </c>
      <c r="K11" s="362" t="s">
        <v>255</v>
      </c>
      <c r="L11" s="362" t="s">
        <v>256</v>
      </c>
      <c r="M11" s="361" t="s">
        <v>257</v>
      </c>
      <c r="N11" s="361" t="s">
        <v>258</v>
      </c>
      <c r="O11" s="361" t="s">
        <v>259</v>
      </c>
      <c r="P11" s="357" t="s">
        <v>260</v>
      </c>
      <c r="Q11" s="357" t="s">
        <v>261</v>
      </c>
      <c r="R11" s="357" t="s">
        <v>262</v>
      </c>
      <c r="S11" s="357" t="s">
        <v>263</v>
      </c>
      <c r="T11" s="357" t="s">
        <v>264</v>
      </c>
      <c r="U11" s="357" t="s">
        <v>265</v>
      </c>
      <c r="V11" s="357" t="s">
        <v>266</v>
      </c>
      <c r="W11" s="357" t="s">
        <v>267</v>
      </c>
      <c r="X11" s="357" t="s">
        <v>268</v>
      </c>
      <c r="Y11" s="357" t="s">
        <v>269</v>
      </c>
      <c r="Z11" s="357" t="s">
        <v>270</v>
      </c>
      <c r="AA11" s="357" t="s">
        <v>271</v>
      </c>
      <c r="AB11" s="357" t="s">
        <v>272</v>
      </c>
      <c r="AC11" s="363" t="s">
        <v>273</v>
      </c>
      <c r="AD11" s="364" t="s">
        <v>274</v>
      </c>
      <c r="AE11" s="364" t="s">
        <v>275</v>
      </c>
      <c r="AF11" s="364" t="s">
        <v>276</v>
      </c>
      <c r="AG11" s="363" t="s">
        <v>277</v>
      </c>
      <c r="AH11" s="364" t="s">
        <v>278</v>
      </c>
      <c r="AI11" s="364" t="s">
        <v>279</v>
      </c>
      <c r="AJ11" s="364" t="s">
        <v>280</v>
      </c>
      <c r="AK11" s="364" t="s">
        <v>281</v>
      </c>
      <c r="AL11" s="364" t="s">
        <v>282</v>
      </c>
      <c r="AM11" s="364" t="s">
        <v>283</v>
      </c>
      <c r="AN11" s="364" t="s">
        <v>284</v>
      </c>
      <c r="AO11" s="364" t="s">
        <v>285</v>
      </c>
      <c r="AP11" s="364" t="s">
        <v>286</v>
      </c>
      <c r="AQ11" s="364" t="s">
        <v>287</v>
      </c>
      <c r="AR11" s="364" t="s">
        <v>288</v>
      </c>
      <c r="AS11" s="357" t="s">
        <v>289</v>
      </c>
      <c r="AT11" s="359" t="s">
        <v>290</v>
      </c>
      <c r="AU11" s="365" t="s">
        <v>291</v>
      </c>
      <c r="AV11" s="357" t="s">
        <v>37</v>
      </c>
      <c r="AW11" s="366" t="s">
        <v>292</v>
      </c>
      <c r="AX11" s="367"/>
      <c r="AY11" s="368">
        <f>$D$5</f>
        <v>46082</v>
      </c>
      <c r="BI11" s="204" t="s">
        <v>96</v>
      </c>
      <c r="BJ11" s="204" t="s">
        <v>97</v>
      </c>
      <c r="BL11" s="369" t="s">
        <v>96</v>
      </c>
      <c r="BM11" s="369" t="s">
        <v>293</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294</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0.4694677306</v>
      </c>
      <c r="AV13" s="376">
        <f>countifs('🔵クレーム'!$C:$C,MONTH($D$5)&amp;"月",'🔵クレーム'!$D:$D,day(C13)&amp;"日",'🔵クレーム'!$I:$I,"&lt;&gt;")</f>
        <v>0</v>
      </c>
      <c r="AW13" s="386"/>
      <c r="AX13" s="285"/>
      <c r="AY13" s="387" t="s">
        <v>295</v>
      </c>
      <c r="AZ13" s="388" t="s">
        <v>296</v>
      </c>
      <c r="BA13" s="388" t="s">
        <v>297</v>
      </c>
      <c r="BB13" s="388" t="s">
        <v>298</v>
      </c>
      <c r="BC13" s="299"/>
      <c r="BD13" s="387" t="s">
        <v>90</v>
      </c>
      <c r="BE13" s="388" t="s">
        <v>299</v>
      </c>
      <c r="BF13" s="388" t="s">
        <v>297</v>
      </c>
      <c r="BG13" s="388" t="s">
        <v>298</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0.4702384639</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0.5321441886</v>
      </c>
      <c r="AV15" s="376">
        <f>countifs('🔵クレーム'!$C:$C,MONTH($D$5)&amp;"月",'🔵クレーム'!$D:$D,day(C15)&amp;"日",'🔵クレーム'!$I:$I,"&lt;&gt;")</f>
        <v>0</v>
      </c>
      <c r="AW15" s="386"/>
      <c r="AX15" s="285"/>
      <c r="AY15" s="397" t="s">
        <v>300</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0.4887393725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0.5519614198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0.4414459845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0.4661833505</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0.457808594</v>
      </c>
      <c r="AV20" s="376">
        <f>countifs('🔵クレーム'!$C:$C,MONTH($D$5)&amp;"月",'🔵クレーム'!$D:$D,day(C20)&amp;"日",'🔵クレーム'!$I:$I,"&lt;&gt;")</f>
        <v>0</v>
      </c>
      <c r="AW20" s="386"/>
      <c r="AX20" s="285"/>
      <c r="AY20" s="407" t="s">
        <v>301</v>
      </c>
      <c r="AZ20" s="408">
        <f>IFERROR(__xludf.DUMMYFUNCTION("IMPORTRANGE(""https://docs.google.com/spreadsheets/d/1QbHfX9wvC_RRupa4CCe_ZxA6O4e2Ap9vqX5hrZPeQRg/edit?gid=284905409#gid=284905409"",""date2_1!C6"")/G5*COUNTIFS($E$13:$E$43,""&gt;0"")+sum(AZ14:BA19)"),483560.0)</f>
        <v>483560</v>
      </c>
      <c r="BA20" s="409"/>
      <c r="BB20" s="410"/>
      <c r="BC20" s="285"/>
      <c r="BD20" s="407" t="s">
        <v>301</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0.4933541556</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0.4849415737</v>
      </c>
      <c r="AV22" s="376">
        <f>countifs('🔵クレーム'!$C:$C,MONTH($D$5)&amp;"月",'🔵クレーム'!$D:$D,day(C22)&amp;"日",'🔵クレーム'!$I:$I,"&lt;&gt;")</f>
        <v>0</v>
      </c>
      <c r="AW22" s="386"/>
      <c r="AX22" s="285"/>
      <c r="AY22" s="411" t="s">
        <v>302</v>
      </c>
      <c r="AZ22" s="412"/>
      <c r="BA22" s="412"/>
      <c r="BB22" s="413" t="s">
        <v>303</v>
      </c>
      <c r="BC22" s="299"/>
      <c r="BD22" s="414"/>
      <c r="BE22" s="413" t="s">
        <v>304</v>
      </c>
      <c r="BF22" s="413" t="s">
        <v>305</v>
      </c>
      <c r="BG22" s="413" t="s">
        <v>301</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0.477788536</v>
      </c>
      <c r="AV23" s="376">
        <f>countifs('🔵クレーム'!$C:$C,MONTH($D$5)&amp;"月",'🔵クレーム'!$D:$D,day(C23)&amp;"日",'🔵クレーム'!$I:$I,"&lt;&gt;")</f>
        <v>0</v>
      </c>
      <c r="AW23" s="386"/>
      <c r="AX23" s="285"/>
      <c r="AY23" s="415" t="s">
        <v>306</v>
      </c>
      <c r="AZ23" s="416">
        <f>AR44</f>
        <v>0</v>
      </c>
      <c r="BA23" s="72"/>
      <c r="BB23" s="417">
        <f>AZ23-AZ24</f>
        <v>0</v>
      </c>
      <c r="BC23" s="285"/>
      <c r="BD23" s="418" t="s">
        <v>307</v>
      </c>
      <c r="BE23" s="419">
        <f>IFERROR(__xludf.DUMMYFUNCTION("IMPORTRANGE(AT9,""total!ai2"")"),1252385.5)</f>
        <v>1252385.5</v>
      </c>
      <c r="BF23" s="419">
        <f>IFERROR(__xludf.DUMMYFUNCTION("IMPORTRANGE(AT9,""total!an2"")"),115216.0)</f>
        <v>115216</v>
      </c>
      <c r="BG23" s="417">
        <f>sum(BE23:BF27)+BE20</f>
        <v>1367601.5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IFERROR(__xludf.DUMMYFUNCTION("""COMPUTED_VALUE"""),42614.0)</f>
        <v>42614</v>
      </c>
      <c r="AU24" s="385">
        <f t="shared" si="7"/>
        <v>0.5132378744</v>
      </c>
      <c r="AV24" s="376">
        <f>countifs('🔵クレーム'!$C:$C,MONTH($D$5)&amp;"月",'🔵クレーム'!$D:$D,day(C24)&amp;"日",'🔵クレーム'!$I:$I,"&lt;&gt;")</f>
        <v>0</v>
      </c>
      <c r="AW24" s="386"/>
      <c r="AX24" s="285"/>
      <c r="AY24" s="415" t="s">
        <v>308</v>
      </c>
      <c r="AZ24" s="416">
        <f>BE36</f>
        <v>0</v>
      </c>
      <c r="BA24" s="72"/>
      <c r="BB24" s="420"/>
      <c r="BC24" s="285"/>
      <c r="BD24" s="415" t="s">
        <v>309</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0.4652174066</v>
      </c>
      <c r="AV25" s="376">
        <f>countifs('🔵クレーム'!$C:$C,MONTH($D$5)&amp;"月",'🔵クレーム'!$D:$D,day(C25)&amp;"日",'🔵クレーム'!$I:$I,"&lt;&gt;")</f>
        <v>0</v>
      </c>
      <c r="AW25" s="386"/>
      <c r="AX25" s="285"/>
      <c r="AY25" s="418"/>
      <c r="AZ25" s="421"/>
      <c r="BA25" s="72"/>
      <c r="BB25" s="420"/>
      <c r="BC25" s="285"/>
      <c r="BD25" s="415" t="s">
        <v>310</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0.5064244952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0.4645802498</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0.4502335949</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0.4915798333</v>
      </c>
      <c r="AV29" s="376">
        <f>countifs('🔵クレーム'!$C:$C,MONTH($D$5)&amp;"月",'🔵クレーム'!$D:$D,day(C29)&amp;"日",'🔵クレーム'!$I:$I,"&lt;&gt;")</f>
        <v>0</v>
      </c>
      <c r="AW29" s="386"/>
      <c r="AX29" s="285"/>
      <c r="AY29" s="425" t="s">
        <v>311</v>
      </c>
      <c r="AZ29" s="426" t="s">
        <v>231</v>
      </c>
      <c r="BA29" s="426" t="s">
        <v>312</v>
      </c>
      <c r="BB29" s="426" t="s">
        <v>313</v>
      </c>
      <c r="BC29" s="285"/>
      <c r="BD29" s="427" t="s">
        <v>314</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0.4921211264</v>
      </c>
      <c r="AV30" s="376">
        <f>countifs('🔵クレーム'!$C:$C,MONTH($D$5)&amp;"月",'🔵クレーム'!$D:$D,day(C30)&amp;"日",'🔵クレーム'!$I:$I,"&lt;&gt;")</f>
        <v>0</v>
      </c>
      <c r="AW30" s="386"/>
      <c r="AX30" s="285"/>
      <c r="AY30" s="429" t="s">
        <v>315</v>
      </c>
      <c r="AZ30" s="419">
        <f>AS46</f>
        <v>2531890</v>
      </c>
      <c r="BA30" s="430" t="s">
        <v>240</v>
      </c>
      <c r="BB30" s="417">
        <f>SUM(AZ30:AZ36)</f>
        <v>2893810</v>
      </c>
      <c r="BC30" s="285"/>
      <c r="BD30" s="431" t="s">
        <v>316</v>
      </c>
      <c r="BE30" s="432" t="s">
        <v>317</v>
      </c>
      <c r="BF30" s="432" t="s">
        <v>318</v>
      </c>
      <c r="BG30" s="433" t="s">
        <v>301</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0.494469775</v>
      </c>
      <c r="AV31" s="376">
        <f>countifs('🔵クレーム'!$C:$C,MONTH($D$5)&amp;"月",'🔵クレーム'!$D:$D,day(C31)&amp;"日",'🔵クレーム'!$I:$I,"&lt;&gt;")</f>
        <v>0</v>
      </c>
      <c r="AW31" s="386"/>
      <c r="AX31" s="285"/>
      <c r="AY31" s="434" t="s">
        <v>319</v>
      </c>
      <c r="AZ31" s="419">
        <f t="shared" ref="AZ31:AZ33" si="9">BA31/$G$5*COUNTIFS($E$13:$E$43,"&gt;0")</f>
        <v>152000</v>
      </c>
      <c r="BA31" s="435">
        <v>152000.0</v>
      </c>
      <c r="BB31" s="420"/>
      <c r="BC31" s="285"/>
      <c r="BD31" s="436" t="s">
        <v>320</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0.4493554975</v>
      </c>
      <c r="AV32" s="376">
        <f>countifs('🔵クレーム'!$C:$C,MONTH($D$5)&amp;"月",'🔵クレーム'!$D:$D,day(C32)&amp;"日",'🔵クレーム'!$I:$I,"&lt;&gt;")</f>
        <v>0</v>
      </c>
      <c r="AW32" s="386"/>
      <c r="AX32" s="285"/>
      <c r="AY32" s="434" t="s">
        <v>321</v>
      </c>
      <c r="AZ32" s="419">
        <f t="shared" si="9"/>
        <v>68400</v>
      </c>
      <c r="BA32" s="435">
        <v>68400.0</v>
      </c>
      <c r="BB32" s="420"/>
      <c r="BC32" s="285"/>
      <c r="BD32" s="436" t="s">
        <v>322</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0.4648617168</v>
      </c>
      <c r="AV33" s="376">
        <f>countifs('🔵クレーム'!$C:$C,MONTH($D$5)&amp;"月",'🔵クレーム'!$D:$D,day(C33)&amp;"日",'🔵クレーム'!$I:$I,"&lt;&gt;")</f>
        <v>0</v>
      </c>
      <c r="AW33" s="386"/>
      <c r="AX33" s="285"/>
      <c r="AY33" s="434" t="s">
        <v>323</v>
      </c>
      <c r="AZ33" s="419">
        <f t="shared" si="9"/>
        <v>76000</v>
      </c>
      <c r="BA33" s="435">
        <v>76000.0</v>
      </c>
      <c r="BB33" s="420"/>
      <c r="BC33" s="285"/>
      <c r="BD33" s="439" t="s">
        <v>324</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0.4661673306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0.4531930917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0.4996606087</v>
      </c>
      <c r="AV36" s="376">
        <f>countifs('🔵クレーム'!$C:$C,MONTH($D$5)&amp;"月",'🔵クレーム'!$D:$D,day(C36)&amp;"日",'🔵クレーム'!$I:$I,"&lt;&gt;")</f>
        <v>0</v>
      </c>
      <c r="AW36" s="386"/>
      <c r="AX36" s="285"/>
      <c r="AY36" s="434" t="s">
        <v>325</v>
      </c>
      <c r="AZ36" s="398">
        <f>BB40</f>
        <v>65520</v>
      </c>
      <c r="BA36" s="398"/>
      <c r="BB36" s="211"/>
      <c r="BC36" s="285"/>
      <c r="BD36" s="407" t="s">
        <v>301</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IFERROR(__xludf.DUMMYFUNCTION("""COMPUTED_VALUE"""),39258.5)</f>
        <v>39258.5</v>
      </c>
      <c r="AU37" s="385">
        <f t="shared" si="7"/>
        <v>0.4797870501</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0.5546437812</v>
      </c>
      <c r="AV38" s="376">
        <f>countifs('🔵クレーム'!$C:$C,MONTH($D$5)&amp;"月",'🔵クレーム'!$D:$D,day(C38)&amp;"日",'🔵クレーム'!$I:$I,"&lt;&gt;")</f>
        <v>0</v>
      </c>
      <c r="AW38" s="386"/>
      <c r="AX38" s="285"/>
      <c r="AY38" s="285" t="s">
        <v>326</v>
      </c>
      <c r="AZ38" s="443"/>
      <c r="BA38" s="285"/>
      <c r="BB38" s="367"/>
      <c r="BC38" s="285"/>
      <c r="BD38" s="285" t="s">
        <v>327</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0.5018655752</v>
      </c>
      <c r="AV39" s="376">
        <f>countifs('🔵クレーム'!$C:$C,MONTH($D$5)&amp;"月",'🔵クレーム'!$D:$D,day(C39)&amp;"日",'🔵クレーム'!$I:$I,"&lt;&gt;")</f>
        <v>0</v>
      </c>
      <c r="AW39" s="386"/>
      <c r="AX39" s="285"/>
      <c r="AY39" s="425" t="s">
        <v>311</v>
      </c>
      <c r="AZ39" s="426" t="s">
        <v>231</v>
      </c>
      <c r="BA39" s="426" t="s">
        <v>328</v>
      </c>
      <c r="BB39" s="426" t="s">
        <v>313</v>
      </c>
      <c r="BC39" s="299"/>
      <c r="BD39" s="425" t="s">
        <v>329</v>
      </c>
      <c r="BE39" s="426" t="s">
        <v>330</v>
      </c>
      <c r="BF39" s="426" t="s">
        <v>328</v>
      </c>
      <c r="BG39" s="426" t="s">
        <v>301</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IFERROR(__xludf.DUMMYFUNCTION("""COMPUTED_VALUE"""),53558.5)</f>
        <v>53558.5</v>
      </c>
      <c r="AU40" s="385">
        <f t="shared" si="7"/>
        <v>0.5567651089</v>
      </c>
      <c r="AV40" s="376">
        <f>countifs('🔵クレーム'!$C:$C,MONTH($D$5)&amp;"月",'🔵クレーム'!$D:$D,day(C40)&amp;"日",'🔵クレーム'!$I:$I,"&lt;&gt;")</f>
        <v>0</v>
      </c>
      <c r="AW40" s="386"/>
      <c r="AX40" s="285"/>
      <c r="AY40" s="881" t="s">
        <v>494</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0.5339243714</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0.5223633566</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IFERROR(__xludf.DUMMYFUNCTION("""COMPUTED_VALUE"""),45066.5)</f>
        <v>45066.5</v>
      </c>
      <c r="AU43" s="385">
        <f t="shared" si="7"/>
        <v>0.3459765868</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301</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1252385.5</v>
      </c>
      <c r="AU44" s="459">
        <f>AVERAGE(AU13:AU43)</f>
        <v>0.4851774774</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317</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331</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332</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333</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334</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335</v>
      </c>
      <c r="M2" s="505"/>
      <c r="N2" s="506" t="s">
        <v>495</v>
      </c>
      <c r="O2" s="507"/>
      <c r="P2" s="508"/>
      <c r="Q2" s="509"/>
      <c r="R2" s="509"/>
      <c r="S2" s="510"/>
      <c r="T2" s="509"/>
      <c r="U2" s="509"/>
      <c r="V2" s="509"/>
      <c r="W2" s="509"/>
      <c r="X2" s="509"/>
      <c r="Y2" s="511"/>
      <c r="Z2" s="270"/>
      <c r="AA2" s="270"/>
      <c r="AB2" s="270"/>
      <c r="AC2" s="270"/>
      <c r="AD2" s="270"/>
      <c r="AE2" s="270"/>
      <c r="AF2" s="512"/>
      <c r="AG2" s="513"/>
      <c r="AH2" s="514"/>
      <c r="AI2" s="515" t="s">
        <v>496</v>
      </c>
      <c r="AJ2" s="270"/>
      <c r="AS2" s="270"/>
      <c r="AT2" s="516" t="s">
        <v>338</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339</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340</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301</v>
      </c>
      <c r="BI3" s="189"/>
      <c r="BJ3" s="536" t="s">
        <v>341</v>
      </c>
      <c r="BK3" s="2"/>
      <c r="BL3" s="537">
        <v>46113.0</v>
      </c>
      <c r="BT3" s="189"/>
      <c r="BU3" s="189"/>
      <c r="BV3" s="189"/>
      <c r="BW3" s="189"/>
      <c r="BX3" s="189"/>
    </row>
    <row r="4" ht="18.0" customHeight="1">
      <c r="A4" s="502"/>
      <c r="B4" s="538" t="s">
        <v>342</v>
      </c>
      <c r="C4" s="539"/>
      <c r="D4" s="540"/>
      <c r="E4" s="541" t="s">
        <v>343</v>
      </c>
      <c r="F4" s="501"/>
      <c r="G4" s="502"/>
      <c r="H4" s="502"/>
      <c r="I4" s="542" t="s">
        <v>344</v>
      </c>
      <c r="J4" s="2"/>
      <c r="K4" s="543" t="s">
        <v>345</v>
      </c>
      <c r="L4" s="544"/>
      <c r="M4" s="545" t="s">
        <v>346</v>
      </c>
      <c r="N4" s="546"/>
      <c r="O4" s="547"/>
      <c r="P4" s="548" t="s">
        <v>347</v>
      </c>
      <c r="Q4" s="549" t="s">
        <v>348</v>
      </c>
      <c r="R4" s="547"/>
      <c r="S4" s="547"/>
      <c r="T4" s="548" t="s">
        <v>349</v>
      </c>
      <c r="U4" s="549" t="s">
        <v>350</v>
      </c>
      <c r="V4" s="547"/>
      <c r="W4" s="547"/>
      <c r="X4" s="550" t="s">
        <v>161</v>
      </c>
      <c r="Y4" s="549" t="s">
        <v>351</v>
      </c>
      <c r="Z4" s="547"/>
      <c r="AA4" s="547"/>
      <c r="AB4" s="551" t="s">
        <v>352</v>
      </c>
      <c r="AC4" s="549" t="s">
        <v>353</v>
      </c>
      <c r="AD4" s="547"/>
      <c r="AE4" s="547"/>
      <c r="AF4" s="552" t="s">
        <v>354</v>
      </c>
      <c r="AG4" s="549" t="s">
        <v>355</v>
      </c>
      <c r="AH4" s="547"/>
      <c r="AI4" s="547"/>
      <c r="AJ4" s="552" t="s">
        <v>356</v>
      </c>
      <c r="AK4" s="549" t="s">
        <v>357</v>
      </c>
      <c r="AL4" s="547"/>
      <c r="AM4" s="553"/>
      <c r="AN4" s="554"/>
      <c r="AO4" s="554"/>
      <c r="AP4" s="528"/>
      <c r="AQ4" s="555"/>
      <c r="AR4" s="530"/>
      <c r="AS4" s="189"/>
      <c r="AT4" s="556" t="s">
        <v>497</v>
      </c>
      <c r="AU4" s="557" t="s">
        <v>182</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359</v>
      </c>
      <c r="BK4" s="239"/>
      <c r="BL4" s="537">
        <v>46143.0</v>
      </c>
      <c r="BT4" s="494"/>
      <c r="BU4" s="494"/>
      <c r="BV4" s="494"/>
      <c r="BW4" s="494"/>
      <c r="BX4" s="494"/>
    </row>
    <row r="5" ht="19.5" customHeight="1">
      <c r="A5" s="502"/>
      <c r="B5" s="562" t="s">
        <v>360</v>
      </c>
      <c r="C5" s="563"/>
      <c r="D5" s="502"/>
      <c r="E5" s="564" t="s">
        <v>361</v>
      </c>
      <c r="F5" s="563"/>
      <c r="G5" s="502"/>
      <c r="H5" s="502"/>
      <c r="I5" s="565" t="b">
        <v>0</v>
      </c>
      <c r="J5" s="2"/>
      <c r="K5" s="566"/>
      <c r="L5" s="567"/>
      <c r="M5" s="568" t="s">
        <v>362</v>
      </c>
      <c r="N5" s="569"/>
      <c r="O5" s="547"/>
      <c r="P5" s="570" t="s">
        <v>363</v>
      </c>
      <c r="Q5" s="549" t="s">
        <v>364</v>
      </c>
      <c r="R5" s="547"/>
      <c r="S5" s="547"/>
      <c r="T5" s="570" t="s">
        <v>365</v>
      </c>
      <c r="U5" s="549" t="s">
        <v>366</v>
      </c>
      <c r="V5" s="547"/>
      <c r="W5" s="547"/>
      <c r="X5" s="570" t="s">
        <v>367</v>
      </c>
      <c r="Y5" s="549" t="s">
        <v>368</v>
      </c>
      <c r="Z5" s="547"/>
      <c r="AA5" s="547"/>
      <c r="AB5" s="570" t="s">
        <v>369</v>
      </c>
      <c r="AC5" s="549" t="s">
        <v>370</v>
      </c>
      <c r="AD5" s="547"/>
      <c r="AE5" s="547"/>
      <c r="AF5" s="570" t="s">
        <v>371</v>
      </c>
      <c r="AG5" s="549" t="s">
        <v>372</v>
      </c>
      <c r="AH5" s="547"/>
      <c r="AI5" s="547"/>
      <c r="AJ5" s="570" t="s">
        <v>373</v>
      </c>
      <c r="AK5" s="549" t="s">
        <v>374</v>
      </c>
      <c r="AL5" s="547"/>
      <c r="AM5" s="553"/>
      <c r="AN5" s="554"/>
      <c r="AO5" s="554"/>
      <c r="AP5" s="528"/>
      <c r="AQ5" s="555"/>
      <c r="AR5" s="530"/>
      <c r="AS5" s="189"/>
      <c r="AT5" s="556" t="s">
        <v>100</v>
      </c>
      <c r="AU5" s="557" t="s">
        <v>183</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375</v>
      </c>
      <c r="J7" s="590" t="s">
        <v>376</v>
      </c>
      <c r="K7" s="591">
        <v>46082.0</v>
      </c>
      <c r="L7" s="592" t="s">
        <v>377</v>
      </c>
      <c r="M7" s="593" t="s">
        <v>378</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379</v>
      </c>
      <c r="AT7" s="597" t="s">
        <v>380</v>
      </c>
      <c r="AU7" s="598" t="s">
        <v>81</v>
      </c>
      <c r="AV7" s="598" t="s">
        <v>381</v>
      </c>
      <c r="AW7" s="598" t="s">
        <v>382</v>
      </c>
      <c r="AX7" s="598" t="s">
        <v>383</v>
      </c>
      <c r="AY7" s="598" t="s">
        <v>384</v>
      </c>
      <c r="AZ7" s="598" t="s">
        <v>385</v>
      </c>
      <c r="BA7" s="598" t="s">
        <v>82</v>
      </c>
      <c r="BB7" s="599" t="s">
        <v>298</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248</v>
      </c>
      <c r="C8" s="601" t="str">
        <f>TEXT(B7,"ddd")</f>
        <v>木</v>
      </c>
      <c r="D8" s="114"/>
      <c r="E8" s="602" t="s">
        <v>248</v>
      </c>
      <c r="F8" s="603" t="str">
        <f>TEXT(E7,"ddd")</f>
        <v>金</v>
      </c>
      <c r="G8" s="189"/>
      <c r="H8" s="189"/>
      <c r="I8" s="589"/>
      <c r="J8" s="604" t="s">
        <v>386</v>
      </c>
      <c r="K8" s="592" t="s">
        <v>387</v>
      </c>
      <c r="L8" s="605" t="s">
        <v>388</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389</v>
      </c>
      <c r="L9" s="611" t="s">
        <v>390</v>
      </c>
      <c r="M9" s="612" t="s">
        <v>391</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390</v>
      </c>
      <c r="AT9" s="614" t="s">
        <v>390</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392</v>
      </c>
      <c r="L10" s="611" t="s">
        <v>390</v>
      </c>
      <c r="M10" s="612" t="s">
        <v>393</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390</v>
      </c>
      <c r="AT10" s="614" t="s">
        <v>390</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394</v>
      </c>
      <c r="M11" s="617"/>
      <c r="N11" s="618" t="s">
        <v>347</v>
      </c>
      <c r="O11" s="618"/>
      <c r="P11" s="618" t="s">
        <v>347</v>
      </c>
      <c r="Q11" s="618" t="s">
        <v>347</v>
      </c>
      <c r="R11" s="618" t="s">
        <v>347</v>
      </c>
      <c r="S11" s="618" t="s">
        <v>347</v>
      </c>
      <c r="T11" s="618" t="s">
        <v>347</v>
      </c>
      <c r="U11" s="618"/>
      <c r="V11" s="618" t="s">
        <v>347</v>
      </c>
      <c r="W11" s="618"/>
      <c r="X11" s="618"/>
      <c r="Y11" s="618" t="s">
        <v>347</v>
      </c>
      <c r="Z11" s="618" t="s">
        <v>347</v>
      </c>
      <c r="AA11" s="618" t="s">
        <v>347</v>
      </c>
      <c r="AB11" s="618" t="s">
        <v>347</v>
      </c>
      <c r="AC11" s="618" t="s">
        <v>347</v>
      </c>
      <c r="AD11" s="618"/>
      <c r="AE11" s="618" t="s">
        <v>347</v>
      </c>
      <c r="AF11" s="618"/>
      <c r="AG11" s="618" t="s">
        <v>347</v>
      </c>
      <c r="AH11" s="618" t="s">
        <v>347</v>
      </c>
      <c r="AI11" s="618"/>
      <c r="AJ11" s="618" t="s">
        <v>347</v>
      </c>
      <c r="AK11" s="618"/>
      <c r="AL11" s="618" t="s">
        <v>347</v>
      </c>
      <c r="AM11" s="618"/>
      <c r="AN11" s="618" t="s">
        <v>347</v>
      </c>
      <c r="AO11" s="618" t="s">
        <v>347</v>
      </c>
      <c r="AP11" s="618" t="s">
        <v>347</v>
      </c>
      <c r="AQ11" s="618" t="s">
        <v>347</v>
      </c>
      <c r="AR11" s="618" t="s">
        <v>347</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300</v>
      </c>
      <c r="L12" s="611" t="s">
        <v>395</v>
      </c>
      <c r="M12" s="617"/>
      <c r="N12" s="618" t="s">
        <v>396</v>
      </c>
      <c r="O12" s="618" t="s">
        <v>347</v>
      </c>
      <c r="P12" s="618" t="s">
        <v>498</v>
      </c>
      <c r="Q12" s="618" t="s">
        <v>363</v>
      </c>
      <c r="R12" s="618" t="s">
        <v>347</v>
      </c>
      <c r="S12" s="618" t="s">
        <v>396</v>
      </c>
      <c r="T12" s="618" t="s">
        <v>363</v>
      </c>
      <c r="U12" s="618" t="s">
        <v>347</v>
      </c>
      <c r="V12" s="618" t="s">
        <v>396</v>
      </c>
      <c r="W12" s="618" t="s">
        <v>347</v>
      </c>
      <c r="X12" s="618" t="s">
        <v>347</v>
      </c>
      <c r="Y12" s="618" t="s">
        <v>363</v>
      </c>
      <c r="Z12" s="618" t="s">
        <v>396</v>
      </c>
      <c r="AA12" s="618" t="s">
        <v>363</v>
      </c>
      <c r="AB12" s="618" t="s">
        <v>396</v>
      </c>
      <c r="AC12" s="618" t="s">
        <v>396</v>
      </c>
      <c r="AD12" s="618" t="s">
        <v>347</v>
      </c>
      <c r="AE12" s="618" t="s">
        <v>363</v>
      </c>
      <c r="AF12" s="618" t="s">
        <v>347</v>
      </c>
      <c r="AG12" s="618" t="s">
        <v>396</v>
      </c>
      <c r="AH12" s="618" t="s">
        <v>363</v>
      </c>
      <c r="AI12" s="618" t="s">
        <v>347</v>
      </c>
      <c r="AJ12" s="618" t="s">
        <v>396</v>
      </c>
      <c r="AK12" s="618" t="s">
        <v>347</v>
      </c>
      <c r="AL12" s="618" t="s">
        <v>363</v>
      </c>
      <c r="AM12" s="618" t="s">
        <v>347</v>
      </c>
      <c r="AN12" s="618" t="s">
        <v>396</v>
      </c>
      <c r="AO12" s="618" t="s">
        <v>363</v>
      </c>
      <c r="AP12" s="618" t="s">
        <v>363</v>
      </c>
      <c r="AQ12" s="618" t="s">
        <v>396</v>
      </c>
      <c r="AR12" s="618" t="s">
        <v>396</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397</v>
      </c>
      <c r="L13" s="611"/>
      <c r="M13" s="612" t="s">
        <v>499</v>
      </c>
      <c r="N13" s="618" t="s">
        <v>347</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500</v>
      </c>
      <c r="L14" s="611"/>
      <c r="M14" s="612" t="s">
        <v>501</v>
      </c>
      <c r="N14" s="618"/>
      <c r="O14" s="618" t="s">
        <v>398</v>
      </c>
      <c r="P14" s="618" t="s">
        <v>347</v>
      </c>
      <c r="Q14" s="618" t="s">
        <v>347</v>
      </c>
      <c r="R14" s="618" t="s">
        <v>347</v>
      </c>
      <c r="S14" s="618" t="s">
        <v>347</v>
      </c>
      <c r="T14" s="618" t="s">
        <v>347</v>
      </c>
      <c r="U14" s="618"/>
      <c r="V14" s="618"/>
      <c r="W14" s="618" t="s">
        <v>347</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399</v>
      </c>
      <c r="L41" s="611" t="s">
        <v>400</v>
      </c>
      <c r="M41" s="612" t="s">
        <v>161</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390</v>
      </c>
      <c r="AT41" s="618" t="s">
        <v>390</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401</v>
      </c>
      <c r="L42" s="611" t="s">
        <v>400</v>
      </c>
      <c r="M42" s="612" t="s">
        <v>352</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390</v>
      </c>
      <c r="AT42" s="618" t="s">
        <v>390</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402</v>
      </c>
      <c r="L43" s="628" t="s">
        <v>403</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390</v>
      </c>
      <c r="AT43" s="618" t="s">
        <v>390</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404</v>
      </c>
      <c r="L44" s="611" t="s">
        <v>403</v>
      </c>
      <c r="M44" s="612" t="s">
        <v>405</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390</v>
      </c>
      <c r="AT44" s="618" t="s">
        <v>390</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406</v>
      </c>
      <c r="L45" s="611" t="s">
        <v>407</v>
      </c>
      <c r="M45" s="617"/>
      <c r="N45" s="618" t="s">
        <v>161</v>
      </c>
      <c r="O45" s="618" t="s">
        <v>161</v>
      </c>
      <c r="P45" s="618"/>
      <c r="Q45" s="618" t="s">
        <v>161</v>
      </c>
      <c r="R45" s="618"/>
      <c r="S45" s="618" t="s">
        <v>161</v>
      </c>
      <c r="T45" s="618" t="s">
        <v>161</v>
      </c>
      <c r="U45" s="618" t="s">
        <v>161</v>
      </c>
      <c r="V45" s="618" t="s">
        <v>161</v>
      </c>
      <c r="W45" s="618"/>
      <c r="X45" s="618" t="s">
        <v>161</v>
      </c>
      <c r="Y45" s="618"/>
      <c r="Z45" s="618" t="s">
        <v>161</v>
      </c>
      <c r="AA45" s="618" t="s">
        <v>161</v>
      </c>
      <c r="AB45" s="618" t="s">
        <v>161</v>
      </c>
      <c r="AC45" s="618" t="s">
        <v>161</v>
      </c>
      <c r="AD45" s="618"/>
      <c r="AE45" s="618" t="s">
        <v>161</v>
      </c>
      <c r="AF45" s="618"/>
      <c r="AG45" s="618" t="s">
        <v>161</v>
      </c>
      <c r="AH45" s="618" t="s">
        <v>161</v>
      </c>
      <c r="AI45" s="618" t="s">
        <v>365</v>
      </c>
      <c r="AJ45" s="618" t="s">
        <v>365</v>
      </c>
      <c r="AK45" s="618"/>
      <c r="AL45" s="618" t="s">
        <v>161</v>
      </c>
      <c r="AM45" s="618"/>
      <c r="AN45" s="618" t="s">
        <v>161</v>
      </c>
      <c r="AO45" s="618" t="s">
        <v>161</v>
      </c>
      <c r="AP45" s="618" t="s">
        <v>161</v>
      </c>
      <c r="AQ45" s="618" t="s">
        <v>161</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408</v>
      </c>
      <c r="L46" s="611" t="s">
        <v>407</v>
      </c>
      <c r="M46" s="617"/>
      <c r="N46" s="618" t="s">
        <v>161</v>
      </c>
      <c r="O46" s="618" t="s">
        <v>161</v>
      </c>
      <c r="P46" s="618" t="s">
        <v>161</v>
      </c>
      <c r="Q46" s="618" t="s">
        <v>161</v>
      </c>
      <c r="R46" s="618"/>
      <c r="S46" s="618"/>
      <c r="T46" s="618"/>
      <c r="U46" s="618" t="s">
        <v>161</v>
      </c>
      <c r="V46" s="618" t="s">
        <v>161</v>
      </c>
      <c r="W46" s="618" t="s">
        <v>161</v>
      </c>
      <c r="X46" s="618" t="s">
        <v>161</v>
      </c>
      <c r="Y46" s="618"/>
      <c r="Z46" s="618"/>
      <c r="AA46" s="618"/>
      <c r="AB46" s="618" t="s">
        <v>161</v>
      </c>
      <c r="AC46" s="618" t="s">
        <v>161</v>
      </c>
      <c r="AD46" s="618" t="s">
        <v>161</v>
      </c>
      <c r="AE46" s="618" t="s">
        <v>161</v>
      </c>
      <c r="AF46" s="618"/>
      <c r="AG46" s="618"/>
      <c r="AH46" s="618"/>
      <c r="AI46" s="618" t="s">
        <v>161</v>
      </c>
      <c r="AJ46" s="618" t="s">
        <v>161</v>
      </c>
      <c r="AK46" s="618" t="s">
        <v>161</v>
      </c>
      <c r="AL46" s="618" t="s">
        <v>161</v>
      </c>
      <c r="AM46" s="618"/>
      <c r="AN46" s="618"/>
      <c r="AO46" s="618"/>
      <c r="AP46" s="618" t="s">
        <v>161</v>
      </c>
      <c r="AQ46" s="618" t="s">
        <v>161</v>
      </c>
      <c r="AR46" s="618" t="s">
        <v>161</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409</v>
      </c>
      <c r="L47" s="611" t="s">
        <v>407</v>
      </c>
      <c r="M47" s="617"/>
      <c r="N47" s="618"/>
      <c r="O47" s="618"/>
      <c r="P47" s="618"/>
      <c r="Q47" s="618"/>
      <c r="R47" s="618" t="s">
        <v>161</v>
      </c>
      <c r="S47" s="618" t="s">
        <v>161</v>
      </c>
      <c r="T47" s="618" t="s">
        <v>161</v>
      </c>
      <c r="U47" s="618"/>
      <c r="V47" s="618"/>
      <c r="W47" s="618"/>
      <c r="X47" s="618"/>
      <c r="Y47" s="618" t="s">
        <v>161</v>
      </c>
      <c r="Z47" s="618" t="s">
        <v>161</v>
      </c>
      <c r="AA47" s="618" t="s">
        <v>161</v>
      </c>
      <c r="AB47" s="618"/>
      <c r="AC47" s="618"/>
      <c r="AD47" s="618"/>
      <c r="AE47" s="618"/>
      <c r="AF47" s="618" t="s">
        <v>161</v>
      </c>
      <c r="AG47" s="618" t="s">
        <v>161</v>
      </c>
      <c r="AH47" s="618" t="s">
        <v>161</v>
      </c>
      <c r="AI47" s="618"/>
      <c r="AJ47" s="618"/>
      <c r="AK47" s="618"/>
      <c r="AL47" s="618"/>
      <c r="AM47" s="618" t="s">
        <v>161</v>
      </c>
      <c r="AN47" s="618" t="s">
        <v>161</v>
      </c>
      <c r="AO47" s="618" t="s">
        <v>161</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407</v>
      </c>
      <c r="M48" s="617"/>
      <c r="N48" s="618" t="s">
        <v>161</v>
      </c>
      <c r="O48" s="618" t="s">
        <v>161</v>
      </c>
      <c r="P48" s="618" t="s">
        <v>161</v>
      </c>
      <c r="Q48" s="618"/>
      <c r="R48" s="618"/>
      <c r="S48" s="618"/>
      <c r="T48" s="618"/>
      <c r="U48" s="618" t="s">
        <v>161</v>
      </c>
      <c r="V48" s="618" t="s">
        <v>161</v>
      </c>
      <c r="W48" s="618" t="s">
        <v>161</v>
      </c>
      <c r="X48" s="618"/>
      <c r="Y48" s="618"/>
      <c r="Z48" s="618"/>
      <c r="AA48" s="618"/>
      <c r="AB48" s="618" t="s">
        <v>161</v>
      </c>
      <c r="AC48" s="618" t="s">
        <v>161</v>
      </c>
      <c r="AD48" s="618" t="s">
        <v>161</v>
      </c>
      <c r="AE48" s="618"/>
      <c r="AF48" s="618"/>
      <c r="AG48" s="618"/>
      <c r="AH48" s="618"/>
      <c r="AI48" s="618" t="s">
        <v>161</v>
      </c>
      <c r="AJ48" s="618" t="s">
        <v>161</v>
      </c>
      <c r="AK48" s="618" t="s">
        <v>161</v>
      </c>
      <c r="AL48" s="618"/>
      <c r="AM48" s="618"/>
      <c r="AN48" s="618"/>
      <c r="AO48" s="618"/>
      <c r="AP48" s="618" t="s">
        <v>161</v>
      </c>
      <c r="AQ48" s="618" t="s">
        <v>161</v>
      </c>
      <c r="AR48" s="618" t="s">
        <v>161</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410</v>
      </c>
      <c r="L49" s="611" t="s">
        <v>407</v>
      </c>
      <c r="M49" s="612"/>
      <c r="N49" s="618"/>
      <c r="O49" s="618"/>
      <c r="P49" s="618"/>
      <c r="Q49" s="618"/>
      <c r="R49" s="618"/>
      <c r="S49" s="618"/>
      <c r="T49" s="618" t="s">
        <v>161</v>
      </c>
      <c r="U49" s="618"/>
      <c r="V49" s="618"/>
      <c r="W49" s="618"/>
      <c r="X49" s="618"/>
      <c r="Y49" s="618"/>
      <c r="Z49" s="618"/>
      <c r="AA49" s="618" t="s">
        <v>161</v>
      </c>
      <c r="AB49" s="618"/>
      <c r="AC49" s="618"/>
      <c r="AD49" s="618"/>
      <c r="AE49" s="618"/>
      <c r="AF49" s="618"/>
      <c r="AG49" s="618" t="s">
        <v>161</v>
      </c>
      <c r="AH49" s="618" t="s">
        <v>161</v>
      </c>
      <c r="AI49" s="618"/>
      <c r="AJ49" s="618"/>
      <c r="AK49" s="618"/>
      <c r="AL49" s="618"/>
      <c r="AM49" s="618"/>
      <c r="AN49" s="618"/>
      <c r="AO49" s="618" t="s">
        <v>161</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411</v>
      </c>
      <c r="L50" s="611" t="s">
        <v>407</v>
      </c>
      <c r="M50" s="612"/>
      <c r="N50" s="618" t="s">
        <v>161</v>
      </c>
      <c r="O50" s="618"/>
      <c r="P50" s="618"/>
      <c r="Q50" s="618"/>
      <c r="R50" s="618"/>
      <c r="S50" s="618"/>
      <c r="T50" s="618" t="s">
        <v>161</v>
      </c>
      <c r="U50" s="618" t="s">
        <v>161</v>
      </c>
      <c r="V50" s="618"/>
      <c r="W50" s="618"/>
      <c r="X50" s="618"/>
      <c r="Y50" s="618"/>
      <c r="Z50" s="618"/>
      <c r="AA50" s="618" t="s">
        <v>161</v>
      </c>
      <c r="AB50" s="618" t="s">
        <v>161</v>
      </c>
      <c r="AC50" s="618"/>
      <c r="AD50" s="618"/>
      <c r="AE50" s="618"/>
      <c r="AF50" s="618"/>
      <c r="AG50" s="884"/>
      <c r="AH50" s="618" t="s">
        <v>161</v>
      </c>
      <c r="AI50" s="618" t="s">
        <v>161</v>
      </c>
      <c r="AJ50" s="618"/>
      <c r="AK50" s="618"/>
      <c r="AL50" s="618"/>
      <c r="AM50" s="618"/>
      <c r="AN50" s="618"/>
      <c r="AO50" s="618" t="s">
        <v>161</v>
      </c>
      <c r="AP50" s="618" t="s">
        <v>161</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412</v>
      </c>
      <c r="L51" s="611" t="s">
        <v>407</v>
      </c>
      <c r="M51" s="612"/>
      <c r="N51" s="618" t="s">
        <v>161</v>
      </c>
      <c r="O51" s="618"/>
      <c r="P51" s="618"/>
      <c r="Q51" s="618"/>
      <c r="R51" s="618" t="s">
        <v>161</v>
      </c>
      <c r="S51" s="618"/>
      <c r="T51" s="618" t="s">
        <v>161</v>
      </c>
      <c r="U51" s="618" t="s">
        <v>161</v>
      </c>
      <c r="V51" s="618"/>
      <c r="W51" s="618"/>
      <c r="X51" s="618"/>
      <c r="Y51" s="618" t="s">
        <v>161</v>
      </c>
      <c r="Z51" s="618"/>
      <c r="AA51" s="618" t="s">
        <v>161</v>
      </c>
      <c r="AB51" s="618" t="s">
        <v>161</v>
      </c>
      <c r="AC51" s="618"/>
      <c r="AD51" s="618"/>
      <c r="AE51" s="618"/>
      <c r="AF51" s="618" t="s">
        <v>161</v>
      </c>
      <c r="AG51" s="618"/>
      <c r="AH51" s="885"/>
      <c r="AI51" s="618" t="s">
        <v>161</v>
      </c>
      <c r="AJ51" s="618"/>
      <c r="AK51" s="618"/>
      <c r="AL51" s="618"/>
      <c r="AM51" s="618" t="s">
        <v>161</v>
      </c>
      <c r="AN51" s="618"/>
      <c r="AO51" s="618" t="s">
        <v>161</v>
      </c>
      <c r="AP51" s="618" t="s">
        <v>161</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407</v>
      </c>
      <c r="M52" s="617"/>
      <c r="N52" s="618" t="s">
        <v>161</v>
      </c>
      <c r="O52" s="618"/>
      <c r="P52" s="618"/>
      <c r="Q52" s="618"/>
      <c r="R52" s="618" t="s">
        <v>161</v>
      </c>
      <c r="S52" s="618" t="s">
        <v>161</v>
      </c>
      <c r="T52" s="618" t="s">
        <v>161</v>
      </c>
      <c r="U52" s="618" t="s">
        <v>161</v>
      </c>
      <c r="V52" s="618"/>
      <c r="W52" s="618"/>
      <c r="X52" s="618"/>
      <c r="Y52" s="618" t="s">
        <v>161</v>
      </c>
      <c r="Z52" s="618" t="s">
        <v>161</v>
      </c>
      <c r="AA52" s="618" t="s">
        <v>161</v>
      </c>
      <c r="AB52" s="618" t="s">
        <v>161</v>
      </c>
      <c r="AC52" s="618"/>
      <c r="AD52" s="618"/>
      <c r="AE52" s="618"/>
      <c r="AF52" s="618" t="s">
        <v>161</v>
      </c>
      <c r="AG52" s="618" t="s">
        <v>161</v>
      </c>
      <c r="AH52" s="618" t="s">
        <v>161</v>
      </c>
      <c r="AI52" s="618" t="s">
        <v>161</v>
      </c>
      <c r="AJ52" s="618"/>
      <c r="AK52" s="618"/>
      <c r="AL52" s="618"/>
      <c r="AM52" s="618" t="s">
        <v>161</v>
      </c>
      <c r="AN52" s="618" t="s">
        <v>161</v>
      </c>
      <c r="AO52" s="618" t="s">
        <v>161</v>
      </c>
      <c r="AP52" s="618" t="s">
        <v>161</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413</v>
      </c>
      <c r="L53" s="611" t="s">
        <v>407</v>
      </c>
      <c r="M53" s="617"/>
      <c r="N53" s="618"/>
      <c r="O53" s="618"/>
      <c r="P53" s="618"/>
      <c r="Q53" s="618"/>
      <c r="R53" s="618" t="s">
        <v>161</v>
      </c>
      <c r="S53" s="618" t="s">
        <v>161</v>
      </c>
      <c r="T53" s="618"/>
      <c r="U53" s="618"/>
      <c r="V53" s="618"/>
      <c r="W53" s="618"/>
      <c r="X53" s="618"/>
      <c r="Y53" s="618" t="s">
        <v>161</v>
      </c>
      <c r="Z53" s="618" t="s">
        <v>161</v>
      </c>
      <c r="AA53" s="618"/>
      <c r="AB53" s="618"/>
      <c r="AC53" s="618"/>
      <c r="AD53" s="618"/>
      <c r="AE53" s="618"/>
      <c r="AF53" s="618" t="s">
        <v>161</v>
      </c>
      <c r="AG53" s="885"/>
      <c r="AH53" s="618"/>
      <c r="AI53" s="618" t="s">
        <v>161</v>
      </c>
      <c r="AJ53" s="618"/>
      <c r="AK53" s="618"/>
      <c r="AL53" s="618"/>
      <c r="AM53" s="618" t="s">
        <v>161</v>
      </c>
      <c r="AN53" s="618" t="s">
        <v>161</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142</v>
      </c>
      <c r="L54" s="611" t="s">
        <v>407</v>
      </c>
      <c r="M54" s="617"/>
      <c r="N54" s="618"/>
      <c r="O54" s="618" t="s">
        <v>161</v>
      </c>
      <c r="P54" s="618" t="s">
        <v>161</v>
      </c>
      <c r="Q54" s="618" t="s">
        <v>161</v>
      </c>
      <c r="R54" s="618" t="s">
        <v>161</v>
      </c>
      <c r="S54" s="618" t="s">
        <v>161</v>
      </c>
      <c r="T54" s="618"/>
      <c r="U54" s="618"/>
      <c r="V54" s="618" t="s">
        <v>161</v>
      </c>
      <c r="W54" s="618" t="s">
        <v>161</v>
      </c>
      <c r="X54" s="618"/>
      <c r="Y54" s="618"/>
      <c r="Z54" s="618" t="s">
        <v>161</v>
      </c>
      <c r="AA54" s="618"/>
      <c r="AB54" s="618"/>
      <c r="AC54" s="618" t="s">
        <v>161</v>
      </c>
      <c r="AD54" s="618" t="s">
        <v>161</v>
      </c>
      <c r="AE54" s="618" t="s">
        <v>161</v>
      </c>
      <c r="AF54" s="618" t="s">
        <v>161</v>
      </c>
      <c r="AG54" s="618" t="s">
        <v>161</v>
      </c>
      <c r="AH54" s="618"/>
      <c r="AI54" s="618"/>
      <c r="AJ54" s="618" t="s">
        <v>161</v>
      </c>
      <c r="AK54" s="618" t="s">
        <v>161</v>
      </c>
      <c r="AL54" s="618" t="s">
        <v>161</v>
      </c>
      <c r="AM54" s="618" t="s">
        <v>161</v>
      </c>
      <c r="AN54" s="618" t="s">
        <v>161</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414</v>
      </c>
      <c r="L55" s="611" t="s">
        <v>407</v>
      </c>
      <c r="M55" s="617"/>
      <c r="N55" s="618"/>
      <c r="O55" s="618" t="s">
        <v>161</v>
      </c>
      <c r="P55" s="618" t="s">
        <v>161</v>
      </c>
      <c r="Q55" s="618" t="s">
        <v>161</v>
      </c>
      <c r="R55" s="618" t="s">
        <v>161</v>
      </c>
      <c r="S55" s="618"/>
      <c r="T55" s="613"/>
      <c r="U55" s="618"/>
      <c r="V55" s="618" t="s">
        <v>161</v>
      </c>
      <c r="W55" s="618" t="s">
        <v>161</v>
      </c>
      <c r="X55" s="618" t="s">
        <v>161</v>
      </c>
      <c r="Y55" s="618" t="s">
        <v>161</v>
      </c>
      <c r="Z55" s="618"/>
      <c r="AA55" s="613"/>
      <c r="AB55" s="618"/>
      <c r="AC55" s="618" t="s">
        <v>161</v>
      </c>
      <c r="AD55" s="618" t="s">
        <v>161</v>
      </c>
      <c r="AE55" s="618" t="s">
        <v>161</v>
      </c>
      <c r="AF55" s="618" t="s">
        <v>161</v>
      </c>
      <c r="AG55" s="618"/>
      <c r="AH55" s="618"/>
      <c r="AI55" s="618"/>
      <c r="AJ55" s="618" t="s">
        <v>161</v>
      </c>
      <c r="AK55" s="618" t="s">
        <v>161</v>
      </c>
      <c r="AL55" s="618" t="s">
        <v>161</v>
      </c>
      <c r="AM55" s="618" t="s">
        <v>161</v>
      </c>
      <c r="AN55" s="618"/>
      <c r="AO55" s="613"/>
      <c r="AP55" s="613"/>
      <c r="AQ55" s="618" t="s">
        <v>161</v>
      </c>
      <c r="AR55" s="618" t="s">
        <v>161</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415</v>
      </c>
      <c r="L56" s="611" t="s">
        <v>416</v>
      </c>
      <c r="M56" s="617"/>
      <c r="N56" s="618"/>
      <c r="O56" s="618"/>
      <c r="P56" s="618"/>
      <c r="Q56" s="618" t="s">
        <v>161</v>
      </c>
      <c r="R56" s="618" t="s">
        <v>161</v>
      </c>
      <c r="S56" s="618"/>
      <c r="T56" s="618"/>
      <c r="U56" s="618"/>
      <c r="V56" s="618"/>
      <c r="W56" s="618"/>
      <c r="X56" s="618" t="s">
        <v>161</v>
      </c>
      <c r="Y56" s="618" t="s">
        <v>161</v>
      </c>
      <c r="Z56" s="618"/>
      <c r="AA56" s="618"/>
      <c r="AB56" s="618"/>
      <c r="AC56" s="618"/>
      <c r="AD56" s="618" t="s">
        <v>161</v>
      </c>
      <c r="AE56" s="618" t="s">
        <v>161</v>
      </c>
      <c r="AF56" s="618" t="s">
        <v>161</v>
      </c>
      <c r="AG56" s="618"/>
      <c r="AH56" s="618"/>
      <c r="AI56" s="613"/>
      <c r="AJ56" s="618"/>
      <c r="AK56" s="618" t="s">
        <v>161</v>
      </c>
      <c r="AL56" s="618" t="s">
        <v>161</v>
      </c>
      <c r="AM56" s="618" t="s">
        <v>161</v>
      </c>
      <c r="AN56" s="618"/>
      <c r="AO56" s="618"/>
      <c r="AP56" s="618"/>
      <c r="AQ56" s="618"/>
      <c r="AR56" s="618" t="s">
        <v>161</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502</v>
      </c>
      <c r="L57" s="611" t="s">
        <v>416</v>
      </c>
      <c r="M57" s="617"/>
      <c r="N57" s="618"/>
      <c r="O57" s="613"/>
      <c r="P57" s="618"/>
      <c r="Q57" s="618"/>
      <c r="R57" s="618" t="s">
        <v>161</v>
      </c>
      <c r="S57" s="618" t="s">
        <v>161</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418</v>
      </c>
      <c r="C2" s="504"/>
      <c r="D2" s="504"/>
      <c r="E2" s="504"/>
      <c r="F2" s="638" t="s">
        <v>419</v>
      </c>
      <c r="G2" s="639" t="s">
        <v>503</v>
      </c>
      <c r="H2" s="221"/>
      <c r="I2" s="221"/>
      <c r="J2" s="221"/>
      <c r="K2" s="221"/>
      <c r="L2" s="221"/>
      <c r="M2" s="221"/>
      <c r="N2" s="221"/>
      <c r="O2" s="221"/>
      <c r="P2" s="221"/>
      <c r="Q2" s="2"/>
      <c r="R2" s="640" t="s">
        <v>334</v>
      </c>
      <c r="S2" s="633"/>
      <c r="T2" s="635"/>
      <c r="U2" s="641"/>
      <c r="V2" s="637"/>
      <c r="W2" s="633"/>
      <c r="X2" s="633"/>
      <c r="Y2" s="633"/>
      <c r="Z2" s="633"/>
    </row>
    <row r="3" ht="66.0" customHeight="1">
      <c r="A3" s="633"/>
      <c r="B3" s="642" t="s">
        <v>420</v>
      </c>
      <c r="C3" s="504"/>
      <c r="D3" s="504"/>
      <c r="E3" s="504"/>
      <c r="F3" s="643" t="s">
        <v>421</v>
      </c>
      <c r="G3" s="644" t="s">
        <v>504</v>
      </c>
      <c r="H3" s="221"/>
      <c r="I3" s="221"/>
      <c r="J3" s="221"/>
      <c r="K3" s="221"/>
      <c r="L3" s="221"/>
      <c r="M3" s="221"/>
      <c r="N3" s="221"/>
      <c r="O3" s="221"/>
      <c r="P3" s="221"/>
      <c r="Q3" s="2"/>
      <c r="R3" s="645" t="s">
        <v>334</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221</v>
      </c>
      <c r="C5" s="647"/>
      <c r="D5" s="648">
        <v>46082.0</v>
      </c>
      <c r="E5" s="647"/>
      <c r="F5" s="649" t="s">
        <v>422</v>
      </c>
      <c r="G5" s="650" t="s">
        <v>423</v>
      </c>
      <c r="H5" s="651"/>
      <c r="I5" s="651"/>
      <c r="J5" s="651"/>
      <c r="K5" s="651"/>
      <c r="L5" s="651"/>
      <c r="M5" s="651"/>
      <c r="N5" s="651"/>
      <c r="O5" s="651"/>
      <c r="P5" s="651"/>
      <c r="Q5" s="113"/>
      <c r="R5" s="652"/>
      <c r="S5" s="633"/>
      <c r="T5" s="635"/>
      <c r="U5" s="636"/>
      <c r="V5" s="653" t="s">
        <v>424</v>
      </c>
      <c r="W5" s="633"/>
      <c r="X5" s="633"/>
      <c r="Y5" s="633"/>
      <c r="Z5" s="633"/>
    </row>
    <row r="6">
      <c r="A6" s="633"/>
      <c r="B6" s="654" t="s">
        <v>425</v>
      </c>
      <c r="C6" s="655" t="s">
        <v>247</v>
      </c>
      <c r="D6" s="655" t="s">
        <v>248</v>
      </c>
      <c r="E6" s="655" t="s">
        <v>426</v>
      </c>
      <c r="F6" s="655" t="s">
        <v>84</v>
      </c>
      <c r="G6" s="656" t="s">
        <v>427</v>
      </c>
      <c r="H6" s="657" t="s">
        <v>37</v>
      </c>
      <c r="I6" s="658" t="s">
        <v>428</v>
      </c>
      <c r="J6" s="658" t="s">
        <v>429</v>
      </c>
      <c r="K6" s="658" t="s">
        <v>430</v>
      </c>
      <c r="L6" s="659" t="s">
        <v>431</v>
      </c>
      <c r="M6" s="660"/>
      <c r="N6" s="661" t="s">
        <v>432</v>
      </c>
      <c r="O6" s="662" t="s">
        <v>433</v>
      </c>
      <c r="P6" s="651"/>
      <c r="Q6" s="113"/>
      <c r="R6" s="663"/>
      <c r="S6" s="664" t="s">
        <v>96</v>
      </c>
      <c r="T6" s="664" t="s">
        <v>97</v>
      </c>
      <c r="U6" s="636"/>
      <c r="V6" s="665" t="s">
        <v>434</v>
      </c>
      <c r="W6" s="666"/>
      <c r="X6" s="667" t="s">
        <v>221</v>
      </c>
      <c r="Y6" s="633"/>
      <c r="Z6" s="633"/>
    </row>
    <row r="7">
      <c r="A7" s="633"/>
      <c r="B7" s="668"/>
      <c r="C7" s="669"/>
      <c r="D7" s="669"/>
      <c r="E7" s="669"/>
      <c r="F7" s="669"/>
      <c r="G7" s="670"/>
      <c r="H7" s="669"/>
      <c r="I7" s="669"/>
      <c r="J7" s="669"/>
      <c r="K7" s="669"/>
      <c r="L7" s="671" t="s">
        <v>435</v>
      </c>
      <c r="M7" s="671" t="s">
        <v>436</v>
      </c>
      <c r="N7" s="669"/>
      <c r="O7" s="672"/>
      <c r="P7" s="673"/>
      <c r="Q7" s="674"/>
      <c r="R7" s="663"/>
      <c r="S7" s="211"/>
      <c r="T7" s="211"/>
      <c r="V7" s="675">
        <f>month(D5)</f>
        <v>3</v>
      </c>
      <c r="W7" s="676"/>
      <c r="X7" s="667" t="s">
        <v>437</v>
      </c>
      <c r="Y7" s="633"/>
      <c r="Z7" s="633"/>
    </row>
    <row r="8" ht="17.25" customHeight="1" collapsed="1">
      <c r="A8" s="633"/>
      <c r="B8" s="677" t="s">
        <v>438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505</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506</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406</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507</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508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411</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412</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413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142</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414</v>
      </c>
      <c r="W18" s="688"/>
      <c r="X18" s="689">
        <v>46357.0</v>
      </c>
      <c r="Y18" s="633"/>
      <c r="Z18" s="633"/>
    </row>
    <row r="19" ht="18.0" hidden="1" customHeight="1" outlineLevel="1">
      <c r="B19" s="710"/>
      <c r="C19" s="669"/>
      <c r="D19" s="669"/>
      <c r="E19" s="669"/>
      <c r="F19" s="711" t="s">
        <v>440</v>
      </c>
      <c r="G19" s="712" t="s">
        <v>509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510</v>
      </c>
      <c r="W19" s="688"/>
      <c r="X19" s="689">
        <v>46388.0</v>
      </c>
      <c r="Y19" s="633"/>
      <c r="Z19" s="633"/>
    </row>
    <row r="20" hidden="1" outlineLevel="1">
      <c r="A20" s="633"/>
      <c r="B20" s="715"/>
      <c r="C20" s="716">
        <f>IF(C9="","",IF(DAY(C9+1)=1,"",C9+1))</f>
        <v>46083</v>
      </c>
      <c r="D20" s="717" t="str">
        <f>TEXT(C20,"ddd")</f>
        <v>月</v>
      </c>
      <c r="E20" s="718"/>
      <c r="F20" s="719" t="s">
        <v>511</v>
      </c>
      <c r="G20" s="720" t="s">
        <v>512</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415</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502</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513</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397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417</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440</v>
      </c>
      <c r="G30" s="731" t="s">
        <v>514</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515</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440</v>
      </c>
      <c r="G41" s="712" t="s">
        <v>516</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517</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440</v>
      </c>
      <c r="G52" s="731" t="s">
        <v>518</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519</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440</v>
      </c>
      <c r="G63" s="712" t="s">
        <v>520</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443</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521</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440</v>
      </c>
      <c r="G75" s="731" t="s">
        <v>522</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523</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440</v>
      </c>
      <c r="G86" s="712" t="s">
        <v>524</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525</v>
      </c>
      <c r="G87" s="747" t="s">
        <v>526</v>
      </c>
      <c r="H87" s="748"/>
      <c r="I87" s="748" t="s">
        <v>527</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440</v>
      </c>
      <c r="G97" s="731" t="s">
        <v>528</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529</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440</v>
      </c>
      <c r="G108" s="712" t="s">
        <v>530</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441</v>
      </c>
      <c r="G109" s="747" t="s">
        <v>531</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440</v>
      </c>
      <c r="G119" s="731" t="s">
        <v>532</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444</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300</v>
      </c>
      <c r="G121" s="738" t="s">
        <v>533</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440</v>
      </c>
      <c r="G131" s="712" t="s">
        <v>534</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535</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440</v>
      </c>
      <c r="G142" s="731" t="s">
        <v>536</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537</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440</v>
      </c>
      <c r="G153" s="712" t="s">
        <v>538</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539</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440</v>
      </c>
      <c r="G164" s="731" t="s">
        <v>540</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541</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440</v>
      </c>
      <c r="G175" s="712" t="s">
        <v>542</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445</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543</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440</v>
      </c>
      <c r="G187" s="731" t="s">
        <v>544</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545</v>
      </c>
      <c r="G188" s="738" t="s">
        <v>546</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440</v>
      </c>
      <c r="G198" s="712" t="s">
        <v>547</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548</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440</v>
      </c>
      <c r="G209" s="731" t="s">
        <v>549</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300</v>
      </c>
      <c r="G210" s="738" t="s">
        <v>550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440</v>
      </c>
      <c r="G220" s="712" t="s">
        <v>551</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552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440</v>
      </c>
      <c r="G231" s="731" t="s">
        <v>553</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446</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554</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440</v>
      </c>
      <c r="G243" s="712" t="s">
        <v>555</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441</v>
      </c>
      <c r="G244" s="747" t="s">
        <v>556</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440</v>
      </c>
      <c r="G254" s="731" t="s">
        <v>557</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558</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440</v>
      </c>
      <c r="G265" s="712" t="s">
        <v>559</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300</v>
      </c>
      <c r="G266" s="747" t="s">
        <v>560</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440</v>
      </c>
      <c r="G276" s="731" t="s">
        <v>561</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562</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440</v>
      </c>
      <c r="G287" s="712" t="s">
        <v>563</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447</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511</v>
      </c>
      <c r="G289" s="747" t="s">
        <v>564</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440</v>
      </c>
      <c r="G299" s="731" t="s">
        <v>565</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566</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440</v>
      </c>
      <c r="G310" s="712" t="s">
        <v>567</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568</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440</v>
      </c>
      <c r="G321" s="731" t="s">
        <v>569</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570</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440</v>
      </c>
      <c r="G332" s="712" t="s">
        <v>571</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572</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440</v>
      </c>
      <c r="G343" s="731" t="s">
        <v>573</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574</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440</v>
      </c>
      <c r="G354" s="763" t="s">
        <v>575</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448</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449</v>
      </c>
      <c r="C4" s="777"/>
      <c r="D4" s="778" t="s">
        <v>450</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451</v>
      </c>
      <c r="G5" s="783"/>
      <c r="H5" s="784" t="b">
        <v>0</v>
      </c>
      <c r="J5" s="785"/>
      <c r="K5" s="769"/>
      <c r="L5" s="786" t="s">
        <v>452</v>
      </c>
      <c r="T5" s="785"/>
      <c r="U5" s="787" t="s">
        <v>453</v>
      </c>
      <c r="AC5" s="770"/>
      <c r="AD5" s="788" t="s">
        <v>96</v>
      </c>
      <c r="AE5" s="788" t="s">
        <v>454</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455</v>
      </c>
      <c r="M7" s="225"/>
      <c r="N7" s="225"/>
      <c r="O7" s="225"/>
      <c r="P7" s="225"/>
      <c r="Q7" s="225"/>
      <c r="R7" s="225"/>
      <c r="S7" s="108"/>
      <c r="T7" s="792" t="s">
        <v>456</v>
      </c>
      <c r="U7" s="793" t="s">
        <v>457</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458</v>
      </c>
      <c r="C8" s="795"/>
      <c r="D8" s="796" t="s">
        <v>51</v>
      </c>
      <c r="E8" s="797" t="str">
        <f>IFERROR(__xludf.DUMMYFUNCTION("IFERROR(INDEX(FILTER($AE$6:$AE$200, $AD$6:$AD$200=$B$5, REGEXMATCH($AE$6:$AE$200, ""集計"")), 1), """")
"),"①R8_3集計")</f>
        <v>①R8_3集計</v>
      </c>
      <c r="F8" s="494"/>
      <c r="G8" s="212"/>
      <c r="H8" s="212"/>
      <c r="I8" s="189"/>
      <c r="J8" s="785"/>
      <c r="K8" s="769"/>
      <c r="L8" s="798" t="s">
        <v>576</v>
      </c>
      <c r="M8" s="236"/>
      <c r="N8" s="236"/>
      <c r="O8" s="236"/>
      <c r="P8" s="236"/>
      <c r="Q8" s="236"/>
      <c r="R8" s="236"/>
      <c r="S8" s="239"/>
      <c r="U8" s="798" t="s">
        <v>577</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227</v>
      </c>
      <c r="C9" s="800" t="s">
        <v>228</v>
      </c>
      <c r="D9" s="800" t="s">
        <v>229</v>
      </c>
      <c r="E9" s="801" t="s">
        <v>230</v>
      </c>
      <c r="F9" s="801" t="s">
        <v>231</v>
      </c>
      <c r="G9" s="800" t="s">
        <v>235</v>
      </c>
      <c r="H9" s="800" t="s">
        <v>236</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242</v>
      </c>
      <c r="C10" s="804">
        <f t="array" ref="C10">INDIRECT($E$8 &amp; "!C8")</f>
        <v>0.3351476082</v>
      </c>
      <c r="D10" s="804">
        <f t="array" ref="D10">INDIRECT($E$8 &amp; "!E8")</f>
        <v>0.472595471</v>
      </c>
      <c r="E10" s="804">
        <f t="array" ref="E10">INDIRECT($E$8 &amp; "!G8")</f>
        <v>0.6652518393</v>
      </c>
      <c r="F10" s="805">
        <f t="array" ref="F10">INDIRECT($E$8 &amp; "!H8")</f>
        <v>2893810</v>
      </c>
      <c r="G10" s="805">
        <f t="array" ref="G10">INDIRECT($E$8 &amp; "!K8")</f>
        <v>0</v>
      </c>
      <c r="H10" s="805">
        <f t="array" ref="H10">INDIRECT($E$8 &amp; "!M8")</f>
        <v>969853.5</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0.2878179889</v>
      </c>
      <c r="D11" s="808"/>
      <c r="E11" s="809"/>
      <c r="F11" s="810">
        <f t="array" ref="F11">INDIRECT($E$8 &amp; "!H7")</f>
        <v>2734860</v>
      </c>
      <c r="G11" s="808"/>
      <c r="H11" s="811">
        <f t="array" ref="H11">INDIRECT($E$8 &amp; "!M7")</f>
        <v>787141.905</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459</v>
      </c>
      <c r="C13" s="815"/>
      <c r="D13" s="816" t="s">
        <v>51</v>
      </c>
      <c r="E13" s="817" t="s">
        <v>460</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461</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462</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463</v>
      </c>
      <c r="C20" s="801" t="s">
        <v>464</v>
      </c>
      <c r="D20" s="801" t="s">
        <v>89</v>
      </c>
      <c r="E20" s="801" t="s">
        <v>90</v>
      </c>
      <c r="F20" s="801" t="s">
        <v>465</v>
      </c>
      <c r="G20" s="801" t="s">
        <v>390</v>
      </c>
      <c r="H20" s="801" t="s">
        <v>390</v>
      </c>
      <c r="I20" s="801" t="s">
        <v>466</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467</v>
      </c>
      <c r="M21" s="221"/>
      <c r="N21" s="221"/>
      <c r="O21" s="221"/>
      <c r="P21" s="221"/>
      <c r="Q21" s="221"/>
      <c r="R21" s="221"/>
      <c r="S21" s="2"/>
      <c r="T21" s="792" t="s">
        <v>456</v>
      </c>
      <c r="U21" s="793" t="s">
        <v>468</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578</v>
      </c>
      <c r="M22" s="236"/>
      <c r="N22" s="236"/>
      <c r="O22" s="236"/>
      <c r="P22" s="236"/>
      <c r="Q22" s="236"/>
      <c r="R22" s="236"/>
      <c r="S22" s="239"/>
      <c r="U22" s="798" t="s">
        <v>579</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469</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470</v>
      </c>
      <c r="C25" s="841" t="s">
        <v>471</v>
      </c>
      <c r="D25" s="2"/>
      <c r="E25" s="841" t="s">
        <v>472</v>
      </c>
      <c r="F25" s="221"/>
      <c r="G25" s="221"/>
      <c r="H25" s="841" t="s">
        <v>473</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474</v>
      </c>
      <c r="M35" s="221"/>
      <c r="N35" s="221"/>
      <c r="O35" s="221"/>
      <c r="P35" s="221"/>
      <c r="Q35" s="221"/>
      <c r="R35" s="221"/>
      <c r="S35" s="2"/>
      <c r="T35" s="792" t="s">
        <v>456</v>
      </c>
      <c r="U35" s="793" t="s">
        <v>474</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580</v>
      </c>
      <c r="M36" s="236"/>
      <c r="N36" s="236"/>
      <c r="O36" s="236"/>
      <c r="P36" s="236"/>
      <c r="Q36" s="236"/>
      <c r="R36" s="236"/>
      <c r="S36" s="239"/>
      <c r="U36" s="798" t="s">
        <v>581</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475</v>
      </c>
      <c r="C37" s="848"/>
      <c r="D37" s="849">
        <f>counta(C39:D48)</f>
        <v>0</v>
      </c>
      <c r="E37" s="850" t="s">
        <v>476</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247</v>
      </c>
      <c r="C38" s="853" t="s">
        <v>387</v>
      </c>
      <c r="D38" s="854"/>
      <c r="E38" s="853" t="s">
        <v>472</v>
      </c>
      <c r="F38" s="854"/>
      <c r="G38" s="853" t="s">
        <v>477</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478</v>
      </c>
      <c r="M49" s="221"/>
      <c r="N49" s="221"/>
      <c r="O49" s="221"/>
      <c r="P49" s="221"/>
      <c r="Q49" s="221"/>
      <c r="R49" s="221"/>
      <c r="S49" s="2"/>
      <c r="T49" s="792" t="s">
        <v>456</v>
      </c>
      <c r="U49" s="793" t="s">
        <v>479</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480</v>
      </c>
      <c r="C50" s="867"/>
      <c r="D50" s="868">
        <f>COUNTA(C52:D62)</f>
        <v>0</v>
      </c>
      <c r="E50" s="831"/>
      <c r="F50" s="831"/>
      <c r="G50" s="831"/>
      <c r="H50" s="831"/>
      <c r="I50" s="770"/>
      <c r="J50" s="770"/>
      <c r="K50" s="769"/>
      <c r="L50" s="798" t="s">
        <v>582</v>
      </c>
      <c r="M50" s="236"/>
      <c r="N50" s="236"/>
      <c r="O50" s="236"/>
      <c r="P50" s="236"/>
      <c r="Q50" s="236"/>
      <c r="R50" s="236"/>
      <c r="S50" s="239"/>
      <c r="U50" s="798" t="s">
        <v>583</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481</v>
      </c>
      <c r="C51" s="853" t="s">
        <v>387</v>
      </c>
      <c r="D51" s="854"/>
      <c r="E51" s="852" t="s">
        <v>482</v>
      </c>
      <c r="F51" s="852" t="s">
        <v>483</v>
      </c>
      <c r="G51" s="852" t="s">
        <v>484</v>
      </c>
      <c r="H51" s="853" t="s">
        <v>485</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486</v>
      </c>
      <c r="M63" s="221"/>
      <c r="N63" s="221"/>
      <c r="O63" s="221"/>
      <c r="P63" s="221"/>
      <c r="Q63" s="221"/>
      <c r="R63" s="221"/>
      <c r="S63" s="2"/>
      <c r="T63" s="792" t="s">
        <v>456</v>
      </c>
      <c r="U63" s="793" t="s">
        <v>487</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488</v>
      </c>
      <c r="C64" s="874"/>
      <c r="D64" s="868">
        <f>COUNTA(C66:D76)</f>
        <v>0</v>
      </c>
      <c r="E64" s="831"/>
      <c r="F64" s="831"/>
      <c r="G64" s="831"/>
      <c r="H64" s="831"/>
      <c r="I64" s="831"/>
      <c r="J64" s="770"/>
      <c r="K64" s="769"/>
      <c r="L64" s="798" t="s">
        <v>584</v>
      </c>
      <c r="M64" s="236"/>
      <c r="N64" s="236"/>
      <c r="O64" s="236"/>
      <c r="P64" s="236"/>
      <c r="Q64" s="236"/>
      <c r="R64" s="236"/>
      <c r="S64" s="239"/>
      <c r="U64" s="798" t="s">
        <v>585</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481</v>
      </c>
      <c r="C65" s="853" t="s">
        <v>387</v>
      </c>
      <c r="D65" s="854"/>
      <c r="E65" s="852" t="s">
        <v>489</v>
      </c>
      <c r="F65" s="853" t="s">
        <v>490</v>
      </c>
      <c r="G65" s="854"/>
      <c r="H65" s="853" t="s">
        <v>485</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586</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491</v>
      </c>
      <c r="M77" s="221"/>
      <c r="N77" s="221"/>
      <c r="O77" s="221"/>
      <c r="P77" s="221"/>
      <c r="Q77" s="221"/>
      <c r="R77" s="221"/>
      <c r="S77" s="2"/>
      <c r="T77" s="785"/>
      <c r="U77" s="877" t="s">
        <v>492</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587</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493</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218</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219</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220</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220</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221</v>
      </c>
      <c r="C5" s="72"/>
      <c r="D5" s="291">
        <v>46054.0</v>
      </c>
      <c r="E5" s="72"/>
      <c r="F5" s="292" t="s">
        <v>222</v>
      </c>
      <c r="G5" s="293">
        <f>DAY(EOMONTH(D5,0))</f>
        <v>28</v>
      </c>
      <c r="H5" s="294" t="s">
        <v>223</v>
      </c>
      <c r="I5" s="292" t="s">
        <v>224</v>
      </c>
      <c r="J5" s="295" t="b">
        <v>0</v>
      </c>
      <c r="K5" s="292" t="s">
        <v>225</v>
      </c>
      <c r="L5" s="296" t="b">
        <v>0</v>
      </c>
      <c r="M5" s="297" t="s">
        <v>226</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227</v>
      </c>
      <c r="C6" s="301" t="s">
        <v>228</v>
      </c>
      <c r="D6" s="88"/>
      <c r="E6" s="302" t="s">
        <v>229</v>
      </c>
      <c r="F6" s="72"/>
      <c r="G6" s="303" t="s">
        <v>230</v>
      </c>
      <c r="H6" s="303" t="s">
        <v>231</v>
      </c>
      <c r="I6" s="303" t="s">
        <v>232</v>
      </c>
      <c r="J6" s="303" t="s">
        <v>233</v>
      </c>
      <c r="K6" s="301" t="s">
        <v>234</v>
      </c>
      <c r="L6" s="304" t="s">
        <v>235</v>
      </c>
      <c r="M6" s="305" t="s">
        <v>236</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237</v>
      </c>
      <c r="AW6" s="309" t="s">
        <v>238</v>
      </c>
      <c r="AX6" s="310"/>
      <c r="AY6" s="311" t="s">
        <v>239</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240</v>
      </c>
      <c r="H7" s="319">
        <f t="array" ref="H7">xlookup($D$5,'🌟目標数値'!$A$3:$A$14,'🌟目標数値'!D$3:D14)</f>
        <v>2656884</v>
      </c>
      <c r="I7" s="319" t="s">
        <v>240</v>
      </c>
      <c r="J7" s="320" t="s">
        <v>240</v>
      </c>
      <c r="K7" s="321" t="s">
        <v>240</v>
      </c>
      <c r="L7" s="321" t="s">
        <v>240</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241</v>
      </c>
      <c r="BG7" s="327"/>
      <c r="BL7" s="314"/>
    </row>
    <row r="8" ht="15.75" customHeight="1" outlineLevel="1">
      <c r="B8" s="328" t="s">
        <v>242</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243</v>
      </c>
      <c r="C9" s="344" t="s">
        <v>240</v>
      </c>
      <c r="D9" s="72"/>
      <c r="E9" s="345" t="s">
        <v>240</v>
      </c>
      <c r="F9" s="72"/>
      <c r="G9" s="346" t="s">
        <v>240</v>
      </c>
      <c r="H9" s="347">
        <f>H7/G5*COUNTIFS($E$11:$E$41,"&gt;0")</f>
        <v>2656884</v>
      </c>
      <c r="I9" s="347" t="s">
        <v>240</v>
      </c>
      <c r="J9" s="348" t="s">
        <v>240</v>
      </c>
      <c r="K9" s="349" t="s">
        <v>240</v>
      </c>
      <c r="L9" s="349" t="s">
        <v>240</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245</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246</v>
      </c>
      <c r="C11" s="358" t="s">
        <v>247</v>
      </c>
      <c r="D11" s="359" t="s">
        <v>248</v>
      </c>
      <c r="E11" s="359" t="s">
        <v>249</v>
      </c>
      <c r="F11" s="357" t="s">
        <v>250</v>
      </c>
      <c r="G11" s="360" t="s">
        <v>251</v>
      </c>
      <c r="H11" s="361" t="s">
        <v>252</v>
      </c>
      <c r="I11" s="362" t="s">
        <v>253</v>
      </c>
      <c r="J11" s="362" t="s">
        <v>254</v>
      </c>
      <c r="K11" s="362" t="s">
        <v>255</v>
      </c>
      <c r="L11" s="362" t="s">
        <v>256</v>
      </c>
      <c r="M11" s="361" t="s">
        <v>257</v>
      </c>
      <c r="N11" s="361" t="s">
        <v>258</v>
      </c>
      <c r="O11" s="361" t="s">
        <v>259</v>
      </c>
      <c r="P11" s="357" t="s">
        <v>260</v>
      </c>
      <c r="Q11" s="357" t="s">
        <v>261</v>
      </c>
      <c r="R11" s="357" t="s">
        <v>262</v>
      </c>
      <c r="S11" s="357" t="s">
        <v>263</v>
      </c>
      <c r="T11" s="357" t="s">
        <v>264</v>
      </c>
      <c r="U11" s="357" t="s">
        <v>265</v>
      </c>
      <c r="V11" s="357" t="s">
        <v>266</v>
      </c>
      <c r="W11" s="357" t="s">
        <v>267</v>
      </c>
      <c r="X11" s="357" t="s">
        <v>268</v>
      </c>
      <c r="Y11" s="357" t="s">
        <v>269</v>
      </c>
      <c r="Z11" s="357" t="s">
        <v>270</v>
      </c>
      <c r="AA11" s="357" t="s">
        <v>271</v>
      </c>
      <c r="AB11" s="357" t="s">
        <v>272</v>
      </c>
      <c r="AC11" s="363" t="s">
        <v>273</v>
      </c>
      <c r="AD11" s="364" t="s">
        <v>274</v>
      </c>
      <c r="AE11" s="364" t="s">
        <v>275</v>
      </c>
      <c r="AF11" s="364" t="s">
        <v>276</v>
      </c>
      <c r="AG11" s="363" t="s">
        <v>277</v>
      </c>
      <c r="AH11" s="364" t="s">
        <v>278</v>
      </c>
      <c r="AI11" s="364" t="s">
        <v>279</v>
      </c>
      <c r="AJ11" s="364" t="s">
        <v>280</v>
      </c>
      <c r="AK11" s="364" t="s">
        <v>281</v>
      </c>
      <c r="AL11" s="364" t="s">
        <v>282</v>
      </c>
      <c r="AM11" s="364" t="s">
        <v>283</v>
      </c>
      <c r="AN11" s="364" t="s">
        <v>284</v>
      </c>
      <c r="AO11" s="364" t="s">
        <v>285</v>
      </c>
      <c r="AP11" s="364" t="s">
        <v>286</v>
      </c>
      <c r="AQ11" s="364" t="s">
        <v>287</v>
      </c>
      <c r="AR11" s="364" t="s">
        <v>288</v>
      </c>
      <c r="AS11" s="357" t="s">
        <v>289</v>
      </c>
      <c r="AT11" s="359" t="s">
        <v>290</v>
      </c>
      <c r="AU11" s="365" t="s">
        <v>291</v>
      </c>
      <c r="AV11" s="357" t="s">
        <v>37</v>
      </c>
      <c r="AW11" s="366" t="s">
        <v>292</v>
      </c>
      <c r="AX11" s="367"/>
      <c r="AY11" s="368">
        <f>$D$5</f>
        <v>46054</v>
      </c>
      <c r="BI11" s="204" t="s">
        <v>96</v>
      </c>
      <c r="BJ11" s="204" t="s">
        <v>97</v>
      </c>
      <c r="BL11" s="369" t="s">
        <v>96</v>
      </c>
      <c r="BM11" s="369" t="s">
        <v>293</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294</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295</v>
      </c>
      <c r="AZ13" s="388" t="s">
        <v>296</v>
      </c>
      <c r="BA13" s="388" t="s">
        <v>297</v>
      </c>
      <c r="BB13" s="388" t="s">
        <v>298</v>
      </c>
      <c r="BC13" s="299"/>
      <c r="BD13" s="387" t="s">
        <v>90</v>
      </c>
      <c r="BE13" s="388" t="s">
        <v>299</v>
      </c>
      <c r="BF13" s="388" t="s">
        <v>297</v>
      </c>
      <c r="BG13" s="388" t="s">
        <v>298</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300</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301</v>
      </c>
      <c r="AZ20" s="408">
        <f>IFERROR(__xludf.DUMMYFUNCTION("IMPORTRANGE(""https://docs.google.com/spreadsheets/d/1QbHfX9wvC_RRupa4CCe_ZxA6O4e2Ap9vqX5hrZPeQRg/edit?gid=284905409#gid=284905409"",""date2_1!B6"")/G5*COUNTIFS($E$13:$E$43,""&gt;0"")+sum(AZ14:BA19)"),483560.0)</f>
        <v>483560</v>
      </c>
      <c r="BA20" s="409"/>
      <c r="BB20" s="410"/>
      <c r="BC20" s="285"/>
      <c r="BD20" s="407" t="s">
        <v>301</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302</v>
      </c>
      <c r="AZ22" s="412"/>
      <c r="BA22" s="412"/>
      <c r="BB22" s="413" t="s">
        <v>303</v>
      </c>
      <c r="BC22" s="299"/>
      <c r="BD22" s="414"/>
      <c r="BE22" s="413" t="s">
        <v>304</v>
      </c>
      <c r="BF22" s="413" t="s">
        <v>305</v>
      </c>
      <c r="BG22" s="413" t="s">
        <v>301</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306</v>
      </c>
      <c r="AZ23" s="416">
        <f>AR44</f>
        <v>0</v>
      </c>
      <c r="BA23" s="72"/>
      <c r="BB23" s="417">
        <f>AZ23-AZ24</f>
        <v>0</v>
      </c>
      <c r="BC23" s="285"/>
      <c r="BD23" s="418" t="s">
        <v>307</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308</v>
      </c>
      <c r="AZ24" s="416">
        <f>BE36</f>
        <v>0</v>
      </c>
      <c r="BA24" s="72"/>
      <c r="BB24" s="420"/>
      <c r="BC24" s="285"/>
      <c r="BD24" s="415" t="s">
        <v>309</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310</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311</v>
      </c>
      <c r="AZ29" s="426" t="s">
        <v>231</v>
      </c>
      <c r="BA29" s="426" t="s">
        <v>312</v>
      </c>
      <c r="BB29" s="426" t="s">
        <v>313</v>
      </c>
      <c r="BC29" s="285"/>
      <c r="BD29" s="427" t="s">
        <v>314</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315</v>
      </c>
      <c r="AZ30" s="419">
        <f>AS46</f>
        <v>2471230</v>
      </c>
      <c r="BA30" s="430" t="s">
        <v>240</v>
      </c>
      <c r="BB30" s="417">
        <f>SUM(AZ30:AZ36)</f>
        <v>2842630</v>
      </c>
      <c r="BC30" s="285"/>
      <c r="BD30" s="431" t="s">
        <v>316</v>
      </c>
      <c r="BE30" s="432" t="s">
        <v>317</v>
      </c>
      <c r="BF30" s="432" t="s">
        <v>318</v>
      </c>
      <c r="BG30" s="433" t="s">
        <v>301</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319</v>
      </c>
      <c r="AZ31" s="419">
        <f t="shared" ref="AZ31:AZ33" si="9">BA31/$G$5*COUNTIFS($E$13:$E$43,"&gt;0")</f>
        <v>152000</v>
      </c>
      <c r="BA31" s="435">
        <v>152000.0</v>
      </c>
      <c r="BB31" s="420"/>
      <c r="BC31" s="285"/>
      <c r="BD31" s="436" t="s">
        <v>320</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321</v>
      </c>
      <c r="AZ32" s="419">
        <f t="shared" si="9"/>
        <v>68400</v>
      </c>
      <c r="BA32" s="435">
        <v>68400.0</v>
      </c>
      <c r="BB32" s="420"/>
      <c r="BC32" s="285"/>
      <c r="BD32" s="436" t="s">
        <v>322</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323</v>
      </c>
      <c r="AZ33" s="419">
        <f t="shared" si="9"/>
        <v>76000</v>
      </c>
      <c r="BA33" s="435">
        <v>76000.0</v>
      </c>
      <c r="BB33" s="420"/>
      <c r="BC33" s="285"/>
      <c r="BD33" s="439" t="s">
        <v>324</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325</v>
      </c>
      <c r="AZ36" s="398">
        <f>BB40-BG40</f>
        <v>75000</v>
      </c>
      <c r="BA36" s="398"/>
      <c r="BB36" s="211"/>
      <c r="BC36" s="285"/>
      <c r="BD36" s="407" t="s">
        <v>301</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326</v>
      </c>
      <c r="AZ38" s="443"/>
      <c r="BA38" s="285"/>
      <c r="BB38" s="367"/>
      <c r="BC38" s="285"/>
      <c r="BD38" s="285" t="s">
        <v>327</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311</v>
      </c>
      <c r="AZ39" s="426" t="s">
        <v>231</v>
      </c>
      <c r="BA39" s="426" t="s">
        <v>328</v>
      </c>
      <c r="BB39" s="426" t="s">
        <v>313</v>
      </c>
      <c r="BC39" s="299"/>
      <c r="BD39" s="425" t="s">
        <v>329</v>
      </c>
      <c r="BE39" s="426" t="s">
        <v>330</v>
      </c>
      <c r="BF39" s="426" t="s">
        <v>328</v>
      </c>
      <c r="BG39" s="426" t="s">
        <v>301</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588</v>
      </c>
      <c r="AZ40" s="435">
        <v>180000.0</v>
      </c>
      <c r="BA40" s="882" t="s">
        <v>52</v>
      </c>
      <c r="BB40" s="417">
        <f>SUM(AZ40:AZ45)</f>
        <v>180000</v>
      </c>
      <c r="BC40" s="285"/>
      <c r="BD40" s="881" t="s">
        <v>588</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301</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317</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331</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332</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333</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335</v>
      </c>
      <c r="M2" s="505"/>
      <c r="N2" s="506" t="s">
        <v>589</v>
      </c>
      <c r="O2" s="507"/>
      <c r="P2" s="508"/>
      <c r="Q2" s="509"/>
      <c r="R2" s="509"/>
      <c r="S2" s="510"/>
      <c r="T2" s="509"/>
      <c r="U2" s="509"/>
      <c r="V2" s="509"/>
      <c r="W2" s="509"/>
      <c r="X2" s="509"/>
      <c r="Y2" s="511"/>
      <c r="Z2" s="270"/>
      <c r="AA2" s="270"/>
      <c r="AB2" s="270"/>
      <c r="AC2" s="270"/>
      <c r="AD2" s="270"/>
      <c r="AE2" s="270"/>
      <c r="AF2" s="512"/>
      <c r="AG2" s="513"/>
      <c r="AH2" s="514"/>
      <c r="AI2" s="515" t="s">
        <v>590</v>
      </c>
      <c r="AJ2" s="270"/>
      <c r="AS2" s="270"/>
      <c r="AT2" s="516" t="s">
        <v>338</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339</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340</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301</v>
      </c>
      <c r="BI3" s="189"/>
      <c r="BJ3" s="536" t="s">
        <v>341</v>
      </c>
      <c r="BK3" s="2"/>
      <c r="BL3" s="537">
        <v>46113.0</v>
      </c>
      <c r="BT3" s="189"/>
      <c r="BU3" s="189"/>
      <c r="BV3" s="189"/>
      <c r="BW3" s="189"/>
      <c r="BX3" s="189"/>
    </row>
    <row r="4" ht="18.0" customHeight="1">
      <c r="A4" s="502"/>
      <c r="B4" s="538" t="s">
        <v>342</v>
      </c>
      <c r="C4" s="539"/>
      <c r="D4" s="540"/>
      <c r="E4" s="541" t="s">
        <v>343</v>
      </c>
      <c r="F4" s="501"/>
      <c r="G4" s="502"/>
      <c r="H4" s="502"/>
      <c r="I4" s="542" t="s">
        <v>344</v>
      </c>
      <c r="J4" s="2"/>
      <c r="K4" s="543" t="s">
        <v>345</v>
      </c>
      <c r="L4" s="544"/>
      <c r="M4" s="545" t="s">
        <v>346</v>
      </c>
      <c r="N4" s="546"/>
      <c r="O4" s="547"/>
      <c r="P4" s="548" t="s">
        <v>347</v>
      </c>
      <c r="Q4" s="549" t="s">
        <v>348</v>
      </c>
      <c r="R4" s="547"/>
      <c r="S4" s="547"/>
      <c r="T4" s="548" t="s">
        <v>349</v>
      </c>
      <c r="U4" s="549" t="s">
        <v>350</v>
      </c>
      <c r="V4" s="547"/>
      <c r="W4" s="547"/>
      <c r="X4" s="550" t="s">
        <v>161</v>
      </c>
      <c r="Y4" s="549" t="s">
        <v>351</v>
      </c>
      <c r="Z4" s="547"/>
      <c r="AA4" s="547"/>
      <c r="AB4" s="551" t="s">
        <v>352</v>
      </c>
      <c r="AC4" s="549" t="s">
        <v>353</v>
      </c>
      <c r="AD4" s="547"/>
      <c r="AE4" s="547"/>
      <c r="AF4" s="552" t="s">
        <v>354</v>
      </c>
      <c r="AG4" s="549" t="s">
        <v>355</v>
      </c>
      <c r="AH4" s="547"/>
      <c r="AI4" s="547"/>
      <c r="AJ4" s="552" t="s">
        <v>356</v>
      </c>
      <c r="AK4" s="549" t="s">
        <v>357</v>
      </c>
      <c r="AL4" s="547"/>
      <c r="AM4" s="553"/>
      <c r="AN4" s="554"/>
      <c r="AO4" s="554"/>
      <c r="AP4" s="528"/>
      <c r="AQ4" s="555"/>
      <c r="AR4" s="530"/>
      <c r="AS4" s="189"/>
      <c r="AT4" s="556" t="s">
        <v>497</v>
      </c>
      <c r="AU4" s="557" t="s">
        <v>182</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359</v>
      </c>
      <c r="BK4" s="239"/>
      <c r="BL4" s="537">
        <v>46143.0</v>
      </c>
      <c r="BT4" s="494"/>
      <c r="BU4" s="494"/>
      <c r="BV4" s="494"/>
      <c r="BW4" s="494"/>
      <c r="BX4" s="494"/>
    </row>
    <row r="5" ht="19.5" customHeight="1">
      <c r="A5" s="502"/>
      <c r="B5" s="562" t="s">
        <v>360</v>
      </c>
      <c r="C5" s="563"/>
      <c r="D5" s="502"/>
      <c r="E5" s="564" t="s">
        <v>361</v>
      </c>
      <c r="F5" s="563"/>
      <c r="G5" s="502"/>
      <c r="H5" s="502"/>
      <c r="I5" s="565" t="b">
        <v>0</v>
      </c>
      <c r="J5" s="2"/>
      <c r="K5" s="566"/>
      <c r="L5" s="567"/>
      <c r="M5" s="568" t="s">
        <v>362</v>
      </c>
      <c r="N5" s="569"/>
      <c r="O5" s="547"/>
      <c r="P5" s="570" t="s">
        <v>363</v>
      </c>
      <c r="Q5" s="549" t="s">
        <v>364</v>
      </c>
      <c r="R5" s="547"/>
      <c r="S5" s="547"/>
      <c r="T5" s="570" t="s">
        <v>365</v>
      </c>
      <c r="U5" s="549" t="s">
        <v>366</v>
      </c>
      <c r="V5" s="547"/>
      <c r="W5" s="547"/>
      <c r="X5" s="570" t="s">
        <v>367</v>
      </c>
      <c r="Y5" s="549" t="s">
        <v>368</v>
      </c>
      <c r="Z5" s="547"/>
      <c r="AA5" s="547"/>
      <c r="AB5" s="570" t="s">
        <v>369</v>
      </c>
      <c r="AC5" s="549" t="s">
        <v>370</v>
      </c>
      <c r="AD5" s="547"/>
      <c r="AE5" s="547"/>
      <c r="AF5" s="570" t="s">
        <v>371</v>
      </c>
      <c r="AG5" s="549" t="s">
        <v>372</v>
      </c>
      <c r="AH5" s="547"/>
      <c r="AI5" s="547"/>
      <c r="AJ5" s="570" t="s">
        <v>373</v>
      </c>
      <c r="AK5" s="549" t="s">
        <v>374</v>
      </c>
      <c r="AL5" s="547"/>
      <c r="AM5" s="553"/>
      <c r="AN5" s="554"/>
      <c r="AO5" s="554"/>
      <c r="AP5" s="528"/>
      <c r="AQ5" s="555"/>
      <c r="AR5" s="530"/>
      <c r="AS5" s="189"/>
      <c r="AT5" s="556" t="s">
        <v>100</v>
      </c>
      <c r="AU5" s="557" t="s">
        <v>183</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375</v>
      </c>
      <c r="J7" s="590" t="s">
        <v>376</v>
      </c>
      <c r="K7" s="591">
        <v>46054.0</v>
      </c>
      <c r="L7" s="592" t="s">
        <v>377</v>
      </c>
      <c r="M7" s="593" t="s">
        <v>378</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379</v>
      </c>
      <c r="AT7" s="597" t="s">
        <v>380</v>
      </c>
      <c r="AU7" s="598" t="s">
        <v>81</v>
      </c>
      <c r="AV7" s="598" t="s">
        <v>381</v>
      </c>
      <c r="AW7" s="598" t="s">
        <v>382</v>
      </c>
      <c r="AX7" s="598" t="s">
        <v>383</v>
      </c>
      <c r="AY7" s="598" t="s">
        <v>384</v>
      </c>
      <c r="AZ7" s="598" t="s">
        <v>385</v>
      </c>
      <c r="BA7" s="598" t="s">
        <v>82</v>
      </c>
      <c r="BB7" s="599" t="s">
        <v>298</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248</v>
      </c>
      <c r="C8" s="601" t="str">
        <f>TEXT(B7,"ddd")</f>
        <v>木</v>
      </c>
      <c r="D8" s="114"/>
      <c r="E8" s="602" t="s">
        <v>248</v>
      </c>
      <c r="F8" s="603" t="str">
        <f>TEXT(E7,"ddd")</f>
        <v>金</v>
      </c>
      <c r="G8" s="189"/>
      <c r="H8" s="189"/>
      <c r="I8" s="589"/>
      <c r="J8" s="604" t="s">
        <v>386</v>
      </c>
      <c r="K8" s="592" t="s">
        <v>387</v>
      </c>
      <c r="L8" s="605" t="s">
        <v>388</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389</v>
      </c>
      <c r="L9" s="611" t="s">
        <v>390</v>
      </c>
      <c r="M9" s="612" t="s">
        <v>391</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390</v>
      </c>
      <c r="AT9" s="614" t="s">
        <v>390</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392</v>
      </c>
      <c r="L10" s="611" t="s">
        <v>390</v>
      </c>
      <c r="M10" s="612" t="s">
        <v>393</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390</v>
      </c>
      <c r="AT10" s="614" t="s">
        <v>390</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394</v>
      </c>
      <c r="M11" s="617"/>
      <c r="N11" s="618" t="s">
        <v>347</v>
      </c>
      <c r="O11" s="618"/>
      <c r="P11" s="618"/>
      <c r="Q11" s="618" t="s">
        <v>347</v>
      </c>
      <c r="R11" s="618" t="s">
        <v>347</v>
      </c>
      <c r="S11" s="618" t="s">
        <v>347</v>
      </c>
      <c r="T11" s="618" t="s">
        <v>347</v>
      </c>
      <c r="U11" s="618"/>
      <c r="V11" s="618" t="s">
        <v>347</v>
      </c>
      <c r="W11" s="618" t="s">
        <v>347</v>
      </c>
      <c r="X11" s="618" t="s">
        <v>347</v>
      </c>
      <c r="Y11" s="618" t="s">
        <v>347</v>
      </c>
      <c r="Z11" s="618" t="s">
        <v>347</v>
      </c>
      <c r="AA11" s="618" t="s">
        <v>347</v>
      </c>
      <c r="AB11" s="618"/>
      <c r="AC11" s="618"/>
      <c r="AD11" s="618"/>
      <c r="AE11" s="618" t="s">
        <v>347</v>
      </c>
      <c r="AF11" s="618" t="s">
        <v>347</v>
      </c>
      <c r="AG11" s="618" t="s">
        <v>347</v>
      </c>
      <c r="AH11" s="618" t="s">
        <v>347</v>
      </c>
      <c r="AI11" s="618" t="s">
        <v>347</v>
      </c>
      <c r="AJ11" s="618"/>
      <c r="AK11" s="618"/>
      <c r="AL11" s="618" t="s">
        <v>347</v>
      </c>
      <c r="AM11" s="618" t="s">
        <v>347</v>
      </c>
      <c r="AN11" s="618" t="s">
        <v>347</v>
      </c>
      <c r="AO11" s="618" t="s">
        <v>347</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300</v>
      </c>
      <c r="L12" s="611" t="s">
        <v>395</v>
      </c>
      <c r="M12" s="617"/>
      <c r="N12" s="618" t="s">
        <v>363</v>
      </c>
      <c r="O12" s="618" t="s">
        <v>347</v>
      </c>
      <c r="P12" s="618" t="s">
        <v>347</v>
      </c>
      <c r="Q12" s="618" t="s">
        <v>363</v>
      </c>
      <c r="R12" s="618" t="s">
        <v>396</v>
      </c>
      <c r="S12" s="618" t="s">
        <v>396</v>
      </c>
      <c r="T12" s="618" t="s">
        <v>363</v>
      </c>
      <c r="U12" s="618" t="s">
        <v>347</v>
      </c>
      <c r="V12" s="618" t="s">
        <v>396</v>
      </c>
      <c r="W12" s="618" t="s">
        <v>347</v>
      </c>
      <c r="X12" s="618" t="s">
        <v>591</v>
      </c>
      <c r="Y12" s="618" t="s">
        <v>396</v>
      </c>
      <c r="Z12" s="618" t="s">
        <v>396</v>
      </c>
      <c r="AA12" s="618" t="s">
        <v>363</v>
      </c>
      <c r="AB12" s="618" t="s">
        <v>347</v>
      </c>
      <c r="AC12" s="618" t="s">
        <v>347</v>
      </c>
      <c r="AD12" s="618" t="s">
        <v>347</v>
      </c>
      <c r="AE12" s="618" t="s">
        <v>363</v>
      </c>
      <c r="AF12" s="618" t="s">
        <v>396</v>
      </c>
      <c r="AG12" s="618" t="s">
        <v>396</v>
      </c>
      <c r="AH12" s="618" t="s">
        <v>363</v>
      </c>
      <c r="AI12" s="618" t="s">
        <v>347</v>
      </c>
      <c r="AJ12" s="618" t="s">
        <v>347</v>
      </c>
      <c r="AK12" s="618" t="s">
        <v>347</v>
      </c>
      <c r="AL12" s="618" t="s">
        <v>592</v>
      </c>
      <c r="AM12" s="618" t="s">
        <v>396</v>
      </c>
      <c r="AN12" s="618" t="s">
        <v>363</v>
      </c>
      <c r="AO12" s="618" t="s">
        <v>396</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510</v>
      </c>
      <c r="L13" s="611" t="s">
        <v>416</v>
      </c>
      <c r="M13" s="612" t="s">
        <v>499</v>
      </c>
      <c r="N13" s="618"/>
      <c r="O13" s="618"/>
      <c r="P13" s="618"/>
      <c r="Q13" s="618"/>
      <c r="R13" s="618"/>
      <c r="S13" s="618"/>
      <c r="T13" s="618" t="s">
        <v>161</v>
      </c>
      <c r="U13" s="618" t="s">
        <v>161</v>
      </c>
      <c r="V13" s="618"/>
      <c r="W13" s="618"/>
      <c r="X13" s="618"/>
      <c r="Y13" s="618"/>
      <c r="Z13" s="618"/>
      <c r="AA13" s="618" t="s">
        <v>161</v>
      </c>
      <c r="AB13" s="618" t="s">
        <v>161</v>
      </c>
      <c r="AC13" s="618"/>
      <c r="AD13" s="618"/>
      <c r="AE13" s="618"/>
      <c r="AF13" s="618"/>
      <c r="AG13" s="618"/>
      <c r="AH13" s="618" t="s">
        <v>161</v>
      </c>
      <c r="AI13" s="618" t="s">
        <v>161</v>
      </c>
      <c r="AJ13" s="618"/>
      <c r="AK13" s="618"/>
      <c r="AL13" s="618"/>
      <c r="AM13" s="618"/>
      <c r="AN13" s="618"/>
      <c r="AO13" s="618" t="s">
        <v>161</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501</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399</v>
      </c>
      <c r="L41" s="611" t="s">
        <v>400</v>
      </c>
      <c r="M41" s="612" t="s">
        <v>161</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390</v>
      </c>
      <c r="AT41" s="618" t="s">
        <v>390</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401</v>
      </c>
      <c r="L42" s="611" t="s">
        <v>400</v>
      </c>
      <c r="M42" s="612" t="s">
        <v>352</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390</v>
      </c>
      <c r="AT42" s="618" t="s">
        <v>390</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402</v>
      </c>
      <c r="L43" s="628" t="s">
        <v>403</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390</v>
      </c>
      <c r="AT43" s="618" t="s">
        <v>390</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404</v>
      </c>
      <c r="L44" s="611" t="s">
        <v>403</v>
      </c>
      <c r="M44" s="612" t="s">
        <v>405</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390</v>
      </c>
      <c r="AT44" s="618" t="s">
        <v>390</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406</v>
      </c>
      <c r="L45" s="611" t="s">
        <v>407</v>
      </c>
      <c r="M45" s="617"/>
      <c r="N45" s="618" t="s">
        <v>161</v>
      </c>
      <c r="O45" s="618" t="s">
        <v>161</v>
      </c>
      <c r="P45" s="618"/>
      <c r="Q45" s="618" t="s">
        <v>161</v>
      </c>
      <c r="R45" s="618"/>
      <c r="S45" s="618" t="s">
        <v>161</v>
      </c>
      <c r="T45" s="618" t="s">
        <v>161</v>
      </c>
      <c r="U45" s="618"/>
      <c r="V45" s="618" t="s">
        <v>161</v>
      </c>
      <c r="W45" s="618"/>
      <c r="X45" s="618" t="s">
        <v>161</v>
      </c>
      <c r="Y45" s="618"/>
      <c r="Z45" s="618" t="s">
        <v>161</v>
      </c>
      <c r="AA45" s="618" t="s">
        <v>161</v>
      </c>
      <c r="AB45" s="618" t="s">
        <v>161</v>
      </c>
      <c r="AC45" s="618" t="s">
        <v>161</v>
      </c>
      <c r="AD45" s="618"/>
      <c r="AE45" s="618" t="s">
        <v>161</v>
      </c>
      <c r="AF45" s="618"/>
      <c r="AG45" s="618" t="s">
        <v>161</v>
      </c>
      <c r="AH45" s="618" t="s">
        <v>161</v>
      </c>
      <c r="AI45" s="618" t="s">
        <v>161</v>
      </c>
      <c r="AJ45" s="618" t="s">
        <v>161</v>
      </c>
      <c r="AK45" s="618"/>
      <c r="AL45" s="618" t="s">
        <v>161</v>
      </c>
      <c r="AM45" s="618"/>
      <c r="AN45" s="618" t="s">
        <v>161</v>
      </c>
      <c r="AO45" s="618" t="s">
        <v>161</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408</v>
      </c>
      <c r="L46" s="611" t="s">
        <v>407</v>
      </c>
      <c r="M46" s="617"/>
      <c r="N46" s="618" t="s">
        <v>161</v>
      </c>
      <c r="O46" s="618" t="s">
        <v>161</v>
      </c>
      <c r="P46" s="618" t="s">
        <v>161</v>
      </c>
      <c r="Q46" s="618" t="s">
        <v>161</v>
      </c>
      <c r="R46" s="618"/>
      <c r="S46" s="618"/>
      <c r="T46" s="618"/>
      <c r="U46" s="618" t="s">
        <v>161</v>
      </c>
      <c r="V46" s="618" t="s">
        <v>161</v>
      </c>
      <c r="W46" s="618" t="s">
        <v>161</v>
      </c>
      <c r="X46" s="618" t="s">
        <v>161</v>
      </c>
      <c r="Y46" s="618"/>
      <c r="Z46" s="618"/>
      <c r="AA46" s="618"/>
      <c r="AB46" s="618" t="s">
        <v>161</v>
      </c>
      <c r="AC46" s="618" t="s">
        <v>161</v>
      </c>
      <c r="AD46" s="618" t="s">
        <v>161</v>
      </c>
      <c r="AE46" s="618" t="s">
        <v>161</v>
      </c>
      <c r="AF46" s="618"/>
      <c r="AG46" s="618"/>
      <c r="AH46" s="618"/>
      <c r="AI46" s="618" t="s">
        <v>161</v>
      </c>
      <c r="AJ46" s="618" t="s">
        <v>161</v>
      </c>
      <c r="AK46" s="618" t="s">
        <v>161</v>
      </c>
      <c r="AL46" s="618" t="s">
        <v>161</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407</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409</v>
      </c>
      <c r="L48" s="611" t="s">
        <v>407</v>
      </c>
      <c r="M48" s="617"/>
      <c r="N48" s="618"/>
      <c r="O48" s="618"/>
      <c r="P48" s="618"/>
      <c r="Q48" s="618"/>
      <c r="R48" s="618" t="s">
        <v>161</v>
      </c>
      <c r="S48" s="618" t="s">
        <v>161</v>
      </c>
      <c r="T48" s="618" t="s">
        <v>161</v>
      </c>
      <c r="U48" s="618"/>
      <c r="V48" s="618"/>
      <c r="W48" s="618"/>
      <c r="X48" s="618"/>
      <c r="Y48" s="618" t="s">
        <v>161</v>
      </c>
      <c r="Z48" s="618" t="s">
        <v>161</v>
      </c>
      <c r="AA48" s="618" t="s">
        <v>161</v>
      </c>
      <c r="AB48" s="618"/>
      <c r="AC48" s="618"/>
      <c r="AD48" s="618"/>
      <c r="AE48" s="618"/>
      <c r="AF48" s="618" t="s">
        <v>161</v>
      </c>
      <c r="AG48" s="618" t="s">
        <v>161</v>
      </c>
      <c r="AH48" s="618" t="s">
        <v>161</v>
      </c>
      <c r="AI48" s="618"/>
      <c r="AJ48" s="618"/>
      <c r="AK48" s="618"/>
      <c r="AL48" s="618"/>
      <c r="AM48" s="618" t="s">
        <v>161</v>
      </c>
      <c r="AN48" s="618" t="s">
        <v>161</v>
      </c>
      <c r="AO48" s="618" t="s">
        <v>161</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407</v>
      </c>
      <c r="M49" s="617"/>
      <c r="N49" s="618" t="s">
        <v>161</v>
      </c>
      <c r="O49" s="618" t="s">
        <v>161</v>
      </c>
      <c r="P49" s="618" t="s">
        <v>161</v>
      </c>
      <c r="Q49" s="618"/>
      <c r="R49" s="618"/>
      <c r="S49" s="618"/>
      <c r="T49" s="618"/>
      <c r="U49" s="618" t="s">
        <v>161</v>
      </c>
      <c r="V49" s="618" t="s">
        <v>161</v>
      </c>
      <c r="W49" s="618" t="s">
        <v>161</v>
      </c>
      <c r="X49" s="618"/>
      <c r="Y49" s="618"/>
      <c r="Z49" s="618"/>
      <c r="AA49" s="618"/>
      <c r="AB49" s="618" t="s">
        <v>161</v>
      </c>
      <c r="AC49" s="618" t="s">
        <v>161</v>
      </c>
      <c r="AD49" s="618" t="s">
        <v>161</v>
      </c>
      <c r="AE49" s="618"/>
      <c r="AF49" s="618"/>
      <c r="AG49" s="618"/>
      <c r="AH49" s="618"/>
      <c r="AI49" s="618" t="s">
        <v>161</v>
      </c>
      <c r="AJ49" s="618" t="s">
        <v>161</v>
      </c>
      <c r="AK49" s="618" t="s">
        <v>161</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593</v>
      </c>
      <c r="L50" s="611" t="s">
        <v>407</v>
      </c>
      <c r="M50" s="612" t="s">
        <v>594</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410</v>
      </c>
      <c r="L51" s="611" t="s">
        <v>407</v>
      </c>
      <c r="M51" s="612" t="s">
        <v>595</v>
      </c>
      <c r="N51" s="618"/>
      <c r="O51" s="618"/>
      <c r="P51" s="618"/>
      <c r="Q51" s="618"/>
      <c r="R51" s="618"/>
      <c r="S51" s="618"/>
      <c r="T51" s="618" t="s">
        <v>369</v>
      </c>
      <c r="U51" s="618"/>
      <c r="V51" s="618"/>
      <c r="W51" s="618"/>
      <c r="X51" s="618"/>
      <c r="Y51" s="618"/>
      <c r="Z51" s="618"/>
      <c r="AA51" s="618" t="s">
        <v>369</v>
      </c>
      <c r="AB51" s="618"/>
      <c r="AC51" s="618"/>
      <c r="AD51" s="618"/>
      <c r="AE51" s="618"/>
      <c r="AF51" s="618"/>
      <c r="AG51" s="618"/>
      <c r="AH51" s="618" t="s">
        <v>161</v>
      </c>
      <c r="AI51" s="618"/>
      <c r="AJ51" s="618"/>
      <c r="AK51" s="618"/>
      <c r="AL51" s="618"/>
      <c r="AM51" s="618"/>
      <c r="AN51" s="618"/>
      <c r="AO51" s="618" t="s">
        <v>161</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411</v>
      </c>
      <c r="L52" s="611" t="s">
        <v>407</v>
      </c>
      <c r="M52" s="612"/>
      <c r="N52" s="618" t="s">
        <v>161</v>
      </c>
      <c r="O52" s="618"/>
      <c r="P52" s="618"/>
      <c r="Q52" s="618"/>
      <c r="R52" s="618"/>
      <c r="S52" s="618"/>
      <c r="T52" s="618" t="s">
        <v>161</v>
      </c>
      <c r="U52" s="618" t="s">
        <v>161</v>
      </c>
      <c r="V52" s="618"/>
      <c r="W52" s="618"/>
      <c r="X52" s="618"/>
      <c r="Y52" s="618"/>
      <c r="Z52" s="618"/>
      <c r="AA52" s="618" t="s">
        <v>161</v>
      </c>
      <c r="AB52" s="618" t="s">
        <v>161</v>
      </c>
      <c r="AC52" s="618"/>
      <c r="AD52" s="618"/>
      <c r="AE52" s="618"/>
      <c r="AF52" s="618"/>
      <c r="AG52" s="618"/>
      <c r="AH52" s="618" t="s">
        <v>161</v>
      </c>
      <c r="AI52" s="618" t="s">
        <v>161</v>
      </c>
      <c r="AJ52" s="618"/>
      <c r="AK52" s="618"/>
      <c r="AL52" s="618"/>
      <c r="AM52" s="618"/>
      <c r="AN52" s="618"/>
      <c r="AO52" s="618" t="s">
        <v>161</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412</v>
      </c>
      <c r="L53" s="611" t="s">
        <v>407</v>
      </c>
      <c r="M53" s="612"/>
      <c r="N53" s="618" t="s">
        <v>161</v>
      </c>
      <c r="O53" s="618"/>
      <c r="P53" s="618"/>
      <c r="Q53" s="618"/>
      <c r="R53" s="618" t="s">
        <v>161</v>
      </c>
      <c r="S53" s="618"/>
      <c r="T53" s="618" t="s">
        <v>161</v>
      </c>
      <c r="U53" s="618" t="s">
        <v>161</v>
      </c>
      <c r="V53" s="618"/>
      <c r="W53" s="618"/>
      <c r="X53" s="618"/>
      <c r="Y53" s="618" t="s">
        <v>161</v>
      </c>
      <c r="Z53" s="618"/>
      <c r="AA53" s="618" t="s">
        <v>161</v>
      </c>
      <c r="AB53" s="618" t="s">
        <v>161</v>
      </c>
      <c r="AC53" s="618"/>
      <c r="AD53" s="618"/>
      <c r="AE53" s="618"/>
      <c r="AF53" s="618" t="s">
        <v>161</v>
      </c>
      <c r="AG53" s="618"/>
      <c r="AH53" s="618" t="s">
        <v>161</v>
      </c>
      <c r="AI53" s="618" t="s">
        <v>161</v>
      </c>
      <c r="AJ53" s="618"/>
      <c r="AK53" s="618"/>
      <c r="AL53" s="618"/>
      <c r="AM53" s="618" t="s">
        <v>161</v>
      </c>
      <c r="AN53" s="618"/>
      <c r="AO53" s="618" t="s">
        <v>161</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407</v>
      </c>
      <c r="M54" s="617"/>
      <c r="N54" s="618" t="s">
        <v>161</v>
      </c>
      <c r="O54" s="618"/>
      <c r="P54" s="618"/>
      <c r="Q54" s="618"/>
      <c r="R54" s="618" t="s">
        <v>161</v>
      </c>
      <c r="S54" s="618" t="s">
        <v>161</v>
      </c>
      <c r="T54" s="618" t="s">
        <v>161</v>
      </c>
      <c r="U54" s="618" t="s">
        <v>161</v>
      </c>
      <c r="V54" s="618"/>
      <c r="W54" s="618"/>
      <c r="X54" s="618"/>
      <c r="Y54" s="618" t="s">
        <v>161</v>
      </c>
      <c r="Z54" s="618" t="s">
        <v>161</v>
      </c>
      <c r="AA54" s="618" t="s">
        <v>161</v>
      </c>
      <c r="AB54" s="618" t="s">
        <v>161</v>
      </c>
      <c r="AC54" s="618"/>
      <c r="AD54" s="618"/>
      <c r="AE54" s="618"/>
      <c r="AF54" s="618" t="s">
        <v>161</v>
      </c>
      <c r="AG54" s="618" t="s">
        <v>161</v>
      </c>
      <c r="AH54" s="618" t="s">
        <v>161</v>
      </c>
      <c r="AI54" s="618" t="s">
        <v>161</v>
      </c>
      <c r="AJ54" s="618"/>
      <c r="AK54" s="618"/>
      <c r="AL54" s="618"/>
      <c r="AM54" s="618" t="s">
        <v>161</v>
      </c>
      <c r="AN54" s="618" t="s">
        <v>161</v>
      </c>
      <c r="AO54" s="618" t="s">
        <v>161</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413</v>
      </c>
      <c r="L55" s="611" t="s">
        <v>407</v>
      </c>
      <c r="M55" s="617"/>
      <c r="N55" s="618"/>
      <c r="O55" s="618"/>
      <c r="P55" s="618"/>
      <c r="Q55" s="618"/>
      <c r="R55" s="618" t="s">
        <v>161</v>
      </c>
      <c r="S55" s="618" t="s">
        <v>161</v>
      </c>
      <c r="T55" s="618"/>
      <c r="U55" s="618" t="s">
        <v>161</v>
      </c>
      <c r="V55" s="618"/>
      <c r="W55" s="618"/>
      <c r="X55" s="618"/>
      <c r="Y55" s="618" t="s">
        <v>161</v>
      </c>
      <c r="Z55" s="618" t="s">
        <v>161</v>
      </c>
      <c r="AA55" s="618"/>
      <c r="AB55" s="618"/>
      <c r="AC55" s="618"/>
      <c r="AD55" s="618"/>
      <c r="AE55" s="618"/>
      <c r="AF55" s="618" t="s">
        <v>161</v>
      </c>
      <c r="AG55" s="618" t="s">
        <v>161</v>
      </c>
      <c r="AH55" s="618"/>
      <c r="AI55" s="618"/>
      <c r="AJ55" s="618"/>
      <c r="AK55" s="618"/>
      <c r="AL55" s="618"/>
      <c r="AM55" s="618" t="s">
        <v>161</v>
      </c>
      <c r="AN55" s="618" t="s">
        <v>161</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142</v>
      </c>
      <c r="L56" s="611" t="s">
        <v>407</v>
      </c>
      <c r="M56" s="617"/>
      <c r="N56" s="618"/>
      <c r="O56" s="618" t="s">
        <v>161</v>
      </c>
      <c r="P56" s="618" t="s">
        <v>161</v>
      </c>
      <c r="Q56" s="618" t="s">
        <v>161</v>
      </c>
      <c r="R56" s="618" t="s">
        <v>161</v>
      </c>
      <c r="S56" s="618"/>
      <c r="T56" s="618"/>
      <c r="U56" s="618"/>
      <c r="V56" s="618" t="s">
        <v>161</v>
      </c>
      <c r="W56" s="618" t="s">
        <v>161</v>
      </c>
      <c r="X56" s="618" t="s">
        <v>161</v>
      </c>
      <c r="Y56" s="618" t="s">
        <v>161</v>
      </c>
      <c r="Z56" s="618"/>
      <c r="AA56" s="618"/>
      <c r="AB56" s="618"/>
      <c r="AC56" s="618" t="s">
        <v>161</v>
      </c>
      <c r="AD56" s="618" t="s">
        <v>161</v>
      </c>
      <c r="AE56" s="618" t="s">
        <v>161</v>
      </c>
      <c r="AF56" s="618" t="s">
        <v>161</v>
      </c>
      <c r="AG56" s="618"/>
      <c r="AH56" s="618"/>
      <c r="AI56" s="618"/>
      <c r="AJ56" s="618" t="s">
        <v>161</v>
      </c>
      <c r="AK56" s="618" t="s">
        <v>161</v>
      </c>
      <c r="AL56" s="618" t="s">
        <v>161</v>
      </c>
      <c r="AM56" s="618" t="s">
        <v>161</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414</v>
      </c>
      <c r="L57" s="611" t="s">
        <v>407</v>
      </c>
      <c r="M57" s="617"/>
      <c r="N57" s="618"/>
      <c r="O57" s="618" t="s">
        <v>161</v>
      </c>
      <c r="P57" s="618" t="s">
        <v>161</v>
      </c>
      <c r="Q57" s="618" t="s">
        <v>161</v>
      </c>
      <c r="R57" s="618" t="s">
        <v>161</v>
      </c>
      <c r="S57" s="618"/>
      <c r="T57" s="613"/>
      <c r="U57" s="618"/>
      <c r="V57" s="618" t="s">
        <v>161</v>
      </c>
      <c r="W57" s="618" t="s">
        <v>161</v>
      </c>
      <c r="X57" s="618" t="s">
        <v>161</v>
      </c>
      <c r="Y57" s="618" t="s">
        <v>161</v>
      </c>
      <c r="Z57" s="618"/>
      <c r="AA57" s="613"/>
      <c r="AB57" s="618"/>
      <c r="AC57" s="618" t="s">
        <v>161</v>
      </c>
      <c r="AD57" s="618" t="s">
        <v>161</v>
      </c>
      <c r="AE57" s="618" t="s">
        <v>161</v>
      </c>
      <c r="AF57" s="618" t="s">
        <v>161</v>
      </c>
      <c r="AG57" s="618"/>
      <c r="AH57" s="618"/>
      <c r="AI57" s="618"/>
      <c r="AJ57" s="618" t="s">
        <v>161</v>
      </c>
      <c r="AK57" s="618" t="s">
        <v>161</v>
      </c>
      <c r="AL57" s="618" t="s">
        <v>161</v>
      </c>
      <c r="AM57" s="618" t="s">
        <v>161</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596</v>
      </c>
      <c r="L58" s="611" t="s">
        <v>416</v>
      </c>
      <c r="M58" s="617"/>
      <c r="N58" s="618"/>
      <c r="O58" s="618"/>
      <c r="P58" s="618"/>
      <c r="Q58" s="613"/>
      <c r="R58" s="618"/>
      <c r="S58" s="618" t="s">
        <v>161</v>
      </c>
      <c r="T58" s="618"/>
      <c r="U58" s="618"/>
      <c r="V58" s="618"/>
      <c r="W58" s="618"/>
      <c r="X58" s="618"/>
      <c r="Y58" s="618"/>
      <c r="Z58" s="618" t="s">
        <v>161</v>
      </c>
      <c r="AA58" s="618"/>
      <c r="AB58" s="618"/>
      <c r="AC58" s="618"/>
      <c r="AD58" s="618"/>
      <c r="AE58" s="618"/>
      <c r="AF58" s="618"/>
      <c r="AG58" s="618" t="s">
        <v>161</v>
      </c>
      <c r="AH58" s="618"/>
      <c r="AI58" s="613"/>
      <c r="AJ58" s="618"/>
      <c r="AK58" s="618"/>
      <c r="AL58" s="613"/>
      <c r="AM58" s="618"/>
      <c r="AN58" s="618" t="s">
        <v>161</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418</v>
      </c>
      <c r="C2" s="504"/>
      <c r="D2" s="504"/>
      <c r="E2" s="504"/>
      <c r="F2" s="638" t="s">
        <v>419</v>
      </c>
      <c r="G2" s="639"/>
      <c r="H2" s="221"/>
      <c r="I2" s="221"/>
      <c r="J2" s="221"/>
      <c r="K2" s="221"/>
      <c r="L2" s="221"/>
      <c r="M2" s="221"/>
      <c r="N2" s="221"/>
      <c r="O2" s="221"/>
      <c r="P2" s="221"/>
      <c r="Q2" s="2"/>
      <c r="R2" s="640" t="s">
        <v>334</v>
      </c>
      <c r="S2" s="633"/>
      <c r="T2" s="635"/>
      <c r="U2" s="641"/>
      <c r="V2" s="637"/>
      <c r="W2" s="633"/>
      <c r="X2" s="633"/>
      <c r="Y2" s="633"/>
      <c r="Z2" s="633"/>
    </row>
    <row r="3" ht="33.0" customHeight="1">
      <c r="A3" s="633"/>
      <c r="B3" s="642" t="s">
        <v>420</v>
      </c>
      <c r="C3" s="504"/>
      <c r="D3" s="504"/>
      <c r="E3" s="504"/>
      <c r="F3" s="643" t="s">
        <v>421</v>
      </c>
      <c r="G3" s="644" t="s">
        <v>597</v>
      </c>
      <c r="H3" s="221"/>
      <c r="I3" s="221"/>
      <c r="J3" s="221"/>
      <c r="K3" s="221"/>
      <c r="L3" s="221"/>
      <c r="M3" s="221"/>
      <c r="N3" s="221"/>
      <c r="O3" s="221"/>
      <c r="P3" s="221"/>
      <c r="Q3" s="2"/>
      <c r="R3" s="645" t="s">
        <v>334</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221</v>
      </c>
      <c r="C5" s="647"/>
      <c r="D5" s="648">
        <v>46054.0</v>
      </c>
      <c r="E5" s="647"/>
      <c r="F5" s="649" t="s">
        <v>422</v>
      </c>
      <c r="G5" s="650" t="s">
        <v>423</v>
      </c>
      <c r="H5" s="651"/>
      <c r="I5" s="651"/>
      <c r="J5" s="651"/>
      <c r="K5" s="651"/>
      <c r="L5" s="651"/>
      <c r="M5" s="651"/>
      <c r="N5" s="651"/>
      <c r="O5" s="651"/>
      <c r="P5" s="651"/>
      <c r="Q5" s="113"/>
      <c r="R5" s="652"/>
      <c r="S5" s="633"/>
      <c r="T5" s="635"/>
      <c r="U5" s="636"/>
      <c r="V5" s="653" t="s">
        <v>424</v>
      </c>
      <c r="W5" s="633"/>
      <c r="X5" s="633"/>
      <c r="Y5" s="633"/>
      <c r="Z5" s="633"/>
    </row>
    <row r="6">
      <c r="A6" s="633"/>
      <c r="B6" s="654" t="s">
        <v>425</v>
      </c>
      <c r="C6" s="655" t="s">
        <v>247</v>
      </c>
      <c r="D6" s="655" t="s">
        <v>248</v>
      </c>
      <c r="E6" s="655" t="s">
        <v>426</v>
      </c>
      <c r="F6" s="655" t="s">
        <v>84</v>
      </c>
      <c r="G6" s="656" t="s">
        <v>427</v>
      </c>
      <c r="H6" s="657" t="s">
        <v>37</v>
      </c>
      <c r="I6" s="658" t="s">
        <v>428</v>
      </c>
      <c r="J6" s="658" t="s">
        <v>429</v>
      </c>
      <c r="K6" s="658" t="s">
        <v>430</v>
      </c>
      <c r="L6" s="659" t="s">
        <v>431</v>
      </c>
      <c r="M6" s="660"/>
      <c r="N6" s="661" t="s">
        <v>432</v>
      </c>
      <c r="O6" s="662" t="s">
        <v>433</v>
      </c>
      <c r="P6" s="651"/>
      <c r="Q6" s="113"/>
      <c r="R6" s="663"/>
      <c r="S6" s="664" t="s">
        <v>96</v>
      </c>
      <c r="T6" s="664" t="s">
        <v>97</v>
      </c>
      <c r="U6" s="636"/>
      <c r="V6" s="665" t="s">
        <v>434</v>
      </c>
      <c r="W6" s="666"/>
      <c r="X6" s="667" t="s">
        <v>221</v>
      </c>
      <c r="Y6" s="633"/>
      <c r="Z6" s="633"/>
    </row>
    <row r="7">
      <c r="A7" s="633"/>
      <c r="B7" s="668"/>
      <c r="C7" s="669"/>
      <c r="D7" s="669"/>
      <c r="E7" s="669"/>
      <c r="F7" s="669"/>
      <c r="G7" s="670"/>
      <c r="H7" s="669"/>
      <c r="I7" s="669"/>
      <c r="J7" s="669"/>
      <c r="K7" s="669"/>
      <c r="L7" s="671" t="s">
        <v>435</v>
      </c>
      <c r="M7" s="671" t="s">
        <v>436</v>
      </c>
      <c r="N7" s="669"/>
      <c r="O7" s="672"/>
      <c r="P7" s="673"/>
      <c r="Q7" s="674"/>
      <c r="R7" s="663"/>
      <c r="S7" s="211"/>
      <c r="T7" s="211"/>
      <c r="V7" s="675">
        <f>month(D5)</f>
        <v>2</v>
      </c>
      <c r="W7" s="676"/>
      <c r="X7" s="667" t="s">
        <v>437</v>
      </c>
      <c r="Y7" s="633"/>
      <c r="Z7" s="633"/>
    </row>
    <row r="8" ht="18.75" customHeight="1" collapsed="1">
      <c r="A8" s="633"/>
      <c r="B8" s="677" t="s">
        <v>438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598</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506</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406</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507</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508</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411</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412</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413</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142</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414</v>
      </c>
      <c r="W18" s="688"/>
      <c r="X18" s="689">
        <v>46357.0</v>
      </c>
      <c r="Y18" s="633"/>
      <c r="Z18" s="633"/>
    </row>
    <row r="19" ht="18.0" hidden="1" customHeight="1" outlineLevel="1">
      <c r="B19" s="710"/>
      <c r="C19" s="669"/>
      <c r="D19" s="669"/>
      <c r="E19" s="669"/>
      <c r="F19" s="711" t="s">
        <v>440</v>
      </c>
      <c r="G19" s="712" t="s">
        <v>599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600</v>
      </c>
      <c r="W19" s="688"/>
      <c r="X19" s="689">
        <v>46388.0</v>
      </c>
      <c r="Y19" s="633"/>
      <c r="Z19" s="633"/>
    </row>
    <row r="20" ht="48.0" hidden="1" customHeight="1" outlineLevel="1">
      <c r="A20" s="633"/>
      <c r="B20" s="715"/>
      <c r="C20" s="716">
        <f>IF(C9="","",IF(DAY(C9+1)=1,"",C9+1))</f>
        <v>46055</v>
      </c>
      <c r="D20" s="717" t="str">
        <f>TEXT(C20,"ddd")</f>
        <v>月</v>
      </c>
      <c r="E20" s="718"/>
      <c r="F20" s="719" t="s">
        <v>300</v>
      </c>
      <c r="G20" s="720" t="s">
        <v>601</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510</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415</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602</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603</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593</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604</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596</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502</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440</v>
      </c>
      <c r="G30" s="731" t="s">
        <v>605</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300</v>
      </c>
      <c r="G31" s="738" t="s">
        <v>606</v>
      </c>
      <c r="H31" s="739"/>
      <c r="I31" s="739" t="s">
        <v>607</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440</v>
      </c>
      <c r="G41" s="712" t="s">
        <v>608</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609</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440</v>
      </c>
      <c r="G52" s="731" t="s">
        <v>610</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87" t="s">
        <v>611</v>
      </c>
      <c r="H53" s="739"/>
      <c r="I53" s="740">
        <v>0.625</v>
      </c>
      <c r="J53" s="739">
        <v>6.0</v>
      </c>
      <c r="K53" s="738"/>
      <c r="L53" s="741" t="s">
        <v>413</v>
      </c>
      <c r="M53" s="741" t="s">
        <v>612</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414</v>
      </c>
      <c r="M54" s="741" t="s">
        <v>612</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440</v>
      </c>
      <c r="G63" s="712" t="s">
        <v>613</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443</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441</v>
      </c>
      <c r="G65" s="747" t="s">
        <v>614</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440</v>
      </c>
      <c r="G75" s="731" t="s">
        <v>615</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441</v>
      </c>
      <c r="G76" s="738" t="s">
        <v>616</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440</v>
      </c>
      <c r="G86" s="712" t="s">
        <v>617</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300</v>
      </c>
      <c r="G87" s="747" t="s">
        <v>618</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440</v>
      </c>
      <c r="G97" s="731" t="s">
        <v>619</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620</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440</v>
      </c>
      <c r="G108" s="712" t="s">
        <v>621</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622</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88"/>
      <c r="M117" s="889"/>
      <c r="N117" s="702"/>
      <c r="O117" s="705"/>
      <c r="Q117" s="700"/>
      <c r="R117" s="633"/>
      <c r="S117" s="890" t="str">
        <f t="array" ref="S117">IFERROR(INDEX('💻シート作成'!$D$6:$D1001, MATCH(T117, '💻シート作成'!$E$6:$E1001, 0)), "")</f>
        <v/>
      </c>
      <c r="T117" s="891"/>
      <c r="U117" s="636"/>
      <c r="V117" s="892"/>
      <c r="W117" s="633"/>
      <c r="X117" s="893"/>
      <c r="Y117" s="633"/>
      <c r="Z117" s="633"/>
    </row>
    <row r="118" hidden="1" outlineLevel="1">
      <c r="A118" s="894"/>
      <c r="B118" s="701"/>
      <c r="C118" s="702"/>
      <c r="D118" s="702"/>
      <c r="E118" s="702"/>
      <c r="F118" s="669"/>
      <c r="G118" s="670"/>
      <c r="H118" s="669"/>
      <c r="I118" s="669"/>
      <c r="J118" s="669"/>
      <c r="K118" s="669"/>
      <c r="L118" s="895"/>
      <c r="M118" s="896"/>
      <c r="N118" s="669"/>
      <c r="O118" s="672"/>
      <c r="P118" s="673"/>
      <c r="Q118" s="709"/>
      <c r="R118" s="894"/>
      <c r="S118" s="897" t="str">
        <f t="array" ref="S118">IFERROR(INDEX('💻シート作成'!$D$6:$D1001, MATCH(T118, '💻シート作成'!$E$6:$E1001, 0)), "")</f>
        <v/>
      </c>
      <c r="T118" s="898"/>
      <c r="U118" s="899"/>
      <c r="V118" s="900"/>
      <c r="W118" s="894"/>
      <c r="X118" s="901"/>
      <c r="Y118" s="894"/>
      <c r="Z118" s="894"/>
    </row>
    <row r="119" ht="18.0" hidden="1" customHeight="1" outlineLevel="1">
      <c r="A119" s="633"/>
      <c r="B119" s="710"/>
      <c r="C119" s="669"/>
      <c r="D119" s="669"/>
      <c r="E119" s="669"/>
      <c r="F119" s="902" t="s">
        <v>440</v>
      </c>
      <c r="G119" s="903" t="s">
        <v>623</v>
      </c>
      <c r="H119" s="673"/>
      <c r="I119" s="673"/>
      <c r="J119" s="673"/>
      <c r="K119" s="673"/>
      <c r="L119" s="903"/>
      <c r="M119" s="903"/>
      <c r="N119" s="903"/>
      <c r="O119" s="903"/>
      <c r="P119" s="903"/>
      <c r="Q119" s="904"/>
      <c r="R119" s="633"/>
      <c r="S119" s="157" t="str">
        <f t="array" ref="S119">IFERROR(INDEX('💻シート作成'!$D$6:$D1001, MATCH(T119, '💻シート作成'!$E$6:$E1001, 0)), "")</f>
        <v/>
      </c>
      <c r="T119" s="905"/>
      <c r="U119" s="636"/>
      <c r="V119" s="906"/>
      <c r="W119" s="633"/>
      <c r="X119" s="907"/>
      <c r="Y119" s="633"/>
      <c r="Z119" s="633"/>
    </row>
    <row r="120" collapsed="1">
      <c r="A120" s="633"/>
      <c r="B120" s="751" t="s">
        <v>444</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624</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625</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626</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440</v>
      </c>
      <c r="G142" s="731" t="s">
        <v>627</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628</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440</v>
      </c>
      <c r="G153" s="712" t="s">
        <v>629</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630</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440</v>
      </c>
      <c r="G164" s="731" t="s">
        <v>631</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545</v>
      </c>
      <c r="G165" s="738" t="s">
        <v>632</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440</v>
      </c>
      <c r="G175" s="712" t="s">
        <v>633</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445</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300</v>
      </c>
      <c r="G177" s="747" t="s">
        <v>634</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440</v>
      </c>
      <c r="G187" s="731" t="s">
        <v>635</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300</v>
      </c>
      <c r="G188" s="738" t="s">
        <v>636</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440</v>
      </c>
      <c r="G198" s="712" t="s">
        <v>637</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638</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440</v>
      </c>
      <c r="G209" s="731" t="s">
        <v>639</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640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440</v>
      </c>
      <c r="G220" s="712" t="s">
        <v>641</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642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440</v>
      </c>
      <c r="G231" s="731" t="s">
        <v>643</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446</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644</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440</v>
      </c>
      <c r="G243" s="712" t="s">
        <v>645</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646</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440</v>
      </c>
      <c r="G254" s="731" t="s">
        <v>647</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300</v>
      </c>
      <c r="G255" s="738" t="s">
        <v>648</v>
      </c>
      <c r="H255" s="739"/>
      <c r="I255" s="739" t="s">
        <v>649</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440</v>
      </c>
      <c r="G265" s="712" t="s">
        <v>650</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300</v>
      </c>
      <c r="G266" s="747" t="s">
        <v>651</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440</v>
      </c>
      <c r="G276" s="731" t="s">
        <v>652</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653</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440</v>
      </c>
      <c r="G287" s="712" t="s">
        <v>654</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447</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655</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440</v>
      </c>
      <c r="G299" s="731" t="s">
        <v>656</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657</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440</v>
      </c>
      <c r="G310" s="712" t="s">
        <v>658</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659</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440</v>
      </c>
      <c r="G321" s="731" t="s">
        <v>660</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441</v>
      </c>
      <c r="G322" s="738" t="s">
        <v>661</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440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441</v>
      </c>
      <c r="G333" s="747" t="s">
        <v>661</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440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441</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440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448</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449</v>
      </c>
      <c r="C4" s="777"/>
      <c r="D4" s="778" t="s">
        <v>450</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451</v>
      </c>
      <c r="G5" s="783" t="s">
        <v>157</v>
      </c>
      <c r="H5" s="784" t="b">
        <v>1</v>
      </c>
      <c r="J5" s="785"/>
      <c r="K5" s="769"/>
      <c r="L5" s="786" t="s">
        <v>452</v>
      </c>
      <c r="T5" s="785"/>
      <c r="U5" s="787" t="s">
        <v>453</v>
      </c>
      <c r="AC5" s="770"/>
      <c r="AD5" s="788" t="s">
        <v>96</v>
      </c>
      <c r="AE5" s="788" t="s">
        <v>454</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455</v>
      </c>
      <c r="M7" s="225"/>
      <c r="N7" s="225"/>
      <c r="O7" s="225"/>
      <c r="P7" s="225"/>
      <c r="Q7" s="225"/>
      <c r="R7" s="225"/>
      <c r="S7" s="108"/>
      <c r="T7" s="792" t="s">
        <v>456</v>
      </c>
      <c r="U7" s="793" t="s">
        <v>457</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458</v>
      </c>
      <c r="C8" s="795"/>
      <c r="D8" s="796" t="s">
        <v>51</v>
      </c>
      <c r="E8" s="797" t="str">
        <f>IFERROR(__xludf.DUMMYFUNCTION("IFERROR(INDEX(FILTER($AE$6:$AE$200, $AD$6:$AD$200=$B$5, REGEXMATCH($AE$6:$AE$200, ""集計"")), 1), """")
"),"①R8_2集計")</f>
        <v>①R8_2集計</v>
      </c>
      <c r="F8" s="494"/>
      <c r="G8" s="212"/>
      <c r="H8" s="212"/>
      <c r="I8" s="189"/>
      <c r="J8" s="785"/>
      <c r="K8" s="769"/>
      <c r="L8" s="798" t="s">
        <v>662</v>
      </c>
      <c r="M8" s="236"/>
      <c r="N8" s="236"/>
      <c r="O8" s="236"/>
      <c r="P8" s="236"/>
      <c r="Q8" s="236"/>
      <c r="R8" s="236"/>
      <c r="S8" s="239"/>
      <c r="U8" s="798" t="s">
        <v>663</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227</v>
      </c>
      <c r="C9" s="800" t="s">
        <v>228</v>
      </c>
      <c r="D9" s="800" t="s">
        <v>229</v>
      </c>
      <c r="E9" s="801" t="s">
        <v>230</v>
      </c>
      <c r="F9" s="801" t="s">
        <v>231</v>
      </c>
      <c r="G9" s="800" t="s">
        <v>235</v>
      </c>
      <c r="H9" s="800" t="s">
        <v>236</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242</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459</v>
      </c>
      <c r="C13" s="815"/>
      <c r="D13" s="816" t="s">
        <v>51</v>
      </c>
      <c r="E13" s="817" t="s">
        <v>460</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461</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462</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463</v>
      </c>
      <c r="C20" s="801" t="s">
        <v>464</v>
      </c>
      <c r="D20" s="801" t="s">
        <v>89</v>
      </c>
      <c r="E20" s="801" t="s">
        <v>90</v>
      </c>
      <c r="F20" s="801" t="s">
        <v>465</v>
      </c>
      <c r="G20" s="801" t="s">
        <v>390</v>
      </c>
      <c r="H20" s="801" t="s">
        <v>390</v>
      </c>
      <c r="I20" s="801" t="s">
        <v>466</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467</v>
      </c>
      <c r="M21" s="221"/>
      <c r="N21" s="221"/>
      <c r="O21" s="221"/>
      <c r="P21" s="221"/>
      <c r="Q21" s="221"/>
      <c r="R21" s="221"/>
      <c r="S21" s="2"/>
      <c r="T21" s="792" t="s">
        <v>456</v>
      </c>
      <c r="U21" s="793" t="s">
        <v>468</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664</v>
      </c>
      <c r="M22" s="236"/>
      <c r="N22" s="236"/>
      <c r="O22" s="236"/>
      <c r="P22" s="236"/>
      <c r="Q22" s="236"/>
      <c r="R22" s="236"/>
      <c r="S22" s="239"/>
      <c r="U22" s="798" t="s">
        <v>665</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469</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470</v>
      </c>
      <c r="C25" s="841" t="s">
        <v>471</v>
      </c>
      <c r="D25" s="2"/>
      <c r="E25" s="841" t="s">
        <v>472</v>
      </c>
      <c r="F25" s="221"/>
      <c r="G25" s="221"/>
      <c r="H25" s="841" t="s">
        <v>473</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474</v>
      </c>
      <c r="M35" s="221"/>
      <c r="N35" s="221"/>
      <c r="O35" s="221"/>
      <c r="P35" s="221"/>
      <c r="Q35" s="221"/>
      <c r="R35" s="221"/>
      <c r="S35" s="2"/>
      <c r="T35" s="792" t="s">
        <v>456</v>
      </c>
      <c r="U35" s="793" t="s">
        <v>474</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666</v>
      </c>
      <c r="M36" s="236"/>
      <c r="N36" s="236"/>
      <c r="O36" s="236"/>
      <c r="P36" s="236"/>
      <c r="Q36" s="236"/>
      <c r="R36" s="236"/>
      <c r="S36" s="239"/>
      <c r="U36" s="798" t="s">
        <v>667</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475</v>
      </c>
      <c r="C37" s="848"/>
      <c r="D37" s="849">
        <f>counta(C39:D48)</f>
        <v>0</v>
      </c>
      <c r="E37" s="850" t="s">
        <v>476</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247</v>
      </c>
      <c r="C38" s="853" t="s">
        <v>387</v>
      </c>
      <c r="D38" s="854"/>
      <c r="E38" s="853" t="s">
        <v>472</v>
      </c>
      <c r="F38" s="854"/>
      <c r="G38" s="853" t="s">
        <v>477</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478</v>
      </c>
      <c r="M49" s="221"/>
      <c r="N49" s="221"/>
      <c r="O49" s="221"/>
      <c r="P49" s="221"/>
      <c r="Q49" s="221"/>
      <c r="R49" s="221"/>
      <c r="S49" s="2"/>
      <c r="T49" s="792" t="s">
        <v>456</v>
      </c>
      <c r="U49" s="793" t="s">
        <v>479</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480</v>
      </c>
      <c r="C50" s="867"/>
      <c r="D50" s="868">
        <f>COUNTA(C52:D62)</f>
        <v>3</v>
      </c>
      <c r="E50" s="831"/>
      <c r="F50" s="831"/>
      <c r="G50" s="831"/>
      <c r="H50" s="831"/>
      <c r="I50" s="770"/>
      <c r="J50" s="770"/>
      <c r="K50" s="769"/>
      <c r="L50" s="798" t="s">
        <v>668</v>
      </c>
      <c r="M50" s="236"/>
      <c r="N50" s="236"/>
      <c r="O50" s="236"/>
      <c r="P50" s="236"/>
      <c r="Q50" s="236"/>
      <c r="R50" s="236"/>
      <c r="S50" s="239"/>
      <c r="U50" s="798" t="s">
        <v>669</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481</v>
      </c>
      <c r="C51" s="853" t="s">
        <v>387</v>
      </c>
      <c r="D51" s="854"/>
      <c r="E51" s="852" t="s">
        <v>482</v>
      </c>
      <c r="F51" s="852" t="s">
        <v>483</v>
      </c>
      <c r="G51" s="852" t="s">
        <v>484</v>
      </c>
      <c r="H51" s="853" t="s">
        <v>485</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600</v>
      </c>
      <c r="D52" s="854"/>
      <c r="E52" s="908">
        <v>46066.0</v>
      </c>
      <c r="F52" s="871" t="s">
        <v>670</v>
      </c>
      <c r="G52" s="871" t="s">
        <v>671</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415</v>
      </c>
      <c r="D53" s="854"/>
      <c r="E53" s="908">
        <v>46071.0</v>
      </c>
      <c r="F53" s="871" t="s">
        <v>670</v>
      </c>
      <c r="G53" s="871" t="s">
        <v>672</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502</v>
      </c>
      <c r="D54" s="854"/>
      <c r="E54" s="908">
        <v>46080.0</v>
      </c>
      <c r="F54" s="871" t="s">
        <v>670</v>
      </c>
      <c r="G54" s="871" t="s">
        <v>671</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486</v>
      </c>
      <c r="M63" s="221"/>
      <c r="N63" s="221"/>
      <c r="O63" s="221"/>
      <c r="P63" s="221"/>
      <c r="Q63" s="221"/>
      <c r="R63" s="221"/>
      <c r="S63" s="2"/>
      <c r="T63" s="792" t="s">
        <v>456</v>
      </c>
      <c r="U63" s="793" t="s">
        <v>487</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488</v>
      </c>
      <c r="C64" s="874"/>
      <c r="D64" s="868">
        <f>COUNTA(C66:D76)</f>
        <v>2</v>
      </c>
      <c r="E64" s="831"/>
      <c r="F64" s="831"/>
      <c r="G64" s="831"/>
      <c r="H64" s="831"/>
      <c r="I64" s="831"/>
      <c r="J64" s="770"/>
      <c r="K64" s="769"/>
      <c r="L64" s="798" t="s">
        <v>673</v>
      </c>
      <c r="M64" s="236"/>
      <c r="N64" s="236"/>
      <c r="O64" s="236"/>
      <c r="P64" s="236"/>
      <c r="Q64" s="236"/>
      <c r="R64" s="236"/>
      <c r="S64" s="239"/>
      <c r="U64" s="798" t="s">
        <v>674</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481</v>
      </c>
      <c r="C65" s="853" t="s">
        <v>387</v>
      </c>
      <c r="D65" s="854"/>
      <c r="E65" s="852" t="s">
        <v>489</v>
      </c>
      <c r="F65" s="853" t="s">
        <v>490</v>
      </c>
      <c r="G65" s="854"/>
      <c r="H65" s="853" t="s">
        <v>485</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909">
        <v>2355.0</v>
      </c>
      <c r="C66" s="857" t="s">
        <v>600</v>
      </c>
      <c r="D66" s="854"/>
      <c r="E66" s="910">
        <v>46077.0</v>
      </c>
      <c r="F66" s="911" t="s">
        <v>675</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909">
        <v>1503.0</v>
      </c>
      <c r="C67" s="857" t="s">
        <v>593</v>
      </c>
      <c r="D67" s="854"/>
      <c r="E67" s="910">
        <v>46078.0</v>
      </c>
      <c r="F67" s="911" t="s">
        <v>676</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491</v>
      </c>
      <c r="M77" s="221"/>
      <c r="N77" s="221"/>
      <c r="O77" s="221"/>
      <c r="P77" s="221"/>
      <c r="Q77" s="221"/>
      <c r="R77" s="221"/>
      <c r="S77" s="2"/>
      <c r="T77" s="785"/>
      <c r="U77" s="877" t="s">
        <v>492</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677</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493</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678</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679</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680</v>
      </c>
      <c r="K4" s="189"/>
      <c r="L4" s="189"/>
      <c r="M4" s="189"/>
      <c r="N4" s="189"/>
      <c r="O4" s="189"/>
      <c r="P4" s="189"/>
      <c r="Q4" s="189"/>
      <c r="R4" s="189"/>
      <c r="S4" s="189"/>
      <c r="T4" s="189"/>
      <c r="U4" s="189"/>
      <c r="V4" s="189"/>
      <c r="W4" s="189"/>
      <c r="X4" s="189"/>
      <c r="Y4" s="189"/>
      <c r="Z4" s="189"/>
      <c r="AA4" s="189"/>
      <c r="AB4" s="189"/>
      <c r="AC4" s="189"/>
    </row>
    <row r="5">
      <c r="A5" s="189"/>
      <c r="B5" s="916" t="s">
        <v>681</v>
      </c>
      <c r="C5" s="916" t="s">
        <v>682</v>
      </c>
      <c r="D5" s="916" t="s">
        <v>96</v>
      </c>
      <c r="E5" s="916" t="s">
        <v>454</v>
      </c>
      <c r="F5" s="916" t="s">
        <v>683</v>
      </c>
      <c r="G5" s="917" t="s">
        <v>684</v>
      </c>
      <c r="H5" s="916" t="s">
        <v>685</v>
      </c>
      <c r="I5" s="916" t="s">
        <v>686</v>
      </c>
      <c r="J5" s="916" t="s">
        <v>687</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688</v>
      </c>
      <c r="F6" s="920"/>
      <c r="G6" s="921" t="s">
        <v>689</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690</v>
      </c>
      <c r="F7" s="922"/>
      <c r="G7" s="921" t="s">
        <v>691</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692</v>
      </c>
      <c r="F8" s="923"/>
      <c r="G8" s="921" t="s">
        <v>693</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694</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695</v>
      </c>
      <c r="F17" s="926"/>
      <c r="G17" s="921" t="s">
        <v>694</v>
      </c>
      <c r="H17" s="170" t="s">
        <v>696</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697</v>
      </c>
      <c r="F18" s="926"/>
      <c r="G18" s="921" t="s">
        <v>694</v>
      </c>
      <c r="H18" s="170" t="s">
        <v>698</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699</v>
      </c>
      <c r="F19" s="926"/>
      <c r="G19" s="921" t="s">
        <v>694</v>
      </c>
      <c r="H19" s="170" t="s">
        <v>700</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701</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696</v>
      </c>
      <c r="F24" s="927"/>
      <c r="G24" s="921" t="s">
        <v>701</v>
      </c>
      <c r="H24" s="170" t="s">
        <v>702</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703</v>
      </c>
      <c r="F25" s="927"/>
      <c r="G25" s="921" t="s">
        <v>701</v>
      </c>
      <c r="H25" s="170" t="s">
        <v>698</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704</v>
      </c>
      <c r="F26" s="927"/>
      <c r="G26" s="921" t="s">
        <v>701</v>
      </c>
      <c r="H26" s="170" t="s">
        <v>700</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694</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702</v>
      </c>
      <c r="F31" s="926"/>
      <c r="G31" s="921" t="s">
        <v>694</v>
      </c>
      <c r="H31" s="170" t="s">
        <v>705</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706</v>
      </c>
      <c r="F32" s="926"/>
      <c r="G32" s="921" t="s">
        <v>694</v>
      </c>
      <c r="H32" s="170" t="s">
        <v>698</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707</v>
      </c>
      <c r="F33" s="926"/>
      <c r="G33" s="921" t="s">
        <v>694</v>
      </c>
      <c r="H33" s="170" t="s">
        <v>700</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701</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705</v>
      </c>
      <c r="F38" s="927"/>
      <c r="G38" s="921" t="s">
        <v>701</v>
      </c>
      <c r="H38" s="170" t="s">
        <v>708</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709</v>
      </c>
      <c r="F39" s="927"/>
      <c r="G39" s="921" t="s">
        <v>701</v>
      </c>
      <c r="H39" s="170" t="s">
        <v>698</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710</v>
      </c>
      <c r="F40" s="927"/>
      <c r="G40" s="921" t="s">
        <v>701</v>
      </c>
      <c r="H40" s="170" t="s">
        <v>700</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694</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708</v>
      </c>
      <c r="F45" s="926"/>
      <c r="G45" s="921" t="s">
        <v>694</v>
      </c>
      <c r="H45" s="170" t="s">
        <v>711</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712</v>
      </c>
      <c r="F46" s="926"/>
      <c r="G46" s="921" t="s">
        <v>694</v>
      </c>
      <c r="H46" s="170" t="s">
        <v>698</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713</v>
      </c>
      <c r="F47" s="926"/>
      <c r="G47" s="921" t="s">
        <v>694</v>
      </c>
      <c r="H47" s="170" t="s">
        <v>700</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701</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711</v>
      </c>
      <c r="F52" s="927"/>
      <c r="G52" s="921" t="s">
        <v>701</v>
      </c>
      <c r="H52" s="170" t="s">
        <v>714</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715</v>
      </c>
      <c r="F53" s="927"/>
      <c r="G53" s="921" t="s">
        <v>701</v>
      </c>
      <c r="H53" s="170" t="s">
        <v>698</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716</v>
      </c>
      <c r="F54" s="927"/>
      <c r="G54" s="921" t="s">
        <v>701</v>
      </c>
      <c r="H54" s="170" t="s">
        <v>700</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694</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714</v>
      </c>
      <c r="F59" s="926"/>
      <c r="G59" s="921" t="s">
        <v>694</v>
      </c>
      <c r="H59" s="170" t="s">
        <v>717</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718</v>
      </c>
      <c r="F60" s="926"/>
      <c r="G60" s="921" t="s">
        <v>694</v>
      </c>
      <c r="H60" s="170" t="s">
        <v>698</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719</v>
      </c>
      <c r="F61" s="926"/>
      <c r="G61" s="921" t="s">
        <v>694</v>
      </c>
      <c r="H61" s="170" t="s">
        <v>700</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701</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717</v>
      </c>
      <c r="F66" s="927"/>
      <c r="G66" s="921" t="s">
        <v>701</v>
      </c>
      <c r="H66" s="170" t="s">
        <v>720</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721</v>
      </c>
      <c r="F67" s="927"/>
      <c r="G67" s="921" t="s">
        <v>701</v>
      </c>
      <c r="H67" s="170" t="s">
        <v>698</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722</v>
      </c>
      <c r="F68" s="927"/>
      <c r="G68" s="921" t="s">
        <v>701</v>
      </c>
      <c r="H68" s="170" t="s">
        <v>700</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694</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720</v>
      </c>
      <c r="F73" s="926"/>
      <c r="G73" s="921" t="s">
        <v>694</v>
      </c>
      <c r="H73" s="170" t="s">
        <v>723</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724</v>
      </c>
      <c r="F74" s="926"/>
      <c r="G74" s="921" t="s">
        <v>694</v>
      </c>
      <c r="H74" s="170" t="s">
        <v>698</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725</v>
      </c>
      <c r="F75" s="926"/>
      <c r="G75" s="921" t="s">
        <v>694</v>
      </c>
      <c r="H75" s="170" t="s">
        <v>700</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701</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723</v>
      </c>
      <c r="F80" s="927"/>
      <c r="G80" s="921" t="s">
        <v>701</v>
      </c>
      <c r="H80" s="170" t="s">
        <v>726</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727</v>
      </c>
      <c r="F81" s="927"/>
      <c r="G81" s="921" t="s">
        <v>701</v>
      </c>
      <c r="H81" s="170" t="s">
        <v>698</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728</v>
      </c>
      <c r="F82" s="927"/>
      <c r="G82" s="921" t="s">
        <v>701</v>
      </c>
      <c r="H82" s="170" t="s">
        <v>700</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694</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726</v>
      </c>
      <c r="F87" s="926"/>
      <c r="G87" s="921" t="s">
        <v>694</v>
      </c>
      <c r="H87" s="170" t="s">
        <v>729</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730</v>
      </c>
      <c r="F88" s="926"/>
      <c r="G88" s="921" t="s">
        <v>694</v>
      </c>
      <c r="H88" s="170" t="s">
        <v>698</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731</v>
      </c>
      <c r="F89" s="926"/>
      <c r="G89" s="921" t="s">
        <v>694</v>
      </c>
      <c r="H89" s="170" t="s">
        <v>700</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701</v>
      </c>
      <c r="H93" s="170" t="s">
        <v>732</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729</v>
      </c>
      <c r="F94" s="927"/>
      <c r="G94" s="921" t="s">
        <v>701</v>
      </c>
      <c r="H94" s="170" t="s">
        <v>733</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734</v>
      </c>
      <c r="F95" s="927"/>
      <c r="G95" s="921" t="s">
        <v>701</v>
      </c>
      <c r="H95" s="170" t="s">
        <v>698</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735</v>
      </c>
      <c r="F96" s="927"/>
      <c r="G96" s="921" t="s">
        <v>701</v>
      </c>
      <c r="H96" s="170" t="s">
        <v>700</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736</v>
      </c>
      <c r="F102" s="929"/>
      <c r="G102" s="921" t="s">
        <v>737</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738</v>
      </c>
      <c r="F103" s="930"/>
      <c r="G103" s="921" t="s">
        <v>739</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740</v>
      </c>
      <c r="F104" s="931"/>
      <c r="G104" s="921" t="s">
        <v>741</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742</v>
      </c>
      <c r="F105" s="932"/>
      <c r="G105" s="921" t="s">
        <v>743</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732</v>
      </c>
      <c r="F106" s="933"/>
      <c r="G106" s="921" t="s">
        <v>744</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733</v>
      </c>
      <c r="F107" s="933"/>
      <c r="G107" s="921" t="s">
        <v>744</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698</v>
      </c>
      <c r="F108" s="933"/>
      <c r="G108" s="921" t="s">
        <v>744</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700</v>
      </c>
      <c r="F109" s="933"/>
      <c r="G109" s="921" t="s">
        <v>744</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745</v>
      </c>
      <c r="B1" s="5"/>
      <c r="C1" s="5"/>
      <c r="D1" s="5"/>
      <c r="E1" s="5"/>
      <c r="F1" s="5"/>
      <c r="G1" s="5"/>
      <c r="H1" s="937"/>
      <c r="I1" s="938" t="s">
        <v>746</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746</v>
      </c>
      <c r="B2" s="943" t="s">
        <v>51</v>
      </c>
      <c r="C2" s="943" t="s">
        <v>230</v>
      </c>
      <c r="D2" s="942" t="s">
        <v>231</v>
      </c>
      <c r="E2" s="942" t="s">
        <v>236</v>
      </c>
      <c r="F2" s="942" t="s">
        <v>228</v>
      </c>
      <c r="G2" s="942" t="s">
        <v>747</v>
      </c>
      <c r="H2" s="944"/>
      <c r="I2" s="945" t="s">
        <v>748</v>
      </c>
      <c r="J2" s="946">
        <f>DAY(EOMONTH(J1,0))</f>
        <v>28</v>
      </c>
      <c r="K2" s="947" t="s">
        <v>749</v>
      </c>
      <c r="L2" s="947" t="s">
        <v>230</v>
      </c>
      <c r="M2" s="947" t="s">
        <v>750</v>
      </c>
      <c r="N2" s="947" t="s">
        <v>751</v>
      </c>
      <c r="O2" s="947" t="s">
        <v>752</v>
      </c>
      <c r="P2" s="947" t="s">
        <v>753</v>
      </c>
      <c r="Q2" s="945" t="s">
        <v>754</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230</v>
      </c>
      <c r="J3" s="954">
        <f t="array" ref="J3">xlookup(K1,$B$3:$B$14,$C$3:$C$14)*100</f>
        <v>70</v>
      </c>
      <c r="K3" s="955">
        <f>SUM(M3:O3)</f>
        <v>114</v>
      </c>
      <c r="L3" s="955">
        <v>100.0</v>
      </c>
      <c r="M3" s="948">
        <v>114.0</v>
      </c>
      <c r="N3" s="956"/>
      <c r="O3" s="956"/>
      <c r="P3" s="955">
        <f>K3*J2</f>
        <v>3192</v>
      </c>
      <c r="Q3" s="957" t="s">
        <v>755</v>
      </c>
      <c r="R3" s="955">
        <f>P15</f>
        <v>444828</v>
      </c>
      <c r="S3" s="937"/>
      <c r="T3" s="945" t="s">
        <v>748</v>
      </c>
      <c r="U3" s="958" t="s">
        <v>140</v>
      </c>
      <c r="V3" s="958" t="s">
        <v>756</v>
      </c>
      <c r="W3" s="958" t="s">
        <v>108</v>
      </c>
    </row>
    <row r="4">
      <c r="A4" s="959">
        <f t="shared" ref="A4:A14" si="5">EDATE(A3,1)
</f>
        <v>46082</v>
      </c>
      <c r="B4" s="943" t="str">
        <f t="shared" si="2"/>
        <v>①R8_3集計</v>
      </c>
      <c r="C4" s="951">
        <f t="shared" si="3"/>
        <v>0.65</v>
      </c>
      <c r="D4" s="952">
        <f t="shared" ref="D4:G4" si="4">xlookup($B4,$K:$K,N:N)</f>
        <v>2734860</v>
      </c>
      <c r="E4" s="952">
        <f t="shared" si="4"/>
        <v>787141.905</v>
      </c>
      <c r="F4" s="953">
        <f t="shared" si="4"/>
        <v>0.2878179889</v>
      </c>
      <c r="G4" s="953">
        <f t="shared" si="4"/>
        <v>0.4969973216</v>
      </c>
      <c r="H4" s="944"/>
      <c r="I4" s="945" t="s">
        <v>757</v>
      </c>
      <c r="J4" s="948">
        <v>320000.0</v>
      </c>
      <c r="K4" s="955">
        <f>K3*L4%</f>
        <v>79.8</v>
      </c>
      <c r="L4" s="960">
        <f>J3</f>
        <v>70</v>
      </c>
      <c r="M4" s="955">
        <f>M3*L4%</f>
        <v>79.8</v>
      </c>
      <c r="N4" s="955">
        <f>N3*L4%</f>
        <v>0</v>
      </c>
      <c r="O4" s="955">
        <f>O3*L4%</f>
        <v>0</v>
      </c>
      <c r="P4" s="955">
        <f>K4*J2</f>
        <v>2234.4</v>
      </c>
      <c r="Q4" s="945" t="s">
        <v>231</v>
      </c>
      <c r="R4" s="955">
        <f>R2*P4+R3</f>
        <v>2656884</v>
      </c>
      <c r="S4" s="937"/>
      <c r="T4" s="945" t="s">
        <v>231</v>
      </c>
      <c r="U4" s="961">
        <v>2714917.0</v>
      </c>
      <c r="V4" s="961">
        <v>2636900.0</v>
      </c>
      <c r="W4" s="961">
        <v>2480867.0</v>
      </c>
    </row>
    <row r="5">
      <c r="A5" s="959">
        <f t="shared" si="5"/>
        <v>46113</v>
      </c>
      <c r="B5" s="943" t="str">
        <f t="shared" si="2"/>
        <v>①R8_4集計</v>
      </c>
      <c r="C5" s="951">
        <f t="shared" si="3"/>
        <v>0.75</v>
      </c>
      <c r="D5" s="952">
        <f t="shared" ref="D5:G5" si="6">xlookup($B5,$K:$K,N:N)</f>
        <v>2994780</v>
      </c>
      <c r="E5" s="952">
        <f t="shared" si="6"/>
        <v>660145.0833</v>
      </c>
      <c r="F5" s="953">
        <f t="shared" si="6"/>
        <v>0.2204319126</v>
      </c>
      <c r="G5" s="953">
        <f t="shared" si="6"/>
        <v>0.4965200282</v>
      </c>
      <c r="H5" s="944"/>
      <c r="I5" s="945" t="s">
        <v>758</v>
      </c>
      <c r="J5" s="962">
        <f>340000/2</f>
        <v>170000</v>
      </c>
      <c r="K5" s="963" t="s">
        <v>759</v>
      </c>
      <c r="L5" s="2"/>
      <c r="M5" s="948">
        <v>23.9</v>
      </c>
      <c r="N5" s="948">
        <v>23.0</v>
      </c>
      <c r="O5" s="948">
        <v>23.0</v>
      </c>
      <c r="P5" s="964"/>
      <c r="Q5" s="945" t="s">
        <v>760</v>
      </c>
      <c r="R5" s="955">
        <f>M10+SUM(M14:N14)</f>
        <v>1363609.28</v>
      </c>
      <c r="S5" s="937"/>
      <c r="T5" s="945" t="s">
        <v>747</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761</v>
      </c>
      <c r="J6" s="968">
        <v>1250.0</v>
      </c>
      <c r="K6" s="969" t="s">
        <v>762</v>
      </c>
      <c r="L6" s="2"/>
      <c r="M6" s="955">
        <f t="shared" ref="M6:O6" si="8">M4/(360/M5)</f>
        <v>5.297833333</v>
      </c>
      <c r="N6" s="955">
        <f t="shared" si="8"/>
        <v>0</v>
      </c>
      <c r="O6" s="955">
        <f t="shared" si="8"/>
        <v>0</v>
      </c>
      <c r="P6" s="955">
        <f t="shared" ref="P6:P7" si="10">M6+N6+O6</f>
        <v>5.297833333</v>
      </c>
      <c r="Q6" s="945" t="s">
        <v>229</v>
      </c>
      <c r="R6" s="965">
        <f>R5/R4</f>
        <v>0.5132362873</v>
      </c>
      <c r="S6" s="937"/>
      <c r="T6" s="945" t="s">
        <v>763</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764</v>
      </c>
      <c r="J7" s="968">
        <v>5.0</v>
      </c>
      <c r="K7" s="972" t="s">
        <v>765</v>
      </c>
      <c r="L7" s="948">
        <v>1230.0</v>
      </c>
      <c r="M7" s="955">
        <f>M6*(L7*6)</f>
        <v>39098.01</v>
      </c>
      <c r="N7" s="955">
        <f>N6*(L7*6)</f>
        <v>0</v>
      </c>
      <c r="O7" s="955">
        <f>O6*(L7*6)</f>
        <v>0</v>
      </c>
      <c r="P7" s="955">
        <f t="shared" si="10"/>
        <v>39098.01</v>
      </c>
      <c r="Q7" s="945" t="s">
        <v>763</v>
      </c>
      <c r="R7" s="955">
        <f>R4-R5-M17</f>
        <v>565608.0533</v>
      </c>
      <c r="S7" s="937"/>
      <c r="T7" s="945" t="s">
        <v>228</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766</v>
      </c>
      <c r="J8" s="968">
        <v>100.0</v>
      </c>
      <c r="K8" s="974"/>
      <c r="L8" s="964"/>
      <c r="M8" s="964"/>
      <c r="N8" s="964"/>
      <c r="O8" s="964"/>
      <c r="P8" s="964"/>
      <c r="Q8" s="945" t="s">
        <v>228</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767</v>
      </c>
      <c r="J9" s="956"/>
      <c r="K9" s="969" t="s">
        <v>768</v>
      </c>
      <c r="L9" s="2"/>
      <c r="M9" s="955">
        <f>P7+(P6*J15)</f>
        <v>42276.71</v>
      </c>
      <c r="N9" s="964"/>
      <c r="O9" s="975" t="s">
        <v>769</v>
      </c>
      <c r="P9" s="957" t="s">
        <v>770</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771</v>
      </c>
      <c r="J10" s="956"/>
      <c r="K10" s="969" t="s">
        <v>772</v>
      </c>
      <c r="L10" s="2"/>
      <c r="M10" s="955">
        <f>M9*J2+K3*J17*J2*30</f>
        <v>1197154.28</v>
      </c>
      <c r="N10" s="978"/>
      <c r="O10" s="979" t="s">
        <v>319</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773</v>
      </c>
      <c r="J11" s="956"/>
      <c r="K11" s="969" t="s">
        <v>774</v>
      </c>
      <c r="L11" s="2"/>
      <c r="M11" s="945" t="s">
        <v>330</v>
      </c>
      <c r="N11" s="973" t="s">
        <v>305</v>
      </c>
      <c r="O11" s="979" t="s">
        <v>321</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775</v>
      </c>
      <c r="J12" s="956"/>
      <c r="K12" s="969" t="s">
        <v>776</v>
      </c>
      <c r="L12" s="2"/>
      <c r="M12" s="960">
        <f t="shared" ref="M12:M13" si="17">J4*1.15</f>
        <v>368000</v>
      </c>
      <c r="N12" s="982">
        <v>15000.0</v>
      </c>
      <c r="O12" s="979" t="s">
        <v>323</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777</v>
      </c>
      <c r="J13" s="956"/>
      <c r="K13" s="969" t="s">
        <v>778</v>
      </c>
      <c r="L13" s="2"/>
      <c r="M13" s="960">
        <f t="shared" si="17"/>
        <v>195500</v>
      </c>
      <c r="N13" s="983">
        <v>10000.0</v>
      </c>
      <c r="O13" s="984" t="s">
        <v>779</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780</v>
      </c>
      <c r="J14" s="956"/>
      <c r="K14" s="985" t="s">
        <v>781</v>
      </c>
      <c r="L14" s="2"/>
      <c r="M14" s="960">
        <f>(J2*2-31.7)*J6*J7</f>
        <v>151875</v>
      </c>
      <c r="N14" s="960">
        <f>(J2*2-31.7)*J15</f>
        <v>14580</v>
      </c>
      <c r="O14" s="986" t="s">
        <v>782</v>
      </c>
      <c r="P14" s="948">
        <f>K3*J18*J2*500</f>
        <v>103740</v>
      </c>
      <c r="Q14" s="964"/>
      <c r="R14" s="987"/>
      <c r="S14" s="937"/>
      <c r="T14" s="937"/>
      <c r="U14" s="988">
        <v>495.0</v>
      </c>
      <c r="V14" s="988">
        <v>470.0</v>
      </c>
      <c r="W14" s="937"/>
    </row>
    <row r="15">
      <c r="A15" s="966"/>
      <c r="B15" s="966"/>
      <c r="C15" s="966"/>
      <c r="D15" s="966"/>
      <c r="E15" s="966"/>
      <c r="F15" s="966"/>
      <c r="G15" s="966"/>
      <c r="H15" s="966"/>
      <c r="I15" s="989" t="s">
        <v>783</v>
      </c>
      <c r="J15" s="990">
        <v>600.0</v>
      </c>
      <c r="K15" s="963" t="s">
        <v>784</v>
      </c>
      <c r="L15" s="2"/>
      <c r="M15" s="960">
        <f>J9*J10*J11</f>
        <v>0</v>
      </c>
      <c r="N15" s="960">
        <f>J11*J15</f>
        <v>0</v>
      </c>
      <c r="O15" s="945" t="s">
        <v>301</v>
      </c>
      <c r="P15" s="955">
        <f>SUM(P10:P14)</f>
        <v>444828</v>
      </c>
      <c r="Q15" s="964"/>
      <c r="R15" s="964"/>
      <c r="S15" s="937"/>
      <c r="T15" s="937"/>
      <c r="U15" s="988">
        <v>809.0</v>
      </c>
      <c r="V15" s="988">
        <v>778.0</v>
      </c>
      <c r="W15" s="937"/>
    </row>
    <row r="16">
      <c r="A16" s="966"/>
      <c r="B16" s="966"/>
      <c r="C16" s="966"/>
      <c r="D16" s="966"/>
      <c r="E16" s="966"/>
      <c r="F16" s="966"/>
      <c r="G16" s="966"/>
      <c r="H16" s="966"/>
      <c r="I16" s="989" t="s">
        <v>785</v>
      </c>
      <c r="J16" s="955">
        <f>(350000*1.15+15000)/3</f>
        <v>139166.6667</v>
      </c>
      <c r="K16" s="963" t="s">
        <v>786</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779</v>
      </c>
      <c r="J17" s="991">
        <v>0.14</v>
      </c>
      <c r="K17" s="969" t="s">
        <v>787</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257</v>
      </c>
      <c r="J18" s="965">
        <v>0.065</v>
      </c>
      <c r="K18" s="937"/>
      <c r="L18" s="937"/>
      <c r="M18" s="937"/>
      <c r="N18" s="937"/>
      <c r="O18" s="937"/>
      <c r="P18" s="937"/>
      <c r="Q18" s="937"/>
      <c r="R18" s="937"/>
      <c r="S18" s="937"/>
      <c r="T18" s="937"/>
      <c r="U18" s="988">
        <v>8.0</v>
      </c>
      <c r="V18" s="988">
        <v>6.0</v>
      </c>
      <c r="W18" s="937"/>
    </row>
    <row r="20">
      <c r="I20" s="938" t="s">
        <v>746</v>
      </c>
      <c r="J20" s="939">
        <f>A4</f>
        <v>46082</v>
      </c>
      <c r="K20" s="938" t="str">
        <f>"①R"&amp;year(J20)-2018&amp;"_"&amp;month(J20)&amp;"集計"</f>
        <v>①R8_3集計</v>
      </c>
      <c r="L20" s="937"/>
      <c r="M20" s="937"/>
      <c r="N20" s="940">
        <f>R23</f>
        <v>2734860</v>
      </c>
      <c r="O20" s="940">
        <f>R26</f>
        <v>787141.905</v>
      </c>
      <c r="P20" s="941">
        <f>R27</f>
        <v>0.2878179889</v>
      </c>
      <c r="Q20" s="941">
        <f>R25</f>
        <v>0.4969973216</v>
      </c>
      <c r="R20" s="937"/>
    </row>
    <row r="21">
      <c r="I21" s="945" t="s">
        <v>748</v>
      </c>
      <c r="J21" s="946">
        <f>DAY(EOMONTH(J20,0))</f>
        <v>31</v>
      </c>
      <c r="K21" s="947" t="s">
        <v>749</v>
      </c>
      <c r="L21" s="947" t="s">
        <v>230</v>
      </c>
      <c r="M21" s="947" t="s">
        <v>750</v>
      </c>
      <c r="N21" s="947" t="s">
        <v>751</v>
      </c>
      <c r="O21" s="947" t="s">
        <v>752</v>
      </c>
      <c r="P21" s="947" t="s">
        <v>753</v>
      </c>
      <c r="Q21" s="945" t="s">
        <v>754</v>
      </c>
      <c r="R21" s="948">
        <v>990.0</v>
      </c>
    </row>
    <row r="22">
      <c r="I22" s="945" t="s">
        <v>230</v>
      </c>
      <c r="J22" s="954">
        <f t="array" ref="J22">xlookup(K20,$B$3:$B$14,$C$3:$C$14)*100</f>
        <v>65</v>
      </c>
      <c r="K22" s="955">
        <f>SUM(M22:O22)</f>
        <v>114</v>
      </c>
      <c r="L22" s="955">
        <v>100.0</v>
      </c>
      <c r="M22" s="948">
        <v>114.0</v>
      </c>
      <c r="N22" s="956"/>
      <c r="O22" s="956"/>
      <c r="P22" s="955">
        <f>K22*J21</f>
        <v>3534</v>
      </c>
      <c r="Q22" s="957" t="s">
        <v>755</v>
      </c>
      <c r="R22" s="955">
        <f>P34</f>
        <v>460731</v>
      </c>
    </row>
    <row r="23">
      <c r="I23" s="945" t="s">
        <v>757</v>
      </c>
      <c r="J23" s="948">
        <v>320000.0</v>
      </c>
      <c r="K23" s="955">
        <f>K22*L23%</f>
        <v>74.1</v>
      </c>
      <c r="L23" s="960">
        <f>J22</f>
        <v>65</v>
      </c>
      <c r="M23" s="955">
        <f>M22*L23%</f>
        <v>74.1</v>
      </c>
      <c r="N23" s="955">
        <f>N22*L23%</f>
        <v>0</v>
      </c>
      <c r="O23" s="955">
        <f>O22*L23%</f>
        <v>0</v>
      </c>
      <c r="P23" s="955">
        <f>K23*J21</f>
        <v>2297.1</v>
      </c>
      <c r="Q23" s="945" t="s">
        <v>231</v>
      </c>
      <c r="R23" s="955">
        <f>R21*P23+R22</f>
        <v>2734860</v>
      </c>
    </row>
    <row r="24">
      <c r="I24" s="945" t="s">
        <v>758</v>
      </c>
      <c r="J24" s="962">
        <f>340000/2</f>
        <v>170000</v>
      </c>
      <c r="K24" s="963" t="s">
        <v>759</v>
      </c>
      <c r="L24" s="2"/>
      <c r="M24" s="948">
        <v>23.9</v>
      </c>
      <c r="N24" s="948">
        <v>23.0</v>
      </c>
      <c r="O24" s="948">
        <v>23.0</v>
      </c>
      <c r="P24" s="964"/>
      <c r="Q24" s="945" t="s">
        <v>760</v>
      </c>
      <c r="R24" s="955">
        <f>M29+SUM(M33:N33)</f>
        <v>1359218.095</v>
      </c>
    </row>
    <row r="25">
      <c r="I25" s="967" t="s">
        <v>761</v>
      </c>
      <c r="J25" s="968">
        <v>1250.0</v>
      </c>
      <c r="K25" s="969" t="s">
        <v>762</v>
      </c>
      <c r="L25" s="2"/>
      <c r="M25" s="955">
        <f t="shared" ref="M25:O25" si="20">M23/(360/M24)</f>
        <v>4.919416667</v>
      </c>
      <c r="N25" s="955">
        <f t="shared" si="20"/>
        <v>0</v>
      </c>
      <c r="O25" s="955">
        <f t="shared" si="20"/>
        <v>0</v>
      </c>
      <c r="P25" s="955">
        <f t="shared" ref="P25:P26" si="21">M25+N25+O25</f>
        <v>4.919416667</v>
      </c>
      <c r="Q25" s="945" t="s">
        <v>229</v>
      </c>
      <c r="R25" s="965">
        <f>R24/R23</f>
        <v>0.4969973216</v>
      </c>
    </row>
    <row r="26">
      <c r="I26" s="971" t="s">
        <v>764</v>
      </c>
      <c r="J26" s="968">
        <v>5.0</v>
      </c>
      <c r="K26" s="972" t="s">
        <v>765</v>
      </c>
      <c r="L26" s="948">
        <v>1230.0</v>
      </c>
      <c r="M26" s="955">
        <f>M25*(L26*6)</f>
        <v>36305.295</v>
      </c>
      <c r="N26" s="955">
        <f>N25*(L26*6)</f>
        <v>0</v>
      </c>
      <c r="O26" s="955">
        <f>O25*(L26*6)</f>
        <v>0</v>
      </c>
      <c r="P26" s="955">
        <f t="shared" si="21"/>
        <v>36305.295</v>
      </c>
      <c r="Q26" s="945" t="s">
        <v>763</v>
      </c>
      <c r="R26" s="955">
        <f>R23-R24-M36</f>
        <v>787141.905</v>
      </c>
    </row>
    <row r="27">
      <c r="I27" s="973" t="s">
        <v>766</v>
      </c>
      <c r="J27" s="968">
        <v>100.0</v>
      </c>
      <c r="K27" s="974"/>
      <c r="L27" s="964"/>
      <c r="M27" s="964"/>
      <c r="N27" s="964"/>
      <c r="O27" s="964"/>
      <c r="P27" s="964"/>
      <c r="Q27" s="945" t="s">
        <v>228</v>
      </c>
      <c r="R27" s="965">
        <f>R26/R23</f>
        <v>0.2878179889</v>
      </c>
    </row>
    <row r="28">
      <c r="I28" s="967" t="s">
        <v>767</v>
      </c>
      <c r="J28" s="956"/>
      <c r="K28" s="969" t="s">
        <v>768</v>
      </c>
      <c r="L28" s="2"/>
      <c r="M28" s="955">
        <f>P26+(P25*J34)</f>
        <v>39256.945</v>
      </c>
      <c r="N28" s="964"/>
      <c r="O28" s="975" t="s">
        <v>769</v>
      </c>
      <c r="P28" s="957" t="s">
        <v>770</v>
      </c>
      <c r="Q28" s="964"/>
      <c r="R28" s="964"/>
    </row>
    <row r="29">
      <c r="I29" s="977" t="s">
        <v>771</v>
      </c>
      <c r="J29" s="956"/>
      <c r="K29" s="969" t="s">
        <v>772</v>
      </c>
      <c r="L29" s="2"/>
      <c r="M29" s="955">
        <f>M28*J21+K22*J36*J21*30</f>
        <v>1231808.095</v>
      </c>
      <c r="N29" s="978"/>
      <c r="O29" s="979" t="s">
        <v>319</v>
      </c>
      <c r="P29" s="980">
        <v>152000.0</v>
      </c>
      <c r="Q29" s="964"/>
      <c r="R29" s="981"/>
    </row>
    <row r="30">
      <c r="I30" s="977" t="s">
        <v>773</v>
      </c>
      <c r="J30" s="956"/>
      <c r="K30" s="969" t="s">
        <v>774</v>
      </c>
      <c r="L30" s="2"/>
      <c r="M30" s="945" t="s">
        <v>330</v>
      </c>
      <c r="N30" s="973" t="s">
        <v>305</v>
      </c>
      <c r="O30" s="979" t="s">
        <v>321</v>
      </c>
      <c r="P30" s="980">
        <v>68400.0</v>
      </c>
      <c r="Q30" s="964"/>
      <c r="R30" s="964"/>
    </row>
    <row r="31">
      <c r="I31" s="967" t="s">
        <v>775</v>
      </c>
      <c r="J31" s="956"/>
      <c r="K31" s="969" t="s">
        <v>776</v>
      </c>
      <c r="L31" s="2"/>
      <c r="M31" s="960">
        <f t="shared" ref="M31:M32" si="22">J23*1.15</f>
        <v>368000</v>
      </c>
      <c r="N31" s="982">
        <v>15000.0</v>
      </c>
      <c r="O31" s="979" t="s">
        <v>323</v>
      </c>
      <c r="P31" s="980">
        <v>76000.0</v>
      </c>
      <c r="Q31" s="964"/>
      <c r="R31" s="964"/>
    </row>
    <row r="32">
      <c r="I32" s="967" t="s">
        <v>777</v>
      </c>
      <c r="J32" s="956"/>
      <c r="K32" s="969" t="s">
        <v>778</v>
      </c>
      <c r="L32" s="2"/>
      <c r="M32" s="960">
        <f t="shared" si="22"/>
        <v>195500</v>
      </c>
      <c r="N32" s="983">
        <v>10000.0</v>
      </c>
      <c r="O32" s="984" t="s">
        <v>779</v>
      </c>
      <c r="P32" s="948">
        <f>K22*J36*J21*100</f>
        <v>49476</v>
      </c>
      <c r="Q32" s="964"/>
      <c r="R32" s="964"/>
    </row>
    <row r="33">
      <c r="I33" s="967" t="s">
        <v>780</v>
      </c>
      <c r="J33" s="956"/>
      <c r="K33" s="985" t="s">
        <v>781</v>
      </c>
      <c r="L33" s="2"/>
      <c r="M33" s="960">
        <f>(J21*2-43.4)*J25*J26</f>
        <v>116250</v>
      </c>
      <c r="N33" s="960">
        <f>(J21*2-43.4)*J34</f>
        <v>11160</v>
      </c>
      <c r="O33" s="986" t="s">
        <v>782</v>
      </c>
      <c r="P33" s="948">
        <f>K22*J37*J21*500</f>
        <v>114855</v>
      </c>
      <c r="Q33" s="964"/>
      <c r="R33" s="987"/>
    </row>
    <row r="34">
      <c r="I34" s="989" t="s">
        <v>783</v>
      </c>
      <c r="J34" s="990">
        <v>600.0</v>
      </c>
      <c r="K34" s="963" t="s">
        <v>784</v>
      </c>
      <c r="L34" s="2"/>
      <c r="M34" s="960">
        <f>J28*J29*J30</f>
        <v>0</v>
      </c>
      <c r="N34" s="960">
        <f>J30*J34</f>
        <v>0</v>
      </c>
      <c r="O34" s="945" t="s">
        <v>301</v>
      </c>
      <c r="P34" s="955">
        <f>SUM(P29:P33)</f>
        <v>460731</v>
      </c>
      <c r="Q34" s="964"/>
      <c r="R34" s="964"/>
    </row>
    <row r="35">
      <c r="I35" s="989" t="s">
        <v>785</v>
      </c>
      <c r="J35" s="955"/>
      <c r="K35" s="963" t="s">
        <v>786</v>
      </c>
      <c r="L35" s="2"/>
      <c r="M35" s="960">
        <f>J31*J32*J33</f>
        <v>0</v>
      </c>
      <c r="N35" s="960">
        <f>J33*J34</f>
        <v>0</v>
      </c>
      <c r="O35" s="964"/>
      <c r="P35" s="964"/>
      <c r="Q35" s="964"/>
      <c r="R35" s="987"/>
    </row>
    <row r="36">
      <c r="I36" s="945" t="s">
        <v>779</v>
      </c>
      <c r="J36" s="991">
        <v>0.14</v>
      </c>
      <c r="K36" s="969" t="s">
        <v>787</v>
      </c>
      <c r="L36" s="2"/>
      <c r="M36" s="960">
        <f>SUM(M31:N32)+J35</f>
        <v>588500</v>
      </c>
      <c r="N36" s="981"/>
      <c r="O36" s="964"/>
      <c r="P36" s="964"/>
      <c r="Q36" s="964"/>
      <c r="R36" s="964"/>
    </row>
    <row r="37">
      <c r="I37" s="945" t="s">
        <v>257</v>
      </c>
      <c r="J37" s="965">
        <v>0.065</v>
      </c>
      <c r="K37" s="937"/>
      <c r="L37" s="937"/>
      <c r="M37" s="937"/>
      <c r="N37" s="937"/>
      <c r="O37" s="937"/>
      <c r="P37" s="937"/>
      <c r="Q37" s="937"/>
      <c r="R37" s="937"/>
    </row>
    <row r="39">
      <c r="I39" s="938" t="s">
        <v>746</v>
      </c>
      <c r="J39" s="939">
        <f>A5</f>
        <v>46113</v>
      </c>
      <c r="K39" s="938" t="str">
        <f>"①R"&amp;year(J39)-2018&amp;"_"&amp;month(J39)&amp;"集計"</f>
        <v>①R8_4集計</v>
      </c>
      <c r="L39" s="937"/>
      <c r="M39" s="937"/>
      <c r="N39" s="940">
        <f>R42</f>
        <v>2994780</v>
      </c>
      <c r="O39" s="940">
        <f>R45</f>
        <v>660145.0833</v>
      </c>
      <c r="P39" s="941">
        <f>R46</f>
        <v>0.2204319126</v>
      </c>
      <c r="Q39" s="941">
        <f>R44</f>
        <v>0.4965200282</v>
      </c>
      <c r="R39" s="937"/>
    </row>
    <row r="40">
      <c r="I40" s="945" t="s">
        <v>748</v>
      </c>
      <c r="J40" s="946">
        <f>DAY(EOMONTH(J39,0))</f>
        <v>30</v>
      </c>
      <c r="K40" s="947" t="s">
        <v>749</v>
      </c>
      <c r="L40" s="947" t="s">
        <v>230</v>
      </c>
      <c r="M40" s="947" t="s">
        <v>750</v>
      </c>
      <c r="N40" s="947" t="s">
        <v>751</v>
      </c>
      <c r="O40" s="947" t="s">
        <v>752</v>
      </c>
      <c r="P40" s="947" t="s">
        <v>753</v>
      </c>
      <c r="Q40" s="945" t="s">
        <v>754</v>
      </c>
      <c r="R40" s="948">
        <v>990.0</v>
      </c>
    </row>
    <row r="41">
      <c r="I41" s="945" t="s">
        <v>230</v>
      </c>
      <c r="J41" s="954">
        <f t="array" ref="J41">xlookup(K39,$B$3:$B$14,$C$3:$C$14)*100</f>
        <v>75</v>
      </c>
      <c r="K41" s="955">
        <f>SUM(M41:O41)</f>
        <v>114</v>
      </c>
      <c r="L41" s="955">
        <v>100.0</v>
      </c>
      <c r="M41" s="948">
        <v>114.0</v>
      </c>
      <c r="N41" s="956"/>
      <c r="O41" s="956"/>
      <c r="P41" s="955">
        <f>K41*J40</f>
        <v>3420</v>
      </c>
      <c r="Q41" s="957" t="s">
        <v>755</v>
      </c>
      <c r="R41" s="955">
        <f>P53</f>
        <v>455430</v>
      </c>
    </row>
    <row r="42">
      <c r="I42" s="945" t="s">
        <v>757</v>
      </c>
      <c r="J42" s="948">
        <v>320000.0</v>
      </c>
      <c r="K42" s="955">
        <f>K41*L42%</f>
        <v>85.5</v>
      </c>
      <c r="L42" s="960">
        <f>J41</f>
        <v>75</v>
      </c>
      <c r="M42" s="955">
        <f>M41*L42%</f>
        <v>85.5</v>
      </c>
      <c r="N42" s="955">
        <f>N41*L42%</f>
        <v>0</v>
      </c>
      <c r="O42" s="955">
        <f>O41*L42%</f>
        <v>0</v>
      </c>
      <c r="P42" s="955">
        <f>K42*J40</f>
        <v>2565</v>
      </c>
      <c r="Q42" s="945" t="s">
        <v>231</v>
      </c>
      <c r="R42" s="955">
        <f>R40*P42+R41</f>
        <v>2994780</v>
      </c>
    </row>
    <row r="43">
      <c r="I43" s="945" t="s">
        <v>758</v>
      </c>
      <c r="J43" s="962">
        <v>270000.0</v>
      </c>
      <c r="K43" s="963" t="s">
        <v>759</v>
      </c>
      <c r="L43" s="2"/>
      <c r="M43" s="948">
        <v>23.9</v>
      </c>
      <c r="N43" s="948">
        <v>23.0</v>
      </c>
      <c r="O43" s="948">
        <v>23.0</v>
      </c>
      <c r="P43" s="964"/>
      <c r="Q43" s="945" t="s">
        <v>760</v>
      </c>
      <c r="R43" s="955">
        <f>M48+SUM(M52:N52)</f>
        <v>1486968.25</v>
      </c>
    </row>
    <row r="44">
      <c r="I44" s="967" t="s">
        <v>761</v>
      </c>
      <c r="J44" s="968">
        <v>1250.0</v>
      </c>
      <c r="K44" s="969" t="s">
        <v>762</v>
      </c>
      <c r="L44" s="2"/>
      <c r="M44" s="955">
        <f t="shared" ref="M44:O44" si="23">M42/(360/M43)</f>
        <v>5.67625</v>
      </c>
      <c r="N44" s="955">
        <f t="shared" si="23"/>
        <v>0</v>
      </c>
      <c r="O44" s="955">
        <f t="shared" si="23"/>
        <v>0</v>
      </c>
      <c r="P44" s="955">
        <f t="shared" ref="P44:P45" si="24">M44+N44+O44</f>
        <v>5.67625</v>
      </c>
      <c r="Q44" s="945" t="s">
        <v>229</v>
      </c>
      <c r="R44" s="965">
        <f>R43/R42</f>
        <v>0.4965200282</v>
      </c>
    </row>
    <row r="45">
      <c r="I45" s="971" t="s">
        <v>764</v>
      </c>
      <c r="J45" s="968">
        <v>5.0</v>
      </c>
      <c r="K45" s="972" t="s">
        <v>765</v>
      </c>
      <c r="L45" s="948">
        <v>1230.0</v>
      </c>
      <c r="M45" s="955">
        <f>M44*(L45*6)</f>
        <v>41890.725</v>
      </c>
      <c r="N45" s="955">
        <f>N44*(L45*6)</f>
        <v>0</v>
      </c>
      <c r="O45" s="955">
        <f>O44*(L45*6)</f>
        <v>0</v>
      </c>
      <c r="P45" s="955">
        <f t="shared" si="24"/>
        <v>41890.725</v>
      </c>
      <c r="Q45" s="945" t="s">
        <v>763</v>
      </c>
      <c r="R45" s="955">
        <f>R42-R43-M55</f>
        <v>660145.0833</v>
      </c>
    </row>
    <row r="46">
      <c r="I46" s="973" t="s">
        <v>766</v>
      </c>
      <c r="J46" s="968">
        <v>100.0</v>
      </c>
      <c r="K46" s="974"/>
      <c r="L46" s="964"/>
      <c r="M46" s="964"/>
      <c r="N46" s="964"/>
      <c r="O46" s="964"/>
      <c r="P46" s="964"/>
      <c r="Q46" s="945" t="s">
        <v>228</v>
      </c>
      <c r="R46" s="965">
        <f>R45/R42</f>
        <v>0.2204319126</v>
      </c>
    </row>
    <row r="47">
      <c r="I47" s="967" t="s">
        <v>767</v>
      </c>
      <c r="J47" s="956"/>
      <c r="K47" s="969" t="s">
        <v>768</v>
      </c>
      <c r="L47" s="2"/>
      <c r="M47" s="955">
        <f>P45+(P44*J53)</f>
        <v>45296.475</v>
      </c>
      <c r="N47" s="964"/>
      <c r="O47" s="975" t="s">
        <v>769</v>
      </c>
      <c r="P47" s="957" t="s">
        <v>770</v>
      </c>
      <c r="Q47" s="964"/>
      <c r="R47" s="964"/>
    </row>
    <row r="48">
      <c r="I48" s="977" t="s">
        <v>771</v>
      </c>
      <c r="J48" s="956"/>
      <c r="K48" s="969" t="s">
        <v>772</v>
      </c>
      <c r="L48" s="2"/>
      <c r="M48" s="955">
        <f>M47*J40+K41*J55*J40*30</f>
        <v>1373258.25</v>
      </c>
      <c r="N48" s="978"/>
      <c r="O48" s="979" t="s">
        <v>319</v>
      </c>
      <c r="P48" s="980">
        <v>152000.0</v>
      </c>
      <c r="Q48" s="964"/>
      <c r="R48" s="981"/>
    </row>
    <row r="49">
      <c r="I49" s="977" t="s">
        <v>773</v>
      </c>
      <c r="J49" s="956"/>
      <c r="K49" s="969" t="s">
        <v>774</v>
      </c>
      <c r="L49" s="2"/>
      <c r="M49" s="945" t="s">
        <v>330</v>
      </c>
      <c r="N49" s="973" t="s">
        <v>305</v>
      </c>
      <c r="O49" s="979" t="s">
        <v>321</v>
      </c>
      <c r="P49" s="980">
        <v>68400.0</v>
      </c>
      <c r="Q49" s="964"/>
      <c r="R49" s="964"/>
    </row>
    <row r="50">
      <c r="I50" s="967" t="s">
        <v>775</v>
      </c>
      <c r="J50" s="956"/>
      <c r="K50" s="969" t="s">
        <v>776</v>
      </c>
      <c r="L50" s="2"/>
      <c r="M50" s="960">
        <f t="shared" ref="M50:M51" si="25">J42*1.15</f>
        <v>368000</v>
      </c>
      <c r="N50" s="982">
        <v>15000.0</v>
      </c>
      <c r="O50" s="979" t="s">
        <v>323</v>
      </c>
      <c r="P50" s="980">
        <v>76000.0</v>
      </c>
      <c r="Q50" s="964"/>
      <c r="R50" s="964"/>
    </row>
    <row r="51">
      <c r="I51" s="967" t="s">
        <v>777</v>
      </c>
      <c r="J51" s="956"/>
      <c r="K51" s="969" t="s">
        <v>778</v>
      </c>
      <c r="L51" s="2"/>
      <c r="M51" s="960">
        <f t="shared" si="25"/>
        <v>310500</v>
      </c>
      <c r="N51" s="960">
        <v>15000.0</v>
      </c>
      <c r="O51" s="984" t="s">
        <v>779</v>
      </c>
      <c r="P51" s="948">
        <f>K41*J55*J40*100</f>
        <v>47880</v>
      </c>
      <c r="Q51" s="964"/>
      <c r="R51" s="964"/>
    </row>
    <row r="52">
      <c r="I52" s="967" t="s">
        <v>780</v>
      </c>
      <c r="J52" s="956"/>
      <c r="K52" s="985" t="s">
        <v>781</v>
      </c>
      <c r="L52" s="2"/>
      <c r="M52" s="960">
        <f>(J40*2-43.4)*J44*J45</f>
        <v>103750</v>
      </c>
      <c r="N52" s="960">
        <f>(J40*2-43.4)*J53</f>
        <v>9960</v>
      </c>
      <c r="O52" s="986" t="s">
        <v>782</v>
      </c>
      <c r="P52" s="948">
        <f>K41*J56*J40*500</f>
        <v>111150</v>
      </c>
      <c r="Q52" s="964"/>
      <c r="R52" s="987"/>
    </row>
    <row r="53">
      <c r="I53" s="989" t="s">
        <v>783</v>
      </c>
      <c r="J53" s="990">
        <v>600.0</v>
      </c>
      <c r="K53" s="963" t="s">
        <v>784</v>
      </c>
      <c r="L53" s="2"/>
      <c r="M53" s="960">
        <f>J47*J48*J49</f>
        <v>0</v>
      </c>
      <c r="N53" s="960">
        <f>J49*J53</f>
        <v>0</v>
      </c>
      <c r="O53" s="945" t="s">
        <v>301</v>
      </c>
      <c r="P53" s="955">
        <f>SUM(P48:P52)</f>
        <v>455430</v>
      </c>
      <c r="Q53" s="964"/>
      <c r="R53" s="964"/>
    </row>
    <row r="54">
      <c r="I54" s="989" t="s">
        <v>785</v>
      </c>
      <c r="J54" s="955">
        <f>(350000*1.15+15000)/3</f>
        <v>139166.6667</v>
      </c>
      <c r="K54" s="963" t="s">
        <v>786</v>
      </c>
      <c r="L54" s="2"/>
      <c r="M54" s="960">
        <f>J50*J51*J52</f>
        <v>0</v>
      </c>
      <c r="N54" s="960">
        <f>J52*J53</f>
        <v>0</v>
      </c>
      <c r="O54" s="964"/>
      <c r="P54" s="964"/>
      <c r="Q54" s="964"/>
      <c r="R54" s="987"/>
    </row>
    <row r="55">
      <c r="I55" s="945" t="s">
        <v>779</v>
      </c>
      <c r="J55" s="991">
        <v>0.14</v>
      </c>
      <c r="K55" s="969" t="s">
        <v>787</v>
      </c>
      <c r="L55" s="2"/>
      <c r="M55" s="960">
        <f>SUM(M50:N51)+J54</f>
        <v>847666.6667</v>
      </c>
      <c r="N55" s="981"/>
      <c r="O55" s="964"/>
      <c r="P55" s="964"/>
      <c r="Q55" s="964"/>
      <c r="R55" s="964"/>
    </row>
    <row r="56">
      <c r="I56" s="945" t="s">
        <v>257</v>
      </c>
      <c r="J56" s="965">
        <v>0.065</v>
      </c>
      <c r="K56" s="937"/>
      <c r="L56" s="937"/>
      <c r="M56" s="937"/>
      <c r="N56" s="937"/>
      <c r="O56" s="937"/>
      <c r="P56" s="937"/>
      <c r="Q56" s="937"/>
      <c r="R56" s="937"/>
    </row>
    <row r="58">
      <c r="I58" s="938" t="s">
        <v>746</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748</v>
      </c>
      <c r="J59" s="946">
        <f>DAY(EOMONTH(J58,0))</f>
        <v>31</v>
      </c>
      <c r="K59" s="947" t="s">
        <v>749</v>
      </c>
      <c r="L59" s="947" t="s">
        <v>230</v>
      </c>
      <c r="M59" s="947" t="s">
        <v>750</v>
      </c>
      <c r="N59" s="947" t="s">
        <v>751</v>
      </c>
      <c r="O59" s="947" t="s">
        <v>752</v>
      </c>
      <c r="P59" s="947" t="s">
        <v>753</v>
      </c>
      <c r="Q59" s="945" t="s">
        <v>754</v>
      </c>
      <c r="R59" s="948">
        <v>990.0</v>
      </c>
    </row>
    <row r="60">
      <c r="I60" s="945" t="s">
        <v>230</v>
      </c>
      <c r="J60" s="954">
        <f t="array" ref="J60">xlookup(K58,$B$3:$B$14,$C$3:$C$14)*100</f>
        <v>0</v>
      </c>
      <c r="K60" s="955">
        <f>SUM(M60:O60)</f>
        <v>114</v>
      </c>
      <c r="L60" s="955">
        <v>100.0</v>
      </c>
      <c r="M60" s="948">
        <v>114.0</v>
      </c>
      <c r="N60" s="956"/>
      <c r="O60" s="956"/>
      <c r="P60" s="955">
        <f>K60*J59</f>
        <v>3534</v>
      </c>
      <c r="Q60" s="957" t="s">
        <v>755</v>
      </c>
      <c r="R60" s="955">
        <f>P72</f>
        <v>460731</v>
      </c>
    </row>
    <row r="61">
      <c r="I61" s="945" t="s">
        <v>757</v>
      </c>
      <c r="J61" s="948">
        <v>320000.0</v>
      </c>
      <c r="K61" s="955">
        <f>K60*L61%</f>
        <v>0</v>
      </c>
      <c r="L61" s="960">
        <f>J60</f>
        <v>0</v>
      </c>
      <c r="M61" s="955">
        <f>M60*L61%</f>
        <v>0</v>
      </c>
      <c r="N61" s="955">
        <f>N60*L61%</f>
        <v>0</v>
      </c>
      <c r="O61" s="955">
        <f>O60*L61%</f>
        <v>0</v>
      </c>
      <c r="P61" s="955">
        <f>K61*J59</f>
        <v>0</v>
      </c>
      <c r="Q61" s="945" t="s">
        <v>231</v>
      </c>
      <c r="R61" s="955">
        <f>R59*P61+R60</f>
        <v>460731</v>
      </c>
    </row>
    <row r="62">
      <c r="I62" s="945" t="s">
        <v>758</v>
      </c>
      <c r="J62" s="962">
        <v>270000.0</v>
      </c>
      <c r="K62" s="963" t="s">
        <v>759</v>
      </c>
      <c r="L62" s="2"/>
      <c r="M62" s="948">
        <v>23.9</v>
      </c>
      <c r="N62" s="948">
        <v>23.0</v>
      </c>
      <c r="O62" s="948">
        <v>23.0</v>
      </c>
      <c r="P62" s="964"/>
      <c r="Q62" s="945" t="s">
        <v>760</v>
      </c>
      <c r="R62" s="955">
        <f>M67+SUM(M71:N71)</f>
        <v>142252.8</v>
      </c>
    </row>
    <row r="63">
      <c r="I63" s="967" t="s">
        <v>761</v>
      </c>
      <c r="J63" s="968">
        <v>1250.0</v>
      </c>
      <c r="K63" s="969" t="s">
        <v>762</v>
      </c>
      <c r="L63" s="2"/>
      <c r="M63" s="955">
        <f t="shared" ref="M63:O63" si="26">M61/(360/M62)</f>
        <v>0</v>
      </c>
      <c r="N63" s="955">
        <f t="shared" si="26"/>
        <v>0</v>
      </c>
      <c r="O63" s="955">
        <f t="shared" si="26"/>
        <v>0</v>
      </c>
      <c r="P63" s="955">
        <f t="shared" ref="P63:P64" si="27">M63+N63+O63</f>
        <v>0</v>
      </c>
      <c r="Q63" s="945" t="s">
        <v>229</v>
      </c>
      <c r="R63" s="965">
        <f>R62/R61</f>
        <v>0.3087545661</v>
      </c>
    </row>
    <row r="64">
      <c r="I64" s="971" t="s">
        <v>764</v>
      </c>
      <c r="J64" s="968">
        <v>5.0</v>
      </c>
      <c r="K64" s="972" t="s">
        <v>765</v>
      </c>
      <c r="L64" s="948">
        <v>1230.0</v>
      </c>
      <c r="M64" s="955">
        <f>M63*(L64*6)</f>
        <v>0</v>
      </c>
      <c r="N64" s="955">
        <f>N63*(L64*6)</f>
        <v>0</v>
      </c>
      <c r="O64" s="955">
        <f>O63*(L64*6)</f>
        <v>0</v>
      </c>
      <c r="P64" s="955">
        <f t="shared" si="27"/>
        <v>0</v>
      </c>
      <c r="Q64" s="945" t="s">
        <v>763</v>
      </c>
      <c r="R64" s="955">
        <f>R61-R62-M74</f>
        <v>-529188.4667</v>
      </c>
    </row>
    <row r="65">
      <c r="I65" s="973" t="s">
        <v>766</v>
      </c>
      <c r="J65" s="968">
        <v>100.0</v>
      </c>
      <c r="K65" s="974"/>
      <c r="L65" s="964"/>
      <c r="M65" s="964"/>
      <c r="N65" s="964"/>
      <c r="O65" s="964"/>
      <c r="P65" s="964"/>
      <c r="Q65" s="945" t="s">
        <v>228</v>
      </c>
      <c r="R65" s="965">
        <f>R64/R61</f>
        <v>-1.14858446</v>
      </c>
    </row>
    <row r="66">
      <c r="I66" s="967" t="s">
        <v>767</v>
      </c>
      <c r="J66" s="956"/>
      <c r="K66" s="969" t="s">
        <v>768</v>
      </c>
      <c r="L66" s="2"/>
      <c r="M66" s="955">
        <f>P64+(P63*J72)</f>
        <v>0</v>
      </c>
      <c r="N66" s="964"/>
      <c r="O66" s="975" t="s">
        <v>769</v>
      </c>
      <c r="P66" s="957" t="s">
        <v>770</v>
      </c>
      <c r="Q66" s="964"/>
      <c r="R66" s="964"/>
    </row>
    <row r="67">
      <c r="I67" s="977" t="s">
        <v>771</v>
      </c>
      <c r="J67" s="956"/>
      <c r="K67" s="969" t="s">
        <v>772</v>
      </c>
      <c r="L67" s="2"/>
      <c r="M67" s="955">
        <f>M66*J59+K60*J74*J59*30</f>
        <v>14842.8</v>
      </c>
      <c r="N67" s="978"/>
      <c r="O67" s="979" t="s">
        <v>319</v>
      </c>
      <c r="P67" s="980">
        <v>152000.0</v>
      </c>
      <c r="Q67" s="964"/>
      <c r="R67" s="981"/>
    </row>
    <row r="68">
      <c r="I68" s="977" t="s">
        <v>773</v>
      </c>
      <c r="J68" s="956"/>
      <c r="K68" s="969" t="s">
        <v>774</v>
      </c>
      <c r="L68" s="2"/>
      <c r="M68" s="945" t="s">
        <v>330</v>
      </c>
      <c r="N68" s="973" t="s">
        <v>305</v>
      </c>
      <c r="O68" s="979" t="s">
        <v>321</v>
      </c>
      <c r="P68" s="980">
        <v>68400.0</v>
      </c>
      <c r="Q68" s="964"/>
      <c r="R68" s="964"/>
    </row>
    <row r="69">
      <c r="I69" s="967" t="s">
        <v>775</v>
      </c>
      <c r="J69" s="956"/>
      <c r="K69" s="969" t="s">
        <v>776</v>
      </c>
      <c r="L69" s="2"/>
      <c r="M69" s="960">
        <f t="shared" ref="M69:M70" si="28">J61*1.15</f>
        <v>368000</v>
      </c>
      <c r="N69" s="982">
        <v>15000.0</v>
      </c>
      <c r="O69" s="979" t="s">
        <v>323</v>
      </c>
      <c r="P69" s="980">
        <v>76000.0</v>
      </c>
      <c r="Q69" s="964"/>
      <c r="R69" s="964"/>
    </row>
    <row r="70">
      <c r="I70" s="967" t="s">
        <v>777</v>
      </c>
      <c r="J70" s="956"/>
      <c r="K70" s="969" t="s">
        <v>778</v>
      </c>
      <c r="L70" s="2"/>
      <c r="M70" s="960">
        <f t="shared" si="28"/>
        <v>310500</v>
      </c>
      <c r="N70" s="960">
        <v>15000.0</v>
      </c>
      <c r="O70" s="984" t="s">
        <v>779</v>
      </c>
      <c r="P70" s="948">
        <f>K60*J74*J59*100</f>
        <v>49476</v>
      </c>
      <c r="Q70" s="964"/>
      <c r="R70" s="964"/>
    </row>
    <row r="71">
      <c r="I71" s="967" t="s">
        <v>780</v>
      </c>
      <c r="J71" s="956"/>
      <c r="K71" s="985" t="s">
        <v>781</v>
      </c>
      <c r="L71" s="2"/>
      <c r="M71" s="960">
        <f>(J59*2-43.4)*J63*J64</f>
        <v>116250</v>
      </c>
      <c r="N71" s="960">
        <f>(J59*2-43.4)*J72</f>
        <v>11160</v>
      </c>
      <c r="O71" s="986" t="s">
        <v>782</v>
      </c>
      <c r="P71" s="948">
        <f>K60*J75*J59*500</f>
        <v>114855</v>
      </c>
      <c r="Q71" s="964"/>
      <c r="R71" s="987"/>
    </row>
    <row r="72">
      <c r="I72" s="989" t="s">
        <v>783</v>
      </c>
      <c r="J72" s="990">
        <v>600.0</v>
      </c>
      <c r="K72" s="963" t="s">
        <v>784</v>
      </c>
      <c r="L72" s="2"/>
      <c r="M72" s="960">
        <f>J66*J67*J68</f>
        <v>0</v>
      </c>
      <c r="N72" s="960">
        <f>J68*J72</f>
        <v>0</v>
      </c>
      <c r="O72" s="945" t="s">
        <v>301</v>
      </c>
      <c r="P72" s="955">
        <f>SUM(P67:P71)</f>
        <v>460731</v>
      </c>
      <c r="Q72" s="964"/>
      <c r="R72" s="964"/>
    </row>
    <row r="73">
      <c r="I73" s="989" t="s">
        <v>785</v>
      </c>
      <c r="J73" s="955">
        <f>(350000*1.15+15000)/3</f>
        <v>139166.6667</v>
      </c>
      <c r="K73" s="963" t="s">
        <v>786</v>
      </c>
      <c r="L73" s="2"/>
      <c r="M73" s="960">
        <f>J69*J70*J71</f>
        <v>0</v>
      </c>
      <c r="N73" s="960">
        <f>J71*J72</f>
        <v>0</v>
      </c>
      <c r="O73" s="964"/>
      <c r="P73" s="964"/>
      <c r="Q73" s="964"/>
      <c r="R73" s="987"/>
    </row>
    <row r="74">
      <c r="I74" s="945" t="s">
        <v>779</v>
      </c>
      <c r="J74" s="991">
        <v>0.14</v>
      </c>
      <c r="K74" s="969" t="s">
        <v>787</v>
      </c>
      <c r="L74" s="2"/>
      <c r="M74" s="960">
        <f>SUM(M69:N70)+J73</f>
        <v>847666.6667</v>
      </c>
      <c r="N74" s="981"/>
      <c r="O74" s="964"/>
      <c r="P74" s="964"/>
      <c r="Q74" s="964"/>
      <c r="R74" s="964"/>
    </row>
    <row r="75">
      <c r="I75" s="945" t="s">
        <v>257</v>
      </c>
      <c r="J75" s="965">
        <v>0.065</v>
      </c>
      <c r="K75" s="937"/>
      <c r="L75" s="937"/>
      <c r="M75" s="937"/>
      <c r="N75" s="937"/>
      <c r="O75" s="937"/>
      <c r="P75" s="937"/>
      <c r="Q75" s="937"/>
      <c r="R75" s="937"/>
    </row>
    <row r="77">
      <c r="I77" s="938" t="s">
        <v>746</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748</v>
      </c>
      <c r="J78" s="946">
        <f>DAY(EOMONTH(J77,0))</f>
        <v>30</v>
      </c>
      <c r="K78" s="947" t="s">
        <v>749</v>
      </c>
      <c r="L78" s="947" t="s">
        <v>230</v>
      </c>
      <c r="M78" s="947" t="s">
        <v>750</v>
      </c>
      <c r="N78" s="947" t="s">
        <v>751</v>
      </c>
      <c r="O78" s="947" t="s">
        <v>752</v>
      </c>
      <c r="P78" s="947" t="s">
        <v>753</v>
      </c>
      <c r="Q78" s="945" t="s">
        <v>754</v>
      </c>
      <c r="R78" s="948">
        <v>990.0</v>
      </c>
    </row>
    <row r="79">
      <c r="I79" s="945" t="s">
        <v>230</v>
      </c>
      <c r="J79" s="954">
        <f t="array" ref="J79">xlookup(K77,$B$3:$B$14,$C$3:$C$14)*100</f>
        <v>0</v>
      </c>
      <c r="K79" s="955">
        <f>SUM(M79:O79)</f>
        <v>114</v>
      </c>
      <c r="L79" s="955">
        <v>100.0</v>
      </c>
      <c r="M79" s="948">
        <v>114.0</v>
      </c>
      <c r="N79" s="956"/>
      <c r="O79" s="956"/>
      <c r="P79" s="955">
        <f>K79*J78</f>
        <v>3420</v>
      </c>
      <c r="Q79" s="957" t="s">
        <v>755</v>
      </c>
      <c r="R79" s="955">
        <f>P91</f>
        <v>455430</v>
      </c>
    </row>
    <row r="80">
      <c r="I80" s="945" t="s">
        <v>757</v>
      </c>
      <c r="J80" s="948">
        <v>320000.0</v>
      </c>
      <c r="K80" s="955">
        <f>K79*L80%</f>
        <v>0</v>
      </c>
      <c r="L80" s="960">
        <f>J79</f>
        <v>0</v>
      </c>
      <c r="M80" s="955">
        <f>M79*L80%</f>
        <v>0</v>
      </c>
      <c r="N80" s="955">
        <f>N79*L80%</f>
        <v>0</v>
      </c>
      <c r="O80" s="955">
        <f>O79*L80%</f>
        <v>0</v>
      </c>
      <c r="P80" s="955">
        <f>K80*J78</f>
        <v>0</v>
      </c>
      <c r="Q80" s="945" t="s">
        <v>231</v>
      </c>
      <c r="R80" s="955">
        <f>R78*P80+R79</f>
        <v>455430</v>
      </c>
    </row>
    <row r="81">
      <c r="I81" s="945" t="s">
        <v>758</v>
      </c>
      <c r="J81" s="962">
        <v>270000.0</v>
      </c>
      <c r="K81" s="963" t="s">
        <v>759</v>
      </c>
      <c r="L81" s="2"/>
      <c r="M81" s="948">
        <v>23.9</v>
      </c>
      <c r="N81" s="948">
        <v>23.0</v>
      </c>
      <c r="O81" s="948">
        <v>23.0</v>
      </c>
      <c r="P81" s="964"/>
      <c r="Q81" s="945" t="s">
        <v>760</v>
      </c>
      <c r="R81" s="955">
        <f>M86+SUM(M90:N90)</f>
        <v>128074</v>
      </c>
    </row>
    <row r="82">
      <c r="I82" s="967" t="s">
        <v>761</v>
      </c>
      <c r="J82" s="968">
        <v>1250.0</v>
      </c>
      <c r="K82" s="969" t="s">
        <v>762</v>
      </c>
      <c r="L82" s="2"/>
      <c r="M82" s="955">
        <f t="shared" ref="M82:O82" si="29">M80/(360/M81)</f>
        <v>0</v>
      </c>
      <c r="N82" s="955">
        <f t="shared" si="29"/>
        <v>0</v>
      </c>
      <c r="O82" s="955">
        <f t="shared" si="29"/>
        <v>0</v>
      </c>
      <c r="P82" s="955">
        <f t="shared" ref="P82:P83" si="30">M82+N82+O82</f>
        <v>0</v>
      </c>
      <c r="Q82" s="945" t="s">
        <v>229</v>
      </c>
      <c r="R82" s="965">
        <f>R81/R80</f>
        <v>0.2812155545</v>
      </c>
    </row>
    <row r="83">
      <c r="I83" s="971" t="s">
        <v>764</v>
      </c>
      <c r="J83" s="968">
        <v>5.0</v>
      </c>
      <c r="K83" s="972" t="s">
        <v>765</v>
      </c>
      <c r="L83" s="948">
        <v>1230.0</v>
      </c>
      <c r="M83" s="955">
        <f>M82*(L83*6)</f>
        <v>0</v>
      </c>
      <c r="N83" s="955">
        <f>N82*(L83*6)</f>
        <v>0</v>
      </c>
      <c r="O83" s="955">
        <f>O82*(L83*6)</f>
        <v>0</v>
      </c>
      <c r="P83" s="955">
        <f t="shared" si="30"/>
        <v>0</v>
      </c>
      <c r="Q83" s="945" t="s">
        <v>763</v>
      </c>
      <c r="R83" s="955">
        <f>R80-R81-M93</f>
        <v>-520310.6667</v>
      </c>
    </row>
    <row r="84">
      <c r="I84" s="973" t="s">
        <v>766</v>
      </c>
      <c r="J84" s="968">
        <v>100.0</v>
      </c>
      <c r="K84" s="974"/>
      <c r="L84" s="964"/>
      <c r="M84" s="964"/>
      <c r="N84" s="964"/>
      <c r="O84" s="964"/>
      <c r="P84" s="964"/>
      <c r="Q84" s="945" t="s">
        <v>228</v>
      </c>
      <c r="R84" s="965">
        <f>R83/R80</f>
        <v>-1.142460239</v>
      </c>
    </row>
    <row r="85">
      <c r="I85" s="967" t="s">
        <v>767</v>
      </c>
      <c r="J85" s="956"/>
      <c r="K85" s="969" t="s">
        <v>768</v>
      </c>
      <c r="L85" s="2"/>
      <c r="M85" s="955">
        <f>P83+(P82*J91)</f>
        <v>0</v>
      </c>
      <c r="N85" s="964"/>
      <c r="O85" s="975" t="s">
        <v>769</v>
      </c>
      <c r="P85" s="957" t="s">
        <v>770</v>
      </c>
      <c r="Q85" s="964"/>
      <c r="R85" s="964"/>
    </row>
    <row r="86">
      <c r="I86" s="977" t="s">
        <v>771</v>
      </c>
      <c r="J86" s="956"/>
      <c r="K86" s="969" t="s">
        <v>772</v>
      </c>
      <c r="L86" s="2"/>
      <c r="M86" s="955">
        <f>M85*J78+K79*J93*J78*30</f>
        <v>14364</v>
      </c>
      <c r="N86" s="978"/>
      <c r="O86" s="979" t="s">
        <v>319</v>
      </c>
      <c r="P86" s="980">
        <v>152000.0</v>
      </c>
      <c r="Q86" s="964"/>
      <c r="R86" s="981"/>
    </row>
    <row r="87">
      <c r="I87" s="977" t="s">
        <v>773</v>
      </c>
      <c r="J87" s="956"/>
      <c r="K87" s="969" t="s">
        <v>774</v>
      </c>
      <c r="L87" s="2"/>
      <c r="M87" s="945" t="s">
        <v>330</v>
      </c>
      <c r="N87" s="973" t="s">
        <v>305</v>
      </c>
      <c r="O87" s="979" t="s">
        <v>321</v>
      </c>
      <c r="P87" s="980">
        <v>68400.0</v>
      </c>
      <c r="Q87" s="964"/>
      <c r="R87" s="964"/>
    </row>
    <row r="88">
      <c r="I88" s="967" t="s">
        <v>775</v>
      </c>
      <c r="J88" s="956"/>
      <c r="K88" s="969" t="s">
        <v>776</v>
      </c>
      <c r="L88" s="2"/>
      <c r="M88" s="960">
        <f t="shared" ref="M88:M89" si="31">J80*1.15</f>
        <v>368000</v>
      </c>
      <c r="N88" s="982">
        <v>15000.0</v>
      </c>
      <c r="O88" s="979" t="s">
        <v>323</v>
      </c>
      <c r="P88" s="980">
        <v>76000.0</v>
      </c>
      <c r="Q88" s="964"/>
      <c r="R88" s="964"/>
    </row>
    <row r="89">
      <c r="I89" s="967" t="s">
        <v>777</v>
      </c>
      <c r="J89" s="956"/>
      <c r="K89" s="969" t="s">
        <v>778</v>
      </c>
      <c r="L89" s="2"/>
      <c r="M89" s="960">
        <f t="shared" si="31"/>
        <v>310500</v>
      </c>
      <c r="N89" s="960">
        <v>15000.0</v>
      </c>
      <c r="O89" s="984" t="s">
        <v>779</v>
      </c>
      <c r="P89" s="948">
        <f>K79*J93*J78*100</f>
        <v>47880</v>
      </c>
      <c r="Q89" s="964"/>
      <c r="R89" s="964"/>
    </row>
    <row r="90">
      <c r="I90" s="967" t="s">
        <v>780</v>
      </c>
      <c r="J90" s="956"/>
      <c r="K90" s="985" t="s">
        <v>781</v>
      </c>
      <c r="L90" s="2"/>
      <c r="M90" s="960">
        <f>(J78*2-43.4)*J82*J83</f>
        <v>103750</v>
      </c>
      <c r="N90" s="960">
        <f>(J78*2-43.4)*J91</f>
        <v>9960</v>
      </c>
      <c r="O90" s="986" t="s">
        <v>782</v>
      </c>
      <c r="P90" s="948">
        <f>K79*J94*J78*500</f>
        <v>111150</v>
      </c>
      <c r="Q90" s="964"/>
      <c r="R90" s="987"/>
    </row>
    <row r="91">
      <c r="I91" s="989" t="s">
        <v>783</v>
      </c>
      <c r="J91" s="990">
        <v>600.0</v>
      </c>
      <c r="K91" s="963" t="s">
        <v>784</v>
      </c>
      <c r="L91" s="2"/>
      <c r="M91" s="960">
        <f>J85*J86*J87</f>
        <v>0</v>
      </c>
      <c r="N91" s="960">
        <f>J87*J91</f>
        <v>0</v>
      </c>
      <c r="O91" s="945" t="s">
        <v>301</v>
      </c>
      <c r="P91" s="955">
        <f>SUM(P86:P90)</f>
        <v>455430</v>
      </c>
      <c r="Q91" s="964"/>
      <c r="R91" s="964"/>
    </row>
    <row r="92">
      <c r="I92" s="989" t="s">
        <v>785</v>
      </c>
      <c r="J92" s="955">
        <f>(350000*1.15+15000)/3</f>
        <v>139166.6667</v>
      </c>
      <c r="K92" s="963" t="s">
        <v>786</v>
      </c>
      <c r="L92" s="2"/>
      <c r="M92" s="960">
        <f>J88*J89*J90</f>
        <v>0</v>
      </c>
      <c r="N92" s="960">
        <f>J90*J91</f>
        <v>0</v>
      </c>
      <c r="O92" s="964"/>
      <c r="P92" s="964"/>
      <c r="Q92" s="964"/>
      <c r="R92" s="987"/>
    </row>
    <row r="93">
      <c r="I93" s="945" t="s">
        <v>779</v>
      </c>
      <c r="J93" s="991">
        <v>0.14</v>
      </c>
      <c r="K93" s="969" t="s">
        <v>787</v>
      </c>
      <c r="L93" s="2"/>
      <c r="M93" s="960">
        <f>SUM(M88:N89)+J92</f>
        <v>847666.6667</v>
      </c>
      <c r="N93" s="981"/>
      <c r="O93" s="964"/>
      <c r="P93" s="964"/>
      <c r="Q93" s="964"/>
      <c r="R93" s="964"/>
    </row>
    <row r="94">
      <c r="I94" s="945" t="s">
        <v>257</v>
      </c>
      <c r="J94" s="965">
        <v>0.065</v>
      </c>
      <c r="K94" s="937"/>
      <c r="L94" s="937"/>
      <c r="M94" s="937"/>
      <c r="N94" s="937"/>
      <c r="O94" s="937"/>
      <c r="P94" s="937"/>
      <c r="Q94" s="937"/>
      <c r="R94" s="937"/>
    </row>
    <row r="96">
      <c r="I96" s="938" t="s">
        <v>746</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748</v>
      </c>
      <c r="J97" s="946">
        <f>DAY(EOMONTH(J96,0))</f>
        <v>31</v>
      </c>
      <c r="K97" s="947" t="s">
        <v>749</v>
      </c>
      <c r="L97" s="947" t="s">
        <v>230</v>
      </c>
      <c r="M97" s="947" t="s">
        <v>750</v>
      </c>
      <c r="N97" s="947" t="s">
        <v>751</v>
      </c>
      <c r="O97" s="947" t="s">
        <v>752</v>
      </c>
      <c r="P97" s="947" t="s">
        <v>753</v>
      </c>
      <c r="Q97" s="945" t="s">
        <v>754</v>
      </c>
      <c r="R97" s="948">
        <v>990.0</v>
      </c>
    </row>
    <row r="98">
      <c r="I98" s="945" t="s">
        <v>230</v>
      </c>
      <c r="J98" s="954">
        <f t="array" ref="J98">xlookup(K96,$B$3:$B$14,$C$3:$C$14)*100</f>
        <v>0</v>
      </c>
      <c r="K98" s="955">
        <f>SUM(M98:O98)</f>
        <v>114</v>
      </c>
      <c r="L98" s="955">
        <v>100.0</v>
      </c>
      <c r="M98" s="948">
        <v>114.0</v>
      </c>
      <c r="N98" s="956"/>
      <c r="O98" s="956"/>
      <c r="P98" s="955">
        <f>K98*J97</f>
        <v>3534</v>
      </c>
      <c r="Q98" s="957" t="s">
        <v>755</v>
      </c>
      <c r="R98" s="955">
        <f>P110</f>
        <v>460731</v>
      </c>
    </row>
    <row r="99">
      <c r="I99" s="945" t="s">
        <v>757</v>
      </c>
      <c r="J99" s="948">
        <v>320000.0</v>
      </c>
      <c r="K99" s="955">
        <f>K98*L99%</f>
        <v>0</v>
      </c>
      <c r="L99" s="960">
        <f>J98</f>
        <v>0</v>
      </c>
      <c r="M99" s="955">
        <f>M98*L99%</f>
        <v>0</v>
      </c>
      <c r="N99" s="955">
        <f>N98*L99%</f>
        <v>0</v>
      </c>
      <c r="O99" s="955">
        <f>O98*L99%</f>
        <v>0</v>
      </c>
      <c r="P99" s="955">
        <f>K99*J97</f>
        <v>0</v>
      </c>
      <c r="Q99" s="945" t="s">
        <v>231</v>
      </c>
      <c r="R99" s="955">
        <f>R97*P99+R98</f>
        <v>460731</v>
      </c>
    </row>
    <row r="100">
      <c r="I100" s="945" t="s">
        <v>758</v>
      </c>
      <c r="J100" s="962">
        <v>270000.0</v>
      </c>
      <c r="K100" s="963" t="s">
        <v>759</v>
      </c>
      <c r="L100" s="2"/>
      <c r="M100" s="948">
        <v>23.9</v>
      </c>
      <c r="N100" s="948">
        <v>23.0</v>
      </c>
      <c r="O100" s="948">
        <v>23.0</v>
      </c>
      <c r="P100" s="964"/>
      <c r="Q100" s="945" t="s">
        <v>760</v>
      </c>
      <c r="R100" s="955">
        <f>M105+SUM(M109:N109)</f>
        <v>142252.8</v>
      </c>
    </row>
    <row r="101">
      <c r="I101" s="967" t="s">
        <v>761</v>
      </c>
      <c r="J101" s="968">
        <v>1250.0</v>
      </c>
      <c r="K101" s="969" t="s">
        <v>762</v>
      </c>
      <c r="L101" s="2"/>
      <c r="M101" s="955">
        <f t="shared" ref="M101:O101" si="32">M99/(360/M100)</f>
        <v>0</v>
      </c>
      <c r="N101" s="955">
        <f t="shared" si="32"/>
        <v>0</v>
      </c>
      <c r="O101" s="955">
        <f t="shared" si="32"/>
        <v>0</v>
      </c>
      <c r="P101" s="955">
        <f t="shared" ref="P101:P102" si="33">M101+N101+O101</f>
        <v>0</v>
      </c>
      <c r="Q101" s="945" t="s">
        <v>229</v>
      </c>
      <c r="R101" s="965">
        <f>R100/R99</f>
        <v>0.3087545661</v>
      </c>
    </row>
    <row r="102">
      <c r="I102" s="971" t="s">
        <v>764</v>
      </c>
      <c r="J102" s="968">
        <v>5.0</v>
      </c>
      <c r="K102" s="972" t="s">
        <v>765</v>
      </c>
      <c r="L102" s="948">
        <v>1230.0</v>
      </c>
      <c r="M102" s="955">
        <f>M101*(L102*6)</f>
        <v>0</v>
      </c>
      <c r="N102" s="955">
        <f>N101*(L102*6)</f>
        <v>0</v>
      </c>
      <c r="O102" s="955">
        <f>O101*(L102*6)</f>
        <v>0</v>
      </c>
      <c r="P102" s="955">
        <f t="shared" si="33"/>
        <v>0</v>
      </c>
      <c r="Q102" s="945" t="s">
        <v>763</v>
      </c>
      <c r="R102" s="955">
        <f>R99-R100-M112</f>
        <v>-529188.4667</v>
      </c>
    </row>
    <row r="103">
      <c r="I103" s="973" t="s">
        <v>766</v>
      </c>
      <c r="J103" s="968">
        <v>100.0</v>
      </c>
      <c r="K103" s="974"/>
      <c r="L103" s="964"/>
      <c r="M103" s="964"/>
      <c r="N103" s="964"/>
      <c r="O103" s="964"/>
      <c r="P103" s="964"/>
      <c r="Q103" s="945" t="s">
        <v>228</v>
      </c>
      <c r="R103" s="965">
        <f>R102/R99</f>
        <v>-1.14858446</v>
      </c>
    </row>
    <row r="104">
      <c r="I104" s="967" t="s">
        <v>767</v>
      </c>
      <c r="J104" s="956"/>
      <c r="K104" s="969" t="s">
        <v>768</v>
      </c>
      <c r="L104" s="2"/>
      <c r="M104" s="955">
        <f>P102+(P101*J110)</f>
        <v>0</v>
      </c>
      <c r="N104" s="964"/>
      <c r="O104" s="975" t="s">
        <v>769</v>
      </c>
      <c r="P104" s="957" t="s">
        <v>770</v>
      </c>
      <c r="Q104" s="964"/>
      <c r="R104" s="964"/>
    </row>
    <row r="105">
      <c r="I105" s="977" t="s">
        <v>771</v>
      </c>
      <c r="J105" s="956"/>
      <c r="K105" s="969" t="s">
        <v>772</v>
      </c>
      <c r="L105" s="2"/>
      <c r="M105" s="955">
        <f>M104*J97+K98*J112*J97*30</f>
        <v>14842.8</v>
      </c>
      <c r="N105" s="978"/>
      <c r="O105" s="979" t="s">
        <v>319</v>
      </c>
      <c r="P105" s="980">
        <v>152000.0</v>
      </c>
      <c r="Q105" s="964"/>
      <c r="R105" s="981"/>
    </row>
    <row r="106">
      <c r="I106" s="977" t="s">
        <v>773</v>
      </c>
      <c r="J106" s="956"/>
      <c r="K106" s="969" t="s">
        <v>774</v>
      </c>
      <c r="L106" s="2"/>
      <c r="M106" s="945" t="s">
        <v>330</v>
      </c>
      <c r="N106" s="973" t="s">
        <v>305</v>
      </c>
      <c r="O106" s="979" t="s">
        <v>321</v>
      </c>
      <c r="P106" s="980">
        <v>68400.0</v>
      </c>
      <c r="Q106" s="964"/>
      <c r="R106" s="964"/>
    </row>
    <row r="107">
      <c r="I107" s="967" t="s">
        <v>775</v>
      </c>
      <c r="J107" s="956"/>
      <c r="K107" s="969" t="s">
        <v>776</v>
      </c>
      <c r="L107" s="2"/>
      <c r="M107" s="960">
        <f t="shared" ref="M107:M108" si="34">J99*1.15</f>
        <v>368000</v>
      </c>
      <c r="N107" s="982">
        <v>15000.0</v>
      </c>
      <c r="O107" s="979" t="s">
        <v>323</v>
      </c>
      <c r="P107" s="980">
        <v>76000.0</v>
      </c>
      <c r="Q107" s="964"/>
      <c r="R107" s="964"/>
    </row>
    <row r="108">
      <c r="I108" s="967" t="s">
        <v>777</v>
      </c>
      <c r="J108" s="956"/>
      <c r="K108" s="969" t="s">
        <v>778</v>
      </c>
      <c r="L108" s="2"/>
      <c r="M108" s="960">
        <f t="shared" si="34"/>
        <v>310500</v>
      </c>
      <c r="N108" s="960">
        <v>15000.0</v>
      </c>
      <c r="O108" s="984" t="s">
        <v>779</v>
      </c>
      <c r="P108" s="948">
        <f>K98*J112*J97*100</f>
        <v>49476</v>
      </c>
      <c r="Q108" s="964"/>
      <c r="R108" s="964"/>
    </row>
    <row r="109">
      <c r="I109" s="967" t="s">
        <v>780</v>
      </c>
      <c r="J109" s="956"/>
      <c r="K109" s="985" t="s">
        <v>781</v>
      </c>
      <c r="L109" s="2"/>
      <c r="M109" s="960">
        <f>(J97*2-43.4)*J101*J102</f>
        <v>116250</v>
      </c>
      <c r="N109" s="960">
        <f>(J97*2-43.4)*J110</f>
        <v>11160</v>
      </c>
      <c r="O109" s="986" t="s">
        <v>782</v>
      </c>
      <c r="P109" s="948">
        <f>K98*J113*J97*500</f>
        <v>114855</v>
      </c>
      <c r="Q109" s="964"/>
      <c r="R109" s="987"/>
    </row>
    <row r="110">
      <c r="I110" s="989" t="s">
        <v>783</v>
      </c>
      <c r="J110" s="990">
        <v>600.0</v>
      </c>
      <c r="K110" s="963" t="s">
        <v>784</v>
      </c>
      <c r="L110" s="2"/>
      <c r="M110" s="960">
        <f>J104*J105*J106</f>
        <v>0</v>
      </c>
      <c r="N110" s="960">
        <f>J106*J110</f>
        <v>0</v>
      </c>
      <c r="O110" s="945" t="s">
        <v>301</v>
      </c>
      <c r="P110" s="955">
        <f>SUM(P105:P109)</f>
        <v>460731</v>
      </c>
      <c r="Q110" s="964"/>
      <c r="R110" s="964"/>
    </row>
    <row r="111">
      <c r="I111" s="989" t="s">
        <v>785</v>
      </c>
      <c r="J111" s="955">
        <f>(350000*1.15+15000)/3</f>
        <v>139166.6667</v>
      </c>
      <c r="K111" s="963" t="s">
        <v>786</v>
      </c>
      <c r="L111" s="2"/>
      <c r="M111" s="960">
        <f>J107*J108*J109</f>
        <v>0</v>
      </c>
      <c r="N111" s="960">
        <f>J109*J110</f>
        <v>0</v>
      </c>
      <c r="O111" s="964"/>
      <c r="P111" s="964"/>
      <c r="Q111" s="964"/>
      <c r="R111" s="987"/>
    </row>
    <row r="112">
      <c r="I112" s="945" t="s">
        <v>779</v>
      </c>
      <c r="J112" s="991">
        <v>0.14</v>
      </c>
      <c r="K112" s="969" t="s">
        <v>787</v>
      </c>
      <c r="L112" s="2"/>
      <c r="M112" s="960">
        <f>SUM(M107:N108)+J111</f>
        <v>847666.6667</v>
      </c>
      <c r="N112" s="981"/>
      <c r="O112" s="964"/>
      <c r="P112" s="964"/>
      <c r="Q112" s="964"/>
      <c r="R112" s="964"/>
    </row>
    <row r="113">
      <c r="I113" s="945" t="s">
        <v>257</v>
      </c>
      <c r="J113" s="965">
        <v>0.065</v>
      </c>
      <c r="K113" s="937"/>
      <c r="L113" s="937"/>
      <c r="M113" s="937"/>
      <c r="N113" s="937"/>
      <c r="O113" s="937"/>
      <c r="P113" s="937"/>
      <c r="Q113" s="937"/>
      <c r="R113" s="937"/>
    </row>
    <row r="115">
      <c r="I115" s="938" t="s">
        <v>746</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748</v>
      </c>
      <c r="J116" s="946">
        <f>DAY(EOMONTH(J115,0))</f>
        <v>31</v>
      </c>
      <c r="K116" s="947" t="s">
        <v>749</v>
      </c>
      <c r="L116" s="947" t="s">
        <v>230</v>
      </c>
      <c r="M116" s="947" t="s">
        <v>750</v>
      </c>
      <c r="N116" s="947" t="s">
        <v>751</v>
      </c>
      <c r="O116" s="947" t="s">
        <v>752</v>
      </c>
      <c r="P116" s="947" t="s">
        <v>753</v>
      </c>
      <c r="Q116" s="945" t="s">
        <v>754</v>
      </c>
      <c r="R116" s="948">
        <v>990.0</v>
      </c>
    </row>
    <row r="117">
      <c r="I117" s="945" t="s">
        <v>230</v>
      </c>
      <c r="J117" s="954">
        <f t="array" ref="J117">xlookup(K115,$B$3:$B$14,$C$3:$C$14)*100</f>
        <v>0</v>
      </c>
      <c r="K117" s="955">
        <f>SUM(M117:O117)</f>
        <v>114</v>
      </c>
      <c r="L117" s="955">
        <v>100.0</v>
      </c>
      <c r="M117" s="948">
        <v>114.0</v>
      </c>
      <c r="N117" s="956"/>
      <c r="O117" s="956"/>
      <c r="P117" s="955">
        <f>K117*J116</f>
        <v>3534</v>
      </c>
      <c r="Q117" s="957" t="s">
        <v>755</v>
      </c>
      <c r="R117" s="955">
        <f>P129</f>
        <v>460731</v>
      </c>
    </row>
    <row r="118">
      <c r="I118" s="945" t="s">
        <v>757</v>
      </c>
      <c r="J118" s="948">
        <v>320000.0</v>
      </c>
      <c r="K118" s="955">
        <f>K117*L118%</f>
        <v>0</v>
      </c>
      <c r="L118" s="960">
        <f>J117</f>
        <v>0</v>
      </c>
      <c r="M118" s="955">
        <f>M117*L118%</f>
        <v>0</v>
      </c>
      <c r="N118" s="955">
        <f>N117*L118%</f>
        <v>0</v>
      </c>
      <c r="O118" s="955">
        <f>O117*L118%</f>
        <v>0</v>
      </c>
      <c r="P118" s="955">
        <f>K118*J116</f>
        <v>0</v>
      </c>
      <c r="Q118" s="945" t="s">
        <v>231</v>
      </c>
      <c r="R118" s="955">
        <f>R116*P118+R117</f>
        <v>460731</v>
      </c>
    </row>
    <row r="119">
      <c r="I119" s="945" t="s">
        <v>758</v>
      </c>
      <c r="J119" s="962">
        <v>270000.0</v>
      </c>
      <c r="K119" s="963" t="s">
        <v>759</v>
      </c>
      <c r="L119" s="2"/>
      <c r="M119" s="948">
        <v>23.9</v>
      </c>
      <c r="N119" s="948">
        <v>23.0</v>
      </c>
      <c r="O119" s="948">
        <v>23.0</v>
      </c>
      <c r="P119" s="964"/>
      <c r="Q119" s="945" t="s">
        <v>760</v>
      </c>
      <c r="R119" s="955">
        <f>M124+SUM(M128:N128)</f>
        <v>142252.8</v>
      </c>
    </row>
    <row r="120">
      <c r="I120" s="967" t="s">
        <v>761</v>
      </c>
      <c r="J120" s="968">
        <v>1250.0</v>
      </c>
      <c r="K120" s="969" t="s">
        <v>762</v>
      </c>
      <c r="L120" s="2"/>
      <c r="M120" s="955">
        <f t="shared" ref="M120:O120" si="35">M118/(360/M119)</f>
        <v>0</v>
      </c>
      <c r="N120" s="955">
        <f t="shared" si="35"/>
        <v>0</v>
      </c>
      <c r="O120" s="955">
        <f t="shared" si="35"/>
        <v>0</v>
      </c>
      <c r="P120" s="955">
        <f t="shared" ref="P120:P121" si="36">M120+N120+O120</f>
        <v>0</v>
      </c>
      <c r="Q120" s="945" t="s">
        <v>229</v>
      </c>
      <c r="R120" s="965">
        <f>R119/R118</f>
        <v>0.3087545661</v>
      </c>
    </row>
    <row r="121">
      <c r="I121" s="971" t="s">
        <v>764</v>
      </c>
      <c r="J121" s="968">
        <v>5.0</v>
      </c>
      <c r="K121" s="972" t="s">
        <v>765</v>
      </c>
      <c r="L121" s="948">
        <v>1230.0</v>
      </c>
      <c r="M121" s="955">
        <f>M120*(L121*6)</f>
        <v>0</v>
      </c>
      <c r="N121" s="955">
        <f>N120*(L121*6)</f>
        <v>0</v>
      </c>
      <c r="O121" s="955">
        <f>O120*(L121*6)</f>
        <v>0</v>
      </c>
      <c r="P121" s="955">
        <f t="shared" si="36"/>
        <v>0</v>
      </c>
      <c r="Q121" s="945" t="s">
        <v>763</v>
      </c>
      <c r="R121" s="955">
        <f>R118-R119-M131</f>
        <v>-529188.4667</v>
      </c>
    </row>
    <row r="122">
      <c r="I122" s="973" t="s">
        <v>766</v>
      </c>
      <c r="J122" s="968">
        <v>100.0</v>
      </c>
      <c r="K122" s="974"/>
      <c r="L122" s="964"/>
      <c r="M122" s="964"/>
      <c r="N122" s="964"/>
      <c r="O122" s="964"/>
      <c r="P122" s="964"/>
      <c r="Q122" s="945" t="s">
        <v>228</v>
      </c>
      <c r="R122" s="965">
        <f>R121/R118</f>
        <v>-1.14858446</v>
      </c>
    </row>
    <row r="123">
      <c r="I123" s="967" t="s">
        <v>767</v>
      </c>
      <c r="J123" s="956"/>
      <c r="K123" s="969" t="s">
        <v>768</v>
      </c>
      <c r="L123" s="2"/>
      <c r="M123" s="955">
        <f>P121+(P120*J129)</f>
        <v>0</v>
      </c>
      <c r="N123" s="964"/>
      <c r="O123" s="975" t="s">
        <v>769</v>
      </c>
      <c r="P123" s="957" t="s">
        <v>770</v>
      </c>
      <c r="Q123" s="964"/>
      <c r="R123" s="964"/>
    </row>
    <row r="124">
      <c r="I124" s="977" t="s">
        <v>771</v>
      </c>
      <c r="J124" s="956"/>
      <c r="K124" s="969" t="s">
        <v>772</v>
      </c>
      <c r="L124" s="2"/>
      <c r="M124" s="955">
        <f>M123*J116+K117*J131*J116*30</f>
        <v>14842.8</v>
      </c>
      <c r="N124" s="978"/>
      <c r="O124" s="979" t="s">
        <v>319</v>
      </c>
      <c r="P124" s="980">
        <v>152000.0</v>
      </c>
      <c r="Q124" s="964"/>
      <c r="R124" s="981"/>
    </row>
    <row r="125">
      <c r="I125" s="977" t="s">
        <v>773</v>
      </c>
      <c r="J125" s="956"/>
      <c r="K125" s="969" t="s">
        <v>774</v>
      </c>
      <c r="L125" s="2"/>
      <c r="M125" s="945" t="s">
        <v>330</v>
      </c>
      <c r="N125" s="973" t="s">
        <v>305</v>
      </c>
      <c r="O125" s="979" t="s">
        <v>321</v>
      </c>
      <c r="P125" s="980">
        <v>68400.0</v>
      </c>
      <c r="Q125" s="964"/>
      <c r="R125" s="964"/>
    </row>
    <row r="126">
      <c r="I126" s="967" t="s">
        <v>775</v>
      </c>
      <c r="J126" s="956"/>
      <c r="K126" s="969" t="s">
        <v>776</v>
      </c>
      <c r="L126" s="2"/>
      <c r="M126" s="960">
        <f t="shared" ref="M126:M127" si="37">J118*1.15</f>
        <v>368000</v>
      </c>
      <c r="N126" s="982">
        <v>15000.0</v>
      </c>
      <c r="O126" s="979" t="s">
        <v>323</v>
      </c>
      <c r="P126" s="980">
        <v>76000.0</v>
      </c>
      <c r="Q126" s="964"/>
      <c r="R126" s="964"/>
    </row>
    <row r="127">
      <c r="I127" s="967" t="s">
        <v>777</v>
      </c>
      <c r="J127" s="956"/>
      <c r="K127" s="969" t="s">
        <v>778</v>
      </c>
      <c r="L127" s="2"/>
      <c r="M127" s="960">
        <f t="shared" si="37"/>
        <v>310500</v>
      </c>
      <c r="N127" s="960">
        <v>15000.0</v>
      </c>
      <c r="O127" s="984" t="s">
        <v>779</v>
      </c>
      <c r="P127" s="948">
        <f>K117*J131*J116*100</f>
        <v>49476</v>
      </c>
      <c r="Q127" s="964"/>
      <c r="R127" s="964"/>
    </row>
    <row r="128">
      <c r="I128" s="967" t="s">
        <v>780</v>
      </c>
      <c r="J128" s="956"/>
      <c r="K128" s="985" t="s">
        <v>781</v>
      </c>
      <c r="L128" s="2"/>
      <c r="M128" s="960">
        <f>(J116*2-43.4)*J120*J121</f>
        <v>116250</v>
      </c>
      <c r="N128" s="960">
        <f>(J116*2-43.4)*J129</f>
        <v>11160</v>
      </c>
      <c r="O128" s="986" t="s">
        <v>782</v>
      </c>
      <c r="P128" s="948">
        <f>K117*J132*J116*500</f>
        <v>114855</v>
      </c>
      <c r="Q128" s="964"/>
      <c r="R128" s="987"/>
    </row>
    <row r="129">
      <c r="I129" s="989" t="s">
        <v>783</v>
      </c>
      <c r="J129" s="990">
        <v>600.0</v>
      </c>
      <c r="K129" s="963" t="s">
        <v>784</v>
      </c>
      <c r="L129" s="2"/>
      <c r="M129" s="960">
        <f>J123*J124*J125</f>
        <v>0</v>
      </c>
      <c r="N129" s="960">
        <f>J125*J129</f>
        <v>0</v>
      </c>
      <c r="O129" s="945" t="s">
        <v>301</v>
      </c>
      <c r="P129" s="955">
        <f>SUM(P124:P128)</f>
        <v>460731</v>
      </c>
      <c r="Q129" s="964"/>
      <c r="R129" s="964"/>
    </row>
    <row r="130">
      <c r="I130" s="989" t="s">
        <v>785</v>
      </c>
      <c r="J130" s="955">
        <f>(350000*1.15+15000)/3</f>
        <v>139166.6667</v>
      </c>
      <c r="K130" s="963" t="s">
        <v>786</v>
      </c>
      <c r="L130" s="2"/>
      <c r="M130" s="960">
        <f>J126*J127*J128</f>
        <v>0</v>
      </c>
      <c r="N130" s="960">
        <f>J128*J129</f>
        <v>0</v>
      </c>
      <c r="O130" s="964"/>
      <c r="P130" s="964"/>
      <c r="Q130" s="964"/>
      <c r="R130" s="987"/>
    </row>
    <row r="131">
      <c r="I131" s="945" t="s">
        <v>779</v>
      </c>
      <c r="J131" s="991">
        <v>0.14</v>
      </c>
      <c r="K131" s="969" t="s">
        <v>787</v>
      </c>
      <c r="L131" s="2"/>
      <c r="M131" s="960">
        <f>SUM(M126:N127)+J130</f>
        <v>847666.6667</v>
      </c>
      <c r="N131" s="981"/>
      <c r="O131" s="964"/>
      <c r="P131" s="964"/>
      <c r="Q131" s="964"/>
      <c r="R131" s="964"/>
    </row>
    <row r="132">
      <c r="I132" s="945" t="s">
        <v>257</v>
      </c>
      <c r="J132" s="965">
        <v>0.065</v>
      </c>
      <c r="K132" s="937"/>
      <c r="L132" s="937"/>
      <c r="M132" s="937"/>
      <c r="N132" s="937"/>
      <c r="O132" s="937"/>
      <c r="P132" s="937"/>
      <c r="Q132" s="937"/>
      <c r="R132" s="937"/>
    </row>
    <row r="134">
      <c r="I134" s="938" t="s">
        <v>746</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748</v>
      </c>
      <c r="J135" s="946">
        <f>DAY(EOMONTH(J134,0))</f>
        <v>30</v>
      </c>
      <c r="K135" s="947" t="s">
        <v>749</v>
      </c>
      <c r="L135" s="947" t="s">
        <v>230</v>
      </c>
      <c r="M135" s="947" t="s">
        <v>750</v>
      </c>
      <c r="N135" s="947" t="s">
        <v>751</v>
      </c>
      <c r="O135" s="947" t="s">
        <v>752</v>
      </c>
      <c r="P135" s="947" t="s">
        <v>753</v>
      </c>
      <c r="Q135" s="945" t="s">
        <v>754</v>
      </c>
      <c r="R135" s="948">
        <v>990.0</v>
      </c>
    </row>
    <row r="136">
      <c r="I136" s="945" t="s">
        <v>230</v>
      </c>
      <c r="J136" s="954">
        <f t="array" ref="J136">xlookup(K134,$B$3:$B$14,$C$3:$C$14)*100</f>
        <v>0</v>
      </c>
      <c r="K136" s="955">
        <f>SUM(M136:O136)</f>
        <v>114</v>
      </c>
      <c r="L136" s="955">
        <v>100.0</v>
      </c>
      <c r="M136" s="948">
        <v>114.0</v>
      </c>
      <c r="N136" s="956"/>
      <c r="O136" s="956"/>
      <c r="P136" s="955">
        <f>K136*J135</f>
        <v>3420</v>
      </c>
      <c r="Q136" s="957" t="s">
        <v>755</v>
      </c>
      <c r="R136" s="955">
        <f>P148</f>
        <v>455430</v>
      </c>
    </row>
    <row r="137">
      <c r="I137" s="945" t="s">
        <v>757</v>
      </c>
      <c r="J137" s="948">
        <v>320000.0</v>
      </c>
      <c r="K137" s="955">
        <f>K136*L137%</f>
        <v>0</v>
      </c>
      <c r="L137" s="960">
        <f>J136</f>
        <v>0</v>
      </c>
      <c r="M137" s="955">
        <f>M136*L137%</f>
        <v>0</v>
      </c>
      <c r="N137" s="955">
        <f>N136*L137%</f>
        <v>0</v>
      </c>
      <c r="O137" s="955">
        <f>O136*L137%</f>
        <v>0</v>
      </c>
      <c r="P137" s="955">
        <f>K137*J135</f>
        <v>0</v>
      </c>
      <c r="Q137" s="945" t="s">
        <v>231</v>
      </c>
      <c r="R137" s="955">
        <f>R135*P137+R136</f>
        <v>455430</v>
      </c>
    </row>
    <row r="138">
      <c r="I138" s="945" t="s">
        <v>758</v>
      </c>
      <c r="J138" s="962">
        <v>270000.0</v>
      </c>
      <c r="K138" s="963" t="s">
        <v>759</v>
      </c>
      <c r="L138" s="2"/>
      <c r="M138" s="948">
        <v>23.9</v>
      </c>
      <c r="N138" s="948">
        <v>23.0</v>
      </c>
      <c r="O138" s="948">
        <v>23.0</v>
      </c>
      <c r="P138" s="964"/>
      <c r="Q138" s="945" t="s">
        <v>760</v>
      </c>
      <c r="R138" s="955">
        <f>M143+SUM(M147:N147)</f>
        <v>128074</v>
      </c>
    </row>
    <row r="139">
      <c r="I139" s="967" t="s">
        <v>761</v>
      </c>
      <c r="J139" s="968">
        <v>1250.0</v>
      </c>
      <c r="K139" s="969" t="s">
        <v>762</v>
      </c>
      <c r="L139" s="2"/>
      <c r="M139" s="955">
        <f t="shared" ref="M139:O139" si="38">M137/(360/M138)</f>
        <v>0</v>
      </c>
      <c r="N139" s="955">
        <f t="shared" si="38"/>
        <v>0</v>
      </c>
      <c r="O139" s="955">
        <f t="shared" si="38"/>
        <v>0</v>
      </c>
      <c r="P139" s="955">
        <f t="shared" ref="P139:P140" si="39">M139+N139+O139</f>
        <v>0</v>
      </c>
      <c r="Q139" s="945" t="s">
        <v>229</v>
      </c>
      <c r="R139" s="965">
        <f>R138/R137</f>
        <v>0.2812155545</v>
      </c>
    </row>
    <row r="140">
      <c r="I140" s="971" t="s">
        <v>764</v>
      </c>
      <c r="J140" s="968">
        <v>5.0</v>
      </c>
      <c r="K140" s="972" t="s">
        <v>765</v>
      </c>
      <c r="L140" s="948">
        <v>1230.0</v>
      </c>
      <c r="M140" s="955">
        <f>M139*(L140*6)</f>
        <v>0</v>
      </c>
      <c r="N140" s="955">
        <f>N139*(L140*6)</f>
        <v>0</v>
      </c>
      <c r="O140" s="955">
        <f>O139*(L140*6)</f>
        <v>0</v>
      </c>
      <c r="P140" s="955">
        <f t="shared" si="39"/>
        <v>0</v>
      </c>
      <c r="Q140" s="945" t="s">
        <v>763</v>
      </c>
      <c r="R140" s="955">
        <f>R137-R138-M150</f>
        <v>-520310.6667</v>
      </c>
    </row>
    <row r="141">
      <c r="I141" s="973" t="s">
        <v>766</v>
      </c>
      <c r="J141" s="968">
        <v>100.0</v>
      </c>
      <c r="K141" s="974"/>
      <c r="L141" s="964"/>
      <c r="M141" s="964"/>
      <c r="N141" s="964"/>
      <c r="O141" s="964"/>
      <c r="P141" s="964"/>
      <c r="Q141" s="945" t="s">
        <v>228</v>
      </c>
      <c r="R141" s="965">
        <f>R140/R137</f>
        <v>-1.142460239</v>
      </c>
    </row>
    <row r="142">
      <c r="I142" s="967" t="s">
        <v>767</v>
      </c>
      <c r="J142" s="956"/>
      <c r="K142" s="969" t="s">
        <v>768</v>
      </c>
      <c r="L142" s="2"/>
      <c r="M142" s="955">
        <f>P140+(P139*J148)</f>
        <v>0</v>
      </c>
      <c r="N142" s="964"/>
      <c r="O142" s="975" t="s">
        <v>769</v>
      </c>
      <c r="P142" s="957" t="s">
        <v>770</v>
      </c>
      <c r="Q142" s="964"/>
      <c r="R142" s="964"/>
    </row>
    <row r="143">
      <c r="I143" s="977" t="s">
        <v>771</v>
      </c>
      <c r="J143" s="956"/>
      <c r="K143" s="969" t="s">
        <v>772</v>
      </c>
      <c r="L143" s="2"/>
      <c r="M143" s="955">
        <f>M142*J135+K136*J150*J135*30</f>
        <v>14364</v>
      </c>
      <c r="N143" s="978"/>
      <c r="O143" s="979" t="s">
        <v>319</v>
      </c>
      <c r="P143" s="980">
        <v>152000.0</v>
      </c>
      <c r="Q143" s="964"/>
      <c r="R143" s="981"/>
    </row>
    <row r="144">
      <c r="I144" s="977" t="s">
        <v>773</v>
      </c>
      <c r="J144" s="956"/>
      <c r="K144" s="969" t="s">
        <v>774</v>
      </c>
      <c r="L144" s="2"/>
      <c r="M144" s="945" t="s">
        <v>330</v>
      </c>
      <c r="N144" s="973" t="s">
        <v>305</v>
      </c>
      <c r="O144" s="979" t="s">
        <v>321</v>
      </c>
      <c r="P144" s="980">
        <v>68400.0</v>
      </c>
      <c r="Q144" s="964"/>
      <c r="R144" s="964"/>
    </row>
    <row r="145">
      <c r="I145" s="967" t="s">
        <v>775</v>
      </c>
      <c r="J145" s="956"/>
      <c r="K145" s="969" t="s">
        <v>776</v>
      </c>
      <c r="L145" s="2"/>
      <c r="M145" s="960">
        <f t="shared" ref="M145:M146" si="40">J137*1.15</f>
        <v>368000</v>
      </c>
      <c r="N145" s="982">
        <v>15000.0</v>
      </c>
      <c r="O145" s="979" t="s">
        <v>323</v>
      </c>
      <c r="P145" s="980">
        <v>76000.0</v>
      </c>
      <c r="Q145" s="964"/>
      <c r="R145" s="964"/>
    </row>
    <row r="146">
      <c r="I146" s="967" t="s">
        <v>777</v>
      </c>
      <c r="J146" s="956"/>
      <c r="K146" s="969" t="s">
        <v>778</v>
      </c>
      <c r="L146" s="2"/>
      <c r="M146" s="960">
        <f t="shared" si="40"/>
        <v>310500</v>
      </c>
      <c r="N146" s="960">
        <v>15000.0</v>
      </c>
      <c r="O146" s="984" t="s">
        <v>779</v>
      </c>
      <c r="P146" s="948">
        <f>K136*J150*J135*100</f>
        <v>47880</v>
      </c>
      <c r="Q146" s="964"/>
      <c r="R146" s="964"/>
    </row>
    <row r="147">
      <c r="I147" s="967" t="s">
        <v>780</v>
      </c>
      <c r="J147" s="956"/>
      <c r="K147" s="985" t="s">
        <v>781</v>
      </c>
      <c r="L147" s="2"/>
      <c r="M147" s="960">
        <f>(J135*2-43.4)*J139*J140</f>
        <v>103750</v>
      </c>
      <c r="N147" s="960">
        <f>(J135*2-43.4)*J148</f>
        <v>9960</v>
      </c>
      <c r="O147" s="986" t="s">
        <v>782</v>
      </c>
      <c r="P147" s="948">
        <f>K136*J151*J135*500</f>
        <v>111150</v>
      </c>
      <c r="Q147" s="964"/>
      <c r="R147" s="987"/>
    </row>
    <row r="148">
      <c r="I148" s="989" t="s">
        <v>783</v>
      </c>
      <c r="J148" s="990">
        <v>600.0</v>
      </c>
      <c r="K148" s="963" t="s">
        <v>784</v>
      </c>
      <c r="L148" s="2"/>
      <c r="M148" s="960">
        <f>J142*J143*J144</f>
        <v>0</v>
      </c>
      <c r="N148" s="960">
        <f>J144*J148</f>
        <v>0</v>
      </c>
      <c r="O148" s="945" t="s">
        <v>301</v>
      </c>
      <c r="P148" s="955">
        <f>SUM(P143:P147)</f>
        <v>455430</v>
      </c>
      <c r="Q148" s="964"/>
      <c r="R148" s="964"/>
    </row>
    <row r="149">
      <c r="I149" s="989" t="s">
        <v>785</v>
      </c>
      <c r="J149" s="955">
        <f>(350000*1.15+15000)/3</f>
        <v>139166.6667</v>
      </c>
      <c r="K149" s="963" t="s">
        <v>786</v>
      </c>
      <c r="L149" s="2"/>
      <c r="M149" s="960">
        <f>J145*J146*J147</f>
        <v>0</v>
      </c>
      <c r="N149" s="960">
        <f>J147*J148</f>
        <v>0</v>
      </c>
      <c r="O149" s="964"/>
      <c r="P149" s="964"/>
      <c r="Q149" s="964"/>
      <c r="R149" s="987"/>
    </row>
    <row r="150">
      <c r="I150" s="945" t="s">
        <v>779</v>
      </c>
      <c r="J150" s="991">
        <v>0.14</v>
      </c>
      <c r="K150" s="969" t="s">
        <v>787</v>
      </c>
      <c r="L150" s="2"/>
      <c r="M150" s="960">
        <f>SUM(M145:N146)+J149</f>
        <v>847666.6667</v>
      </c>
      <c r="N150" s="981"/>
      <c r="O150" s="964"/>
      <c r="P150" s="964"/>
      <c r="Q150" s="964"/>
      <c r="R150" s="964"/>
    </row>
    <row r="151">
      <c r="I151" s="945" t="s">
        <v>257</v>
      </c>
      <c r="J151" s="965">
        <v>0.065</v>
      </c>
      <c r="K151" s="937"/>
      <c r="L151" s="937"/>
      <c r="M151" s="937"/>
      <c r="N151" s="937"/>
      <c r="O151" s="937"/>
      <c r="P151" s="937"/>
      <c r="Q151" s="937"/>
      <c r="R151" s="937"/>
    </row>
    <row r="153">
      <c r="I153" s="938" t="s">
        <v>746</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748</v>
      </c>
      <c r="J154" s="946">
        <f>DAY(EOMONTH(J153,0))</f>
        <v>31</v>
      </c>
      <c r="K154" s="947" t="s">
        <v>749</v>
      </c>
      <c r="L154" s="947" t="s">
        <v>230</v>
      </c>
      <c r="M154" s="947" t="s">
        <v>750</v>
      </c>
      <c r="N154" s="947" t="s">
        <v>751</v>
      </c>
      <c r="O154" s="947" t="s">
        <v>752</v>
      </c>
      <c r="P154" s="947" t="s">
        <v>753</v>
      </c>
      <c r="Q154" s="945" t="s">
        <v>754</v>
      </c>
      <c r="R154" s="948">
        <v>990.0</v>
      </c>
    </row>
    <row r="155">
      <c r="I155" s="945" t="s">
        <v>230</v>
      </c>
      <c r="J155" s="954">
        <f t="array" ref="J155">xlookup(K153,$B$3:$B$14,$C$3:$C$14)*100</f>
        <v>0</v>
      </c>
      <c r="K155" s="955">
        <f>SUM(M155:O155)</f>
        <v>114</v>
      </c>
      <c r="L155" s="955">
        <v>100.0</v>
      </c>
      <c r="M155" s="948">
        <v>114.0</v>
      </c>
      <c r="N155" s="956"/>
      <c r="O155" s="956"/>
      <c r="P155" s="955">
        <f>K155*J154</f>
        <v>3534</v>
      </c>
      <c r="Q155" s="957" t="s">
        <v>755</v>
      </c>
      <c r="R155" s="955">
        <f>P167</f>
        <v>460731</v>
      </c>
    </row>
    <row r="156">
      <c r="I156" s="945" t="s">
        <v>757</v>
      </c>
      <c r="J156" s="948">
        <v>320000.0</v>
      </c>
      <c r="K156" s="955">
        <f>K155*L156%</f>
        <v>0</v>
      </c>
      <c r="L156" s="960">
        <f>J155</f>
        <v>0</v>
      </c>
      <c r="M156" s="955">
        <f>M155*L156%</f>
        <v>0</v>
      </c>
      <c r="N156" s="955">
        <f>N155*L156%</f>
        <v>0</v>
      </c>
      <c r="O156" s="955">
        <f>O155*L156%</f>
        <v>0</v>
      </c>
      <c r="P156" s="955">
        <f>K156*J154</f>
        <v>0</v>
      </c>
      <c r="Q156" s="945" t="s">
        <v>231</v>
      </c>
      <c r="R156" s="955">
        <f>R154*P156+R155</f>
        <v>460731</v>
      </c>
    </row>
    <row r="157">
      <c r="I157" s="945" t="s">
        <v>758</v>
      </c>
      <c r="J157" s="962">
        <v>270000.0</v>
      </c>
      <c r="K157" s="963" t="s">
        <v>759</v>
      </c>
      <c r="L157" s="2"/>
      <c r="M157" s="948">
        <v>23.9</v>
      </c>
      <c r="N157" s="948">
        <v>23.0</v>
      </c>
      <c r="O157" s="948">
        <v>23.0</v>
      </c>
      <c r="P157" s="964"/>
      <c r="Q157" s="945" t="s">
        <v>760</v>
      </c>
      <c r="R157" s="955">
        <f>M162+SUM(M166:N166)</f>
        <v>142252.8</v>
      </c>
    </row>
    <row r="158">
      <c r="I158" s="967" t="s">
        <v>761</v>
      </c>
      <c r="J158" s="968">
        <v>1250.0</v>
      </c>
      <c r="K158" s="969" t="s">
        <v>762</v>
      </c>
      <c r="L158" s="2"/>
      <c r="M158" s="955">
        <f t="shared" ref="M158:O158" si="41">M156/(360/M157)</f>
        <v>0</v>
      </c>
      <c r="N158" s="955">
        <f t="shared" si="41"/>
        <v>0</v>
      </c>
      <c r="O158" s="955">
        <f t="shared" si="41"/>
        <v>0</v>
      </c>
      <c r="P158" s="955">
        <f t="shared" ref="P158:P159" si="42">M158+N158+O158</f>
        <v>0</v>
      </c>
      <c r="Q158" s="945" t="s">
        <v>229</v>
      </c>
      <c r="R158" s="965">
        <f>R157/R156</f>
        <v>0.3087545661</v>
      </c>
    </row>
    <row r="159">
      <c r="I159" s="971" t="s">
        <v>764</v>
      </c>
      <c r="J159" s="968">
        <v>5.0</v>
      </c>
      <c r="K159" s="972" t="s">
        <v>765</v>
      </c>
      <c r="L159" s="948">
        <v>1230.0</v>
      </c>
      <c r="M159" s="955">
        <f>M158*(L159*6)</f>
        <v>0</v>
      </c>
      <c r="N159" s="955">
        <f>N158*(L159*6)</f>
        <v>0</v>
      </c>
      <c r="O159" s="955">
        <f>O158*(L159*6)</f>
        <v>0</v>
      </c>
      <c r="P159" s="955">
        <f t="shared" si="42"/>
        <v>0</v>
      </c>
      <c r="Q159" s="945" t="s">
        <v>763</v>
      </c>
      <c r="R159" s="955">
        <f>R156-R157-M169</f>
        <v>-390021.8</v>
      </c>
    </row>
    <row r="160">
      <c r="I160" s="973" t="s">
        <v>766</v>
      </c>
      <c r="J160" s="968">
        <v>100.0</v>
      </c>
      <c r="K160" s="974"/>
      <c r="L160" s="964"/>
      <c r="M160" s="964"/>
      <c r="N160" s="964"/>
      <c r="O160" s="964"/>
      <c r="P160" s="964"/>
      <c r="Q160" s="945" t="s">
        <v>228</v>
      </c>
      <c r="R160" s="965">
        <f>R159/R156</f>
        <v>-0.8465282345</v>
      </c>
    </row>
    <row r="161">
      <c r="I161" s="967" t="s">
        <v>767</v>
      </c>
      <c r="J161" s="956"/>
      <c r="K161" s="969" t="s">
        <v>768</v>
      </c>
      <c r="L161" s="2"/>
      <c r="M161" s="955">
        <f>P159+(P158*J167)</f>
        <v>0</v>
      </c>
      <c r="N161" s="964"/>
      <c r="O161" s="975" t="s">
        <v>769</v>
      </c>
      <c r="P161" s="957" t="s">
        <v>770</v>
      </c>
      <c r="Q161" s="964"/>
      <c r="R161" s="964"/>
    </row>
    <row r="162">
      <c r="I162" s="977" t="s">
        <v>771</v>
      </c>
      <c r="J162" s="956"/>
      <c r="K162" s="969" t="s">
        <v>772</v>
      </c>
      <c r="L162" s="2"/>
      <c r="M162" s="955">
        <f>M161*J154+K155*J169*J154*30</f>
        <v>14842.8</v>
      </c>
      <c r="N162" s="978"/>
      <c r="O162" s="979" t="s">
        <v>319</v>
      </c>
      <c r="P162" s="980">
        <v>152000.0</v>
      </c>
      <c r="Q162" s="964"/>
      <c r="R162" s="981"/>
    </row>
    <row r="163">
      <c r="I163" s="977" t="s">
        <v>773</v>
      </c>
      <c r="J163" s="956"/>
      <c r="K163" s="969" t="s">
        <v>774</v>
      </c>
      <c r="L163" s="2"/>
      <c r="M163" s="945" t="s">
        <v>330</v>
      </c>
      <c r="N163" s="973" t="s">
        <v>305</v>
      </c>
      <c r="O163" s="979" t="s">
        <v>321</v>
      </c>
      <c r="P163" s="980">
        <v>68400.0</v>
      </c>
      <c r="Q163" s="964"/>
      <c r="R163" s="964"/>
    </row>
    <row r="164">
      <c r="I164" s="967" t="s">
        <v>775</v>
      </c>
      <c r="J164" s="956"/>
      <c r="K164" s="969" t="s">
        <v>776</v>
      </c>
      <c r="L164" s="2"/>
      <c r="M164" s="960">
        <f t="shared" ref="M164:M165" si="43">J156*1.15</f>
        <v>368000</v>
      </c>
      <c r="N164" s="982">
        <v>15000.0</v>
      </c>
      <c r="O164" s="979" t="s">
        <v>323</v>
      </c>
      <c r="P164" s="980">
        <v>76000.0</v>
      </c>
      <c r="Q164" s="964"/>
      <c r="R164" s="964"/>
    </row>
    <row r="165">
      <c r="I165" s="967" t="s">
        <v>777</v>
      </c>
      <c r="J165" s="956"/>
      <c r="K165" s="969" t="s">
        <v>778</v>
      </c>
      <c r="L165" s="2"/>
      <c r="M165" s="960">
        <f t="shared" si="43"/>
        <v>310500</v>
      </c>
      <c r="N165" s="960">
        <v>15000.0</v>
      </c>
      <c r="O165" s="984" t="s">
        <v>779</v>
      </c>
      <c r="P165" s="948">
        <f>K155*J169*J154*100</f>
        <v>49476</v>
      </c>
      <c r="Q165" s="964"/>
      <c r="R165" s="964"/>
    </row>
    <row r="166">
      <c r="I166" s="967" t="s">
        <v>780</v>
      </c>
      <c r="J166" s="956"/>
      <c r="K166" s="985" t="s">
        <v>781</v>
      </c>
      <c r="L166" s="2"/>
      <c r="M166" s="960">
        <f>(J154*2-43.4)*J158*J159</f>
        <v>116250</v>
      </c>
      <c r="N166" s="960">
        <f>(J154*2-43.4)*J167</f>
        <v>11160</v>
      </c>
      <c r="O166" s="986" t="s">
        <v>782</v>
      </c>
      <c r="P166" s="948">
        <f>K155*J170*J154*500</f>
        <v>114855</v>
      </c>
      <c r="Q166" s="964"/>
      <c r="R166" s="987"/>
    </row>
    <row r="167">
      <c r="I167" s="989" t="s">
        <v>783</v>
      </c>
      <c r="J167" s="990">
        <v>600.0</v>
      </c>
      <c r="K167" s="963" t="s">
        <v>784</v>
      </c>
      <c r="L167" s="2"/>
      <c r="M167" s="960">
        <f>J161*J162*J163</f>
        <v>0</v>
      </c>
      <c r="N167" s="960">
        <f>J163*J167</f>
        <v>0</v>
      </c>
      <c r="O167" s="945" t="s">
        <v>301</v>
      </c>
      <c r="P167" s="955">
        <f>SUM(P162:P166)</f>
        <v>460731</v>
      </c>
      <c r="Q167" s="964"/>
      <c r="R167" s="964"/>
    </row>
    <row r="168">
      <c r="I168" s="989" t="s">
        <v>785</v>
      </c>
      <c r="J168" s="955"/>
      <c r="K168" s="963" t="s">
        <v>786</v>
      </c>
      <c r="L168" s="2"/>
      <c r="M168" s="960">
        <f>J164*J165*J166</f>
        <v>0</v>
      </c>
      <c r="N168" s="960">
        <f>J166*J167</f>
        <v>0</v>
      </c>
      <c r="O168" s="964"/>
      <c r="P168" s="964"/>
      <c r="Q168" s="964"/>
      <c r="R168" s="987"/>
    </row>
    <row r="169">
      <c r="I169" s="945" t="s">
        <v>779</v>
      </c>
      <c r="J169" s="991">
        <v>0.14</v>
      </c>
      <c r="K169" s="969" t="s">
        <v>787</v>
      </c>
      <c r="L169" s="2"/>
      <c r="M169" s="960">
        <f>SUM(M164:N165)+J168</f>
        <v>708500</v>
      </c>
      <c r="N169" s="981"/>
      <c r="O169" s="964"/>
      <c r="P169" s="964"/>
      <c r="Q169" s="964"/>
      <c r="R169" s="964"/>
    </row>
    <row r="170">
      <c r="I170" s="945" t="s">
        <v>257</v>
      </c>
      <c r="J170" s="965">
        <v>0.065</v>
      </c>
      <c r="K170" s="937"/>
      <c r="L170" s="937"/>
      <c r="M170" s="937"/>
      <c r="N170" s="937"/>
      <c r="O170" s="937"/>
      <c r="P170" s="937"/>
      <c r="Q170" s="937"/>
      <c r="R170" s="937"/>
    </row>
    <row r="172">
      <c r="I172" s="938" t="s">
        <v>746</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748</v>
      </c>
      <c r="J173" s="946">
        <f>DAY(EOMONTH(J172,0))</f>
        <v>30</v>
      </c>
      <c r="K173" s="947" t="s">
        <v>749</v>
      </c>
      <c r="L173" s="947" t="s">
        <v>230</v>
      </c>
      <c r="M173" s="947" t="s">
        <v>750</v>
      </c>
      <c r="N173" s="947" t="s">
        <v>751</v>
      </c>
      <c r="O173" s="947" t="s">
        <v>752</v>
      </c>
      <c r="P173" s="947" t="s">
        <v>753</v>
      </c>
      <c r="Q173" s="945" t="s">
        <v>754</v>
      </c>
      <c r="R173" s="948">
        <v>990.0</v>
      </c>
    </row>
    <row r="174">
      <c r="I174" s="945" t="s">
        <v>230</v>
      </c>
      <c r="J174" s="954">
        <f t="array" ref="J174">xlookup(K172,$B$3:$B$14,$C$3:$C$14)*100</f>
        <v>0</v>
      </c>
      <c r="K174" s="955">
        <f>SUM(M174:O174)</f>
        <v>114</v>
      </c>
      <c r="L174" s="955">
        <v>100.0</v>
      </c>
      <c r="M174" s="948">
        <v>114.0</v>
      </c>
      <c r="N174" s="956"/>
      <c r="O174" s="956"/>
      <c r="P174" s="955">
        <f>K174*J173</f>
        <v>3420</v>
      </c>
      <c r="Q174" s="957" t="s">
        <v>755</v>
      </c>
      <c r="R174" s="955">
        <f>P186</f>
        <v>455430</v>
      </c>
    </row>
    <row r="175">
      <c r="I175" s="945" t="s">
        <v>757</v>
      </c>
      <c r="J175" s="948">
        <v>320000.0</v>
      </c>
      <c r="K175" s="955">
        <f>K174*L175%</f>
        <v>0</v>
      </c>
      <c r="L175" s="960">
        <f>J174</f>
        <v>0</v>
      </c>
      <c r="M175" s="955">
        <f>M174*L175%</f>
        <v>0</v>
      </c>
      <c r="N175" s="955">
        <f>N174*L175%</f>
        <v>0</v>
      </c>
      <c r="O175" s="955">
        <f>O174*L175%</f>
        <v>0</v>
      </c>
      <c r="P175" s="955">
        <f>K175*J173</f>
        <v>0</v>
      </c>
      <c r="Q175" s="945" t="s">
        <v>231</v>
      </c>
      <c r="R175" s="955">
        <f>R173*P175+R174</f>
        <v>455430</v>
      </c>
    </row>
    <row r="176">
      <c r="I176" s="945" t="s">
        <v>758</v>
      </c>
      <c r="J176" s="962">
        <v>270000.0</v>
      </c>
      <c r="K176" s="963" t="s">
        <v>759</v>
      </c>
      <c r="L176" s="2"/>
      <c r="M176" s="948">
        <v>23.9</v>
      </c>
      <c r="N176" s="948">
        <v>23.0</v>
      </c>
      <c r="O176" s="948">
        <v>23.0</v>
      </c>
      <c r="P176" s="964"/>
      <c r="Q176" s="945" t="s">
        <v>760</v>
      </c>
      <c r="R176" s="955">
        <f>M181+SUM(M185:N185)</f>
        <v>128074</v>
      </c>
    </row>
    <row r="177">
      <c r="I177" s="967" t="s">
        <v>761</v>
      </c>
      <c r="J177" s="968">
        <v>1250.0</v>
      </c>
      <c r="K177" s="969" t="s">
        <v>762</v>
      </c>
      <c r="L177" s="2"/>
      <c r="M177" s="955">
        <f t="shared" ref="M177:O177" si="44">M175/(360/M176)</f>
        <v>0</v>
      </c>
      <c r="N177" s="955">
        <f t="shared" si="44"/>
        <v>0</v>
      </c>
      <c r="O177" s="955">
        <f t="shared" si="44"/>
        <v>0</v>
      </c>
      <c r="P177" s="955">
        <f t="shared" ref="P177:P178" si="45">M177+N177+O177</f>
        <v>0</v>
      </c>
      <c r="Q177" s="945" t="s">
        <v>229</v>
      </c>
      <c r="R177" s="965">
        <f>R176/R175</f>
        <v>0.2812155545</v>
      </c>
    </row>
    <row r="178">
      <c r="I178" s="971" t="s">
        <v>764</v>
      </c>
      <c r="J178" s="968">
        <v>5.0</v>
      </c>
      <c r="K178" s="972" t="s">
        <v>765</v>
      </c>
      <c r="L178" s="948">
        <v>1230.0</v>
      </c>
      <c r="M178" s="955">
        <f>M177*(L178*6)</f>
        <v>0</v>
      </c>
      <c r="N178" s="955">
        <f>N177*(L178*6)</f>
        <v>0</v>
      </c>
      <c r="O178" s="955">
        <f>O177*(L178*6)</f>
        <v>0</v>
      </c>
      <c r="P178" s="955">
        <f t="shared" si="45"/>
        <v>0</v>
      </c>
      <c r="Q178" s="945" t="s">
        <v>763</v>
      </c>
      <c r="R178" s="955">
        <f>R175-R176-M188</f>
        <v>-381144</v>
      </c>
    </row>
    <row r="179">
      <c r="I179" s="973" t="s">
        <v>766</v>
      </c>
      <c r="J179" s="968">
        <v>100.0</v>
      </c>
      <c r="K179" s="974"/>
      <c r="L179" s="964"/>
      <c r="M179" s="964"/>
      <c r="N179" s="964"/>
      <c r="O179" s="964"/>
      <c r="P179" s="964"/>
      <c r="Q179" s="945" t="s">
        <v>228</v>
      </c>
      <c r="R179" s="965">
        <f>R178/R175</f>
        <v>-0.8368882155</v>
      </c>
    </row>
    <row r="180">
      <c r="I180" s="967" t="s">
        <v>767</v>
      </c>
      <c r="J180" s="956"/>
      <c r="K180" s="969" t="s">
        <v>768</v>
      </c>
      <c r="L180" s="2"/>
      <c r="M180" s="955">
        <f>P178+(P177*J186)</f>
        <v>0</v>
      </c>
      <c r="N180" s="964"/>
      <c r="O180" s="975" t="s">
        <v>769</v>
      </c>
      <c r="P180" s="957" t="s">
        <v>770</v>
      </c>
      <c r="Q180" s="964"/>
      <c r="R180" s="964"/>
    </row>
    <row r="181">
      <c r="I181" s="977" t="s">
        <v>771</v>
      </c>
      <c r="J181" s="956"/>
      <c r="K181" s="969" t="s">
        <v>772</v>
      </c>
      <c r="L181" s="2"/>
      <c r="M181" s="955">
        <f>M180*J173+K174*J188*J173*30</f>
        <v>14364</v>
      </c>
      <c r="N181" s="978"/>
      <c r="O181" s="979" t="s">
        <v>319</v>
      </c>
      <c r="P181" s="980">
        <v>152000.0</v>
      </c>
      <c r="Q181" s="964"/>
      <c r="R181" s="981"/>
    </row>
    <row r="182">
      <c r="I182" s="977" t="s">
        <v>773</v>
      </c>
      <c r="J182" s="956"/>
      <c r="K182" s="969" t="s">
        <v>774</v>
      </c>
      <c r="L182" s="2"/>
      <c r="M182" s="945" t="s">
        <v>330</v>
      </c>
      <c r="N182" s="973" t="s">
        <v>305</v>
      </c>
      <c r="O182" s="979" t="s">
        <v>321</v>
      </c>
      <c r="P182" s="980">
        <v>68400.0</v>
      </c>
      <c r="Q182" s="964"/>
      <c r="R182" s="964"/>
    </row>
    <row r="183">
      <c r="I183" s="967" t="s">
        <v>775</v>
      </c>
      <c r="J183" s="956"/>
      <c r="K183" s="969" t="s">
        <v>776</v>
      </c>
      <c r="L183" s="2"/>
      <c r="M183" s="960">
        <f t="shared" ref="M183:M184" si="46">J175*1.15</f>
        <v>368000</v>
      </c>
      <c r="N183" s="982">
        <v>15000.0</v>
      </c>
      <c r="O183" s="979" t="s">
        <v>323</v>
      </c>
      <c r="P183" s="980">
        <v>76000.0</v>
      </c>
      <c r="Q183" s="964"/>
      <c r="R183" s="964"/>
    </row>
    <row r="184">
      <c r="I184" s="967" t="s">
        <v>777</v>
      </c>
      <c r="J184" s="956"/>
      <c r="K184" s="969" t="s">
        <v>778</v>
      </c>
      <c r="L184" s="2"/>
      <c r="M184" s="960">
        <f t="shared" si="46"/>
        <v>310500</v>
      </c>
      <c r="N184" s="960">
        <v>15000.0</v>
      </c>
      <c r="O184" s="984" t="s">
        <v>779</v>
      </c>
      <c r="P184" s="948">
        <f>K174*J188*J173*100</f>
        <v>47880</v>
      </c>
      <c r="Q184" s="964"/>
      <c r="R184" s="964"/>
    </row>
    <row r="185">
      <c r="I185" s="967" t="s">
        <v>780</v>
      </c>
      <c r="J185" s="956"/>
      <c r="K185" s="985" t="s">
        <v>781</v>
      </c>
      <c r="L185" s="2"/>
      <c r="M185" s="960">
        <f>(J173*2-43.4)*J177*J178</f>
        <v>103750</v>
      </c>
      <c r="N185" s="960">
        <f>(J173*2-43.4)*J186</f>
        <v>9960</v>
      </c>
      <c r="O185" s="986" t="s">
        <v>782</v>
      </c>
      <c r="P185" s="948">
        <f>K174*J189*J173*500</f>
        <v>111150</v>
      </c>
      <c r="Q185" s="964"/>
      <c r="R185" s="987"/>
    </row>
    <row r="186">
      <c r="I186" s="989" t="s">
        <v>783</v>
      </c>
      <c r="J186" s="990">
        <v>600.0</v>
      </c>
      <c r="K186" s="963" t="s">
        <v>784</v>
      </c>
      <c r="L186" s="2"/>
      <c r="M186" s="960">
        <f>J180*J181*J182</f>
        <v>0</v>
      </c>
      <c r="N186" s="960">
        <f>J182*J186</f>
        <v>0</v>
      </c>
      <c r="O186" s="945" t="s">
        <v>301</v>
      </c>
      <c r="P186" s="955">
        <f>SUM(P181:P185)</f>
        <v>455430</v>
      </c>
      <c r="Q186" s="964"/>
      <c r="R186" s="964"/>
    </row>
    <row r="187">
      <c r="I187" s="989" t="s">
        <v>785</v>
      </c>
      <c r="J187" s="955"/>
      <c r="K187" s="963" t="s">
        <v>786</v>
      </c>
      <c r="L187" s="2"/>
      <c r="M187" s="960">
        <f>J183*J184*J185</f>
        <v>0</v>
      </c>
      <c r="N187" s="960">
        <f>J185*J186</f>
        <v>0</v>
      </c>
      <c r="O187" s="964"/>
      <c r="P187" s="964"/>
      <c r="Q187" s="964"/>
      <c r="R187" s="987"/>
    </row>
    <row r="188">
      <c r="I188" s="945" t="s">
        <v>779</v>
      </c>
      <c r="J188" s="991">
        <v>0.14</v>
      </c>
      <c r="K188" s="969" t="s">
        <v>787</v>
      </c>
      <c r="L188" s="2"/>
      <c r="M188" s="960">
        <f>SUM(M183:N184)+J187</f>
        <v>708500</v>
      </c>
      <c r="N188" s="981"/>
      <c r="O188" s="964"/>
      <c r="P188" s="964"/>
      <c r="Q188" s="964"/>
      <c r="R188" s="964"/>
    </row>
    <row r="189">
      <c r="I189" s="945" t="s">
        <v>257</v>
      </c>
      <c r="J189" s="965">
        <v>0.065</v>
      </c>
      <c r="K189" s="937"/>
      <c r="L189" s="937"/>
      <c r="M189" s="937"/>
      <c r="N189" s="937"/>
      <c r="O189" s="937"/>
      <c r="P189" s="937"/>
      <c r="Q189" s="937"/>
      <c r="R189" s="937"/>
    </row>
    <row r="191">
      <c r="I191" s="938" t="s">
        <v>746</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748</v>
      </c>
      <c r="J192" s="946">
        <f>DAY(EOMONTH(J191,0))</f>
        <v>31</v>
      </c>
      <c r="K192" s="947" t="s">
        <v>749</v>
      </c>
      <c r="L192" s="947" t="s">
        <v>230</v>
      </c>
      <c r="M192" s="947" t="s">
        <v>750</v>
      </c>
      <c r="N192" s="947" t="s">
        <v>751</v>
      </c>
      <c r="O192" s="947" t="s">
        <v>752</v>
      </c>
      <c r="P192" s="947" t="s">
        <v>753</v>
      </c>
      <c r="Q192" s="945" t="s">
        <v>754</v>
      </c>
      <c r="R192" s="948">
        <v>990.0</v>
      </c>
    </row>
    <row r="193">
      <c r="I193" s="945" t="s">
        <v>230</v>
      </c>
      <c r="J193" s="954">
        <f t="array" ref="J193">xlookup(K191,$B$3:$B$14,$C$3:$C$14)*100</f>
        <v>0</v>
      </c>
      <c r="K193" s="955">
        <f>SUM(M193:O193)</f>
        <v>114</v>
      </c>
      <c r="L193" s="955">
        <v>100.0</v>
      </c>
      <c r="M193" s="948">
        <v>114.0</v>
      </c>
      <c r="N193" s="956"/>
      <c r="O193" s="956"/>
      <c r="P193" s="955">
        <f>K193*J192</f>
        <v>3534</v>
      </c>
      <c r="Q193" s="957" t="s">
        <v>755</v>
      </c>
      <c r="R193" s="955">
        <f>P205</f>
        <v>460731</v>
      </c>
    </row>
    <row r="194">
      <c r="I194" s="945" t="s">
        <v>757</v>
      </c>
      <c r="J194" s="948">
        <v>320000.0</v>
      </c>
      <c r="K194" s="955">
        <f>K193*L194%</f>
        <v>0</v>
      </c>
      <c r="L194" s="960">
        <f>J193</f>
        <v>0</v>
      </c>
      <c r="M194" s="955">
        <f>M193*L194%</f>
        <v>0</v>
      </c>
      <c r="N194" s="955">
        <f>N193*L194%</f>
        <v>0</v>
      </c>
      <c r="O194" s="955">
        <f>O193*L194%</f>
        <v>0</v>
      </c>
      <c r="P194" s="955">
        <f>K194*J192</f>
        <v>0</v>
      </c>
      <c r="Q194" s="945" t="s">
        <v>231</v>
      </c>
      <c r="R194" s="955">
        <f>R192*P194+R193</f>
        <v>460731</v>
      </c>
    </row>
    <row r="195">
      <c r="I195" s="945" t="s">
        <v>758</v>
      </c>
      <c r="J195" s="962">
        <v>270000.0</v>
      </c>
      <c r="K195" s="963" t="s">
        <v>759</v>
      </c>
      <c r="L195" s="2"/>
      <c r="M195" s="948">
        <v>23.9</v>
      </c>
      <c r="N195" s="948">
        <v>23.0</v>
      </c>
      <c r="O195" s="948">
        <v>23.0</v>
      </c>
      <c r="P195" s="964"/>
      <c r="Q195" s="945" t="s">
        <v>760</v>
      </c>
      <c r="R195" s="955">
        <f>M200+SUM(M204:N204)</f>
        <v>142252.8</v>
      </c>
    </row>
    <row r="196">
      <c r="I196" s="967" t="s">
        <v>761</v>
      </c>
      <c r="J196" s="968">
        <v>1250.0</v>
      </c>
      <c r="K196" s="969" t="s">
        <v>762</v>
      </c>
      <c r="L196" s="2"/>
      <c r="M196" s="955">
        <f t="shared" ref="M196:O196" si="47">M194/(360/M195)</f>
        <v>0</v>
      </c>
      <c r="N196" s="955">
        <f t="shared" si="47"/>
        <v>0</v>
      </c>
      <c r="O196" s="955">
        <f t="shared" si="47"/>
        <v>0</v>
      </c>
      <c r="P196" s="955">
        <f t="shared" ref="P196:P197" si="48">M196+N196+O196</f>
        <v>0</v>
      </c>
      <c r="Q196" s="945" t="s">
        <v>229</v>
      </c>
      <c r="R196" s="965">
        <f>R195/R194</f>
        <v>0.3087545661</v>
      </c>
    </row>
    <row r="197">
      <c r="I197" s="971" t="s">
        <v>764</v>
      </c>
      <c r="J197" s="968">
        <v>5.0</v>
      </c>
      <c r="K197" s="972" t="s">
        <v>765</v>
      </c>
      <c r="L197" s="948">
        <v>1230.0</v>
      </c>
      <c r="M197" s="955">
        <f>M196*(L197*6)</f>
        <v>0</v>
      </c>
      <c r="N197" s="955">
        <f>N196*(L197*6)</f>
        <v>0</v>
      </c>
      <c r="O197" s="955">
        <f>O196*(L197*6)</f>
        <v>0</v>
      </c>
      <c r="P197" s="955">
        <f t="shared" si="48"/>
        <v>0</v>
      </c>
      <c r="Q197" s="945" t="s">
        <v>763</v>
      </c>
      <c r="R197" s="955">
        <f>R194-R195-M207</f>
        <v>-390021.8</v>
      </c>
    </row>
    <row r="198">
      <c r="I198" s="973" t="s">
        <v>766</v>
      </c>
      <c r="J198" s="968">
        <v>100.0</v>
      </c>
      <c r="K198" s="974"/>
      <c r="L198" s="964"/>
      <c r="M198" s="964"/>
      <c r="N198" s="964"/>
      <c r="O198" s="964"/>
      <c r="P198" s="964"/>
      <c r="Q198" s="945" t="s">
        <v>228</v>
      </c>
      <c r="R198" s="965">
        <f>R197/R194</f>
        <v>-0.8465282345</v>
      </c>
    </row>
    <row r="199">
      <c r="I199" s="967" t="s">
        <v>767</v>
      </c>
      <c r="J199" s="956"/>
      <c r="K199" s="969" t="s">
        <v>768</v>
      </c>
      <c r="L199" s="2"/>
      <c r="M199" s="955">
        <f>P197+(P196*J205)</f>
        <v>0</v>
      </c>
      <c r="N199" s="964"/>
      <c r="O199" s="975" t="s">
        <v>769</v>
      </c>
      <c r="P199" s="957" t="s">
        <v>770</v>
      </c>
      <c r="Q199" s="964"/>
      <c r="R199" s="964"/>
    </row>
    <row r="200">
      <c r="I200" s="977" t="s">
        <v>771</v>
      </c>
      <c r="J200" s="956"/>
      <c r="K200" s="969" t="s">
        <v>772</v>
      </c>
      <c r="L200" s="2"/>
      <c r="M200" s="955">
        <f>M199*J192+K193*J207*J192*30</f>
        <v>14842.8</v>
      </c>
      <c r="N200" s="978"/>
      <c r="O200" s="979" t="s">
        <v>319</v>
      </c>
      <c r="P200" s="980">
        <v>152000.0</v>
      </c>
      <c r="Q200" s="964"/>
      <c r="R200" s="981"/>
    </row>
    <row r="201">
      <c r="I201" s="977" t="s">
        <v>773</v>
      </c>
      <c r="J201" s="956"/>
      <c r="K201" s="969" t="s">
        <v>774</v>
      </c>
      <c r="L201" s="2"/>
      <c r="M201" s="945" t="s">
        <v>330</v>
      </c>
      <c r="N201" s="973" t="s">
        <v>305</v>
      </c>
      <c r="O201" s="979" t="s">
        <v>321</v>
      </c>
      <c r="P201" s="980">
        <v>68400.0</v>
      </c>
      <c r="Q201" s="964"/>
      <c r="R201" s="964"/>
    </row>
    <row r="202">
      <c r="I202" s="967" t="s">
        <v>775</v>
      </c>
      <c r="J202" s="956"/>
      <c r="K202" s="969" t="s">
        <v>776</v>
      </c>
      <c r="L202" s="2"/>
      <c r="M202" s="960">
        <f t="shared" ref="M202:M203" si="49">J194*1.15</f>
        <v>368000</v>
      </c>
      <c r="N202" s="982">
        <v>15000.0</v>
      </c>
      <c r="O202" s="979" t="s">
        <v>323</v>
      </c>
      <c r="P202" s="980">
        <v>76000.0</v>
      </c>
      <c r="Q202" s="964"/>
      <c r="R202" s="964"/>
    </row>
    <row r="203">
      <c r="I203" s="967" t="s">
        <v>777</v>
      </c>
      <c r="J203" s="956"/>
      <c r="K203" s="969" t="s">
        <v>778</v>
      </c>
      <c r="L203" s="2"/>
      <c r="M203" s="960">
        <f t="shared" si="49"/>
        <v>310500</v>
      </c>
      <c r="N203" s="960">
        <v>15000.0</v>
      </c>
      <c r="O203" s="984" t="s">
        <v>779</v>
      </c>
      <c r="P203" s="948">
        <f>K193*J207*J192*100</f>
        <v>49476</v>
      </c>
      <c r="Q203" s="964"/>
      <c r="R203" s="964"/>
    </row>
    <row r="204">
      <c r="I204" s="967" t="s">
        <v>780</v>
      </c>
      <c r="J204" s="956"/>
      <c r="K204" s="985" t="s">
        <v>781</v>
      </c>
      <c r="L204" s="2"/>
      <c r="M204" s="960">
        <f>(J192*2-43.4)*J196*J197</f>
        <v>116250</v>
      </c>
      <c r="N204" s="960">
        <f>(J192*2-43.4)*J205</f>
        <v>11160</v>
      </c>
      <c r="O204" s="986" t="s">
        <v>782</v>
      </c>
      <c r="P204" s="948">
        <f>K193*J208*J192*500</f>
        <v>114855</v>
      </c>
      <c r="Q204" s="964"/>
      <c r="R204" s="987"/>
    </row>
    <row r="205">
      <c r="I205" s="989" t="s">
        <v>783</v>
      </c>
      <c r="J205" s="990">
        <v>600.0</v>
      </c>
      <c r="K205" s="963" t="s">
        <v>784</v>
      </c>
      <c r="L205" s="2"/>
      <c r="M205" s="960">
        <f>J199*J200*J201</f>
        <v>0</v>
      </c>
      <c r="N205" s="960">
        <f>J201*J205</f>
        <v>0</v>
      </c>
      <c r="O205" s="945" t="s">
        <v>301</v>
      </c>
      <c r="P205" s="955">
        <f>SUM(P200:P204)</f>
        <v>460731</v>
      </c>
      <c r="Q205" s="964"/>
      <c r="R205" s="964"/>
    </row>
    <row r="206">
      <c r="I206" s="989" t="s">
        <v>785</v>
      </c>
      <c r="J206" s="955"/>
      <c r="K206" s="963" t="s">
        <v>786</v>
      </c>
      <c r="L206" s="2"/>
      <c r="M206" s="960">
        <f>J202*J203*J204</f>
        <v>0</v>
      </c>
      <c r="N206" s="960">
        <f>J204*J205</f>
        <v>0</v>
      </c>
      <c r="O206" s="964"/>
      <c r="P206" s="964"/>
      <c r="Q206" s="964"/>
      <c r="R206" s="987"/>
    </row>
    <row r="207">
      <c r="I207" s="945" t="s">
        <v>779</v>
      </c>
      <c r="J207" s="991">
        <v>0.14</v>
      </c>
      <c r="K207" s="969" t="s">
        <v>787</v>
      </c>
      <c r="L207" s="2"/>
      <c r="M207" s="960">
        <f>SUM(M202:N203)+J206</f>
        <v>708500</v>
      </c>
      <c r="N207" s="981"/>
      <c r="O207" s="964"/>
      <c r="P207" s="964"/>
      <c r="Q207" s="964"/>
      <c r="R207" s="964"/>
    </row>
    <row r="208">
      <c r="I208" s="945" t="s">
        <v>257</v>
      </c>
      <c r="J208" s="965">
        <v>0.065</v>
      </c>
      <c r="K208" s="937"/>
      <c r="L208" s="937"/>
      <c r="M208" s="937"/>
      <c r="N208" s="937"/>
      <c r="O208" s="937"/>
      <c r="P208" s="937"/>
      <c r="Q208" s="937"/>
      <c r="R208" s="937"/>
    </row>
    <row r="210">
      <c r="I210" s="938" t="s">
        <v>746</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748</v>
      </c>
      <c r="J211" s="946">
        <f>DAY(EOMONTH(J210,0))</f>
        <v>31</v>
      </c>
      <c r="K211" s="947" t="s">
        <v>749</v>
      </c>
      <c r="L211" s="947" t="s">
        <v>230</v>
      </c>
      <c r="M211" s="947" t="s">
        <v>750</v>
      </c>
      <c r="N211" s="947" t="s">
        <v>751</v>
      </c>
      <c r="O211" s="947" t="s">
        <v>752</v>
      </c>
      <c r="P211" s="947" t="s">
        <v>753</v>
      </c>
      <c r="Q211" s="945" t="s">
        <v>754</v>
      </c>
      <c r="R211" s="948">
        <v>990.0</v>
      </c>
    </row>
    <row r="212">
      <c r="I212" s="945" t="s">
        <v>230</v>
      </c>
      <c r="J212" s="954">
        <f t="array" ref="J212">xlookup(K210,$B$3:$B$14,$C$3:$C$14)*100</f>
        <v>0</v>
      </c>
      <c r="K212" s="955">
        <f>SUM(M212:O212)</f>
        <v>114</v>
      </c>
      <c r="L212" s="955">
        <v>100.0</v>
      </c>
      <c r="M212" s="948">
        <v>114.0</v>
      </c>
      <c r="N212" s="956"/>
      <c r="O212" s="956"/>
      <c r="P212" s="955">
        <f>K212*J211</f>
        <v>3534</v>
      </c>
      <c r="Q212" s="957" t="s">
        <v>755</v>
      </c>
      <c r="R212" s="955">
        <f>P224</f>
        <v>460731</v>
      </c>
    </row>
    <row r="213">
      <c r="I213" s="945" t="s">
        <v>757</v>
      </c>
      <c r="J213" s="948">
        <v>320000.0</v>
      </c>
      <c r="K213" s="955">
        <f>K212*L213%</f>
        <v>0</v>
      </c>
      <c r="L213" s="960">
        <f>J212</f>
        <v>0</v>
      </c>
      <c r="M213" s="955">
        <f>M212*L213%</f>
        <v>0</v>
      </c>
      <c r="N213" s="955">
        <f>N212*L213%</f>
        <v>0</v>
      </c>
      <c r="O213" s="955">
        <f>O212*L213%</f>
        <v>0</v>
      </c>
      <c r="P213" s="955">
        <f>K213*J211</f>
        <v>0</v>
      </c>
      <c r="Q213" s="945" t="s">
        <v>231</v>
      </c>
      <c r="R213" s="955">
        <f>R211*P213+R212</f>
        <v>460731</v>
      </c>
    </row>
    <row r="214">
      <c r="I214" s="992" t="s">
        <v>788</v>
      </c>
      <c r="J214" s="993">
        <f>340000/22*13</f>
        <v>200909.0909</v>
      </c>
      <c r="K214" s="963" t="s">
        <v>759</v>
      </c>
      <c r="L214" s="2"/>
      <c r="M214" s="948">
        <v>23.9</v>
      </c>
      <c r="N214" s="948">
        <v>23.0</v>
      </c>
      <c r="O214" s="948">
        <v>23.0</v>
      </c>
      <c r="P214" s="964"/>
      <c r="Q214" s="945" t="s">
        <v>760</v>
      </c>
      <c r="R214" s="955">
        <f>M219+SUM(M223:N223)</f>
        <v>142252.8</v>
      </c>
    </row>
    <row r="215">
      <c r="I215" s="967" t="s">
        <v>761</v>
      </c>
      <c r="J215" s="968">
        <v>1250.0</v>
      </c>
      <c r="K215" s="969" t="s">
        <v>762</v>
      </c>
      <c r="L215" s="2"/>
      <c r="M215" s="955">
        <f t="shared" ref="M215:O215" si="50">M213/(360/M214)</f>
        <v>0</v>
      </c>
      <c r="N215" s="955">
        <f t="shared" si="50"/>
        <v>0</v>
      </c>
      <c r="O215" s="955">
        <f t="shared" si="50"/>
        <v>0</v>
      </c>
      <c r="P215" s="955">
        <f t="shared" ref="P215:P216" si="51">M215+N215+O215</f>
        <v>0</v>
      </c>
      <c r="Q215" s="945" t="s">
        <v>229</v>
      </c>
      <c r="R215" s="965">
        <f>R214/R213</f>
        <v>0.3087545661</v>
      </c>
    </row>
    <row r="216">
      <c r="I216" s="971" t="s">
        <v>764</v>
      </c>
      <c r="J216" s="968">
        <v>5.0</v>
      </c>
      <c r="K216" s="972" t="s">
        <v>765</v>
      </c>
      <c r="L216" s="948">
        <v>1230.0</v>
      </c>
      <c r="M216" s="955">
        <f>M215*(L216*6)</f>
        <v>0</v>
      </c>
      <c r="N216" s="955">
        <f>N215*(L216*6)</f>
        <v>0</v>
      </c>
      <c r="O216" s="955">
        <f>O215*(L216*6)</f>
        <v>0</v>
      </c>
      <c r="P216" s="955">
        <f t="shared" si="51"/>
        <v>0</v>
      </c>
      <c r="Q216" s="945" t="s">
        <v>763</v>
      </c>
      <c r="R216" s="955">
        <f>R213-R214-M226</f>
        <v>-310567.2545</v>
      </c>
    </row>
    <row r="217">
      <c r="I217" s="973" t="s">
        <v>766</v>
      </c>
      <c r="J217" s="968">
        <v>100.0</v>
      </c>
      <c r="K217" s="974"/>
      <c r="L217" s="964"/>
      <c r="M217" s="964"/>
      <c r="N217" s="964"/>
      <c r="O217" s="964"/>
      <c r="P217" s="964"/>
      <c r="Q217" s="945" t="s">
        <v>228</v>
      </c>
      <c r="R217" s="965">
        <f>R216/R213</f>
        <v>-0.6740750124</v>
      </c>
    </row>
    <row r="218">
      <c r="I218" s="967" t="s">
        <v>767</v>
      </c>
      <c r="J218" s="956"/>
      <c r="K218" s="969" t="s">
        <v>768</v>
      </c>
      <c r="L218" s="2"/>
      <c r="M218" s="955">
        <f>P216+(P215*J224)</f>
        <v>0</v>
      </c>
      <c r="N218" s="964"/>
      <c r="O218" s="975" t="s">
        <v>769</v>
      </c>
      <c r="P218" s="957" t="s">
        <v>770</v>
      </c>
      <c r="Q218" s="964"/>
      <c r="R218" s="964"/>
    </row>
    <row r="219">
      <c r="I219" s="977" t="s">
        <v>771</v>
      </c>
      <c r="J219" s="956"/>
      <c r="K219" s="969" t="s">
        <v>772</v>
      </c>
      <c r="L219" s="2"/>
      <c r="M219" s="955">
        <f>M218*J211+K212*J226*J211*30</f>
        <v>14842.8</v>
      </c>
      <c r="N219" s="978"/>
      <c r="O219" s="979" t="s">
        <v>319</v>
      </c>
      <c r="P219" s="980">
        <v>152000.0</v>
      </c>
      <c r="Q219" s="964"/>
      <c r="R219" s="981"/>
    </row>
    <row r="220">
      <c r="I220" s="977" t="s">
        <v>773</v>
      </c>
      <c r="J220" s="956"/>
      <c r="K220" s="969" t="s">
        <v>774</v>
      </c>
      <c r="L220" s="2"/>
      <c r="M220" s="945" t="s">
        <v>330</v>
      </c>
      <c r="N220" s="973" t="s">
        <v>305</v>
      </c>
      <c r="O220" s="979" t="s">
        <v>321</v>
      </c>
      <c r="P220" s="980">
        <v>68400.0</v>
      </c>
      <c r="Q220" s="964"/>
      <c r="R220" s="964"/>
    </row>
    <row r="221">
      <c r="I221" s="967" t="s">
        <v>775</v>
      </c>
      <c r="J221" s="956"/>
      <c r="K221" s="969" t="s">
        <v>776</v>
      </c>
      <c r="L221" s="2"/>
      <c r="M221" s="960">
        <f t="shared" ref="M221:M222" si="52">J213*1.15</f>
        <v>368000</v>
      </c>
      <c r="N221" s="982">
        <v>15000.0</v>
      </c>
      <c r="O221" s="979" t="s">
        <v>323</v>
      </c>
      <c r="P221" s="980">
        <v>76000.0</v>
      </c>
      <c r="Q221" s="964"/>
      <c r="R221" s="964"/>
    </row>
    <row r="222">
      <c r="I222" s="967" t="s">
        <v>777</v>
      </c>
      <c r="J222" s="956"/>
      <c r="K222" s="969" t="s">
        <v>778</v>
      </c>
      <c r="L222" s="2"/>
      <c r="M222" s="960">
        <f t="shared" si="52"/>
        <v>231045.4545</v>
      </c>
      <c r="N222" s="960">
        <v>15000.0</v>
      </c>
      <c r="O222" s="984" t="s">
        <v>779</v>
      </c>
      <c r="P222" s="948">
        <f>K212*J226*J211*100</f>
        <v>49476</v>
      </c>
      <c r="Q222" s="964"/>
      <c r="R222" s="964"/>
    </row>
    <row r="223">
      <c r="I223" s="967" t="s">
        <v>780</v>
      </c>
      <c r="J223" s="956"/>
      <c r="K223" s="985" t="s">
        <v>781</v>
      </c>
      <c r="L223" s="2"/>
      <c r="M223" s="960">
        <f>(J211*2-43.4)*J215*J216</f>
        <v>116250</v>
      </c>
      <c r="N223" s="960">
        <f>(J211*2-43.4)*J224</f>
        <v>11160</v>
      </c>
      <c r="O223" s="986" t="s">
        <v>782</v>
      </c>
      <c r="P223" s="948">
        <f>K212*J227*J211*500</f>
        <v>114855</v>
      </c>
      <c r="Q223" s="964"/>
      <c r="R223" s="987"/>
    </row>
    <row r="224">
      <c r="I224" s="989" t="s">
        <v>783</v>
      </c>
      <c r="J224" s="990">
        <v>600.0</v>
      </c>
      <c r="K224" s="963" t="s">
        <v>784</v>
      </c>
      <c r="L224" s="2"/>
      <c r="M224" s="960">
        <f>J218*J219*J220</f>
        <v>0</v>
      </c>
      <c r="N224" s="960">
        <f>J220*J224</f>
        <v>0</v>
      </c>
      <c r="O224" s="945" t="s">
        <v>301</v>
      </c>
      <c r="P224" s="955">
        <f>SUM(P219:P223)</f>
        <v>460731</v>
      </c>
      <c r="Q224" s="964"/>
      <c r="R224" s="964"/>
    </row>
    <row r="225">
      <c r="I225" s="989" t="s">
        <v>785</v>
      </c>
      <c r="J225" s="955"/>
      <c r="K225" s="963" t="s">
        <v>786</v>
      </c>
      <c r="L225" s="2"/>
      <c r="M225" s="960">
        <f>J221*J222*J223</f>
        <v>0</v>
      </c>
      <c r="N225" s="960">
        <f>J223*J224</f>
        <v>0</v>
      </c>
      <c r="O225" s="964"/>
      <c r="P225" s="964"/>
      <c r="Q225" s="964"/>
      <c r="R225" s="987"/>
    </row>
    <row r="226">
      <c r="I226" s="945" t="s">
        <v>779</v>
      </c>
      <c r="J226" s="991">
        <v>0.14</v>
      </c>
      <c r="K226" s="969" t="s">
        <v>787</v>
      </c>
      <c r="L226" s="2"/>
      <c r="M226" s="960">
        <f>SUM(M221:N222)+J225</f>
        <v>629045.4545</v>
      </c>
      <c r="N226" s="981"/>
      <c r="O226" s="964"/>
      <c r="P226" s="964"/>
      <c r="Q226" s="964"/>
      <c r="R226" s="964"/>
    </row>
    <row r="227">
      <c r="I227" s="945" t="s">
        <v>257</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789</v>
      </c>
      <c r="C2" s="189"/>
      <c r="D2" s="189"/>
      <c r="E2" s="189"/>
      <c r="F2" s="212"/>
      <c r="G2" s="189"/>
      <c r="H2" s="189"/>
      <c r="I2" s="189"/>
      <c r="J2" s="189"/>
      <c r="K2" s="189"/>
      <c r="L2" s="189"/>
      <c r="M2" s="189"/>
      <c r="N2" s="189"/>
      <c r="O2" s="996"/>
      <c r="P2" s="1004">
        <f>month(P3)</f>
        <v>2</v>
      </c>
      <c r="Q2" s="1005" t="s">
        <v>790</v>
      </c>
      <c r="R2" s="1006" t="s">
        <v>791</v>
      </c>
      <c r="S2" s="1007" t="s">
        <v>792</v>
      </c>
      <c r="T2" s="1007" t="s">
        <v>793</v>
      </c>
      <c r="U2" s="1007" t="s">
        <v>794</v>
      </c>
      <c r="V2" s="1008" t="s">
        <v>795</v>
      </c>
      <c r="W2" s="1007" t="s">
        <v>796</v>
      </c>
      <c r="X2" s="1007" t="s">
        <v>797</v>
      </c>
      <c r="Y2" s="1004"/>
      <c r="Z2" s="1004">
        <f>month(Z3)</f>
        <v>3</v>
      </c>
      <c r="AA2" s="1005" t="s">
        <v>790</v>
      </c>
      <c r="AB2" s="1006" t="s">
        <v>791</v>
      </c>
      <c r="AC2" s="1007" t="s">
        <v>792</v>
      </c>
      <c r="AD2" s="1007" t="s">
        <v>793</v>
      </c>
      <c r="AE2" s="1007" t="s">
        <v>794</v>
      </c>
      <c r="AF2" s="1008" t="s">
        <v>798</v>
      </c>
      <c r="AG2" s="1007" t="s">
        <v>796</v>
      </c>
      <c r="AH2" s="1007" t="s">
        <v>797</v>
      </c>
      <c r="AI2" s="1004"/>
      <c r="AJ2" s="1004">
        <f>month(AJ3)</f>
        <v>4</v>
      </c>
      <c r="AK2" s="1005" t="s">
        <v>790</v>
      </c>
      <c r="AL2" s="1006" t="s">
        <v>791</v>
      </c>
      <c r="AM2" s="1007" t="s">
        <v>792</v>
      </c>
      <c r="AN2" s="1007" t="s">
        <v>793</v>
      </c>
      <c r="AO2" s="1007" t="s">
        <v>794</v>
      </c>
      <c r="AP2" s="1008" t="s">
        <v>799</v>
      </c>
      <c r="AQ2" s="1007" t="s">
        <v>796</v>
      </c>
      <c r="AR2" s="1007" t="s">
        <v>797</v>
      </c>
      <c r="AS2" s="1007"/>
      <c r="AT2" s="1004">
        <f>month(AT3)</f>
        <v>5</v>
      </c>
      <c r="AU2" s="1009" t="s">
        <v>790</v>
      </c>
      <c r="AV2" s="1010" t="s">
        <v>791</v>
      </c>
      <c r="AW2" s="1011" t="s">
        <v>792</v>
      </c>
      <c r="AX2" s="1011" t="s">
        <v>793</v>
      </c>
      <c r="AY2" s="1011" t="s">
        <v>794</v>
      </c>
      <c r="AZ2" s="1012" t="s">
        <v>800</v>
      </c>
      <c r="BA2" s="1011" t="s">
        <v>796</v>
      </c>
      <c r="BB2" s="1011" t="s">
        <v>797</v>
      </c>
      <c r="BC2" s="1004"/>
      <c r="BD2" s="1004">
        <f>month(BD3)</f>
        <v>6</v>
      </c>
      <c r="BE2" s="1005" t="s">
        <v>790</v>
      </c>
      <c r="BF2" s="1006" t="s">
        <v>791</v>
      </c>
      <c r="BG2" s="1007" t="s">
        <v>792</v>
      </c>
      <c r="BH2" s="1007" t="s">
        <v>793</v>
      </c>
      <c r="BI2" s="1007" t="s">
        <v>794</v>
      </c>
      <c r="BJ2" s="1008" t="s">
        <v>801</v>
      </c>
      <c r="BK2" s="1007" t="s">
        <v>796</v>
      </c>
      <c r="BL2" s="1007" t="s">
        <v>797</v>
      </c>
      <c r="BM2" s="1004"/>
      <c r="BN2" s="1004">
        <f>month(BN3)</f>
        <v>7</v>
      </c>
      <c r="BO2" s="1005" t="s">
        <v>790</v>
      </c>
      <c r="BP2" s="1006" t="s">
        <v>791</v>
      </c>
      <c r="BQ2" s="1007" t="s">
        <v>792</v>
      </c>
      <c r="BR2" s="1007" t="s">
        <v>793</v>
      </c>
      <c r="BS2" s="1007" t="s">
        <v>794</v>
      </c>
      <c r="BT2" s="1008" t="s">
        <v>802</v>
      </c>
      <c r="BU2" s="1007" t="s">
        <v>796</v>
      </c>
      <c r="BV2" s="1007" t="s">
        <v>797</v>
      </c>
      <c r="BW2" s="1007"/>
      <c r="BX2" s="1004">
        <f>month(BX3)</f>
        <v>8</v>
      </c>
      <c r="BY2" s="1005" t="s">
        <v>790</v>
      </c>
      <c r="BZ2" s="1006" t="s">
        <v>791</v>
      </c>
      <c r="CA2" s="1007" t="s">
        <v>792</v>
      </c>
      <c r="CB2" s="1007" t="s">
        <v>793</v>
      </c>
      <c r="CC2" s="1007" t="s">
        <v>794</v>
      </c>
      <c r="CD2" s="1008" t="s">
        <v>803</v>
      </c>
      <c r="CE2" s="1007" t="s">
        <v>796</v>
      </c>
      <c r="CF2" s="1007" t="s">
        <v>797</v>
      </c>
      <c r="CG2" s="1004"/>
      <c r="CH2" s="1004">
        <f>month(CH3)</f>
        <v>9</v>
      </c>
      <c r="CI2" s="1005" t="s">
        <v>790</v>
      </c>
      <c r="CJ2" s="1006" t="s">
        <v>791</v>
      </c>
      <c r="CK2" s="1007" t="s">
        <v>792</v>
      </c>
      <c r="CL2" s="1007" t="s">
        <v>793</v>
      </c>
      <c r="CM2" s="1007" t="s">
        <v>794</v>
      </c>
      <c r="CN2" s="1008" t="s">
        <v>804</v>
      </c>
      <c r="CO2" s="1007" t="s">
        <v>796</v>
      </c>
      <c r="CP2" s="1007" t="s">
        <v>797</v>
      </c>
      <c r="CQ2" s="1004"/>
      <c r="CR2" s="1004">
        <f>month(CR3)</f>
        <v>10</v>
      </c>
      <c r="CS2" s="1005" t="s">
        <v>790</v>
      </c>
      <c r="CT2" s="1006" t="s">
        <v>791</v>
      </c>
      <c r="CU2" s="1007" t="s">
        <v>792</v>
      </c>
      <c r="CV2" s="1007" t="s">
        <v>793</v>
      </c>
      <c r="CW2" s="1007" t="s">
        <v>794</v>
      </c>
      <c r="CX2" s="1008" t="s">
        <v>805</v>
      </c>
      <c r="CY2" s="1007" t="s">
        <v>796</v>
      </c>
      <c r="CZ2" s="1007" t="s">
        <v>797</v>
      </c>
      <c r="DA2" s="1007"/>
      <c r="DB2" s="1004">
        <f>month(DB3)</f>
        <v>11</v>
      </c>
      <c r="DC2" s="1005" t="s">
        <v>790</v>
      </c>
      <c r="DD2" s="1006" t="s">
        <v>791</v>
      </c>
      <c r="DE2" s="1007" t="s">
        <v>792</v>
      </c>
      <c r="DF2" s="1007" t="s">
        <v>793</v>
      </c>
      <c r="DG2" s="1007" t="s">
        <v>794</v>
      </c>
      <c r="DH2" s="1008" t="s">
        <v>806</v>
      </c>
      <c r="DI2" s="1007" t="s">
        <v>796</v>
      </c>
      <c r="DJ2" s="1007" t="s">
        <v>797</v>
      </c>
      <c r="DK2" s="1004"/>
      <c r="DL2" s="1004">
        <f>month(DL3)</f>
        <v>12</v>
      </c>
      <c r="DM2" s="1005" t="s">
        <v>790</v>
      </c>
      <c r="DN2" s="1006" t="s">
        <v>791</v>
      </c>
      <c r="DO2" s="1007" t="s">
        <v>792</v>
      </c>
      <c r="DP2" s="1007" t="s">
        <v>793</v>
      </c>
      <c r="DQ2" s="1007" t="s">
        <v>794</v>
      </c>
      <c r="DR2" s="1008" t="s">
        <v>807</v>
      </c>
      <c r="DS2" s="1007" t="s">
        <v>796</v>
      </c>
      <c r="DT2" s="1007" t="s">
        <v>797</v>
      </c>
      <c r="DU2" s="1004"/>
      <c r="DV2" s="1004">
        <f>month(DV3)</f>
        <v>1</v>
      </c>
      <c r="DW2" s="1005" t="s">
        <v>790</v>
      </c>
      <c r="DX2" s="1006" t="s">
        <v>791</v>
      </c>
      <c r="DY2" s="1007" t="s">
        <v>792</v>
      </c>
      <c r="DZ2" s="1007" t="s">
        <v>793</v>
      </c>
      <c r="EA2" s="1007" t="s">
        <v>794</v>
      </c>
      <c r="EB2" s="1008" t="s">
        <v>808</v>
      </c>
      <c r="EC2" s="1007" t="s">
        <v>796</v>
      </c>
      <c r="ED2" s="1007" t="s">
        <v>797</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809</v>
      </c>
      <c r="D3" s="1018" t="s">
        <v>485</v>
      </c>
      <c r="E3" s="1018" t="s">
        <v>810</v>
      </c>
      <c r="F3" s="1019" t="s">
        <v>811</v>
      </c>
      <c r="G3" s="1020" t="s">
        <v>812</v>
      </c>
      <c r="H3" s="1021" t="s">
        <v>813</v>
      </c>
      <c r="I3" s="1018" t="s">
        <v>814</v>
      </c>
      <c r="J3" s="1018" t="s">
        <v>815</v>
      </c>
      <c r="K3" s="189"/>
      <c r="L3" s="1022" t="s">
        <v>96</v>
      </c>
      <c r="M3" s="1022" t="s">
        <v>454</v>
      </c>
      <c r="N3" s="189"/>
      <c r="O3" s="996"/>
      <c r="P3" s="1023">
        <v>46054.0</v>
      </c>
      <c r="Q3" s="1024" t="s">
        <v>80</v>
      </c>
      <c r="R3" s="1025" t="s">
        <v>809</v>
      </c>
      <c r="S3" s="1024" t="s">
        <v>485</v>
      </c>
      <c r="T3" s="1024" t="s">
        <v>816</v>
      </c>
      <c r="U3" s="1024" t="s">
        <v>817</v>
      </c>
      <c r="V3" s="1024" t="s">
        <v>818</v>
      </c>
      <c r="W3" s="1024" t="s">
        <v>819</v>
      </c>
      <c r="X3" s="1024" t="s">
        <v>820</v>
      </c>
      <c r="Y3" s="1026"/>
      <c r="Z3" s="1023">
        <v>46082.0</v>
      </c>
      <c r="AA3" s="1024" t="s">
        <v>80</v>
      </c>
      <c r="AB3" s="1025" t="s">
        <v>809</v>
      </c>
      <c r="AC3" s="1024" t="s">
        <v>485</v>
      </c>
      <c r="AD3" s="1024" t="s">
        <v>816</v>
      </c>
      <c r="AE3" s="1024" t="s">
        <v>817</v>
      </c>
      <c r="AF3" s="1024" t="s">
        <v>818</v>
      </c>
      <c r="AG3" s="1024" t="s">
        <v>819</v>
      </c>
      <c r="AH3" s="1024" t="s">
        <v>820</v>
      </c>
      <c r="AI3" s="1027"/>
      <c r="AJ3" s="1028">
        <v>46113.0</v>
      </c>
      <c r="AK3" s="1024" t="s">
        <v>80</v>
      </c>
      <c r="AL3" s="1025" t="s">
        <v>809</v>
      </c>
      <c r="AM3" s="1024" t="s">
        <v>485</v>
      </c>
      <c r="AN3" s="1024" t="s">
        <v>816</v>
      </c>
      <c r="AO3" s="1024" t="s">
        <v>817</v>
      </c>
      <c r="AP3" s="1024" t="s">
        <v>818</v>
      </c>
      <c r="AQ3" s="1024" t="s">
        <v>819</v>
      </c>
      <c r="AR3" s="1024" t="s">
        <v>820</v>
      </c>
      <c r="AS3" s="1026"/>
      <c r="AT3" s="1028">
        <v>46143.0</v>
      </c>
      <c r="AU3" s="1029" t="s">
        <v>80</v>
      </c>
      <c r="AV3" s="1030" t="s">
        <v>809</v>
      </c>
      <c r="AW3" s="1029" t="s">
        <v>485</v>
      </c>
      <c r="AX3" s="1029" t="s">
        <v>816</v>
      </c>
      <c r="AY3" s="1029" t="s">
        <v>817</v>
      </c>
      <c r="AZ3" s="1029" t="s">
        <v>818</v>
      </c>
      <c r="BA3" s="1029" t="s">
        <v>819</v>
      </c>
      <c r="BB3" s="1029" t="s">
        <v>820</v>
      </c>
      <c r="BC3" s="1026"/>
      <c r="BD3" s="1028">
        <v>46174.0</v>
      </c>
      <c r="BE3" s="1024" t="s">
        <v>80</v>
      </c>
      <c r="BF3" s="1025" t="s">
        <v>809</v>
      </c>
      <c r="BG3" s="1024" t="s">
        <v>485</v>
      </c>
      <c r="BH3" s="1024" t="s">
        <v>816</v>
      </c>
      <c r="BI3" s="1024" t="s">
        <v>817</v>
      </c>
      <c r="BJ3" s="1024" t="s">
        <v>818</v>
      </c>
      <c r="BK3" s="1024" t="s">
        <v>819</v>
      </c>
      <c r="BL3" s="1024" t="s">
        <v>820</v>
      </c>
      <c r="BM3" s="1027"/>
      <c r="BN3" s="1028">
        <v>46205.0</v>
      </c>
      <c r="BO3" s="1024" t="s">
        <v>80</v>
      </c>
      <c r="BP3" s="1025" t="s">
        <v>809</v>
      </c>
      <c r="BQ3" s="1024" t="s">
        <v>485</v>
      </c>
      <c r="BR3" s="1024" t="s">
        <v>816</v>
      </c>
      <c r="BS3" s="1024" t="s">
        <v>817</v>
      </c>
      <c r="BT3" s="1024" t="s">
        <v>818</v>
      </c>
      <c r="BU3" s="1024" t="s">
        <v>819</v>
      </c>
      <c r="BV3" s="1024" t="s">
        <v>820</v>
      </c>
      <c r="BW3" s="1026"/>
      <c r="BX3" s="1028">
        <v>46235.0</v>
      </c>
      <c r="BY3" s="1024" t="s">
        <v>80</v>
      </c>
      <c r="BZ3" s="1025" t="s">
        <v>809</v>
      </c>
      <c r="CA3" s="1024" t="s">
        <v>485</v>
      </c>
      <c r="CB3" s="1024" t="s">
        <v>816</v>
      </c>
      <c r="CC3" s="1024" t="s">
        <v>817</v>
      </c>
      <c r="CD3" s="1024" t="s">
        <v>818</v>
      </c>
      <c r="CE3" s="1024" t="s">
        <v>819</v>
      </c>
      <c r="CF3" s="1024" t="s">
        <v>820</v>
      </c>
      <c r="CG3" s="1026"/>
      <c r="CH3" s="1028">
        <v>46266.0</v>
      </c>
      <c r="CI3" s="1024" t="s">
        <v>80</v>
      </c>
      <c r="CJ3" s="1025" t="s">
        <v>809</v>
      </c>
      <c r="CK3" s="1024" t="s">
        <v>485</v>
      </c>
      <c r="CL3" s="1024" t="s">
        <v>816</v>
      </c>
      <c r="CM3" s="1024" t="s">
        <v>817</v>
      </c>
      <c r="CN3" s="1024" t="s">
        <v>818</v>
      </c>
      <c r="CO3" s="1024" t="s">
        <v>819</v>
      </c>
      <c r="CP3" s="1024" t="s">
        <v>820</v>
      </c>
      <c r="CQ3" s="1027"/>
      <c r="CR3" s="1028">
        <v>46296.0</v>
      </c>
      <c r="CS3" s="1024" t="s">
        <v>80</v>
      </c>
      <c r="CT3" s="1025" t="s">
        <v>809</v>
      </c>
      <c r="CU3" s="1024" t="s">
        <v>485</v>
      </c>
      <c r="CV3" s="1024" t="s">
        <v>816</v>
      </c>
      <c r="CW3" s="1024" t="s">
        <v>817</v>
      </c>
      <c r="CX3" s="1024" t="s">
        <v>818</v>
      </c>
      <c r="CY3" s="1024" t="s">
        <v>819</v>
      </c>
      <c r="CZ3" s="1024" t="s">
        <v>820</v>
      </c>
      <c r="DA3" s="1026"/>
      <c r="DB3" s="1028">
        <v>46327.0</v>
      </c>
      <c r="DC3" s="1024" t="s">
        <v>80</v>
      </c>
      <c r="DD3" s="1025" t="s">
        <v>809</v>
      </c>
      <c r="DE3" s="1024" t="s">
        <v>485</v>
      </c>
      <c r="DF3" s="1024" t="s">
        <v>816</v>
      </c>
      <c r="DG3" s="1024" t="s">
        <v>817</v>
      </c>
      <c r="DH3" s="1024" t="s">
        <v>818</v>
      </c>
      <c r="DI3" s="1024" t="s">
        <v>819</v>
      </c>
      <c r="DJ3" s="1024" t="s">
        <v>820</v>
      </c>
      <c r="DK3" s="1026"/>
      <c r="DL3" s="1028">
        <v>46357.0</v>
      </c>
      <c r="DM3" s="1024" t="s">
        <v>80</v>
      </c>
      <c r="DN3" s="1025" t="s">
        <v>809</v>
      </c>
      <c r="DO3" s="1024" t="s">
        <v>485</v>
      </c>
      <c r="DP3" s="1024" t="s">
        <v>816</v>
      </c>
      <c r="DQ3" s="1024" t="s">
        <v>817</v>
      </c>
      <c r="DR3" s="1024" t="s">
        <v>818</v>
      </c>
      <c r="DS3" s="1024" t="s">
        <v>819</v>
      </c>
      <c r="DT3" s="1024" t="s">
        <v>820</v>
      </c>
      <c r="DU3" s="1026"/>
      <c r="DV3" s="1028">
        <v>46388.0</v>
      </c>
      <c r="DW3" s="1024" t="s">
        <v>80</v>
      </c>
      <c r="DX3" s="1025" t="s">
        <v>809</v>
      </c>
      <c r="DY3" s="1024" t="s">
        <v>485</v>
      </c>
      <c r="DZ3" s="1024" t="s">
        <v>816</v>
      </c>
      <c r="EA3" s="1024" t="s">
        <v>817</v>
      </c>
      <c r="EB3" s="1024" t="s">
        <v>818</v>
      </c>
      <c r="EC3" s="1024" t="s">
        <v>819</v>
      </c>
      <c r="ED3" s="1024" t="s">
        <v>820</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821</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IFERROR(__xludf.DUMMYFUNCTION("IMPORTRANGE($P$6,$P$4&amp;AH$2)"),287.0)</f>
        <v>287</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822</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823</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IFERROR(__xludf.DUMMYFUNCTION("""COMPUTED_VALUE"""),2144.0)</f>
        <v>2144</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824</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IFERROR(__xludf.DUMMYFUNCTION("""COMPUTED_VALUE"""),47665.0)</f>
        <v>47665</v>
      </c>
      <c r="AC4" s="21">
        <f>IFERROR(__xludf.DUMMYFUNCTION("""COMPUTED_VALUE"""),53558.5)</f>
        <v>53558.5</v>
      </c>
      <c r="AD4" s="21">
        <f>IFERROR(__xludf.DUMMYFUNCTION("""COMPUTED_VALUE"""),54060.0)</f>
        <v>54060</v>
      </c>
      <c r="AE4" s="21">
        <f>IFERROR(__xludf.DUMMYFUNCTION("""COMPUTED_VALUE"""),46760.0)</f>
        <v>46760</v>
      </c>
      <c r="AF4" s="21">
        <f>IFERROR(__xludf.DUMMYFUNCTION("""COMPUTED_VALUE"""),45066.5)</f>
        <v>45066.5</v>
      </c>
    </row>
    <row r="5">
      <c r="A5" s="940">
        <v>4.0</v>
      </c>
      <c r="B5" s="1076">
        <f>IFERROR(__xludf.DUMMYFUNCTION("iferror(IMPORTRANGE('①R8_4集計'!$AT$9, ""日別集計!D5:AH5""),""ファイルなし"")"),48607.5)</f>
        <v>48607.5</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825</v>
      </c>
      <c r="C30" s="236"/>
      <c r="D30" s="236"/>
      <c r="E30" s="236"/>
      <c r="F30" s="239"/>
    </row>
    <row r="31">
      <c r="B31" s="1079" t="s">
        <v>826</v>
      </c>
      <c r="C31" s="1080" t="s">
        <v>230</v>
      </c>
      <c r="D31" s="1080" t="s">
        <v>231</v>
      </c>
      <c r="E31" s="1080" t="s">
        <v>763</v>
      </c>
      <c r="F31" s="1081" t="s">
        <v>228</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218</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219</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220</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220</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221</v>
      </c>
      <c r="C5" s="72"/>
      <c r="D5" s="291">
        <v>46054.0</v>
      </c>
      <c r="E5" s="72"/>
      <c r="F5" s="292" t="s">
        <v>222</v>
      </c>
      <c r="G5" s="293">
        <f>DAY(EOMONTH(D5,0))</f>
        <v>28</v>
      </c>
      <c r="H5" s="294" t="s">
        <v>223</v>
      </c>
      <c r="I5" s="292" t="s">
        <v>224</v>
      </c>
      <c r="J5" s="295" t="b">
        <v>1</v>
      </c>
      <c r="K5" s="292" t="s">
        <v>225</v>
      </c>
      <c r="L5" s="296" t="b">
        <v>1</v>
      </c>
      <c r="M5" s="297" t="s">
        <v>226</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227</v>
      </c>
      <c r="C6" s="301" t="s">
        <v>228</v>
      </c>
      <c r="D6" s="88"/>
      <c r="E6" s="302" t="s">
        <v>229</v>
      </c>
      <c r="F6" s="72"/>
      <c r="G6" s="303" t="s">
        <v>230</v>
      </c>
      <c r="H6" s="303" t="s">
        <v>231</v>
      </c>
      <c r="I6" s="303" t="s">
        <v>232</v>
      </c>
      <c r="J6" s="303" t="s">
        <v>233</v>
      </c>
      <c r="K6" s="301" t="s">
        <v>234</v>
      </c>
      <c r="L6" s="304" t="s">
        <v>235</v>
      </c>
      <c r="M6" s="305" t="s">
        <v>236</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237</v>
      </c>
      <c r="AW6" s="309" t="s">
        <v>238</v>
      </c>
      <c r="AX6" s="310"/>
      <c r="AY6" s="311" t="s">
        <v>239</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240</v>
      </c>
      <c r="H7" s="319">
        <f t="array" ref="H7">xlookup($D$5,'🌟目標数値'!$A$3:$A$14,'🌟目標数値'!D$3:D14)</f>
        <v>2656884</v>
      </c>
      <c r="I7" s="319" t="s">
        <v>240</v>
      </c>
      <c r="J7" s="320" t="s">
        <v>240</v>
      </c>
      <c r="K7" s="321" t="s">
        <v>240</v>
      </c>
      <c r="L7" s="321" t="s">
        <v>240</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241</v>
      </c>
      <c r="BG7" s="327"/>
      <c r="BL7" s="314"/>
    </row>
    <row r="8" ht="15.75" customHeight="1" outlineLevel="1">
      <c r="B8" s="328" t="s">
        <v>242</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243</v>
      </c>
      <c r="C9" s="344" t="s">
        <v>240</v>
      </c>
      <c r="D9" s="72"/>
      <c r="E9" s="345" t="s">
        <v>240</v>
      </c>
      <c r="F9" s="72"/>
      <c r="G9" s="346" t="s">
        <v>240</v>
      </c>
      <c r="H9" s="347">
        <f>H7/G5*COUNTIFS($E$11:$E$41,"&gt;0")</f>
        <v>0</v>
      </c>
      <c r="I9" s="347" t="s">
        <v>240</v>
      </c>
      <c r="J9" s="348" t="s">
        <v>240</v>
      </c>
      <c r="K9" s="349" t="s">
        <v>240</v>
      </c>
      <c r="L9" s="349" t="s">
        <v>240</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245</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246</v>
      </c>
      <c r="C11" s="358" t="s">
        <v>247</v>
      </c>
      <c r="D11" s="359" t="s">
        <v>248</v>
      </c>
      <c r="E11" s="359" t="s">
        <v>249</v>
      </c>
      <c r="F11" s="357" t="s">
        <v>250</v>
      </c>
      <c r="G11" s="360" t="s">
        <v>251</v>
      </c>
      <c r="H11" s="361" t="s">
        <v>252</v>
      </c>
      <c r="I11" s="362" t="s">
        <v>253</v>
      </c>
      <c r="J11" s="362" t="s">
        <v>254</v>
      </c>
      <c r="K11" s="362" t="s">
        <v>255</v>
      </c>
      <c r="L11" s="362" t="s">
        <v>256</v>
      </c>
      <c r="M11" s="361" t="s">
        <v>257</v>
      </c>
      <c r="N11" s="361" t="s">
        <v>258</v>
      </c>
      <c r="O11" s="361" t="s">
        <v>259</v>
      </c>
      <c r="P11" s="357" t="s">
        <v>260</v>
      </c>
      <c r="Q11" s="357" t="s">
        <v>261</v>
      </c>
      <c r="R11" s="357" t="s">
        <v>262</v>
      </c>
      <c r="S11" s="357" t="s">
        <v>263</v>
      </c>
      <c r="T11" s="357" t="s">
        <v>264</v>
      </c>
      <c r="U11" s="357" t="s">
        <v>265</v>
      </c>
      <c r="V11" s="357" t="s">
        <v>266</v>
      </c>
      <c r="W11" s="357" t="s">
        <v>267</v>
      </c>
      <c r="X11" s="357" t="s">
        <v>268</v>
      </c>
      <c r="Y11" s="357" t="s">
        <v>269</v>
      </c>
      <c r="Z11" s="357" t="s">
        <v>270</v>
      </c>
      <c r="AA11" s="357" t="s">
        <v>271</v>
      </c>
      <c r="AB11" s="357" t="s">
        <v>272</v>
      </c>
      <c r="AC11" s="363" t="s">
        <v>273</v>
      </c>
      <c r="AD11" s="364" t="s">
        <v>274</v>
      </c>
      <c r="AE11" s="364" t="s">
        <v>275</v>
      </c>
      <c r="AF11" s="364" t="s">
        <v>276</v>
      </c>
      <c r="AG11" s="363" t="s">
        <v>277</v>
      </c>
      <c r="AH11" s="364" t="s">
        <v>278</v>
      </c>
      <c r="AI11" s="364" t="s">
        <v>279</v>
      </c>
      <c r="AJ11" s="364" t="s">
        <v>280</v>
      </c>
      <c r="AK11" s="364" t="s">
        <v>281</v>
      </c>
      <c r="AL11" s="364" t="s">
        <v>282</v>
      </c>
      <c r="AM11" s="364" t="s">
        <v>283</v>
      </c>
      <c r="AN11" s="364" t="s">
        <v>284</v>
      </c>
      <c r="AO11" s="364" t="s">
        <v>285</v>
      </c>
      <c r="AP11" s="364" t="s">
        <v>286</v>
      </c>
      <c r="AQ11" s="364" t="s">
        <v>287</v>
      </c>
      <c r="AR11" s="364" t="s">
        <v>288</v>
      </c>
      <c r="AS11" s="357" t="s">
        <v>289</v>
      </c>
      <c r="AT11" s="359" t="s">
        <v>290</v>
      </c>
      <c r="AU11" s="365" t="s">
        <v>291</v>
      </c>
      <c r="AV11" s="357" t="s">
        <v>37</v>
      </c>
      <c r="AW11" s="366" t="s">
        <v>292</v>
      </c>
      <c r="AX11" s="367"/>
      <c r="AY11" s="368">
        <f>$D$5</f>
        <v>46054</v>
      </c>
      <c r="BI11" s="204" t="s">
        <v>96</v>
      </c>
      <c r="BJ11" s="204" t="s">
        <v>97</v>
      </c>
      <c r="BL11" s="369" t="s">
        <v>96</v>
      </c>
      <c r="BM11" s="369" t="s">
        <v>293</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294</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295</v>
      </c>
      <c r="AZ13" s="388" t="s">
        <v>296</v>
      </c>
      <c r="BA13" s="388" t="s">
        <v>297</v>
      </c>
      <c r="BB13" s="388" t="s">
        <v>298</v>
      </c>
      <c r="BC13" s="299"/>
      <c r="BD13" s="387" t="s">
        <v>90</v>
      </c>
      <c r="BE13" s="388" t="s">
        <v>299</v>
      </c>
      <c r="BF13" s="388" t="s">
        <v>297</v>
      </c>
      <c r="BG13" s="388" t="s">
        <v>298</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301</v>
      </c>
      <c r="AZ20" s="408">
        <f>IFERROR(__xludf.DUMMYFUNCTION("IMPORTRANGE(""https://docs.google.com/spreadsheets/d/1QbHfX9wvC_RRupa4CCe_ZxA6O4e2Ap9vqX5hrZPeQRg/edit?gid=284905409#gid=284905409"",""date2_1!B7"")/G5*COUNTIFS($E$13:$E$43,""&gt;0"")+sum(AZ14:BA19)"),0.0)</f>
        <v>0</v>
      </c>
      <c r="BA20" s="409"/>
      <c r="BB20" s="410"/>
      <c r="BC20" s="285"/>
      <c r="BD20" s="407" t="s">
        <v>301</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302</v>
      </c>
      <c r="AZ22" s="412"/>
      <c r="BA22" s="412"/>
      <c r="BB22" s="413" t="s">
        <v>303</v>
      </c>
      <c r="BC22" s="299"/>
      <c r="BD22" s="414"/>
      <c r="BE22" s="413" t="s">
        <v>304</v>
      </c>
      <c r="BF22" s="413" t="s">
        <v>305</v>
      </c>
      <c r="BG22" s="413" t="s">
        <v>301</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306</v>
      </c>
      <c r="AZ23" s="416">
        <f>AR44</f>
        <v>0</v>
      </c>
      <c r="BA23" s="72"/>
      <c r="BB23" s="417">
        <f>AZ23-AZ24</f>
        <v>0</v>
      </c>
      <c r="BC23" s="285"/>
      <c r="BD23" s="418" t="s">
        <v>307</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308</v>
      </c>
      <c r="AZ24" s="416">
        <f>BE36</f>
        <v>0</v>
      </c>
      <c r="BA24" s="72"/>
      <c r="BB24" s="420"/>
      <c r="BC24" s="285"/>
      <c r="BD24" s="415" t="s">
        <v>309</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310</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311</v>
      </c>
      <c r="AZ29" s="426" t="s">
        <v>231</v>
      </c>
      <c r="BA29" s="426" t="s">
        <v>312</v>
      </c>
      <c r="BB29" s="426" t="s">
        <v>313</v>
      </c>
      <c r="BC29" s="285"/>
      <c r="BD29" s="427" t="s">
        <v>314</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315</v>
      </c>
      <c r="AZ30" s="419">
        <f>AS46</f>
        <v>0</v>
      </c>
      <c r="BA30" s="430" t="s">
        <v>240</v>
      </c>
      <c r="BB30" s="417">
        <f>SUM(AZ30:AZ36)</f>
        <v>0</v>
      </c>
      <c r="BC30" s="285"/>
      <c r="BD30" s="431" t="s">
        <v>316</v>
      </c>
      <c r="BE30" s="432" t="s">
        <v>317</v>
      </c>
      <c r="BF30" s="432" t="s">
        <v>318</v>
      </c>
      <c r="BG30" s="433" t="s">
        <v>301</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320</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322</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324</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325</v>
      </c>
      <c r="AZ36" s="398">
        <f>BB40</f>
        <v>0</v>
      </c>
      <c r="BA36" s="398"/>
      <c r="BB36" s="211"/>
      <c r="BC36" s="285"/>
      <c r="BD36" s="407" t="s">
        <v>301</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326</v>
      </c>
      <c r="AZ38" s="443"/>
      <c r="BA38" s="285"/>
      <c r="BB38" s="367"/>
      <c r="BC38" s="285"/>
      <c r="BD38" s="285" t="s">
        <v>327</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311</v>
      </c>
      <c r="AZ39" s="426" t="s">
        <v>231</v>
      </c>
      <c r="BA39" s="426" t="s">
        <v>328</v>
      </c>
      <c r="BB39" s="426" t="s">
        <v>313</v>
      </c>
      <c r="BC39" s="299"/>
      <c r="BD39" s="425" t="s">
        <v>329</v>
      </c>
      <c r="BE39" s="426" t="s">
        <v>330</v>
      </c>
      <c r="BF39" s="426" t="s">
        <v>328</v>
      </c>
      <c r="BG39" s="426" t="s">
        <v>301</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301</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317</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331</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332</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333</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335</v>
      </c>
      <c r="M2" s="505"/>
      <c r="N2" s="506" t="s">
        <v>827</v>
      </c>
      <c r="O2" s="507"/>
      <c r="P2" s="508"/>
      <c r="Q2" s="509"/>
      <c r="R2" s="509"/>
      <c r="S2" s="510"/>
      <c r="T2" s="509"/>
      <c r="U2" s="509"/>
      <c r="V2" s="509"/>
      <c r="W2" s="509"/>
      <c r="X2" s="509"/>
      <c r="Y2" s="511"/>
      <c r="Z2" s="270"/>
      <c r="AA2" s="270"/>
      <c r="AB2" s="270"/>
      <c r="AC2" s="270"/>
      <c r="AD2" s="270"/>
      <c r="AE2" s="270"/>
      <c r="AF2" s="512"/>
      <c r="AG2" s="513"/>
      <c r="AH2" s="514"/>
      <c r="AI2" s="515" t="s">
        <v>828</v>
      </c>
      <c r="AJ2" s="270"/>
      <c r="AS2" s="270"/>
      <c r="AT2" s="516" t="s">
        <v>338</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339</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340</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301</v>
      </c>
      <c r="BI3" s="189"/>
      <c r="BJ3" s="536" t="s">
        <v>341</v>
      </c>
      <c r="BK3" s="2"/>
      <c r="BL3" s="537">
        <v>46113.0</v>
      </c>
      <c r="BT3" s="189"/>
      <c r="BU3" s="189"/>
      <c r="BV3" s="189"/>
      <c r="BW3" s="189"/>
      <c r="BX3" s="189"/>
    </row>
    <row r="4" ht="18.0" customHeight="1">
      <c r="A4" s="502"/>
      <c r="B4" s="538" t="s">
        <v>342</v>
      </c>
      <c r="C4" s="539"/>
      <c r="D4" s="540"/>
      <c r="E4" s="541" t="s">
        <v>343</v>
      </c>
      <c r="F4" s="501"/>
      <c r="G4" s="502"/>
      <c r="H4" s="502"/>
      <c r="I4" s="542" t="s">
        <v>344</v>
      </c>
      <c r="J4" s="2"/>
      <c r="K4" s="543" t="s">
        <v>345</v>
      </c>
      <c r="L4" s="544"/>
      <c r="M4" s="545" t="s">
        <v>346</v>
      </c>
      <c r="N4" s="546"/>
      <c r="O4" s="547"/>
      <c r="P4" s="548" t="s">
        <v>347</v>
      </c>
      <c r="Q4" s="549" t="s">
        <v>348</v>
      </c>
      <c r="R4" s="547"/>
      <c r="S4" s="547"/>
      <c r="T4" s="548" t="s">
        <v>349</v>
      </c>
      <c r="U4" s="549" t="s">
        <v>350</v>
      </c>
      <c r="V4" s="547"/>
      <c r="W4" s="547"/>
      <c r="X4" s="550" t="s">
        <v>161</v>
      </c>
      <c r="Y4" s="549" t="s">
        <v>351</v>
      </c>
      <c r="Z4" s="547"/>
      <c r="AA4" s="547"/>
      <c r="AB4" s="551" t="s">
        <v>352</v>
      </c>
      <c r="AC4" s="549" t="s">
        <v>353</v>
      </c>
      <c r="AD4" s="547"/>
      <c r="AE4" s="547"/>
      <c r="AF4" s="552" t="s">
        <v>354</v>
      </c>
      <c r="AG4" s="549" t="s">
        <v>355</v>
      </c>
      <c r="AH4" s="547"/>
      <c r="AI4" s="547"/>
      <c r="AJ4" s="552" t="s">
        <v>356</v>
      </c>
      <c r="AK4" s="549" t="s">
        <v>357</v>
      </c>
      <c r="AL4" s="547"/>
      <c r="AM4" s="553"/>
      <c r="AN4" s="554"/>
      <c r="AO4" s="554"/>
      <c r="AP4" s="528"/>
      <c r="AQ4" s="555"/>
      <c r="AR4" s="530"/>
      <c r="AS4" s="189"/>
      <c r="AT4" s="556" t="s">
        <v>497</v>
      </c>
      <c r="AU4" s="557" t="s">
        <v>182</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360</v>
      </c>
      <c r="C5" s="563"/>
      <c r="D5" s="502"/>
      <c r="E5" s="564" t="s">
        <v>361</v>
      </c>
      <c r="F5" s="563"/>
      <c r="G5" s="502"/>
      <c r="H5" s="502"/>
      <c r="I5" s="565" t="b">
        <v>0</v>
      </c>
      <c r="J5" s="2"/>
      <c r="K5" s="566"/>
      <c r="L5" s="567"/>
      <c r="M5" s="568" t="s">
        <v>362</v>
      </c>
      <c r="N5" s="569"/>
      <c r="O5" s="547"/>
      <c r="P5" s="570" t="s">
        <v>363</v>
      </c>
      <c r="Q5" s="549" t="s">
        <v>364</v>
      </c>
      <c r="R5" s="547"/>
      <c r="S5" s="547"/>
      <c r="T5" s="570" t="s">
        <v>365</v>
      </c>
      <c r="U5" s="549" t="s">
        <v>366</v>
      </c>
      <c r="V5" s="547"/>
      <c r="W5" s="547"/>
      <c r="X5" s="570" t="s">
        <v>367</v>
      </c>
      <c r="Y5" s="549" t="s">
        <v>368</v>
      </c>
      <c r="Z5" s="547"/>
      <c r="AA5" s="547"/>
      <c r="AB5" s="570" t="s">
        <v>369</v>
      </c>
      <c r="AC5" s="549" t="s">
        <v>370</v>
      </c>
      <c r="AD5" s="547"/>
      <c r="AE5" s="547"/>
      <c r="AF5" s="570" t="s">
        <v>371</v>
      </c>
      <c r="AG5" s="549" t="s">
        <v>372</v>
      </c>
      <c r="AH5" s="547"/>
      <c r="AI5" s="547"/>
      <c r="AJ5" s="570" t="s">
        <v>373</v>
      </c>
      <c r="AK5" s="549" t="s">
        <v>374</v>
      </c>
      <c r="AL5" s="547"/>
      <c r="AM5" s="553"/>
      <c r="AN5" s="554"/>
      <c r="AO5" s="554"/>
      <c r="AP5" s="528"/>
      <c r="AQ5" s="555"/>
      <c r="AR5" s="530"/>
      <c r="AS5" s="189"/>
      <c r="AT5" s="556" t="s">
        <v>100</v>
      </c>
      <c r="AU5" s="557" t="s">
        <v>183</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46114</v>
      </c>
      <c r="C7" s="586"/>
      <c r="D7" s="502"/>
      <c r="E7" s="587">
        <f>today()+1</f>
        <v>46115</v>
      </c>
      <c r="F7" s="588"/>
      <c r="G7" s="502"/>
      <c r="H7" s="502"/>
      <c r="I7" s="589" t="s">
        <v>375</v>
      </c>
      <c r="J7" s="590" t="s">
        <v>376</v>
      </c>
      <c r="K7" s="591">
        <v>46054.0</v>
      </c>
      <c r="L7" s="592" t="s">
        <v>377</v>
      </c>
      <c r="M7" s="593" t="s">
        <v>378</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379</v>
      </c>
      <c r="AT7" s="597" t="s">
        <v>380</v>
      </c>
      <c r="AU7" s="598" t="s">
        <v>81</v>
      </c>
      <c r="AV7" s="598" t="s">
        <v>381</v>
      </c>
      <c r="AW7" s="598" t="s">
        <v>382</v>
      </c>
      <c r="AX7" s="598" t="s">
        <v>383</v>
      </c>
      <c r="AY7" s="598" t="s">
        <v>384</v>
      </c>
      <c r="AZ7" s="598" t="s">
        <v>385</v>
      </c>
      <c r="BA7" s="598" t="s">
        <v>82</v>
      </c>
      <c r="BB7" s="599" t="s">
        <v>298</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248</v>
      </c>
      <c r="C8" s="601" t="str">
        <f>TEXT(B7,"ddd")</f>
        <v>木</v>
      </c>
      <c r="D8" s="114"/>
      <c r="E8" s="602" t="s">
        <v>248</v>
      </c>
      <c r="F8" s="603" t="str">
        <f>TEXT(E7,"ddd")</f>
        <v>金</v>
      </c>
      <c r="G8" s="189"/>
      <c r="H8" s="189"/>
      <c r="I8" s="589"/>
      <c r="J8" s="604" t="s">
        <v>386</v>
      </c>
      <c r="K8" s="592" t="s">
        <v>387</v>
      </c>
      <c r="L8" s="605" t="s">
        <v>388</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389</v>
      </c>
      <c r="L9" s="611" t="s">
        <v>390</v>
      </c>
      <c r="M9" s="612" t="s">
        <v>391</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390</v>
      </c>
      <c r="AT9" s="614" t="s">
        <v>390</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392</v>
      </c>
      <c r="L10" s="611" t="s">
        <v>390</v>
      </c>
      <c r="M10" s="612" t="s">
        <v>393</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390</v>
      </c>
      <c r="AT10" s="614" t="s">
        <v>390</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396</v>
      </c>
      <c r="O12" s="618" t="s">
        <v>396</v>
      </c>
      <c r="P12" s="618" t="s">
        <v>347</v>
      </c>
      <c r="Q12" s="618" t="s">
        <v>363</v>
      </c>
      <c r="R12" s="618" t="s">
        <v>347</v>
      </c>
      <c r="S12" s="618" t="s">
        <v>396</v>
      </c>
      <c r="T12" s="618" t="s">
        <v>363</v>
      </c>
      <c r="U12" s="618" t="s">
        <v>396</v>
      </c>
      <c r="V12" s="618" t="s">
        <v>396</v>
      </c>
      <c r="W12" s="618" t="s">
        <v>347</v>
      </c>
      <c r="X12" s="618" t="s">
        <v>347</v>
      </c>
      <c r="Y12" s="618" t="s">
        <v>363</v>
      </c>
      <c r="Z12" s="618" t="s">
        <v>396</v>
      </c>
      <c r="AA12" s="618" t="s">
        <v>363</v>
      </c>
      <c r="AB12" s="618" t="s">
        <v>396</v>
      </c>
      <c r="AC12" s="618" t="s">
        <v>396</v>
      </c>
      <c r="AD12" s="618" t="s">
        <v>347</v>
      </c>
      <c r="AE12" s="618" t="s">
        <v>363</v>
      </c>
      <c r="AF12" s="618" t="s">
        <v>347</v>
      </c>
      <c r="AG12" s="618" t="s">
        <v>396</v>
      </c>
      <c r="AH12" s="618" t="s">
        <v>363</v>
      </c>
      <c r="AI12" s="618" t="s">
        <v>396</v>
      </c>
      <c r="AJ12" s="618" t="s">
        <v>396</v>
      </c>
      <c r="AK12" s="618" t="s">
        <v>347</v>
      </c>
      <c r="AL12" s="618" t="s">
        <v>363</v>
      </c>
      <c r="AM12" s="618" t="s">
        <v>396</v>
      </c>
      <c r="AN12" s="618" t="s">
        <v>396</v>
      </c>
      <c r="AO12" s="618" t="s">
        <v>363</v>
      </c>
      <c r="AP12" s="618" t="s">
        <v>363</v>
      </c>
      <c r="AQ12" s="618" t="s">
        <v>396</v>
      </c>
      <c r="AR12" s="618" t="s">
        <v>347</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399</v>
      </c>
      <c r="L41" s="611" t="s">
        <v>400</v>
      </c>
      <c r="M41" s="612" t="s">
        <v>161</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390</v>
      </c>
      <c r="AT41" s="618" t="s">
        <v>390</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401</v>
      </c>
      <c r="L42" s="611" t="s">
        <v>400</v>
      </c>
      <c r="M42" s="612" t="s">
        <v>352</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390</v>
      </c>
      <c r="AT42" s="618" t="s">
        <v>390</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402</v>
      </c>
      <c r="L43" s="628" t="s">
        <v>403</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390</v>
      </c>
      <c r="AT43" s="618" t="s">
        <v>390</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404</v>
      </c>
      <c r="L44" s="611" t="s">
        <v>403</v>
      </c>
      <c r="M44" s="612" t="s">
        <v>405</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390</v>
      </c>
      <c r="AT44" s="618" t="s">
        <v>390</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418</v>
      </c>
      <c r="C2" s="504"/>
      <c r="D2" s="504"/>
      <c r="E2" s="504"/>
      <c r="F2" s="638" t="s">
        <v>419</v>
      </c>
      <c r="G2" s="639"/>
      <c r="H2" s="221"/>
      <c r="I2" s="221"/>
      <c r="J2" s="221"/>
      <c r="K2" s="221"/>
      <c r="L2" s="221"/>
      <c r="M2" s="221"/>
      <c r="N2" s="221"/>
      <c r="O2" s="221"/>
      <c r="P2" s="221"/>
      <c r="Q2" s="2"/>
      <c r="R2" s="640" t="s">
        <v>334</v>
      </c>
      <c r="S2" s="633"/>
      <c r="T2" s="635"/>
      <c r="U2" s="641"/>
      <c r="V2" s="637"/>
      <c r="W2" s="633"/>
      <c r="X2" s="633"/>
      <c r="Y2" s="633"/>
      <c r="Z2" s="633"/>
    </row>
    <row r="3" ht="33.0" customHeight="1">
      <c r="A3" s="633"/>
      <c r="B3" s="642" t="s">
        <v>420</v>
      </c>
      <c r="C3" s="504"/>
      <c r="D3" s="504"/>
      <c r="E3" s="504"/>
      <c r="F3" s="643" t="s">
        <v>421</v>
      </c>
      <c r="G3" s="644"/>
      <c r="H3" s="221"/>
      <c r="I3" s="221"/>
      <c r="J3" s="221"/>
      <c r="K3" s="221"/>
      <c r="L3" s="221"/>
      <c r="M3" s="221"/>
      <c r="N3" s="221"/>
      <c r="O3" s="221"/>
      <c r="P3" s="221"/>
      <c r="Q3" s="2"/>
      <c r="R3" s="645" t="s">
        <v>334</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221</v>
      </c>
      <c r="C5" s="647"/>
      <c r="D5" s="648">
        <v>46054.0</v>
      </c>
      <c r="E5" s="647"/>
      <c r="F5" s="649" t="s">
        <v>422</v>
      </c>
      <c r="G5" s="650" t="s">
        <v>423</v>
      </c>
      <c r="H5" s="651"/>
      <c r="I5" s="651"/>
      <c r="J5" s="651"/>
      <c r="K5" s="651"/>
      <c r="L5" s="651"/>
      <c r="M5" s="651"/>
      <c r="N5" s="651"/>
      <c r="O5" s="651"/>
      <c r="P5" s="651"/>
      <c r="Q5" s="113"/>
      <c r="R5" s="652"/>
      <c r="S5" s="633"/>
      <c r="T5" s="635"/>
      <c r="U5" s="636"/>
      <c r="V5" s="653" t="s">
        <v>424</v>
      </c>
      <c r="W5" s="633"/>
      <c r="X5" s="633"/>
      <c r="Y5" s="633"/>
      <c r="Z5" s="633"/>
    </row>
    <row r="6">
      <c r="A6" s="633"/>
      <c r="B6" s="654" t="s">
        <v>425</v>
      </c>
      <c r="C6" s="655" t="s">
        <v>247</v>
      </c>
      <c r="D6" s="655" t="s">
        <v>248</v>
      </c>
      <c r="E6" s="655" t="s">
        <v>426</v>
      </c>
      <c r="F6" s="655" t="s">
        <v>84</v>
      </c>
      <c r="G6" s="656" t="s">
        <v>427</v>
      </c>
      <c r="H6" s="657" t="s">
        <v>37</v>
      </c>
      <c r="I6" s="658" t="s">
        <v>428</v>
      </c>
      <c r="J6" s="658" t="s">
        <v>429</v>
      </c>
      <c r="K6" s="658" t="s">
        <v>430</v>
      </c>
      <c r="L6" s="659" t="s">
        <v>431</v>
      </c>
      <c r="M6" s="660"/>
      <c r="N6" s="661" t="s">
        <v>432</v>
      </c>
      <c r="O6" s="662" t="s">
        <v>433</v>
      </c>
      <c r="P6" s="651"/>
      <c r="Q6" s="113"/>
      <c r="R6" s="663"/>
      <c r="S6" s="664" t="s">
        <v>96</v>
      </c>
      <c r="T6" s="664" t="s">
        <v>97</v>
      </c>
      <c r="U6" s="636"/>
      <c r="V6" s="665" t="s">
        <v>434</v>
      </c>
      <c r="W6" s="666"/>
      <c r="X6" s="667" t="s">
        <v>221</v>
      </c>
      <c r="Y6" s="633"/>
      <c r="Z6" s="633"/>
    </row>
    <row r="7">
      <c r="A7" s="633"/>
      <c r="B7" s="668"/>
      <c r="C7" s="669"/>
      <c r="D7" s="669"/>
      <c r="E7" s="669"/>
      <c r="F7" s="669"/>
      <c r="G7" s="670"/>
      <c r="H7" s="669"/>
      <c r="I7" s="669"/>
      <c r="J7" s="669"/>
      <c r="K7" s="669"/>
      <c r="L7" s="671" t="s">
        <v>435</v>
      </c>
      <c r="M7" s="671" t="s">
        <v>436</v>
      </c>
      <c r="N7" s="669"/>
      <c r="O7" s="672"/>
      <c r="P7" s="673"/>
      <c r="Q7" s="674"/>
      <c r="R7" s="663"/>
      <c r="S7" s="211"/>
      <c r="T7" s="211"/>
      <c r="V7" s="675">
        <f>month(D5)</f>
        <v>2</v>
      </c>
      <c r="W7" s="676"/>
      <c r="X7" s="667" t="s">
        <v>437</v>
      </c>
      <c r="Y7" s="633"/>
      <c r="Z7" s="633"/>
    </row>
    <row r="8" ht="17.25" customHeight="1" collapsed="1">
      <c r="A8" s="633"/>
      <c r="B8" s="677" t="s">
        <v>438</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441</v>
      </c>
      <c r="G9" s="695" t="s">
        <v>442</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506</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406</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507</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508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411</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412</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413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142</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414</v>
      </c>
      <c r="W18" s="688"/>
      <c r="X18" s="689">
        <v>46357.0</v>
      </c>
      <c r="Y18" s="633"/>
      <c r="Z18" s="633"/>
    </row>
    <row r="19" hidden="1" outlineLevel="1">
      <c r="B19" s="710"/>
      <c r="C19" s="669"/>
      <c r="D19" s="669"/>
      <c r="E19" s="669"/>
      <c r="F19" s="711" t="s">
        <v>440</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600</v>
      </c>
      <c r="W19" s="688"/>
      <c r="X19" s="689">
        <v>46388.0</v>
      </c>
      <c r="Y19" s="633"/>
      <c r="Z19" s="633"/>
    </row>
    <row r="20" hidden="1" outlineLevel="1">
      <c r="A20" s="633"/>
      <c r="B20" s="715"/>
      <c r="C20" s="716">
        <f>IF(C9="","",IF(DAY(C9+1)=1,"",C9+1))</f>
        <v>46055</v>
      </c>
      <c r="D20" s="717" t="str">
        <f>TEXT(C20,"ddd")</f>
        <v>月</v>
      </c>
      <c r="E20" s="718"/>
      <c r="F20" s="719" t="s">
        <v>441</v>
      </c>
      <c r="G20" s="720" t="s">
        <v>442</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510</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602</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603</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593</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604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596</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502</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440</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441</v>
      </c>
      <c r="G31" s="738" t="s">
        <v>442</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440</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441</v>
      </c>
      <c r="G42" s="747" t="s">
        <v>442</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440</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441</v>
      </c>
      <c r="G53" s="738" t="s">
        <v>442</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440</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443</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441</v>
      </c>
      <c r="G65" s="747" t="s">
        <v>442</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440</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441</v>
      </c>
      <c r="G76" s="738" t="s">
        <v>442</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440</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441</v>
      </c>
      <c r="G87" s="747" t="s">
        <v>442</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440</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441</v>
      </c>
      <c r="G98" s="738" t="s">
        <v>442</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440</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441</v>
      </c>
      <c r="G109" s="747" t="s">
        <v>442</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440</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444</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441</v>
      </c>
      <c r="G121" s="738" t="s">
        <v>442</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440</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441</v>
      </c>
      <c r="G132" s="747" t="s">
        <v>442</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440</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441</v>
      </c>
      <c r="G143" s="738" t="s">
        <v>442</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440</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441</v>
      </c>
      <c r="G154" s="747" t="s">
        <v>442</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440</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441</v>
      </c>
      <c r="G165" s="738" t="s">
        <v>442</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440</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445</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441</v>
      </c>
      <c r="G177" s="747" t="s">
        <v>442</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440</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441</v>
      </c>
      <c r="G188" s="738" t="s">
        <v>442</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440</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441</v>
      </c>
      <c r="G199" s="747" t="s">
        <v>442</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440</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441</v>
      </c>
      <c r="G210" s="738" t="s">
        <v>442</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440</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441</v>
      </c>
      <c r="G221" s="747" t="s">
        <v>442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440</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446</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441</v>
      </c>
      <c r="G233" s="738" t="s">
        <v>442</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440</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441</v>
      </c>
      <c r="G244" s="747" t="s">
        <v>442</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440</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441</v>
      </c>
      <c r="G255" s="738" t="s">
        <v>442</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440</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441</v>
      </c>
      <c r="G266" s="747" t="s">
        <v>442</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440</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441</v>
      </c>
      <c r="G277" s="738" t="s">
        <v>442</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440</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447</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441</v>
      </c>
      <c r="G289" s="747" t="s">
        <v>442</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441</v>
      </c>
      <c r="G300" s="738" t="s">
        <v>442</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441</v>
      </c>
      <c r="G311" s="747" t="s">
        <v>442</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441</v>
      </c>
      <c r="G322" s="738" t="s">
        <v>442</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441</v>
      </c>
      <c r="G333" s="747" t="s">
        <v>442</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441</v>
      </c>
      <c r="G344" s="738" t="s">
        <v>442</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440</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448</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449</v>
      </c>
      <c r="C4" s="777"/>
      <c r="D4" s="778" t="s">
        <v>450</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451</v>
      </c>
      <c r="G5" s="783"/>
      <c r="H5" s="784" t="b">
        <v>0</v>
      </c>
      <c r="J5" s="785"/>
      <c r="K5" s="769"/>
      <c r="L5" s="786" t="s">
        <v>452</v>
      </c>
      <c r="T5" s="785"/>
      <c r="U5" s="787" t="s">
        <v>453</v>
      </c>
      <c r="AC5" s="770"/>
      <c r="AD5" s="788" t="s">
        <v>96</v>
      </c>
      <c r="AE5" s="788" t="s">
        <v>454</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455</v>
      </c>
      <c r="M7" s="225"/>
      <c r="N7" s="225"/>
      <c r="O7" s="225"/>
      <c r="P7" s="225"/>
      <c r="Q7" s="225"/>
      <c r="R7" s="225"/>
      <c r="S7" s="108"/>
      <c r="T7" s="792" t="s">
        <v>456</v>
      </c>
      <c r="U7" s="793" t="s">
        <v>457</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458</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227</v>
      </c>
      <c r="C9" s="800" t="s">
        <v>228</v>
      </c>
      <c r="D9" s="800" t="s">
        <v>229</v>
      </c>
      <c r="E9" s="801" t="s">
        <v>230</v>
      </c>
      <c r="F9" s="801" t="s">
        <v>231</v>
      </c>
      <c r="G9" s="800" t="s">
        <v>235</v>
      </c>
      <c r="H9" s="800" t="s">
        <v>236</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242</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459</v>
      </c>
      <c r="C13" s="815"/>
      <c r="D13" s="816" t="s">
        <v>51</v>
      </c>
      <c r="E13" s="817" t="s">
        <v>460</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461</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462</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463</v>
      </c>
      <c r="C20" s="801" t="s">
        <v>464</v>
      </c>
      <c r="D20" s="801" t="s">
        <v>89</v>
      </c>
      <c r="E20" s="801" t="s">
        <v>90</v>
      </c>
      <c r="F20" s="801" t="s">
        <v>465</v>
      </c>
      <c r="G20" s="801" t="s">
        <v>390</v>
      </c>
      <c r="H20" s="801" t="s">
        <v>390</v>
      </c>
      <c r="I20" s="801" t="s">
        <v>466</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467</v>
      </c>
      <c r="M21" s="221"/>
      <c r="N21" s="221"/>
      <c r="O21" s="221"/>
      <c r="P21" s="221"/>
      <c r="Q21" s="221"/>
      <c r="R21" s="221"/>
      <c r="S21" s="2"/>
      <c r="T21" s="792" t="s">
        <v>456</v>
      </c>
      <c r="U21" s="793" t="s">
        <v>468</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469</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470</v>
      </c>
      <c r="C25" s="841" t="s">
        <v>471</v>
      </c>
      <c r="D25" s="2"/>
      <c r="E25" s="841" t="s">
        <v>472</v>
      </c>
      <c r="F25" s="221"/>
      <c r="G25" s="221"/>
      <c r="H25" s="841" t="s">
        <v>473</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474</v>
      </c>
      <c r="M35" s="221"/>
      <c r="N35" s="221"/>
      <c r="O35" s="221"/>
      <c r="P35" s="221"/>
      <c r="Q35" s="221"/>
      <c r="R35" s="221"/>
      <c r="S35" s="2"/>
      <c r="T35" s="792" t="s">
        <v>456</v>
      </c>
      <c r="U35" s="793" t="s">
        <v>474</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475</v>
      </c>
      <c r="C37" s="848"/>
      <c r="D37" s="849">
        <f>counta(C39:D48)</f>
        <v>0</v>
      </c>
      <c r="E37" s="850" t="s">
        <v>476</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247</v>
      </c>
      <c r="C38" s="853" t="s">
        <v>387</v>
      </c>
      <c r="D38" s="854"/>
      <c r="E38" s="853" t="s">
        <v>472</v>
      </c>
      <c r="F38" s="854"/>
      <c r="G38" s="853" t="s">
        <v>477</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478</v>
      </c>
      <c r="M49" s="221"/>
      <c r="N49" s="221"/>
      <c r="O49" s="221"/>
      <c r="P49" s="221"/>
      <c r="Q49" s="221"/>
      <c r="R49" s="221"/>
      <c r="S49" s="2"/>
      <c r="T49" s="792" t="s">
        <v>456</v>
      </c>
      <c r="U49" s="793" t="s">
        <v>479</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480</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481</v>
      </c>
      <c r="C51" s="853" t="s">
        <v>387</v>
      </c>
      <c r="D51" s="854"/>
      <c r="E51" s="852" t="s">
        <v>482</v>
      </c>
      <c r="F51" s="852" t="s">
        <v>483</v>
      </c>
      <c r="G51" s="852" t="s">
        <v>484</v>
      </c>
      <c r="H51" s="853" t="s">
        <v>485</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486</v>
      </c>
      <c r="M63" s="221"/>
      <c r="N63" s="221"/>
      <c r="O63" s="221"/>
      <c r="P63" s="221"/>
      <c r="Q63" s="221"/>
      <c r="R63" s="221"/>
      <c r="S63" s="2"/>
      <c r="T63" s="792" t="s">
        <v>456</v>
      </c>
      <c r="U63" s="793" t="s">
        <v>487</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488</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481</v>
      </c>
      <c r="C65" s="853" t="s">
        <v>387</v>
      </c>
      <c r="D65" s="854"/>
      <c r="E65" s="852" t="s">
        <v>489</v>
      </c>
      <c r="F65" s="853" t="s">
        <v>490</v>
      </c>
      <c r="G65" s="854"/>
      <c r="H65" s="853" t="s">
        <v>485</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491</v>
      </c>
      <c r="M77" s="221"/>
      <c r="N77" s="221"/>
      <c r="O77" s="221"/>
      <c r="P77" s="221"/>
      <c r="Q77" s="221"/>
      <c r="R77" s="221"/>
      <c r="S77" s="2"/>
      <c r="T77" s="785"/>
      <c r="U77" s="877" t="s">
        <v>492</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493</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301</v>
      </c>
      <c r="P3" s="1092"/>
      <c r="Q3" s="1092"/>
      <c r="R3" s="1092"/>
      <c r="S3" s="1092"/>
      <c r="T3" s="1092"/>
      <c r="U3" s="1092"/>
      <c r="V3" s="1101" t="s">
        <v>829</v>
      </c>
      <c r="W3" s="1094"/>
    </row>
    <row r="4">
      <c r="A4" s="1102"/>
      <c r="B4" s="1103" t="s">
        <v>390</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830</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230</v>
      </c>
      <c r="C6" s="1109">
        <f t="shared" ref="C6:N6" si="1">iferror(indirect(C3&amp;"!G8"),"")</f>
        <v>0.7227443609</v>
      </c>
      <c r="D6" s="1109">
        <f t="shared" si="1"/>
        <v>0.6652518393</v>
      </c>
      <c r="E6" s="1109">
        <f t="shared" si="1"/>
        <v>0.7631578947</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0.717051365</v>
      </c>
      <c r="P6" s="1092"/>
      <c r="Q6" s="1092"/>
      <c r="R6" s="1092"/>
      <c r="S6" s="1092"/>
      <c r="T6" s="1092"/>
      <c r="U6" s="1092"/>
      <c r="V6" s="1101">
        <v>13.0</v>
      </c>
      <c r="W6" s="1094"/>
    </row>
    <row r="7">
      <c r="A7" s="1102"/>
      <c r="B7" s="1108" t="s">
        <v>231</v>
      </c>
      <c r="C7" s="1110">
        <f t="shared" ref="C7:N7" si="2">iferror(indirect(C3&amp;"!H8"),"")</f>
        <v>2842630</v>
      </c>
      <c r="D7" s="1110">
        <f t="shared" si="2"/>
        <v>2893810</v>
      </c>
      <c r="E7" s="1110">
        <f t="shared" si="2"/>
        <v>99910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5836350</v>
      </c>
      <c r="P7" s="1093"/>
      <c r="Q7" s="1092"/>
      <c r="R7" s="1092"/>
      <c r="S7" s="1092"/>
      <c r="T7" s="1092"/>
      <c r="U7" s="1092"/>
      <c r="V7" s="1101">
        <v>4.0</v>
      </c>
      <c r="W7" s="1094"/>
    </row>
    <row r="8">
      <c r="A8" s="1102"/>
      <c r="B8" s="1108" t="s">
        <v>831</v>
      </c>
      <c r="C8" s="1111">
        <f t="shared" ref="C8:N8" si="3">iferror(indirect(C3&amp;"!AZ20"),"")</f>
        <v>483560</v>
      </c>
      <c r="D8" s="1111">
        <f t="shared" si="3"/>
        <v>483560</v>
      </c>
      <c r="E8" s="1111">
        <f t="shared" si="3"/>
        <v>16118.66667</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983238.6667</v>
      </c>
      <c r="P8" s="1093"/>
      <c r="Q8" s="1092"/>
      <c r="R8" s="1092"/>
      <c r="S8" s="1092"/>
      <c r="T8" s="1092"/>
      <c r="U8" s="1092"/>
      <c r="V8" s="1101">
        <v>5.0</v>
      </c>
      <c r="W8" s="1094"/>
    </row>
    <row r="9">
      <c r="A9" s="1102"/>
      <c r="B9" s="1108" t="s">
        <v>760</v>
      </c>
      <c r="C9" s="1111">
        <f t="shared" ref="C9:N9" si="5">iferror(indirect(C3&amp;"!BG23")-indirect(C3&amp;"!BE24"),"")</f>
        <v>1321464.5</v>
      </c>
      <c r="D9" s="1111">
        <f t="shared" si="5"/>
        <v>1367601.5</v>
      </c>
      <c r="E9" s="1111">
        <f t="shared" si="5"/>
        <v>52441.5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2741507.5</v>
      </c>
      <c r="P9" s="1092"/>
      <c r="Q9" s="1093"/>
      <c r="R9" s="1092"/>
      <c r="S9" s="1092"/>
      <c r="T9" s="1092"/>
      <c r="U9" s="1092"/>
      <c r="V9" s="1101">
        <v>6.0</v>
      </c>
      <c r="W9" s="1094"/>
    </row>
    <row r="10">
      <c r="A10" s="1102"/>
      <c r="B10" s="1108" t="s">
        <v>832</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232</v>
      </c>
      <c r="C11" s="1110">
        <f t="shared" ref="C11:N11" si="7">iferror(indirect(C3&amp;"!I8"),"")</f>
        <v>72795</v>
      </c>
      <c r="D11" s="1110">
        <f t="shared" si="7"/>
        <v>72795</v>
      </c>
      <c r="E11" s="1110">
        <f t="shared" si="7"/>
        <v>2426.5</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148016.5</v>
      </c>
      <c r="P11" s="1092"/>
      <c r="Q11" s="1092"/>
      <c r="R11" s="1092"/>
      <c r="S11" s="1092"/>
      <c r="T11" s="1092"/>
      <c r="U11" s="1092"/>
      <c r="V11" s="1101">
        <v>8.0</v>
      </c>
      <c r="W11" s="1094"/>
    </row>
    <row r="12">
      <c r="A12" s="1102"/>
      <c r="B12" s="1108" t="s">
        <v>233</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236</v>
      </c>
      <c r="C13" s="1110">
        <f t="shared" ref="C13:N13" si="9">iferror(indirect(C3&amp;"!M8"),"")</f>
        <v>964810.5</v>
      </c>
      <c r="D13" s="1110">
        <f t="shared" si="9"/>
        <v>969853.5</v>
      </c>
      <c r="E13" s="1110">
        <f t="shared" si="9"/>
        <v>28923.33333</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1963587.333</v>
      </c>
      <c r="P13" s="1092"/>
      <c r="Q13" s="1092"/>
      <c r="R13" s="1092"/>
      <c r="S13" s="1092"/>
      <c r="T13" s="1092"/>
      <c r="U13" s="1092"/>
      <c r="V13" s="1101">
        <v>10.0</v>
      </c>
      <c r="W13" s="1094"/>
    </row>
    <row r="14">
      <c r="A14" s="1102"/>
      <c r="B14" s="1108" t="s">
        <v>747</v>
      </c>
      <c r="C14" s="1109">
        <f t="shared" ref="C14:N14" si="10">iferror(indirect(C3&amp;"!E8"),"")</f>
        <v>0.464873902</v>
      </c>
      <c r="D14" s="1109">
        <f t="shared" si="10"/>
        <v>0.472595471</v>
      </c>
      <c r="E14" s="1109">
        <f t="shared" si="10"/>
        <v>0.5248873987</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0.4877204931</v>
      </c>
      <c r="P14" s="1092"/>
      <c r="Q14" s="1092"/>
      <c r="R14" s="1092"/>
      <c r="S14" s="1092"/>
      <c r="T14" s="1092"/>
      <c r="U14" s="1092"/>
      <c r="V14" s="1101">
        <v>11.0</v>
      </c>
      <c r="W14" s="1094"/>
    </row>
    <row r="15">
      <c r="A15" s="1102"/>
      <c r="B15" s="1108" t="s">
        <v>228</v>
      </c>
      <c r="C15" s="1109">
        <f t="shared" ref="C15:N15" si="11">iferror(indirect(C3&amp;"!C8"),"")</f>
        <v>0.3394076964</v>
      </c>
      <c r="D15" s="1109">
        <f t="shared" si="11"/>
        <v>0.3351476082</v>
      </c>
      <c r="E15" s="1109">
        <f t="shared" si="11"/>
        <v>0.2894938778</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0.3364409834</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833</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833</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231</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831</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760</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832</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834</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233</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236</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747</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228</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835</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836</v>
      </c>
      <c r="C3" s="1126"/>
      <c r="D3" s="1126"/>
      <c r="E3" s="1126"/>
      <c r="F3" s="1126"/>
      <c r="G3" s="588"/>
      <c r="H3" s="1127" t="s">
        <v>837</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386</v>
      </c>
      <c r="D4" s="1130" t="s">
        <v>459</v>
      </c>
      <c r="E4" s="1131" t="s">
        <v>35</v>
      </c>
      <c r="F4" s="1130" t="s">
        <v>838</v>
      </c>
      <c r="G4" s="1130" t="s">
        <v>839</v>
      </c>
      <c r="H4" s="1132"/>
      <c r="I4" s="1133" t="s">
        <v>386</v>
      </c>
      <c r="J4" s="1133" t="s">
        <v>459</v>
      </c>
      <c r="K4" s="1134" t="s">
        <v>35</v>
      </c>
      <c r="L4" s="1133" t="s">
        <v>838</v>
      </c>
      <c r="M4" s="1135" t="s">
        <v>839</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108</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840</v>
      </c>
      <c r="C17" s="1162">
        <f t="shared" ref="C17:D17" si="3">SUM(C4:C16)</f>
        <v>33427</v>
      </c>
      <c r="D17" s="1162">
        <f t="shared" si="3"/>
        <v>22</v>
      </c>
      <c r="E17" s="1163">
        <f>D17/C17</f>
        <v>0.0006581505968</v>
      </c>
      <c r="F17" s="1162">
        <f>SUM(F5:F16)</f>
        <v>12</v>
      </c>
      <c r="G17" s="1164">
        <f>F17/C17</f>
        <v>0.0003589912346</v>
      </c>
      <c r="H17" s="1165" t="s">
        <v>840</v>
      </c>
      <c r="I17" s="1166">
        <f t="shared" ref="I17:J17" si="4">SUM(I5:I16)</f>
        <v>5756</v>
      </c>
      <c r="J17" s="1166">
        <f t="shared" si="4"/>
        <v>3</v>
      </c>
      <c r="K17" s="1167">
        <f>J17/I17</f>
        <v>0.0005211952745</v>
      </c>
      <c r="L17" s="1166">
        <f>SUM(L5:L16)</f>
        <v>9</v>
      </c>
      <c r="M17" s="1168">
        <f>L17/I17</f>
        <v>0.001563585823</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841</v>
      </c>
      <c r="K33" s="18"/>
      <c r="L33" s="18"/>
    </row>
    <row r="34">
      <c r="B34" s="1188" t="s">
        <v>842</v>
      </c>
      <c r="C34" s="1120"/>
      <c r="D34" s="1120"/>
      <c r="E34" s="1120"/>
      <c r="F34" s="1120"/>
      <c r="G34" s="1120"/>
      <c r="H34" s="1120"/>
      <c r="I34" s="1120"/>
      <c r="J34" s="1120"/>
      <c r="K34" s="1120"/>
      <c r="L34" s="1120"/>
      <c r="M34" s="1121"/>
      <c r="O34" s="1189"/>
      <c r="P34" s="1189"/>
      <c r="Q34" s="1189"/>
      <c r="S34" s="1189"/>
      <c r="T34" s="1189"/>
      <c r="U34" s="1189"/>
    </row>
    <row r="35">
      <c r="B35" s="1190" t="s">
        <v>843</v>
      </c>
      <c r="D35" s="1191"/>
      <c r="M35" s="1192"/>
      <c r="O35" s="1189"/>
      <c r="P35" s="1189"/>
      <c r="Q35" s="1189"/>
      <c r="S35" s="1189"/>
      <c r="T35" s="1189"/>
      <c r="U35" s="1189"/>
    </row>
    <row r="36">
      <c r="B36" s="1193" t="s">
        <v>844</v>
      </c>
      <c r="C36" s="1121"/>
      <c r="D36" s="1193" t="s">
        <v>845</v>
      </c>
      <c r="E36" s="1121"/>
      <c r="F36" s="1193" t="s">
        <v>846</v>
      </c>
      <c r="G36" s="1120"/>
      <c r="H36" s="1193" t="s">
        <v>847</v>
      </c>
      <c r="I36" s="1120"/>
      <c r="J36" s="1121"/>
      <c r="K36" s="1193" t="s">
        <v>848</v>
      </c>
      <c r="L36" s="1120"/>
      <c r="M36" s="1121"/>
      <c r="O36" s="1189" t="s">
        <v>81</v>
      </c>
      <c r="P36" s="1189" t="s">
        <v>82</v>
      </c>
      <c r="Q36" s="1189" t="s">
        <v>849</v>
      </c>
      <c r="S36" s="1189" t="s">
        <v>89</v>
      </c>
      <c r="T36" s="1189" t="s">
        <v>90</v>
      </c>
      <c r="U36" s="1189" t="s">
        <v>92</v>
      </c>
      <c r="W36" s="1189" t="s">
        <v>81</v>
      </c>
      <c r="X36" s="1189" t="s">
        <v>82</v>
      </c>
      <c r="Y36" s="1189" t="s">
        <v>849</v>
      </c>
      <c r="AA36" s="1189" t="s">
        <v>89</v>
      </c>
      <c r="AB36" s="1189" t="s">
        <v>90</v>
      </c>
      <c r="AC36" s="1189" t="s">
        <v>92</v>
      </c>
    </row>
    <row r="37">
      <c r="B37" s="1194"/>
      <c r="C37" s="1195"/>
      <c r="D37" s="1194"/>
      <c r="E37" s="1195"/>
      <c r="F37" s="1194"/>
      <c r="G37" s="1196"/>
      <c r="H37" s="1194"/>
      <c r="I37" s="1196"/>
      <c r="J37" s="1195"/>
      <c r="K37" s="1194"/>
      <c r="L37" s="1196"/>
      <c r="M37" s="1195"/>
      <c r="N37" s="1189" t="s">
        <v>850</v>
      </c>
      <c r="O37" s="1197" t="s">
        <v>34</v>
      </c>
      <c r="P37" s="1197" t="s">
        <v>851</v>
      </c>
      <c r="Q37" s="1197" t="s">
        <v>40</v>
      </c>
      <c r="R37" s="1198"/>
      <c r="S37" s="1197" t="s">
        <v>852</v>
      </c>
      <c r="T37" s="1197" t="s">
        <v>600</v>
      </c>
      <c r="U37" s="1199" t="s">
        <v>853</v>
      </c>
      <c r="V37" s="1189" t="s">
        <v>843</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854</v>
      </c>
      <c r="D38" s="1202" t="s">
        <v>89</v>
      </c>
      <c r="E38" s="1202" t="s">
        <v>854</v>
      </c>
      <c r="F38" s="1203" t="s">
        <v>849</v>
      </c>
      <c r="G38" s="1203" t="s">
        <v>854</v>
      </c>
      <c r="H38" s="1202" t="s">
        <v>849</v>
      </c>
      <c r="I38" s="1204" t="s">
        <v>854</v>
      </c>
      <c r="J38" s="1205" t="s">
        <v>855</v>
      </c>
      <c r="K38" s="1206"/>
      <c r="L38" s="1207" t="s">
        <v>854</v>
      </c>
      <c r="M38" s="1208" t="s">
        <v>855</v>
      </c>
      <c r="O38" s="1197" t="s">
        <v>55</v>
      </c>
      <c r="P38" s="1197" t="s">
        <v>856</v>
      </c>
      <c r="Q38" s="1197" t="s">
        <v>40</v>
      </c>
      <c r="R38" s="1198"/>
      <c r="S38" s="1197" t="s">
        <v>100</v>
      </c>
      <c r="T38" s="1197" t="s">
        <v>603</v>
      </c>
      <c r="U38" s="1199" t="s">
        <v>857</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858</v>
      </c>
      <c r="Q39" s="1197" t="s">
        <v>38</v>
      </c>
      <c r="R39" s="1198"/>
      <c r="S39" s="1197" t="s">
        <v>859</v>
      </c>
      <c r="T39" s="1197" t="s">
        <v>859</v>
      </c>
      <c r="U39" s="1199" t="s">
        <v>860</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861</v>
      </c>
      <c r="Q40" s="1197" t="s">
        <v>39</v>
      </c>
      <c r="R40" s="1198"/>
      <c r="S40" s="1198"/>
      <c r="T40" s="1197" t="s">
        <v>409</v>
      </c>
      <c r="U40" s="1199" t="s">
        <v>862</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841</v>
      </c>
      <c r="K41" s="1218" t="s">
        <v>38</v>
      </c>
      <c r="L41" s="1219">
        <f t="shared" si="5"/>
        <v>0</v>
      </c>
      <c r="M41" s="1220">
        <f t="shared" si="6"/>
        <v>0</v>
      </c>
      <c r="O41" s="1197" t="s">
        <v>57</v>
      </c>
      <c r="P41" s="1197" t="s">
        <v>863</v>
      </c>
      <c r="Q41" s="1197" t="s">
        <v>40</v>
      </c>
      <c r="R41" s="1198"/>
      <c r="S41" s="1198"/>
      <c r="T41" s="1197" t="s">
        <v>102</v>
      </c>
      <c r="U41" s="1199" t="s">
        <v>864</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841</v>
      </c>
      <c r="K42" s="1218" t="s">
        <v>41</v>
      </c>
      <c r="L42" s="1219">
        <f t="shared" si="5"/>
        <v>0</v>
      </c>
      <c r="M42" s="1220">
        <f t="shared" si="6"/>
        <v>0</v>
      </c>
      <c r="O42" s="1197" t="s">
        <v>59</v>
      </c>
      <c r="P42" s="1197" t="s">
        <v>851</v>
      </c>
      <c r="Q42" s="1197" t="s">
        <v>40</v>
      </c>
      <c r="R42" s="1198"/>
      <c r="S42" s="1197" t="s">
        <v>865</v>
      </c>
      <c r="T42" s="1197" t="s">
        <v>593</v>
      </c>
      <c r="U42" s="1199" t="s">
        <v>866</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841</v>
      </c>
      <c r="K43" s="1218" t="s">
        <v>43</v>
      </c>
      <c r="L43" s="1219">
        <f t="shared" si="5"/>
        <v>1</v>
      </c>
      <c r="M43" s="1220">
        <f t="shared" si="6"/>
        <v>0.1111111111</v>
      </c>
      <c r="O43" s="1197" t="s">
        <v>59</v>
      </c>
      <c r="P43" s="1197" t="s">
        <v>867</v>
      </c>
      <c r="Q43" s="1197" t="s">
        <v>39</v>
      </c>
      <c r="R43" s="1198"/>
      <c r="S43" s="1197" t="s">
        <v>409</v>
      </c>
      <c r="T43" s="1197" t="s">
        <v>409</v>
      </c>
      <c r="U43" s="1199" t="s">
        <v>868</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841</v>
      </c>
      <c r="K44" s="1218" t="s">
        <v>42</v>
      </c>
      <c r="L44" s="1219">
        <f t="shared" si="5"/>
        <v>0</v>
      </c>
      <c r="M44" s="1220">
        <f t="shared" si="6"/>
        <v>0</v>
      </c>
      <c r="O44" s="1197" t="s">
        <v>59</v>
      </c>
      <c r="P44" s="1197" t="s">
        <v>869</v>
      </c>
      <c r="Q44" s="1197" t="s">
        <v>29</v>
      </c>
      <c r="R44" s="1198"/>
      <c r="S44" s="1197"/>
      <c r="T44" s="1197"/>
      <c r="U44" s="1199" t="s">
        <v>870</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841</v>
      </c>
      <c r="K45" s="1218" t="s">
        <v>871</v>
      </c>
      <c r="L45" s="1219">
        <f t="shared" si="5"/>
        <v>5</v>
      </c>
      <c r="M45" s="1220">
        <f t="shared" si="6"/>
        <v>0.5555555556</v>
      </c>
      <c r="O45" s="1197" t="s">
        <v>59</v>
      </c>
      <c r="P45" s="1197" t="s">
        <v>858</v>
      </c>
      <c r="Q45" s="1197" t="s">
        <v>29</v>
      </c>
      <c r="R45" s="1198"/>
      <c r="S45" s="1197"/>
      <c r="T45" s="1197"/>
      <c r="U45" s="1199" t="s">
        <v>872</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841</v>
      </c>
      <c r="K46" s="1218" t="s">
        <v>873</v>
      </c>
      <c r="L46" s="1219">
        <f t="shared" si="5"/>
        <v>0</v>
      </c>
      <c r="M46" s="1220">
        <f t="shared" si="6"/>
        <v>0</v>
      </c>
      <c r="O46" s="1197" t="s">
        <v>61</v>
      </c>
      <c r="P46" s="1197" t="s">
        <v>114</v>
      </c>
      <c r="Q46" s="1197" t="s">
        <v>40</v>
      </c>
      <c r="R46" s="1198"/>
      <c r="S46" s="1197"/>
      <c r="T46" s="1197" t="s">
        <v>600</v>
      </c>
      <c r="U46" s="1199" t="s">
        <v>874</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841</v>
      </c>
      <c r="K47" s="1218" t="s">
        <v>782</v>
      </c>
      <c r="L47" s="1219">
        <f t="shared" si="5"/>
        <v>2</v>
      </c>
      <c r="M47" s="1220">
        <f t="shared" si="6"/>
        <v>0.2222222222</v>
      </c>
      <c r="O47" s="1197" t="s">
        <v>61</v>
      </c>
      <c r="P47" s="1197" t="s">
        <v>875</v>
      </c>
      <c r="Q47" s="1197" t="s">
        <v>28</v>
      </c>
      <c r="R47" s="1198"/>
      <c r="S47" s="1197"/>
      <c r="T47" s="1197"/>
      <c r="U47" s="1199" t="s">
        <v>876</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841</v>
      </c>
      <c r="K48" s="1218" t="s">
        <v>877</v>
      </c>
      <c r="L48" s="1219">
        <f t="shared" si="5"/>
        <v>0</v>
      </c>
      <c r="M48" s="1220">
        <f t="shared" si="6"/>
        <v>0</v>
      </c>
      <c r="O48" s="1197" t="s">
        <v>61</v>
      </c>
      <c r="P48" s="1197" t="s">
        <v>867</v>
      </c>
      <c r="Q48" s="1197" t="s">
        <v>43</v>
      </c>
      <c r="R48" s="1198"/>
      <c r="S48" s="1197"/>
      <c r="T48" s="1197" t="s">
        <v>603</v>
      </c>
      <c r="U48" s="1199" t="s">
        <v>878</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841</v>
      </c>
      <c r="K49" s="1218" t="s">
        <v>30</v>
      </c>
      <c r="L49" s="1219">
        <f t="shared" si="5"/>
        <v>1</v>
      </c>
      <c r="M49" s="1220">
        <f t="shared" si="6"/>
        <v>0.1111111111</v>
      </c>
      <c r="O49" s="1197" t="s">
        <v>63</v>
      </c>
      <c r="P49" s="1197" t="s">
        <v>879</v>
      </c>
      <c r="Q49" s="1197" t="s">
        <v>28</v>
      </c>
      <c r="R49" s="1198"/>
      <c r="S49" s="1197"/>
      <c r="T49" s="1197"/>
      <c r="U49" s="1199" t="s">
        <v>880</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841</v>
      </c>
      <c r="K50" s="1230" t="s">
        <v>301</v>
      </c>
      <c r="L50" s="1231">
        <f t="shared" si="5"/>
        <v>9</v>
      </c>
      <c r="M50" s="1232">
        <f t="shared" si="6"/>
        <v>1</v>
      </c>
      <c r="O50" s="1197" t="s">
        <v>63</v>
      </c>
      <c r="P50" s="1197" t="s">
        <v>881</v>
      </c>
      <c r="Q50" s="1197" t="s">
        <v>28</v>
      </c>
      <c r="R50" s="1198"/>
      <c r="S50" s="1197"/>
      <c r="T50" s="1197"/>
      <c r="U50" s="1199" t="s">
        <v>882</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841</v>
      </c>
      <c r="K51" s="1191"/>
      <c r="O51" s="1197" t="s">
        <v>63</v>
      </c>
      <c r="P51" s="1197" t="s">
        <v>124</v>
      </c>
      <c r="Q51" s="1197" t="s">
        <v>30</v>
      </c>
      <c r="R51" s="1198"/>
      <c r="S51" s="1197"/>
      <c r="T51" s="1197" t="s">
        <v>109</v>
      </c>
      <c r="U51" s="1199" t="s">
        <v>883</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841</v>
      </c>
      <c r="O52" s="1197" t="s">
        <v>63</v>
      </c>
      <c r="P52" s="1197" t="s">
        <v>875</v>
      </c>
      <c r="Q52" s="1197" t="s">
        <v>30</v>
      </c>
      <c r="R52" s="1198"/>
      <c r="S52" s="1197"/>
      <c r="T52" s="1197" t="s">
        <v>406</v>
      </c>
      <c r="U52" s="1199" t="s">
        <v>884</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841</v>
      </c>
      <c r="O53" s="1197" t="s">
        <v>63</v>
      </c>
      <c r="P53" s="1197" t="s">
        <v>867</v>
      </c>
      <c r="Q53" s="1197" t="s">
        <v>28</v>
      </c>
      <c r="R53" s="1198"/>
      <c r="S53" s="1197"/>
      <c r="T53" s="1197"/>
      <c r="U53" s="1199" t="s">
        <v>885</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841</v>
      </c>
      <c r="O54" s="1197" t="s">
        <v>63</v>
      </c>
      <c r="P54" s="1197" t="s">
        <v>863</v>
      </c>
      <c r="Q54" s="1197" t="s">
        <v>28</v>
      </c>
      <c r="R54" s="1198"/>
      <c r="S54" s="1197"/>
      <c r="T54" s="1197"/>
      <c r="U54" s="1199" t="s">
        <v>886</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841</v>
      </c>
      <c r="O55" s="1197" t="s">
        <v>63</v>
      </c>
      <c r="P55" s="1197" t="s">
        <v>863</v>
      </c>
      <c r="Q55" s="1197" t="s">
        <v>28</v>
      </c>
      <c r="R55" s="1198"/>
      <c r="S55" s="1197"/>
      <c r="T55" s="1197"/>
      <c r="U55" s="1199" t="s">
        <v>887</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841</v>
      </c>
      <c r="O56" s="1197" t="s">
        <v>63</v>
      </c>
      <c r="P56" s="1197" t="s">
        <v>756</v>
      </c>
      <c r="Q56" s="1197" t="s">
        <v>28</v>
      </c>
      <c r="R56" s="1198"/>
      <c r="S56" s="1197"/>
      <c r="T56" s="1197"/>
      <c r="U56" s="1199" t="s">
        <v>888</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841</v>
      </c>
      <c r="O57" s="1197" t="s">
        <v>65</v>
      </c>
      <c r="P57" s="1197" t="s">
        <v>124</v>
      </c>
      <c r="Q57" s="1197" t="s">
        <v>28</v>
      </c>
      <c r="R57" s="1198"/>
      <c r="S57" s="1197"/>
      <c r="T57" s="1197"/>
      <c r="U57" s="1199" t="s">
        <v>889</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841</v>
      </c>
      <c r="O58" s="1197" t="s">
        <v>65</v>
      </c>
      <c r="P58" s="1197" t="s">
        <v>863</v>
      </c>
      <c r="Q58" s="1197" t="s">
        <v>30</v>
      </c>
      <c r="R58" s="1198"/>
      <c r="S58" s="1197"/>
      <c r="T58" s="1197"/>
      <c r="U58" s="1199" t="s">
        <v>890</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841</v>
      </c>
      <c r="O59" s="1197" t="s">
        <v>67</v>
      </c>
      <c r="P59" s="1197" t="s">
        <v>891</v>
      </c>
      <c r="Q59" s="1197" t="s">
        <v>40</v>
      </c>
      <c r="R59" s="1198"/>
      <c r="S59" s="1197"/>
      <c r="T59" s="1197" t="s">
        <v>411</v>
      </c>
      <c r="U59" s="1199" t="s">
        <v>892</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841</v>
      </c>
      <c r="O60" s="1197" t="s">
        <v>67</v>
      </c>
      <c r="P60" s="1197" t="s">
        <v>893</v>
      </c>
      <c r="Q60" s="1197" t="s">
        <v>42</v>
      </c>
      <c r="R60" s="1198"/>
      <c r="S60" s="1197"/>
      <c r="T60" s="1197" t="s">
        <v>411</v>
      </c>
      <c r="U60" s="1199" t="s">
        <v>894</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841</v>
      </c>
      <c r="O61" s="1197" t="s">
        <v>67</v>
      </c>
      <c r="P61" s="1197" t="s">
        <v>98</v>
      </c>
      <c r="Q61" s="1197" t="s">
        <v>38</v>
      </c>
      <c r="R61" s="1198"/>
      <c r="S61" s="1197"/>
      <c r="T61" s="1197" t="s">
        <v>603</v>
      </c>
      <c r="U61" s="1199" t="s">
        <v>895</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841</v>
      </c>
      <c r="O62" s="1197" t="s">
        <v>67</v>
      </c>
      <c r="P62" s="1197" t="s">
        <v>896</v>
      </c>
      <c r="Q62" s="1197" t="s">
        <v>28</v>
      </c>
      <c r="R62" s="1198"/>
      <c r="S62" s="1197"/>
      <c r="T62" s="1197"/>
      <c r="U62" s="1199" t="s">
        <v>897</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841</v>
      </c>
      <c r="O63" s="1197" t="s">
        <v>67</v>
      </c>
      <c r="P63" s="1197" t="s">
        <v>129</v>
      </c>
      <c r="Q63" s="1197" t="s">
        <v>28</v>
      </c>
      <c r="R63" s="1198"/>
      <c r="S63" s="1197"/>
      <c r="T63" s="1197"/>
      <c r="U63" s="1199" t="s">
        <v>898</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841</v>
      </c>
      <c r="O64" s="1197" t="s">
        <v>69</v>
      </c>
      <c r="P64" s="1197" t="s">
        <v>899</v>
      </c>
      <c r="Q64" s="1197" t="s">
        <v>41</v>
      </c>
      <c r="R64" s="1198"/>
      <c r="S64" s="1197"/>
      <c r="T64" s="1197" t="s">
        <v>413</v>
      </c>
      <c r="U64" s="1199" t="s">
        <v>900</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841</v>
      </c>
      <c r="O65" s="1197" t="s">
        <v>69</v>
      </c>
      <c r="P65" s="1197" t="s">
        <v>756</v>
      </c>
      <c r="Q65" s="1197" t="s">
        <v>43</v>
      </c>
      <c r="R65" s="1198"/>
      <c r="S65" s="1197"/>
      <c r="T65" s="1197" t="s">
        <v>109</v>
      </c>
      <c r="U65" s="1199" t="s">
        <v>901</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841</v>
      </c>
      <c r="O66" s="1197" t="s">
        <v>71</v>
      </c>
      <c r="P66" s="1197" t="s">
        <v>902</v>
      </c>
      <c r="Q66" s="1197" t="s">
        <v>43</v>
      </c>
      <c r="R66" s="1198"/>
      <c r="S66" s="1197"/>
      <c r="T66" s="1197" t="s">
        <v>109</v>
      </c>
      <c r="U66" s="1199" t="s">
        <v>903</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841</v>
      </c>
      <c r="O67" s="1197" t="s">
        <v>71</v>
      </c>
      <c r="P67" s="1197" t="s">
        <v>129</v>
      </c>
      <c r="Q67" s="1197" t="s">
        <v>41</v>
      </c>
      <c r="R67" s="1198"/>
      <c r="S67" s="1197"/>
      <c r="T67" s="1197" t="s">
        <v>411</v>
      </c>
      <c r="U67" s="1199" t="s">
        <v>904</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841</v>
      </c>
      <c r="O68" s="1197" t="s">
        <v>71</v>
      </c>
      <c r="P68" s="1197" t="s">
        <v>875</v>
      </c>
      <c r="Q68" s="1197" t="s">
        <v>28</v>
      </c>
      <c r="R68" s="1198"/>
      <c r="S68" s="1197"/>
      <c r="T68" s="1197"/>
      <c r="U68" s="1199" t="s">
        <v>905</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841</v>
      </c>
      <c r="O69" s="1197" t="s">
        <v>71</v>
      </c>
      <c r="P69" s="1197" t="s">
        <v>133</v>
      </c>
      <c r="Q69" s="1197" t="s">
        <v>28</v>
      </c>
      <c r="R69" s="1198"/>
      <c r="S69" s="1197"/>
      <c r="T69" s="1197"/>
      <c r="U69" s="1199" t="s">
        <v>906</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841</v>
      </c>
      <c r="O70" s="1197" t="s">
        <v>71</v>
      </c>
      <c r="P70" s="1197" t="s">
        <v>867</v>
      </c>
      <c r="Q70" s="1197" t="s">
        <v>42</v>
      </c>
      <c r="R70" s="1198"/>
      <c r="S70" s="1197"/>
      <c r="T70" s="1197" t="s">
        <v>413</v>
      </c>
      <c r="U70" s="1199" t="s">
        <v>907</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841</v>
      </c>
      <c r="O71" s="1197" t="s">
        <v>73</v>
      </c>
      <c r="P71" s="1197" t="s">
        <v>129</v>
      </c>
      <c r="Q71" s="1197" t="s">
        <v>42</v>
      </c>
      <c r="R71" s="1198"/>
      <c r="S71" s="1197"/>
      <c r="T71" s="1197" t="s">
        <v>413</v>
      </c>
      <c r="U71" s="1199" t="s">
        <v>908</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841</v>
      </c>
      <c r="O72" s="1197" t="s">
        <v>73</v>
      </c>
      <c r="P72" s="1197" t="s">
        <v>133</v>
      </c>
      <c r="Q72" s="1197" t="s">
        <v>39</v>
      </c>
      <c r="R72" s="1198"/>
      <c r="S72" s="1197" t="s">
        <v>100</v>
      </c>
      <c r="T72" s="1197" t="s">
        <v>414</v>
      </c>
      <c r="U72" s="1199" t="s">
        <v>909</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841</v>
      </c>
      <c r="O73" s="1197" t="s">
        <v>73</v>
      </c>
      <c r="P73" s="1197" t="s">
        <v>858</v>
      </c>
      <c r="Q73" s="1197" t="s">
        <v>29</v>
      </c>
      <c r="R73" s="1198"/>
      <c r="S73" s="1197"/>
      <c r="T73" s="1197" t="s">
        <v>414</v>
      </c>
      <c r="U73" s="1199" t="s">
        <v>910</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841</v>
      </c>
      <c r="O74" s="1197" t="s">
        <v>73</v>
      </c>
      <c r="P74" s="1197" t="s">
        <v>108</v>
      </c>
      <c r="Q74" s="1197" t="s">
        <v>28</v>
      </c>
      <c r="R74" s="1198"/>
      <c r="S74" s="1197"/>
      <c r="T74" s="1197"/>
      <c r="U74" s="1199" t="s">
        <v>911</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841</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841</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841</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841</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841</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841</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841</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841</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841</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841</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841</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841</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841</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841</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841</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841</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841</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912</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913</v>
      </c>
      <c r="C93" s="239"/>
      <c r="D93" s="1243" t="s">
        <v>850</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841</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841</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841</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841</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841</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841</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841</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841</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841</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841</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841</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841</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841</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841</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841</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841</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841</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841</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841</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841</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841</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841</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841</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841</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841</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841</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841</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841</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841</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841</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841</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841</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841</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841</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841</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841</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841</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841</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841</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841</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841</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841</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841</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841</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841</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841</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841</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841</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841</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841</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841</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841</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841</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841</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841</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841</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841</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841</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841</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841</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841</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841</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841</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841</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841</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841</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841</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841</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841</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841</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841</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841</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841</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841</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841</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841</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841</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841</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841</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841</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841</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841</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841</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841</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841</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841</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841</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841</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841</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841</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841</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841</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841</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841</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841</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841</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841</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841</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841</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841</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841</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841</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841</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841</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841</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841</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841</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841</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841</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841</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841</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841</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841</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841</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841</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841</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841</v>
      </c>
      <c r="K417" s="18"/>
      <c r="L417" s="18"/>
      <c r="AC417" s="1261"/>
    </row>
    <row r="418">
      <c r="B418" s="18"/>
      <c r="C418" s="18"/>
      <c r="D418" s="18"/>
      <c r="E418" s="314"/>
      <c r="F418" s="18"/>
      <c r="G418" s="18"/>
      <c r="H418" s="18"/>
      <c r="I418" s="18"/>
      <c r="J418" s="18" t="s">
        <v>841</v>
      </c>
      <c r="K418" s="18"/>
      <c r="L418" s="18"/>
      <c r="AC418" s="1261"/>
    </row>
    <row r="419">
      <c r="B419" s="18"/>
      <c r="C419" s="18"/>
      <c r="D419" s="18"/>
      <c r="E419" s="314"/>
      <c r="F419" s="18"/>
      <c r="G419" s="18"/>
      <c r="H419" s="18"/>
      <c r="I419" s="18"/>
      <c r="J419" s="18" t="s">
        <v>841</v>
      </c>
      <c r="K419" s="18"/>
      <c r="L419" s="18"/>
      <c r="AC419" s="1261"/>
    </row>
    <row r="420">
      <c r="B420" s="18"/>
      <c r="C420" s="18"/>
      <c r="D420" s="18"/>
      <c r="E420" s="314"/>
      <c r="F420" s="18"/>
      <c r="G420" s="18"/>
      <c r="H420" s="18"/>
      <c r="I420" s="18"/>
      <c r="J420" s="18" t="s">
        <v>841</v>
      </c>
      <c r="K420" s="18"/>
      <c r="L420" s="18"/>
      <c r="AC420" s="1261"/>
    </row>
    <row r="421">
      <c r="B421" s="18"/>
      <c r="C421" s="18"/>
      <c r="D421" s="18"/>
      <c r="E421" s="314"/>
      <c r="F421" s="18"/>
      <c r="G421" s="18"/>
      <c r="H421" s="18"/>
      <c r="I421" s="18"/>
      <c r="J421" s="18" t="s">
        <v>841</v>
      </c>
      <c r="K421" s="18"/>
      <c r="L421" s="18"/>
      <c r="AC421" s="1261"/>
    </row>
    <row r="422">
      <c r="B422" s="18"/>
      <c r="C422" s="18"/>
      <c r="D422" s="18"/>
      <c r="E422" s="314"/>
      <c r="F422" s="18"/>
      <c r="G422" s="18"/>
      <c r="H422" s="18"/>
      <c r="I422" s="18"/>
      <c r="J422" s="18" t="s">
        <v>841</v>
      </c>
      <c r="K422" s="18"/>
      <c r="L422" s="18"/>
      <c r="AC422" s="1261"/>
    </row>
    <row r="423">
      <c r="B423" s="18"/>
      <c r="C423" s="18"/>
      <c r="D423" s="18"/>
      <c r="E423" s="314"/>
      <c r="F423" s="18"/>
      <c r="G423" s="18"/>
      <c r="H423" s="18"/>
      <c r="I423" s="18"/>
      <c r="J423" s="18" t="s">
        <v>841</v>
      </c>
      <c r="K423" s="18"/>
      <c r="L423" s="18"/>
      <c r="AC423" s="1261"/>
    </row>
    <row r="424">
      <c r="B424" s="18"/>
      <c r="C424" s="18"/>
      <c r="D424" s="18"/>
      <c r="E424" s="314"/>
      <c r="F424" s="18"/>
      <c r="G424" s="18"/>
      <c r="H424" s="18"/>
      <c r="I424" s="18"/>
      <c r="J424" s="18" t="s">
        <v>841</v>
      </c>
      <c r="K424" s="18"/>
      <c r="L424" s="18"/>
      <c r="AC424" s="1261"/>
    </row>
    <row r="425">
      <c r="B425" s="18"/>
      <c r="C425" s="18"/>
      <c r="D425" s="18"/>
      <c r="E425" s="314"/>
      <c r="F425" s="18"/>
      <c r="G425" s="18"/>
      <c r="H425" s="18"/>
      <c r="I425" s="18"/>
      <c r="J425" s="18" t="s">
        <v>841</v>
      </c>
      <c r="K425" s="18"/>
      <c r="L425" s="18"/>
      <c r="AC425" s="1261"/>
    </row>
    <row r="426">
      <c r="B426" s="18"/>
      <c r="C426" s="18"/>
      <c r="D426" s="18"/>
      <c r="E426" s="314"/>
      <c r="F426" s="18"/>
      <c r="G426" s="18"/>
      <c r="H426" s="18"/>
      <c r="I426" s="18"/>
      <c r="J426" s="18" t="s">
        <v>841</v>
      </c>
      <c r="K426" s="18"/>
      <c r="L426" s="18"/>
      <c r="AC426" s="1261"/>
    </row>
    <row r="427">
      <c r="B427" s="18"/>
      <c r="C427" s="18"/>
      <c r="D427" s="18"/>
      <c r="E427" s="314"/>
      <c r="F427" s="18"/>
      <c r="G427" s="18"/>
      <c r="H427" s="18"/>
      <c r="I427" s="18"/>
      <c r="J427" s="18" t="s">
        <v>841</v>
      </c>
      <c r="K427" s="18"/>
      <c r="L427" s="18"/>
      <c r="AC427" s="1261"/>
    </row>
    <row r="428">
      <c r="B428" s="18"/>
      <c r="C428" s="18"/>
      <c r="D428" s="18"/>
      <c r="E428" s="314"/>
      <c r="F428" s="18"/>
      <c r="G428" s="18"/>
      <c r="H428" s="18"/>
      <c r="I428" s="18"/>
      <c r="J428" s="18" t="s">
        <v>841</v>
      </c>
      <c r="K428" s="18"/>
      <c r="L428" s="18"/>
      <c r="AC428" s="1261"/>
    </row>
    <row r="429">
      <c r="B429" s="18"/>
      <c r="C429" s="18"/>
      <c r="D429" s="18"/>
      <c r="E429" s="314"/>
      <c r="F429" s="18"/>
      <c r="G429" s="18"/>
      <c r="H429" s="18"/>
      <c r="I429" s="18"/>
      <c r="J429" s="18" t="s">
        <v>841</v>
      </c>
      <c r="K429" s="18"/>
      <c r="L429" s="18"/>
      <c r="AC429" s="1261"/>
    </row>
    <row r="430">
      <c r="B430" s="18"/>
      <c r="C430" s="18"/>
      <c r="D430" s="18"/>
      <c r="E430" s="314"/>
      <c r="F430" s="18"/>
      <c r="G430" s="18"/>
      <c r="H430" s="18"/>
      <c r="I430" s="18"/>
      <c r="J430" s="18" t="s">
        <v>841</v>
      </c>
      <c r="K430" s="18"/>
      <c r="L430" s="18"/>
      <c r="AC430" s="1261"/>
    </row>
    <row r="431">
      <c r="B431" s="18"/>
      <c r="C431" s="18"/>
      <c r="D431" s="18"/>
      <c r="E431" s="314"/>
      <c r="F431" s="18"/>
      <c r="G431" s="18"/>
      <c r="H431" s="18"/>
      <c r="I431" s="18"/>
      <c r="J431" s="18" t="s">
        <v>841</v>
      </c>
      <c r="K431" s="18"/>
      <c r="L431" s="18"/>
      <c r="AC431" s="1261"/>
    </row>
    <row r="432">
      <c r="B432" s="18"/>
      <c r="C432" s="18"/>
      <c r="D432" s="18"/>
      <c r="E432" s="314"/>
      <c r="F432" s="18"/>
      <c r="G432" s="18"/>
      <c r="H432" s="18"/>
      <c r="I432" s="18"/>
      <c r="J432" s="18" t="s">
        <v>841</v>
      </c>
      <c r="K432" s="18"/>
      <c r="L432" s="18"/>
      <c r="AC432" s="1261"/>
    </row>
    <row r="433">
      <c r="B433" s="18"/>
      <c r="C433" s="18"/>
      <c r="D433" s="18"/>
      <c r="E433" s="314"/>
      <c r="F433" s="18"/>
      <c r="G433" s="18"/>
      <c r="H433" s="18"/>
      <c r="I433" s="18"/>
      <c r="J433" s="18" t="s">
        <v>841</v>
      </c>
      <c r="K433" s="18"/>
      <c r="L433" s="18"/>
      <c r="AC433" s="1261"/>
    </row>
    <row r="434">
      <c r="B434" s="18"/>
      <c r="C434" s="18"/>
      <c r="D434" s="18"/>
      <c r="E434" s="314"/>
      <c r="F434" s="18"/>
      <c r="G434" s="18"/>
      <c r="H434" s="18"/>
      <c r="I434" s="18"/>
      <c r="J434" s="18" t="s">
        <v>841</v>
      </c>
      <c r="K434" s="18"/>
      <c r="L434" s="18"/>
      <c r="AC434" s="1261"/>
    </row>
    <row r="435">
      <c r="B435" s="18"/>
      <c r="C435" s="18"/>
      <c r="D435" s="18"/>
      <c r="E435" s="314"/>
      <c r="F435" s="18"/>
      <c r="G435" s="18"/>
      <c r="H435" s="18"/>
      <c r="I435" s="18"/>
      <c r="J435" s="18" t="s">
        <v>841</v>
      </c>
      <c r="K435" s="18"/>
      <c r="L435" s="18"/>
      <c r="AC435" s="1261"/>
    </row>
    <row r="436">
      <c r="B436" s="18"/>
      <c r="C436" s="18"/>
      <c r="D436" s="18"/>
      <c r="E436" s="314"/>
      <c r="F436" s="18"/>
      <c r="G436" s="18"/>
      <c r="H436" s="18"/>
      <c r="I436" s="18"/>
      <c r="J436" s="18" t="s">
        <v>841</v>
      </c>
      <c r="K436" s="18"/>
      <c r="L436" s="18"/>
      <c r="AC436" s="1261"/>
    </row>
    <row r="437">
      <c r="B437" s="18"/>
      <c r="C437" s="18"/>
      <c r="D437" s="18"/>
      <c r="E437" s="314"/>
      <c r="F437" s="18"/>
      <c r="G437" s="18"/>
      <c r="H437" s="18"/>
      <c r="I437" s="18"/>
      <c r="J437" s="18" t="s">
        <v>841</v>
      </c>
      <c r="K437" s="18"/>
      <c r="L437" s="18"/>
      <c r="AC437" s="1261"/>
    </row>
    <row r="438">
      <c r="B438" s="18"/>
      <c r="C438" s="18"/>
      <c r="D438" s="18"/>
      <c r="E438" s="314"/>
      <c r="F438" s="18"/>
      <c r="G438" s="18"/>
      <c r="H438" s="18"/>
      <c r="I438" s="18"/>
      <c r="J438" s="18" t="s">
        <v>841</v>
      </c>
      <c r="K438" s="18"/>
      <c r="L438" s="18"/>
      <c r="AC438" s="1261"/>
    </row>
    <row r="439">
      <c r="B439" s="18"/>
      <c r="C439" s="18"/>
      <c r="D439" s="18"/>
      <c r="E439" s="314"/>
      <c r="F439" s="18"/>
      <c r="G439" s="18"/>
      <c r="H439" s="18"/>
      <c r="I439" s="18"/>
      <c r="J439" s="18" t="s">
        <v>841</v>
      </c>
      <c r="K439" s="18"/>
      <c r="L439" s="18"/>
      <c r="AC439" s="1261"/>
    </row>
    <row r="440">
      <c r="B440" s="18"/>
      <c r="C440" s="18"/>
      <c r="D440" s="18"/>
      <c r="E440" s="314"/>
      <c r="F440" s="18"/>
      <c r="G440" s="18"/>
      <c r="H440" s="18"/>
      <c r="I440" s="18"/>
      <c r="J440" s="18" t="s">
        <v>841</v>
      </c>
      <c r="K440" s="18"/>
      <c r="L440" s="18"/>
      <c r="AC440" s="1261"/>
    </row>
    <row r="441">
      <c r="B441" s="18"/>
      <c r="C441" s="18"/>
      <c r="D441" s="18"/>
      <c r="E441" s="314"/>
      <c r="F441" s="18"/>
      <c r="G441" s="18"/>
      <c r="H441" s="18"/>
      <c r="I441" s="18"/>
      <c r="J441" s="18" t="s">
        <v>841</v>
      </c>
      <c r="K441" s="18"/>
      <c r="L441" s="18"/>
      <c r="AC441" s="1261"/>
    </row>
    <row r="442">
      <c r="B442" s="18"/>
      <c r="C442" s="18"/>
      <c r="D442" s="18"/>
      <c r="E442" s="314"/>
      <c r="F442" s="18"/>
      <c r="G442" s="18"/>
      <c r="H442" s="18"/>
      <c r="I442" s="18"/>
      <c r="J442" s="18" t="s">
        <v>841</v>
      </c>
      <c r="K442" s="18"/>
      <c r="L442" s="18"/>
      <c r="AC442" s="1261"/>
    </row>
    <row r="443">
      <c r="B443" s="18"/>
      <c r="C443" s="18"/>
      <c r="D443" s="18"/>
      <c r="E443" s="314"/>
      <c r="F443" s="18"/>
      <c r="G443" s="18"/>
      <c r="H443" s="18"/>
      <c r="I443" s="18"/>
      <c r="J443" s="18" t="s">
        <v>841</v>
      </c>
      <c r="K443" s="18"/>
      <c r="L443" s="18"/>
      <c r="AC443" s="1261"/>
    </row>
    <row r="444">
      <c r="B444" s="18"/>
      <c r="C444" s="18"/>
      <c r="D444" s="18"/>
      <c r="E444" s="314"/>
      <c r="F444" s="18"/>
      <c r="G444" s="18"/>
      <c r="H444" s="18"/>
      <c r="I444" s="18"/>
      <c r="J444" s="18" t="s">
        <v>841</v>
      </c>
      <c r="K444" s="18"/>
      <c r="L444" s="18"/>
      <c r="AC444" s="1261"/>
    </row>
    <row r="445">
      <c r="B445" s="18"/>
      <c r="C445" s="18"/>
      <c r="D445" s="18"/>
      <c r="E445" s="314"/>
      <c r="F445" s="18"/>
      <c r="G445" s="18"/>
      <c r="H445" s="18"/>
      <c r="I445" s="18"/>
      <c r="J445" s="18" t="s">
        <v>841</v>
      </c>
      <c r="K445" s="18"/>
      <c r="L445" s="18"/>
      <c r="AC445" s="1261"/>
    </row>
    <row r="446">
      <c r="B446" s="18"/>
      <c r="C446" s="18"/>
      <c r="D446" s="18"/>
      <c r="E446" s="314"/>
      <c r="F446" s="18"/>
      <c r="G446" s="18"/>
      <c r="H446" s="18"/>
      <c r="I446" s="18"/>
      <c r="J446" s="18" t="s">
        <v>841</v>
      </c>
      <c r="K446" s="18"/>
      <c r="L446" s="18"/>
      <c r="AC446" s="1261"/>
    </row>
    <row r="447">
      <c r="B447" s="18"/>
      <c r="C447" s="18"/>
      <c r="D447" s="18"/>
      <c r="E447" s="314"/>
      <c r="F447" s="18"/>
      <c r="G447" s="18"/>
      <c r="H447" s="18"/>
      <c r="I447" s="18"/>
      <c r="J447" s="18" t="s">
        <v>841</v>
      </c>
      <c r="K447" s="18"/>
      <c r="L447" s="18"/>
      <c r="AC447" s="1261"/>
    </row>
    <row r="448">
      <c r="B448" s="18"/>
      <c r="C448" s="18"/>
      <c r="D448" s="18"/>
      <c r="E448" s="314"/>
      <c r="F448" s="18"/>
      <c r="G448" s="18"/>
      <c r="H448" s="18"/>
      <c r="I448" s="18"/>
      <c r="J448" s="18" t="s">
        <v>841</v>
      </c>
      <c r="K448" s="18"/>
      <c r="L448" s="18"/>
      <c r="AC448" s="1261"/>
    </row>
    <row r="449">
      <c r="B449" s="18"/>
      <c r="C449" s="18"/>
      <c r="D449" s="18"/>
      <c r="E449" s="314"/>
      <c r="F449" s="18"/>
      <c r="G449" s="18"/>
      <c r="H449" s="18"/>
      <c r="I449" s="18"/>
      <c r="J449" s="18" t="s">
        <v>841</v>
      </c>
      <c r="K449" s="18"/>
      <c r="L449" s="18"/>
      <c r="AC449" s="1261"/>
    </row>
    <row r="450">
      <c r="B450" s="18"/>
      <c r="C450" s="18"/>
      <c r="D450" s="18"/>
      <c r="E450" s="314"/>
      <c r="F450" s="18"/>
      <c r="G450" s="18"/>
      <c r="H450" s="18"/>
      <c r="I450" s="18"/>
      <c r="J450" s="18" t="s">
        <v>841</v>
      </c>
      <c r="K450" s="18"/>
      <c r="L450" s="18"/>
      <c r="AC450" s="1261"/>
    </row>
    <row r="451">
      <c r="B451" s="18"/>
      <c r="C451" s="18"/>
      <c r="D451" s="18"/>
      <c r="E451" s="314"/>
      <c r="F451" s="18"/>
      <c r="G451" s="18"/>
      <c r="H451" s="18"/>
      <c r="I451" s="18"/>
      <c r="J451" s="18" t="s">
        <v>841</v>
      </c>
      <c r="K451" s="18"/>
      <c r="L451" s="18"/>
      <c r="AC451" s="1261"/>
    </row>
    <row r="452">
      <c r="B452" s="18"/>
      <c r="C452" s="18"/>
      <c r="D452" s="18"/>
      <c r="E452" s="314"/>
      <c r="F452" s="18"/>
      <c r="G452" s="18"/>
      <c r="H452" s="18"/>
      <c r="I452" s="18"/>
      <c r="J452" s="18" t="s">
        <v>841</v>
      </c>
      <c r="K452" s="18"/>
      <c r="L452" s="18"/>
      <c r="AC452" s="1261"/>
    </row>
    <row r="453">
      <c r="B453" s="18"/>
      <c r="C453" s="18"/>
      <c r="D453" s="18"/>
      <c r="E453" s="314"/>
      <c r="F453" s="18"/>
      <c r="G453" s="18"/>
      <c r="H453" s="18"/>
      <c r="I453" s="18"/>
      <c r="J453" s="18" t="s">
        <v>841</v>
      </c>
      <c r="K453" s="18"/>
      <c r="L453" s="18"/>
      <c r="AC453" s="1261"/>
    </row>
    <row r="454">
      <c r="B454" s="18"/>
      <c r="C454" s="18"/>
      <c r="D454" s="18"/>
      <c r="E454" s="314"/>
      <c r="F454" s="18"/>
      <c r="G454" s="18"/>
      <c r="H454" s="18"/>
      <c r="I454" s="18"/>
      <c r="J454" s="18" t="s">
        <v>841</v>
      </c>
      <c r="K454" s="18"/>
      <c r="L454" s="18"/>
      <c r="AC454" s="1261"/>
    </row>
    <row r="455">
      <c r="B455" s="18"/>
      <c r="C455" s="18"/>
      <c r="D455" s="18"/>
      <c r="E455" s="314"/>
      <c r="F455" s="18"/>
      <c r="G455" s="18"/>
      <c r="H455" s="18"/>
      <c r="I455" s="18"/>
      <c r="J455" s="18" t="s">
        <v>841</v>
      </c>
      <c r="K455" s="18"/>
      <c r="L455" s="18"/>
      <c r="AC455" s="1261"/>
    </row>
    <row r="456">
      <c r="B456" s="18"/>
      <c r="C456" s="18"/>
      <c r="D456" s="18"/>
      <c r="E456" s="314"/>
      <c r="F456" s="18"/>
      <c r="G456" s="18"/>
      <c r="H456" s="18"/>
      <c r="I456" s="18"/>
      <c r="J456" s="18" t="s">
        <v>841</v>
      </c>
      <c r="K456" s="18"/>
      <c r="L456" s="18"/>
      <c r="AC456" s="1261"/>
    </row>
    <row r="457">
      <c r="B457" s="18"/>
      <c r="C457" s="18"/>
      <c r="D457" s="18"/>
      <c r="E457" s="314"/>
      <c r="F457" s="18"/>
      <c r="G457" s="18"/>
      <c r="H457" s="18"/>
      <c r="I457" s="18"/>
      <c r="J457" s="18" t="s">
        <v>841</v>
      </c>
      <c r="K457" s="18"/>
      <c r="L457" s="18"/>
      <c r="AC457" s="1261"/>
    </row>
    <row r="458">
      <c r="B458" s="18"/>
      <c r="C458" s="18"/>
      <c r="D458" s="18"/>
      <c r="E458" s="314"/>
      <c r="F458" s="18"/>
      <c r="G458" s="18"/>
      <c r="H458" s="18"/>
      <c r="I458" s="18"/>
      <c r="J458" s="18" t="s">
        <v>841</v>
      </c>
      <c r="K458" s="18"/>
      <c r="L458" s="18"/>
      <c r="AC458" s="1261"/>
    </row>
    <row r="459">
      <c r="B459" s="18"/>
      <c r="C459" s="18"/>
      <c r="D459" s="18"/>
      <c r="E459" s="314"/>
      <c r="F459" s="18"/>
      <c r="G459" s="18"/>
      <c r="H459" s="18"/>
      <c r="I459" s="18"/>
      <c r="J459" s="18" t="s">
        <v>841</v>
      </c>
      <c r="K459" s="18"/>
      <c r="L459" s="18"/>
      <c r="AC459" s="1261"/>
    </row>
    <row r="460">
      <c r="B460" s="18"/>
      <c r="C460" s="18"/>
      <c r="D460" s="18"/>
      <c r="E460" s="314"/>
      <c r="F460" s="18"/>
      <c r="G460" s="18"/>
      <c r="H460" s="18"/>
      <c r="I460" s="18"/>
      <c r="J460" s="18" t="s">
        <v>841</v>
      </c>
      <c r="K460" s="18"/>
      <c r="L460" s="18"/>
      <c r="AC460" s="1261"/>
    </row>
    <row r="461">
      <c r="B461" s="18"/>
      <c r="C461" s="18"/>
      <c r="D461" s="18"/>
      <c r="E461" s="314"/>
      <c r="F461" s="18"/>
      <c r="G461" s="18"/>
      <c r="H461" s="18"/>
      <c r="I461" s="18"/>
      <c r="J461" s="18" t="s">
        <v>841</v>
      </c>
      <c r="K461" s="18"/>
      <c r="L461" s="18"/>
      <c r="AC461" s="1261"/>
    </row>
    <row r="462">
      <c r="B462" s="18"/>
      <c r="C462" s="18"/>
      <c r="D462" s="18"/>
      <c r="E462" s="314"/>
      <c r="F462" s="18"/>
      <c r="G462" s="18"/>
      <c r="H462" s="18"/>
      <c r="I462" s="18"/>
      <c r="J462" s="18" t="s">
        <v>841</v>
      </c>
      <c r="K462" s="18"/>
      <c r="L462" s="18"/>
      <c r="AC462" s="1261"/>
    </row>
    <row r="463">
      <c r="B463" s="18"/>
      <c r="C463" s="18"/>
      <c r="D463" s="18"/>
      <c r="E463" s="314"/>
      <c r="F463" s="18"/>
      <c r="G463" s="18"/>
      <c r="H463" s="18"/>
      <c r="I463" s="18"/>
      <c r="J463" s="18" t="s">
        <v>841</v>
      </c>
      <c r="K463" s="18"/>
      <c r="L463" s="18"/>
      <c r="AC463" s="1261"/>
    </row>
    <row r="464">
      <c r="B464" s="18"/>
      <c r="C464" s="18"/>
      <c r="D464" s="18"/>
      <c r="E464" s="314"/>
      <c r="F464" s="18"/>
      <c r="G464" s="18"/>
      <c r="H464" s="18"/>
      <c r="I464" s="18"/>
      <c r="J464" s="18" t="s">
        <v>841</v>
      </c>
      <c r="K464" s="18"/>
      <c r="L464" s="18"/>
      <c r="AC464" s="1261"/>
    </row>
    <row r="465">
      <c r="B465" s="18"/>
      <c r="C465" s="18"/>
      <c r="D465" s="18"/>
      <c r="E465" s="314"/>
      <c r="F465" s="18"/>
      <c r="G465" s="18"/>
      <c r="H465" s="18"/>
      <c r="I465" s="18"/>
      <c r="J465" s="18" t="s">
        <v>841</v>
      </c>
      <c r="K465" s="18"/>
      <c r="L465" s="18"/>
      <c r="AC465" s="1261"/>
    </row>
    <row r="466">
      <c r="B466" s="18"/>
      <c r="C466" s="18"/>
      <c r="D466" s="18"/>
      <c r="E466" s="314"/>
      <c r="F466" s="18"/>
      <c r="G466" s="18"/>
      <c r="H466" s="18"/>
      <c r="I466" s="18"/>
      <c r="J466" s="18" t="s">
        <v>841</v>
      </c>
      <c r="K466" s="18"/>
      <c r="L466" s="18"/>
      <c r="AC466" s="1261"/>
    </row>
    <row r="467">
      <c r="B467" s="18"/>
      <c r="C467" s="18"/>
      <c r="D467" s="18"/>
      <c r="E467" s="314"/>
      <c r="F467" s="18"/>
      <c r="G467" s="18"/>
      <c r="H467" s="18"/>
      <c r="I467" s="18"/>
      <c r="J467" s="18" t="s">
        <v>841</v>
      </c>
      <c r="K467" s="18"/>
      <c r="L467" s="18"/>
      <c r="AC467" s="1261"/>
    </row>
    <row r="468">
      <c r="B468" s="18"/>
      <c r="C468" s="18"/>
      <c r="D468" s="18"/>
      <c r="E468" s="314"/>
      <c r="F468" s="18"/>
      <c r="G468" s="18"/>
      <c r="H468" s="18"/>
      <c r="I468" s="18"/>
      <c r="J468" s="18" t="s">
        <v>841</v>
      </c>
      <c r="K468" s="18"/>
      <c r="L468" s="18"/>
      <c r="AC468" s="1261"/>
    </row>
    <row r="469">
      <c r="B469" s="18"/>
      <c r="C469" s="18"/>
      <c r="D469" s="18"/>
      <c r="E469" s="314"/>
      <c r="F469" s="18"/>
      <c r="G469" s="18"/>
      <c r="H469" s="18"/>
      <c r="I469" s="18"/>
      <c r="J469" s="18" t="s">
        <v>841</v>
      </c>
      <c r="K469" s="18"/>
      <c r="L469" s="18"/>
      <c r="AC469" s="1261"/>
    </row>
    <row r="470">
      <c r="B470" s="18"/>
      <c r="C470" s="18"/>
      <c r="D470" s="18"/>
      <c r="E470" s="314"/>
      <c r="F470" s="18"/>
      <c r="G470" s="18"/>
      <c r="H470" s="18"/>
      <c r="I470" s="18"/>
      <c r="J470" s="18" t="s">
        <v>841</v>
      </c>
      <c r="K470" s="18"/>
      <c r="L470" s="18"/>
      <c r="AC470" s="1261"/>
    </row>
    <row r="471">
      <c r="B471" s="18"/>
      <c r="C471" s="18"/>
      <c r="D471" s="18"/>
      <c r="E471" s="314"/>
      <c r="F471" s="18"/>
      <c r="G471" s="18"/>
      <c r="H471" s="18"/>
      <c r="I471" s="18"/>
      <c r="J471" s="18" t="s">
        <v>841</v>
      </c>
      <c r="K471" s="18"/>
      <c r="L471" s="18"/>
      <c r="AC471" s="1261"/>
    </row>
    <row r="472">
      <c r="B472" s="18"/>
      <c r="C472" s="18"/>
      <c r="D472" s="18"/>
      <c r="E472" s="314"/>
      <c r="F472" s="18"/>
      <c r="G472" s="18"/>
      <c r="H472" s="18"/>
      <c r="I472" s="18"/>
      <c r="J472" s="18" t="s">
        <v>841</v>
      </c>
      <c r="K472" s="18"/>
      <c r="L472" s="18"/>
      <c r="AC472" s="1261"/>
    </row>
    <row r="473">
      <c r="B473" s="18"/>
      <c r="C473" s="18"/>
      <c r="D473" s="18"/>
      <c r="E473" s="314"/>
      <c r="F473" s="18"/>
      <c r="G473" s="18"/>
      <c r="H473" s="18"/>
      <c r="I473" s="18"/>
      <c r="J473" s="18" t="s">
        <v>841</v>
      </c>
      <c r="K473" s="18"/>
      <c r="L473" s="18"/>
      <c r="AC473" s="1261"/>
    </row>
    <row r="474">
      <c r="B474" s="18"/>
      <c r="C474" s="18"/>
      <c r="D474" s="18"/>
      <c r="E474" s="314"/>
      <c r="F474" s="18"/>
      <c r="G474" s="18"/>
      <c r="H474" s="18"/>
      <c r="I474" s="18"/>
      <c r="J474" s="18" t="s">
        <v>841</v>
      </c>
      <c r="K474" s="18"/>
      <c r="L474" s="18"/>
      <c r="AC474" s="1261"/>
    </row>
    <row r="475">
      <c r="B475" s="18"/>
      <c r="C475" s="18"/>
      <c r="D475" s="18"/>
      <c r="E475" s="314"/>
      <c r="F475" s="18"/>
      <c r="G475" s="18"/>
      <c r="H475" s="18"/>
      <c r="I475" s="18"/>
      <c r="J475" s="18" t="s">
        <v>841</v>
      </c>
      <c r="K475" s="18"/>
      <c r="L475" s="18"/>
      <c r="AC475" s="1261"/>
    </row>
    <row r="476">
      <c r="B476" s="18"/>
      <c r="C476" s="18"/>
      <c r="D476" s="18"/>
      <c r="E476" s="314"/>
      <c r="F476" s="18"/>
      <c r="G476" s="18"/>
      <c r="H476" s="18"/>
      <c r="I476" s="18"/>
      <c r="J476" s="18" t="s">
        <v>841</v>
      </c>
      <c r="K476" s="18"/>
      <c r="L476" s="18"/>
      <c r="AC476" s="1261"/>
    </row>
    <row r="477">
      <c r="B477" s="18"/>
      <c r="C477" s="18"/>
      <c r="D477" s="18"/>
      <c r="E477" s="314"/>
      <c r="F477" s="18"/>
      <c r="G477" s="18"/>
      <c r="H477" s="18"/>
      <c r="I477" s="18"/>
      <c r="J477" s="18" t="s">
        <v>841</v>
      </c>
      <c r="K477" s="18"/>
      <c r="L477" s="18"/>
      <c r="AC477" s="1261"/>
    </row>
    <row r="478">
      <c r="B478" s="18"/>
      <c r="C478" s="18"/>
      <c r="D478" s="18"/>
      <c r="E478" s="314"/>
      <c r="F478" s="18"/>
      <c r="G478" s="18"/>
      <c r="H478" s="18"/>
      <c r="I478" s="18"/>
      <c r="J478" s="18" t="s">
        <v>841</v>
      </c>
      <c r="K478" s="18"/>
      <c r="L478" s="18"/>
      <c r="AC478" s="1261"/>
    </row>
    <row r="479">
      <c r="B479" s="18"/>
      <c r="C479" s="18"/>
      <c r="D479" s="18"/>
      <c r="E479" s="314"/>
      <c r="F479" s="18"/>
      <c r="G479" s="18"/>
      <c r="H479" s="18"/>
      <c r="I479" s="18"/>
      <c r="J479" s="18" t="s">
        <v>841</v>
      </c>
      <c r="K479" s="18"/>
      <c r="L479" s="18"/>
      <c r="AC479" s="1261"/>
    </row>
    <row r="480">
      <c r="B480" s="18"/>
      <c r="C480" s="18"/>
      <c r="D480" s="18"/>
      <c r="E480" s="314"/>
      <c r="F480" s="18"/>
      <c r="G480" s="18"/>
      <c r="H480" s="18"/>
      <c r="I480" s="18"/>
      <c r="J480" s="18" t="s">
        <v>841</v>
      </c>
      <c r="K480" s="18"/>
      <c r="L480" s="18"/>
      <c r="AC480" s="1261"/>
    </row>
    <row r="481">
      <c r="B481" s="18"/>
      <c r="C481" s="18"/>
      <c r="D481" s="18"/>
      <c r="E481" s="314"/>
      <c r="F481" s="18"/>
      <c r="G481" s="18"/>
      <c r="H481" s="18"/>
      <c r="I481" s="18"/>
      <c r="J481" s="18" t="s">
        <v>841</v>
      </c>
      <c r="K481" s="18"/>
      <c r="L481" s="18"/>
      <c r="AC481" s="1261"/>
    </row>
    <row r="482">
      <c r="B482" s="18"/>
      <c r="C482" s="18"/>
      <c r="D482" s="18"/>
      <c r="E482" s="314"/>
      <c r="F482" s="18"/>
      <c r="G482" s="18"/>
      <c r="H482" s="18"/>
      <c r="I482" s="18"/>
      <c r="J482" s="18" t="s">
        <v>841</v>
      </c>
      <c r="K482" s="18"/>
      <c r="L482" s="18"/>
      <c r="AC482" s="1261"/>
    </row>
    <row r="483">
      <c r="B483" s="18"/>
      <c r="C483" s="18"/>
      <c r="D483" s="18"/>
      <c r="E483" s="314"/>
      <c r="F483" s="18"/>
      <c r="G483" s="18"/>
      <c r="H483" s="18"/>
      <c r="I483" s="18"/>
      <c r="J483" s="18" t="s">
        <v>841</v>
      </c>
      <c r="K483" s="18"/>
      <c r="L483" s="18"/>
      <c r="AC483" s="1261"/>
    </row>
    <row r="484">
      <c r="B484" s="18"/>
      <c r="C484" s="18"/>
      <c r="D484" s="18"/>
      <c r="E484" s="314"/>
      <c r="F484" s="18"/>
      <c r="G484" s="18"/>
      <c r="H484" s="18"/>
      <c r="I484" s="18"/>
      <c r="J484" s="18" t="s">
        <v>841</v>
      </c>
      <c r="K484" s="18"/>
      <c r="L484" s="18"/>
      <c r="AC484" s="1261"/>
    </row>
    <row r="485">
      <c r="B485" s="18"/>
      <c r="C485" s="18"/>
      <c r="D485" s="18"/>
      <c r="E485" s="314"/>
      <c r="F485" s="18"/>
      <c r="G485" s="18"/>
      <c r="H485" s="18"/>
      <c r="I485" s="18"/>
      <c r="J485" s="18" t="s">
        <v>841</v>
      </c>
      <c r="K485" s="18"/>
      <c r="L485" s="18"/>
      <c r="AC485" s="1261"/>
    </row>
    <row r="486">
      <c r="B486" s="18"/>
      <c r="C486" s="18"/>
      <c r="D486" s="18"/>
      <c r="E486" s="314"/>
      <c r="F486" s="18"/>
      <c r="G486" s="18"/>
      <c r="H486" s="18"/>
      <c r="I486" s="18"/>
      <c r="J486" s="18" t="s">
        <v>841</v>
      </c>
      <c r="K486" s="18"/>
      <c r="L486" s="18"/>
      <c r="AC486" s="1261"/>
    </row>
    <row r="487">
      <c r="B487" s="18"/>
      <c r="C487" s="18"/>
      <c r="D487" s="18"/>
      <c r="E487" s="314"/>
      <c r="F487" s="18"/>
      <c r="G487" s="18"/>
      <c r="H487" s="18"/>
      <c r="I487" s="18"/>
      <c r="J487" s="18" t="s">
        <v>841</v>
      </c>
      <c r="K487" s="18"/>
      <c r="L487" s="18"/>
      <c r="AC487" s="1261"/>
    </row>
    <row r="488">
      <c r="B488" s="18"/>
      <c r="C488" s="18"/>
      <c r="D488" s="18"/>
      <c r="E488" s="314"/>
      <c r="F488" s="18"/>
      <c r="G488" s="18"/>
      <c r="H488" s="18"/>
      <c r="I488" s="18"/>
      <c r="J488" s="18" t="s">
        <v>841</v>
      </c>
      <c r="K488" s="18"/>
      <c r="L488" s="18"/>
      <c r="AC488" s="1261"/>
    </row>
    <row r="489">
      <c r="B489" s="18"/>
      <c r="C489" s="18"/>
      <c r="D489" s="18"/>
      <c r="E489" s="314"/>
      <c r="F489" s="18"/>
      <c r="G489" s="18"/>
      <c r="H489" s="18"/>
      <c r="I489" s="18"/>
      <c r="J489" s="18" t="s">
        <v>841</v>
      </c>
      <c r="K489" s="18"/>
      <c r="L489" s="18"/>
      <c r="AC489" s="1261"/>
    </row>
    <row r="490">
      <c r="B490" s="18"/>
      <c r="C490" s="18"/>
      <c r="D490" s="18"/>
      <c r="E490" s="314"/>
      <c r="F490" s="18"/>
      <c r="G490" s="18"/>
      <c r="H490" s="18"/>
      <c r="I490" s="18"/>
      <c r="J490" s="18" t="s">
        <v>841</v>
      </c>
      <c r="K490" s="18"/>
      <c r="L490" s="18"/>
      <c r="AC490" s="1261"/>
    </row>
    <row r="491">
      <c r="B491" s="18"/>
      <c r="C491" s="18"/>
      <c r="D491" s="18"/>
      <c r="E491" s="314"/>
      <c r="F491" s="18"/>
      <c r="G491" s="18"/>
      <c r="H491" s="18"/>
      <c r="I491" s="18"/>
      <c r="J491" s="18" t="s">
        <v>841</v>
      </c>
      <c r="K491" s="18"/>
      <c r="L491" s="18"/>
      <c r="AC491" s="1261"/>
    </row>
    <row r="492">
      <c r="B492" s="18"/>
      <c r="C492" s="18"/>
      <c r="D492" s="18"/>
      <c r="E492" s="314"/>
      <c r="F492" s="18"/>
      <c r="G492" s="18"/>
      <c r="H492" s="18"/>
      <c r="I492" s="18"/>
      <c r="J492" s="18" t="s">
        <v>841</v>
      </c>
      <c r="K492" s="18"/>
      <c r="L492" s="18"/>
      <c r="AC492" s="1261"/>
    </row>
    <row r="493">
      <c r="B493" s="18"/>
      <c r="C493" s="18"/>
      <c r="D493" s="18"/>
      <c r="E493" s="314"/>
      <c r="F493" s="18"/>
      <c r="G493" s="18"/>
      <c r="H493" s="18"/>
      <c r="I493" s="18"/>
      <c r="J493" s="18" t="s">
        <v>841</v>
      </c>
      <c r="K493" s="18"/>
      <c r="L493" s="18"/>
      <c r="AC493" s="1261"/>
    </row>
    <row r="494">
      <c r="B494" s="18"/>
      <c r="C494" s="18"/>
      <c r="D494" s="18"/>
      <c r="E494" s="314"/>
      <c r="F494" s="18"/>
      <c r="G494" s="18"/>
      <c r="H494" s="18"/>
      <c r="I494" s="18"/>
      <c r="J494" s="18" t="s">
        <v>841</v>
      </c>
      <c r="K494" s="18"/>
      <c r="L494" s="18"/>
      <c r="AC494" s="1261"/>
    </row>
    <row r="495">
      <c r="B495" s="18"/>
      <c r="C495" s="18"/>
      <c r="D495" s="18"/>
      <c r="E495" s="314"/>
      <c r="F495" s="18"/>
      <c r="G495" s="18"/>
      <c r="H495" s="18"/>
      <c r="I495" s="18"/>
      <c r="J495" s="18" t="s">
        <v>841</v>
      </c>
      <c r="K495" s="18"/>
      <c r="L495" s="18"/>
      <c r="AC495" s="1261"/>
    </row>
    <row r="496">
      <c r="B496" s="18"/>
      <c r="C496" s="18"/>
      <c r="D496" s="18"/>
      <c r="E496" s="314"/>
      <c r="F496" s="18"/>
      <c r="G496" s="18"/>
      <c r="H496" s="18"/>
      <c r="I496" s="18"/>
      <c r="J496" s="18" t="s">
        <v>841</v>
      </c>
      <c r="K496" s="18"/>
      <c r="L496" s="18"/>
      <c r="AC496" s="1261"/>
    </row>
    <row r="497">
      <c r="B497" s="18"/>
      <c r="C497" s="18"/>
      <c r="D497" s="18"/>
      <c r="E497" s="314"/>
      <c r="F497" s="18"/>
      <c r="G497" s="18"/>
      <c r="H497" s="18"/>
      <c r="I497" s="18"/>
      <c r="J497" s="18" t="s">
        <v>841</v>
      </c>
      <c r="K497" s="18"/>
      <c r="L497" s="18"/>
      <c r="AC497" s="1261"/>
    </row>
    <row r="498">
      <c r="B498" s="18"/>
      <c r="C498" s="18"/>
      <c r="D498" s="18"/>
      <c r="E498" s="314"/>
      <c r="F498" s="18"/>
      <c r="G498" s="18"/>
      <c r="H498" s="18"/>
      <c r="I498" s="18"/>
      <c r="J498" s="18" t="s">
        <v>841</v>
      </c>
      <c r="K498" s="18"/>
      <c r="L498" s="18"/>
      <c r="AC498" s="1261"/>
    </row>
    <row r="499">
      <c r="B499" s="18"/>
      <c r="C499" s="18"/>
      <c r="D499" s="18"/>
      <c r="E499" s="314"/>
      <c r="F499" s="18"/>
      <c r="G499" s="18"/>
      <c r="H499" s="18"/>
      <c r="I499" s="18"/>
      <c r="J499" s="18" t="s">
        <v>841</v>
      </c>
      <c r="K499" s="18"/>
      <c r="L499" s="18"/>
      <c r="AC499" s="1261"/>
    </row>
    <row r="500">
      <c r="B500" s="18"/>
      <c r="C500" s="18"/>
      <c r="D500" s="18"/>
      <c r="E500" s="314"/>
      <c r="F500" s="18"/>
      <c r="G500" s="18"/>
      <c r="H500" s="18"/>
      <c r="I500" s="18"/>
      <c r="J500" s="18" t="s">
        <v>841</v>
      </c>
      <c r="K500" s="18"/>
      <c r="L500" s="18"/>
      <c r="AC500" s="1261"/>
    </row>
    <row r="501">
      <c r="B501" s="18"/>
      <c r="C501" s="18"/>
      <c r="D501" s="18"/>
      <c r="E501" s="314"/>
      <c r="F501" s="18"/>
      <c r="G501" s="18"/>
      <c r="H501" s="18"/>
      <c r="I501" s="18"/>
      <c r="J501" s="18" t="s">
        <v>841</v>
      </c>
      <c r="K501" s="18"/>
      <c r="L501" s="18"/>
      <c r="AC501" s="1261"/>
    </row>
    <row r="502">
      <c r="B502" s="18"/>
      <c r="C502" s="18"/>
      <c r="D502" s="18"/>
      <c r="E502" s="314"/>
      <c r="F502" s="18"/>
      <c r="G502" s="18"/>
      <c r="H502" s="18"/>
      <c r="I502" s="18"/>
      <c r="J502" s="18" t="s">
        <v>841</v>
      </c>
      <c r="K502" s="18"/>
      <c r="L502" s="18"/>
      <c r="AC502" s="1261"/>
    </row>
    <row r="503">
      <c r="B503" s="18"/>
      <c r="C503" s="18"/>
      <c r="D503" s="18"/>
      <c r="E503" s="314"/>
      <c r="F503" s="18"/>
      <c r="G503" s="18"/>
      <c r="H503" s="18"/>
      <c r="I503" s="18"/>
      <c r="J503" s="18" t="s">
        <v>841</v>
      </c>
      <c r="K503" s="18"/>
      <c r="L503" s="18"/>
      <c r="AC503" s="1261"/>
    </row>
    <row r="504">
      <c r="B504" s="18"/>
      <c r="C504" s="18"/>
      <c r="D504" s="18"/>
      <c r="E504" s="314"/>
      <c r="F504" s="18"/>
      <c r="G504" s="18"/>
      <c r="H504" s="18"/>
      <c r="I504" s="18"/>
      <c r="J504" s="18" t="s">
        <v>841</v>
      </c>
      <c r="K504" s="18"/>
      <c r="L504" s="18"/>
      <c r="AC504" s="1261"/>
    </row>
    <row r="505">
      <c r="B505" s="18"/>
      <c r="C505" s="18"/>
      <c r="D505" s="18"/>
      <c r="E505" s="314"/>
      <c r="F505" s="18"/>
      <c r="G505" s="18"/>
      <c r="H505" s="18"/>
      <c r="I505" s="18"/>
      <c r="J505" s="18" t="s">
        <v>841</v>
      </c>
      <c r="K505" s="18"/>
      <c r="L505" s="18"/>
      <c r="AC505" s="1261"/>
    </row>
    <row r="506">
      <c r="B506" s="18"/>
      <c r="C506" s="18"/>
      <c r="D506" s="18"/>
      <c r="E506" s="314"/>
      <c r="F506" s="18"/>
      <c r="G506" s="18"/>
      <c r="H506" s="18"/>
      <c r="I506" s="18"/>
      <c r="J506" s="18" t="s">
        <v>841</v>
      </c>
      <c r="K506" s="18"/>
      <c r="L506" s="18"/>
      <c r="AC506" s="1261"/>
    </row>
    <row r="507">
      <c r="B507" s="18"/>
      <c r="C507" s="18"/>
      <c r="D507" s="18"/>
      <c r="E507" s="314"/>
      <c r="F507" s="18"/>
      <c r="G507" s="18"/>
      <c r="H507" s="18"/>
      <c r="I507" s="18"/>
      <c r="J507" s="18" t="s">
        <v>841</v>
      </c>
      <c r="K507" s="18"/>
      <c r="L507" s="18"/>
      <c r="AC507" s="1261"/>
    </row>
    <row r="508">
      <c r="B508" s="18"/>
      <c r="C508" s="18"/>
      <c r="D508" s="18"/>
      <c r="E508" s="314"/>
      <c r="F508" s="18"/>
      <c r="G508" s="18"/>
      <c r="H508" s="18"/>
      <c r="I508" s="18"/>
      <c r="J508" s="18" t="s">
        <v>841</v>
      </c>
      <c r="K508" s="18"/>
      <c r="L508" s="18"/>
      <c r="AC508" s="1261"/>
    </row>
    <row r="509">
      <c r="B509" s="18"/>
      <c r="C509" s="18"/>
      <c r="D509" s="18"/>
      <c r="E509" s="314"/>
      <c r="F509" s="18"/>
      <c r="G509" s="18"/>
      <c r="H509" s="18"/>
      <c r="I509" s="18"/>
      <c r="J509" s="18" t="s">
        <v>841</v>
      </c>
      <c r="K509" s="18"/>
      <c r="L509" s="18"/>
      <c r="AC509" s="1261"/>
    </row>
    <row r="510">
      <c r="B510" s="18"/>
      <c r="C510" s="18"/>
      <c r="D510" s="18"/>
      <c r="E510" s="314"/>
      <c r="F510" s="18"/>
      <c r="G510" s="18"/>
      <c r="H510" s="18"/>
      <c r="I510" s="18"/>
      <c r="J510" s="18" t="s">
        <v>841</v>
      </c>
      <c r="K510" s="18"/>
      <c r="L510" s="18"/>
      <c r="AC510" s="1261"/>
    </row>
    <row r="511">
      <c r="B511" s="18"/>
      <c r="C511" s="18"/>
      <c r="D511" s="18"/>
      <c r="E511" s="314"/>
      <c r="F511" s="18"/>
      <c r="G511" s="18"/>
      <c r="H511" s="18"/>
      <c r="I511" s="18"/>
      <c r="J511" s="18" t="s">
        <v>841</v>
      </c>
      <c r="K511" s="18"/>
      <c r="L511" s="18"/>
      <c r="AC511" s="1261"/>
    </row>
    <row r="512">
      <c r="B512" s="18"/>
      <c r="C512" s="18"/>
      <c r="D512" s="18"/>
      <c r="E512" s="314"/>
      <c r="F512" s="18"/>
      <c r="G512" s="18"/>
      <c r="H512" s="18"/>
      <c r="I512" s="18"/>
      <c r="J512" s="18" t="s">
        <v>841</v>
      </c>
      <c r="K512" s="18"/>
      <c r="L512" s="18"/>
      <c r="AC512" s="1261"/>
    </row>
    <row r="513">
      <c r="B513" s="18"/>
      <c r="C513" s="18"/>
      <c r="D513" s="18"/>
      <c r="E513" s="314"/>
      <c r="F513" s="18"/>
      <c r="G513" s="18"/>
      <c r="H513" s="18"/>
      <c r="I513" s="18"/>
      <c r="J513" s="18" t="s">
        <v>841</v>
      </c>
      <c r="K513" s="18"/>
      <c r="L513" s="18"/>
      <c r="AC513" s="1261"/>
    </row>
    <row r="514">
      <c r="B514" s="18"/>
      <c r="C514" s="18"/>
      <c r="D514" s="18"/>
      <c r="E514" s="314"/>
      <c r="F514" s="18"/>
      <c r="G514" s="18"/>
      <c r="H514" s="18"/>
      <c r="I514" s="18"/>
      <c r="J514" s="18" t="s">
        <v>841</v>
      </c>
      <c r="K514" s="18"/>
      <c r="L514" s="18"/>
      <c r="AC514" s="1261"/>
    </row>
    <row r="515">
      <c r="B515" s="18"/>
      <c r="C515" s="18"/>
      <c r="D515" s="18"/>
      <c r="E515" s="314"/>
      <c r="F515" s="18"/>
      <c r="G515" s="18"/>
      <c r="H515" s="18"/>
      <c r="I515" s="18"/>
      <c r="J515" s="18" t="s">
        <v>841</v>
      </c>
      <c r="K515" s="18"/>
      <c r="L515" s="18"/>
      <c r="AC515" s="1261"/>
    </row>
    <row r="516">
      <c r="B516" s="18"/>
      <c r="C516" s="18"/>
      <c r="D516" s="18"/>
      <c r="E516" s="314"/>
      <c r="F516" s="18"/>
      <c r="G516" s="18"/>
      <c r="H516" s="18"/>
      <c r="I516" s="18"/>
      <c r="J516" s="18" t="s">
        <v>841</v>
      </c>
      <c r="K516" s="18"/>
      <c r="L516" s="18"/>
      <c r="AC516" s="1261"/>
    </row>
    <row r="517">
      <c r="B517" s="18"/>
      <c r="C517" s="18"/>
      <c r="D517" s="18"/>
      <c r="E517" s="314"/>
      <c r="F517" s="18"/>
      <c r="G517" s="18"/>
      <c r="H517" s="18"/>
      <c r="I517" s="18"/>
      <c r="J517" s="18" t="s">
        <v>841</v>
      </c>
      <c r="K517" s="18"/>
      <c r="L517" s="18"/>
      <c r="AC517" s="1261"/>
    </row>
    <row r="518">
      <c r="B518" s="18"/>
      <c r="C518" s="18"/>
      <c r="D518" s="18"/>
      <c r="E518" s="314"/>
      <c r="F518" s="18"/>
      <c r="G518" s="18"/>
      <c r="H518" s="18"/>
      <c r="I518" s="18"/>
      <c r="J518" s="18" t="s">
        <v>841</v>
      </c>
      <c r="K518" s="18"/>
      <c r="L518" s="18"/>
      <c r="AC518" s="1261"/>
    </row>
    <row r="519">
      <c r="B519" s="18"/>
      <c r="C519" s="18"/>
      <c r="D519" s="18"/>
      <c r="E519" s="314"/>
      <c r="F519" s="18"/>
      <c r="G519" s="18"/>
      <c r="H519" s="18"/>
      <c r="I519" s="18"/>
      <c r="J519" s="18" t="s">
        <v>841</v>
      </c>
      <c r="K519" s="18"/>
      <c r="L519" s="18"/>
      <c r="AC519" s="1261"/>
    </row>
    <row r="520">
      <c r="B520" s="18"/>
      <c r="C520" s="18"/>
      <c r="D520" s="18"/>
      <c r="E520" s="314"/>
      <c r="F520" s="18"/>
      <c r="G520" s="18"/>
      <c r="H520" s="18"/>
      <c r="I520" s="18"/>
      <c r="J520" s="18" t="s">
        <v>841</v>
      </c>
      <c r="K520" s="18"/>
      <c r="L520" s="18"/>
      <c r="AC520" s="1261"/>
    </row>
    <row r="521">
      <c r="B521" s="18"/>
      <c r="C521" s="18"/>
      <c r="D521" s="18"/>
      <c r="E521" s="314"/>
      <c r="F521" s="18"/>
      <c r="G521" s="18"/>
      <c r="H521" s="18"/>
      <c r="I521" s="18"/>
      <c r="J521" s="18" t="s">
        <v>841</v>
      </c>
      <c r="K521" s="18"/>
      <c r="L521" s="18"/>
      <c r="AC521" s="1261"/>
    </row>
    <row r="522">
      <c r="B522" s="18"/>
      <c r="C522" s="18"/>
      <c r="D522" s="18"/>
      <c r="E522" s="314"/>
      <c r="F522" s="18"/>
      <c r="G522" s="18"/>
      <c r="H522" s="18"/>
      <c r="I522" s="18"/>
      <c r="J522" s="18" t="s">
        <v>841</v>
      </c>
      <c r="K522" s="18"/>
      <c r="L522" s="18"/>
      <c r="AC522" s="1261"/>
    </row>
    <row r="523">
      <c r="B523" s="18"/>
      <c r="C523" s="18"/>
      <c r="D523" s="18"/>
      <c r="E523" s="314"/>
      <c r="F523" s="18"/>
      <c r="G523" s="18"/>
      <c r="H523" s="18"/>
      <c r="I523" s="18"/>
      <c r="J523" s="18" t="s">
        <v>841</v>
      </c>
      <c r="K523" s="18"/>
      <c r="L523" s="18"/>
      <c r="AC523" s="1261"/>
    </row>
    <row r="524">
      <c r="B524" s="18"/>
      <c r="C524" s="18"/>
      <c r="D524" s="18"/>
      <c r="E524" s="314"/>
      <c r="F524" s="18"/>
      <c r="G524" s="18"/>
      <c r="H524" s="18"/>
      <c r="I524" s="18"/>
      <c r="J524" s="18" t="s">
        <v>841</v>
      </c>
      <c r="K524" s="18"/>
      <c r="L524" s="18"/>
      <c r="AC524" s="1261"/>
    </row>
    <row r="525">
      <c r="B525" s="18"/>
      <c r="C525" s="18"/>
      <c r="D525" s="18"/>
      <c r="E525" s="314"/>
      <c r="F525" s="18"/>
      <c r="G525" s="18"/>
      <c r="H525" s="18"/>
      <c r="I525" s="18"/>
      <c r="J525" s="18" t="s">
        <v>841</v>
      </c>
      <c r="K525" s="18"/>
      <c r="L525" s="18"/>
      <c r="AC525" s="1261"/>
    </row>
    <row r="526">
      <c r="B526" s="18"/>
      <c r="C526" s="18"/>
      <c r="D526" s="18"/>
      <c r="E526" s="314"/>
      <c r="F526" s="18"/>
      <c r="G526" s="18"/>
      <c r="H526" s="18"/>
      <c r="I526" s="18"/>
      <c r="J526" s="18" t="s">
        <v>841</v>
      </c>
      <c r="K526" s="18"/>
      <c r="L526" s="18"/>
      <c r="AC526" s="1261"/>
    </row>
    <row r="527">
      <c r="B527" s="18"/>
      <c r="C527" s="18"/>
      <c r="D527" s="18"/>
      <c r="E527" s="314"/>
      <c r="F527" s="18"/>
      <c r="G527" s="18"/>
      <c r="H527" s="18"/>
      <c r="I527" s="18"/>
      <c r="J527" s="18" t="s">
        <v>841</v>
      </c>
      <c r="K527" s="18"/>
      <c r="L527" s="18"/>
      <c r="AC527" s="1261"/>
    </row>
    <row r="528">
      <c r="B528" s="18"/>
      <c r="C528" s="18"/>
      <c r="D528" s="18"/>
      <c r="E528" s="314"/>
      <c r="F528" s="18"/>
      <c r="G528" s="18"/>
      <c r="H528" s="18"/>
      <c r="I528" s="18"/>
      <c r="J528" s="18" t="s">
        <v>841</v>
      </c>
      <c r="K528" s="18"/>
      <c r="L528" s="18"/>
      <c r="AC528" s="1261"/>
    </row>
    <row r="529">
      <c r="B529" s="18"/>
      <c r="C529" s="18"/>
      <c r="D529" s="18"/>
      <c r="E529" s="314"/>
      <c r="F529" s="18"/>
      <c r="G529" s="18"/>
      <c r="H529" s="18"/>
      <c r="I529" s="18"/>
      <c r="J529" s="18" t="s">
        <v>841</v>
      </c>
      <c r="K529" s="18"/>
      <c r="L529" s="18"/>
      <c r="AC529" s="1261"/>
    </row>
    <row r="530">
      <c r="B530" s="18"/>
      <c r="C530" s="18"/>
      <c r="D530" s="18"/>
      <c r="E530" s="314"/>
      <c r="F530" s="18"/>
      <c r="G530" s="18"/>
      <c r="H530" s="18"/>
      <c r="I530" s="18"/>
      <c r="J530" s="18" t="s">
        <v>841</v>
      </c>
      <c r="K530" s="18"/>
      <c r="L530" s="18"/>
      <c r="AC530" s="1261"/>
    </row>
    <row r="531">
      <c r="B531" s="18"/>
      <c r="C531" s="18"/>
      <c r="D531" s="18"/>
      <c r="E531" s="314"/>
      <c r="F531" s="18"/>
      <c r="G531" s="18"/>
      <c r="H531" s="18"/>
      <c r="I531" s="18"/>
      <c r="J531" s="18" t="s">
        <v>841</v>
      </c>
      <c r="K531" s="18"/>
      <c r="L531" s="18"/>
      <c r="AC531" s="1261"/>
    </row>
    <row r="532">
      <c r="B532" s="18"/>
      <c r="C532" s="18"/>
      <c r="D532" s="18"/>
      <c r="E532" s="314"/>
      <c r="F532" s="18"/>
      <c r="G532" s="18"/>
      <c r="H532" s="18"/>
      <c r="I532" s="18"/>
      <c r="J532" s="18" t="s">
        <v>841</v>
      </c>
      <c r="K532" s="18"/>
      <c r="L532" s="18"/>
      <c r="AC532" s="1261"/>
    </row>
    <row r="533">
      <c r="B533" s="18"/>
      <c r="C533" s="18"/>
      <c r="D533" s="18"/>
      <c r="E533" s="314"/>
      <c r="F533" s="18"/>
      <c r="G533" s="18"/>
      <c r="H533" s="18"/>
      <c r="I533" s="18"/>
      <c r="J533" s="18" t="s">
        <v>841</v>
      </c>
      <c r="K533" s="18"/>
      <c r="L533" s="18"/>
      <c r="AC533" s="1261"/>
    </row>
    <row r="534">
      <c r="B534" s="18"/>
      <c r="C534" s="18"/>
      <c r="D534" s="18"/>
      <c r="E534" s="314"/>
      <c r="F534" s="18"/>
      <c r="G534" s="18"/>
      <c r="H534" s="18"/>
      <c r="I534" s="18"/>
      <c r="J534" s="18" t="s">
        <v>841</v>
      </c>
      <c r="K534" s="18"/>
      <c r="L534" s="18"/>
      <c r="AC534" s="1261"/>
    </row>
    <row r="535">
      <c r="B535" s="18"/>
      <c r="C535" s="18"/>
      <c r="D535" s="18"/>
      <c r="E535" s="314"/>
      <c r="F535" s="18"/>
      <c r="G535" s="18"/>
      <c r="H535" s="18"/>
      <c r="I535" s="18"/>
      <c r="J535" s="18" t="s">
        <v>841</v>
      </c>
      <c r="K535" s="18"/>
      <c r="L535" s="18"/>
      <c r="AC535" s="1261"/>
    </row>
    <row r="536">
      <c r="B536" s="18"/>
      <c r="C536" s="18"/>
      <c r="D536" s="18"/>
      <c r="E536" s="314"/>
      <c r="F536" s="18"/>
      <c r="G536" s="18"/>
      <c r="H536" s="18"/>
      <c r="I536" s="18"/>
      <c r="J536" s="18" t="s">
        <v>841</v>
      </c>
      <c r="K536" s="18"/>
      <c r="L536" s="18"/>
      <c r="AC536" s="1261"/>
    </row>
    <row r="537">
      <c r="B537" s="18"/>
      <c r="C537" s="18"/>
      <c r="D537" s="18"/>
      <c r="E537" s="314"/>
      <c r="F537" s="18"/>
      <c r="G537" s="18"/>
      <c r="H537" s="18"/>
      <c r="I537" s="18"/>
      <c r="J537" s="18" t="s">
        <v>841</v>
      </c>
      <c r="K537" s="18"/>
      <c r="L537" s="18"/>
      <c r="AC537" s="1261"/>
    </row>
    <row r="538">
      <c r="B538" s="18"/>
      <c r="C538" s="18"/>
      <c r="D538" s="18"/>
      <c r="E538" s="314"/>
      <c r="F538" s="18"/>
      <c r="G538" s="18"/>
      <c r="H538" s="18"/>
      <c r="I538" s="18"/>
      <c r="J538" s="18" t="s">
        <v>841</v>
      </c>
      <c r="K538" s="18"/>
      <c r="L538" s="18"/>
      <c r="AC538" s="1261"/>
    </row>
    <row r="539">
      <c r="B539" s="18"/>
      <c r="C539" s="18"/>
      <c r="D539" s="18"/>
      <c r="E539" s="314"/>
      <c r="F539" s="18"/>
      <c r="G539" s="18"/>
      <c r="H539" s="18"/>
      <c r="I539" s="18"/>
      <c r="J539" s="18" t="s">
        <v>841</v>
      </c>
      <c r="K539" s="18"/>
      <c r="L539" s="18"/>
      <c r="AC539" s="1261"/>
    </row>
    <row r="540">
      <c r="B540" s="18"/>
      <c r="C540" s="18"/>
      <c r="D540" s="18"/>
      <c r="E540" s="314"/>
      <c r="F540" s="18"/>
      <c r="G540" s="18"/>
      <c r="H540" s="18"/>
      <c r="I540" s="18"/>
      <c r="J540" s="18" t="s">
        <v>841</v>
      </c>
      <c r="K540" s="18"/>
      <c r="L540" s="18"/>
      <c r="AC540" s="1261"/>
    </row>
    <row r="541">
      <c r="B541" s="18"/>
      <c r="C541" s="18"/>
      <c r="D541" s="18"/>
      <c r="E541" s="314"/>
      <c r="F541" s="18"/>
      <c r="G541" s="18"/>
      <c r="H541" s="18"/>
      <c r="I541" s="18"/>
      <c r="J541" s="18" t="s">
        <v>841</v>
      </c>
      <c r="K541" s="18"/>
      <c r="L541" s="18"/>
      <c r="AC541" s="1261"/>
    </row>
    <row r="542">
      <c r="B542" s="18"/>
      <c r="C542" s="18"/>
      <c r="D542" s="18"/>
      <c r="E542" s="314"/>
      <c r="F542" s="18"/>
      <c r="G542" s="18"/>
      <c r="H542" s="18"/>
      <c r="I542" s="18"/>
      <c r="J542" s="18" t="s">
        <v>841</v>
      </c>
      <c r="K542" s="18"/>
      <c r="L542" s="18"/>
      <c r="AC542" s="1261"/>
    </row>
    <row r="543">
      <c r="B543" s="18"/>
      <c r="C543" s="18"/>
      <c r="D543" s="18"/>
      <c r="E543" s="314"/>
      <c r="F543" s="18"/>
      <c r="G543" s="18"/>
      <c r="H543" s="18"/>
      <c r="I543" s="18"/>
      <c r="J543" s="18" t="s">
        <v>841</v>
      </c>
      <c r="K543" s="18"/>
      <c r="L543" s="18"/>
      <c r="AC543" s="1261"/>
    </row>
    <row r="544">
      <c r="B544" s="18"/>
      <c r="C544" s="18"/>
      <c r="D544" s="18"/>
      <c r="E544" s="314"/>
      <c r="F544" s="18"/>
      <c r="G544" s="18"/>
      <c r="H544" s="18"/>
      <c r="I544" s="18"/>
      <c r="J544" s="18" t="s">
        <v>841</v>
      </c>
      <c r="K544" s="18"/>
      <c r="L544" s="18"/>
      <c r="AC544" s="1261"/>
    </row>
    <row r="545">
      <c r="B545" s="18"/>
      <c r="C545" s="18"/>
      <c r="D545" s="18"/>
      <c r="E545" s="314"/>
      <c r="F545" s="18"/>
      <c r="G545" s="18"/>
      <c r="H545" s="18"/>
      <c r="I545" s="18"/>
      <c r="J545" s="18" t="s">
        <v>841</v>
      </c>
      <c r="K545" s="18"/>
      <c r="L545" s="18"/>
      <c r="AC545" s="1261"/>
    </row>
    <row r="546">
      <c r="B546" s="18"/>
      <c r="C546" s="18"/>
      <c r="D546" s="18"/>
      <c r="E546" s="314"/>
      <c r="F546" s="18"/>
      <c r="G546" s="18"/>
      <c r="H546" s="18"/>
      <c r="I546" s="18"/>
      <c r="J546" s="18" t="s">
        <v>841</v>
      </c>
      <c r="K546" s="18"/>
      <c r="L546" s="18"/>
      <c r="AC546" s="1261"/>
    </row>
    <row r="547">
      <c r="B547" s="18"/>
      <c r="C547" s="18"/>
      <c r="D547" s="18"/>
      <c r="E547" s="314"/>
      <c r="F547" s="18"/>
      <c r="G547" s="18"/>
      <c r="H547" s="18"/>
      <c r="I547" s="18"/>
      <c r="J547" s="18" t="s">
        <v>841</v>
      </c>
      <c r="K547" s="18"/>
      <c r="L547" s="18"/>
      <c r="AC547" s="1261"/>
    </row>
    <row r="548">
      <c r="B548" s="18"/>
      <c r="C548" s="18"/>
      <c r="D548" s="18"/>
      <c r="E548" s="314"/>
      <c r="F548" s="18"/>
      <c r="G548" s="18"/>
      <c r="H548" s="18"/>
      <c r="I548" s="18"/>
      <c r="J548" s="18" t="s">
        <v>841</v>
      </c>
      <c r="K548" s="18"/>
      <c r="L548" s="18"/>
      <c r="AC548" s="1261"/>
    </row>
    <row r="549">
      <c r="B549" s="18"/>
      <c r="C549" s="18"/>
      <c r="D549" s="18"/>
      <c r="E549" s="314"/>
      <c r="F549" s="18"/>
      <c r="G549" s="18"/>
      <c r="H549" s="18"/>
      <c r="I549" s="18"/>
      <c r="J549" s="18" t="s">
        <v>841</v>
      </c>
      <c r="K549" s="18"/>
      <c r="L549" s="18"/>
      <c r="AC549" s="1261"/>
    </row>
    <row r="550">
      <c r="B550" s="18"/>
      <c r="C550" s="18"/>
      <c r="D550" s="18"/>
      <c r="E550" s="314"/>
      <c r="F550" s="18"/>
      <c r="G550" s="18"/>
      <c r="H550" s="18"/>
      <c r="I550" s="18"/>
      <c r="J550" s="18" t="s">
        <v>841</v>
      </c>
      <c r="K550" s="18"/>
      <c r="L550" s="18"/>
      <c r="AC550" s="1261"/>
    </row>
    <row r="551">
      <c r="B551" s="18"/>
      <c r="C551" s="18"/>
      <c r="D551" s="18"/>
      <c r="E551" s="314"/>
      <c r="F551" s="18"/>
      <c r="G551" s="18"/>
      <c r="H551" s="18"/>
      <c r="I551" s="18"/>
      <c r="J551" s="18" t="s">
        <v>841</v>
      </c>
      <c r="K551" s="18"/>
      <c r="L551" s="18"/>
      <c r="AC551" s="1261"/>
    </row>
    <row r="552">
      <c r="B552" s="18"/>
      <c r="C552" s="18"/>
      <c r="D552" s="18"/>
      <c r="E552" s="314"/>
      <c r="F552" s="18"/>
      <c r="G552" s="18"/>
      <c r="H552" s="18"/>
      <c r="I552" s="18"/>
      <c r="J552" s="18" t="s">
        <v>841</v>
      </c>
      <c r="K552" s="18"/>
      <c r="L552" s="18"/>
      <c r="AC552" s="1261"/>
    </row>
    <row r="553">
      <c r="B553" s="18"/>
      <c r="C553" s="18"/>
      <c r="D553" s="18"/>
      <c r="E553" s="314"/>
      <c r="F553" s="18"/>
      <c r="G553" s="18"/>
      <c r="H553" s="18"/>
      <c r="I553" s="18"/>
      <c r="J553" s="18" t="s">
        <v>841</v>
      </c>
      <c r="K553" s="18"/>
      <c r="L553" s="18"/>
      <c r="AC553" s="1261"/>
    </row>
    <row r="554">
      <c r="B554" s="18"/>
      <c r="C554" s="18"/>
      <c r="D554" s="18"/>
      <c r="E554" s="314"/>
      <c r="F554" s="18"/>
      <c r="G554" s="18"/>
      <c r="H554" s="18"/>
      <c r="I554" s="18"/>
      <c r="J554" s="18" t="s">
        <v>841</v>
      </c>
      <c r="K554" s="18"/>
      <c r="L554" s="18"/>
      <c r="AC554" s="1261"/>
    </row>
    <row r="555">
      <c r="B555" s="18"/>
      <c r="C555" s="18"/>
      <c r="D555" s="18"/>
      <c r="E555" s="314"/>
      <c r="F555" s="18"/>
      <c r="G555" s="18"/>
      <c r="H555" s="18"/>
      <c r="I555" s="18"/>
      <c r="J555" s="18" t="s">
        <v>841</v>
      </c>
      <c r="K555" s="18"/>
      <c r="L555" s="18"/>
      <c r="AC555" s="1261"/>
    </row>
    <row r="556">
      <c r="B556" s="18"/>
      <c r="C556" s="18"/>
      <c r="D556" s="18"/>
      <c r="E556" s="314"/>
      <c r="F556" s="18"/>
      <c r="G556" s="18"/>
      <c r="H556" s="18"/>
      <c r="I556" s="18"/>
      <c r="J556" s="18" t="s">
        <v>841</v>
      </c>
      <c r="K556" s="18"/>
      <c r="L556" s="18"/>
      <c r="AC556" s="1261"/>
    </row>
    <row r="557">
      <c r="B557" s="18"/>
      <c r="C557" s="18"/>
      <c r="D557" s="18"/>
      <c r="E557" s="314"/>
      <c r="F557" s="18"/>
      <c r="G557" s="18"/>
      <c r="H557" s="18"/>
      <c r="I557" s="18"/>
      <c r="J557" s="18" t="s">
        <v>841</v>
      </c>
      <c r="K557" s="18"/>
      <c r="L557" s="18"/>
      <c r="AC557" s="1261"/>
    </row>
    <row r="558">
      <c r="B558" s="18"/>
      <c r="C558" s="18"/>
      <c r="D558" s="18"/>
      <c r="E558" s="314"/>
      <c r="F558" s="18"/>
      <c r="G558" s="18"/>
      <c r="H558" s="18"/>
      <c r="I558" s="18"/>
      <c r="J558" s="18" t="s">
        <v>841</v>
      </c>
      <c r="K558" s="18"/>
      <c r="L558" s="18"/>
      <c r="AC558" s="1261"/>
    </row>
    <row r="559">
      <c r="B559" s="18"/>
      <c r="C559" s="18"/>
      <c r="D559" s="18"/>
      <c r="E559" s="314"/>
      <c r="F559" s="18"/>
      <c r="G559" s="18"/>
      <c r="H559" s="18"/>
      <c r="I559" s="18"/>
      <c r="J559" s="18" t="s">
        <v>841</v>
      </c>
      <c r="K559" s="18"/>
      <c r="L559" s="18"/>
      <c r="AC559" s="1261"/>
    </row>
    <row r="560">
      <c r="B560" s="18"/>
      <c r="C560" s="18"/>
      <c r="D560" s="18"/>
      <c r="E560" s="314"/>
      <c r="F560" s="18"/>
      <c r="G560" s="18"/>
      <c r="H560" s="18"/>
      <c r="I560" s="18"/>
      <c r="J560" s="18" t="s">
        <v>841</v>
      </c>
      <c r="K560" s="18"/>
      <c r="L560" s="18"/>
      <c r="AC560" s="1261"/>
    </row>
    <row r="561">
      <c r="B561" s="18"/>
      <c r="C561" s="18"/>
      <c r="D561" s="18"/>
      <c r="E561" s="314"/>
      <c r="F561" s="18"/>
      <c r="G561" s="18"/>
      <c r="H561" s="18"/>
      <c r="I561" s="18"/>
      <c r="J561" s="18" t="s">
        <v>841</v>
      </c>
      <c r="K561" s="18"/>
      <c r="L561" s="18"/>
      <c r="AC561" s="1261"/>
    </row>
    <row r="562">
      <c r="B562" s="18"/>
      <c r="C562" s="18"/>
      <c r="D562" s="18"/>
      <c r="E562" s="314"/>
      <c r="F562" s="18"/>
      <c r="G562" s="18"/>
      <c r="H562" s="18"/>
      <c r="I562" s="18"/>
      <c r="J562" s="18" t="s">
        <v>841</v>
      </c>
      <c r="K562" s="18"/>
      <c r="L562" s="18"/>
      <c r="AC562" s="1261"/>
    </row>
    <row r="563">
      <c r="B563" s="18"/>
      <c r="C563" s="18"/>
      <c r="D563" s="18"/>
      <c r="E563" s="314"/>
      <c r="F563" s="18"/>
      <c r="G563" s="18"/>
      <c r="H563" s="18"/>
      <c r="I563" s="18"/>
      <c r="J563" s="18" t="s">
        <v>841</v>
      </c>
      <c r="K563" s="18"/>
      <c r="L563" s="18"/>
      <c r="AC563" s="1261"/>
    </row>
    <row r="564">
      <c r="B564" s="18"/>
      <c r="C564" s="18"/>
      <c r="D564" s="18"/>
      <c r="E564" s="314"/>
      <c r="F564" s="18"/>
      <c r="G564" s="18"/>
      <c r="H564" s="18"/>
      <c r="I564" s="18"/>
      <c r="J564" s="18" t="s">
        <v>841</v>
      </c>
      <c r="K564" s="18"/>
      <c r="L564" s="18"/>
      <c r="AC564" s="1261"/>
    </row>
    <row r="565">
      <c r="B565" s="18"/>
      <c r="C565" s="18"/>
      <c r="D565" s="18"/>
      <c r="E565" s="314"/>
      <c r="F565" s="18"/>
      <c r="G565" s="18"/>
      <c r="H565" s="18"/>
      <c r="I565" s="18"/>
      <c r="J565" s="18" t="s">
        <v>841</v>
      </c>
      <c r="K565" s="18"/>
      <c r="L565" s="18"/>
      <c r="AC565" s="1261"/>
    </row>
    <row r="566">
      <c r="B566" s="18"/>
      <c r="C566" s="18"/>
      <c r="D566" s="18"/>
      <c r="E566" s="314"/>
      <c r="F566" s="18"/>
      <c r="G566" s="18"/>
      <c r="H566" s="18"/>
      <c r="I566" s="18"/>
      <c r="J566" s="18" t="s">
        <v>841</v>
      </c>
      <c r="K566" s="18"/>
      <c r="L566" s="18"/>
      <c r="AC566" s="1261"/>
    </row>
    <row r="567">
      <c r="B567" s="18"/>
      <c r="C567" s="18"/>
      <c r="D567" s="18"/>
      <c r="E567" s="314"/>
      <c r="F567" s="18"/>
      <c r="G567" s="18"/>
      <c r="H567" s="18"/>
      <c r="I567" s="18"/>
      <c r="J567" s="18" t="s">
        <v>841</v>
      </c>
      <c r="K567" s="18"/>
      <c r="L567" s="18"/>
      <c r="AC567" s="1261"/>
    </row>
    <row r="568">
      <c r="B568" s="18"/>
      <c r="C568" s="18"/>
      <c r="D568" s="18"/>
      <c r="E568" s="314"/>
      <c r="F568" s="18"/>
      <c r="G568" s="18"/>
      <c r="H568" s="18"/>
      <c r="I568" s="18"/>
      <c r="J568" s="18" t="s">
        <v>841</v>
      </c>
      <c r="K568" s="18"/>
      <c r="L568" s="18"/>
      <c r="AC568" s="1261"/>
    </row>
    <row r="569">
      <c r="B569" s="18"/>
      <c r="C569" s="18"/>
      <c r="D569" s="18"/>
      <c r="E569" s="314"/>
      <c r="F569" s="18"/>
      <c r="G569" s="18"/>
      <c r="H569" s="18"/>
      <c r="I569" s="18"/>
      <c r="J569" s="18" t="s">
        <v>841</v>
      </c>
      <c r="K569" s="18"/>
      <c r="L569" s="18"/>
      <c r="AC569" s="1261"/>
    </row>
    <row r="570">
      <c r="B570" s="18"/>
      <c r="C570" s="18"/>
      <c r="D570" s="18"/>
      <c r="E570" s="314"/>
      <c r="F570" s="18"/>
      <c r="G570" s="18"/>
      <c r="H570" s="18"/>
      <c r="I570" s="18"/>
      <c r="J570" s="18" t="s">
        <v>841</v>
      </c>
      <c r="K570" s="18"/>
      <c r="L570" s="18"/>
      <c r="AC570" s="1261"/>
    </row>
    <row r="571">
      <c r="B571" s="18"/>
      <c r="C571" s="18"/>
      <c r="D571" s="18"/>
      <c r="E571" s="314"/>
      <c r="F571" s="18"/>
      <c r="G571" s="18"/>
      <c r="H571" s="18"/>
      <c r="I571" s="18"/>
      <c r="J571" s="18" t="s">
        <v>841</v>
      </c>
      <c r="K571" s="18"/>
      <c r="L571" s="18"/>
      <c r="AC571" s="1261"/>
    </row>
    <row r="572">
      <c r="B572" s="18"/>
      <c r="C572" s="18"/>
      <c r="D572" s="18"/>
      <c r="E572" s="314"/>
      <c r="F572" s="18"/>
      <c r="G572" s="18"/>
      <c r="H572" s="18"/>
      <c r="I572" s="18"/>
      <c r="J572" s="18" t="s">
        <v>841</v>
      </c>
      <c r="K572" s="18"/>
      <c r="L572" s="18"/>
      <c r="AC572" s="1261"/>
    </row>
    <row r="573">
      <c r="B573" s="18"/>
      <c r="C573" s="18"/>
      <c r="D573" s="18"/>
      <c r="E573" s="314"/>
      <c r="F573" s="18"/>
      <c r="G573" s="18"/>
      <c r="H573" s="18"/>
      <c r="I573" s="18"/>
      <c r="J573" s="18" t="s">
        <v>841</v>
      </c>
      <c r="K573" s="18"/>
      <c r="L573" s="18"/>
      <c r="AC573" s="1261"/>
    </row>
    <row r="574">
      <c r="B574" s="18"/>
      <c r="C574" s="18"/>
      <c r="D574" s="18"/>
      <c r="E574" s="314"/>
      <c r="F574" s="18"/>
      <c r="G574" s="18"/>
      <c r="H574" s="18"/>
      <c r="I574" s="18"/>
      <c r="J574" s="18" t="s">
        <v>841</v>
      </c>
      <c r="K574" s="18"/>
      <c r="L574" s="18"/>
      <c r="AC574" s="1261"/>
    </row>
    <row r="575">
      <c r="B575" s="18"/>
      <c r="C575" s="18"/>
      <c r="D575" s="18"/>
      <c r="E575" s="314"/>
      <c r="F575" s="18"/>
      <c r="G575" s="18"/>
      <c r="H575" s="18"/>
      <c r="I575" s="18"/>
      <c r="J575" s="18" t="s">
        <v>841</v>
      </c>
      <c r="K575" s="18"/>
      <c r="L575" s="18"/>
      <c r="AC575" s="1261"/>
    </row>
    <row r="576">
      <c r="B576" s="18"/>
      <c r="C576" s="18"/>
      <c r="D576" s="18"/>
      <c r="E576" s="314"/>
      <c r="F576" s="18"/>
      <c r="G576" s="18"/>
      <c r="H576" s="18"/>
      <c r="I576" s="18"/>
      <c r="J576" s="18" t="s">
        <v>841</v>
      </c>
      <c r="K576" s="18"/>
      <c r="L576" s="18"/>
      <c r="AC576" s="1261"/>
    </row>
    <row r="577">
      <c r="B577" s="18"/>
      <c r="C577" s="18"/>
      <c r="D577" s="18"/>
      <c r="E577" s="314"/>
      <c r="F577" s="18"/>
      <c r="G577" s="18"/>
      <c r="H577" s="18"/>
      <c r="I577" s="18"/>
      <c r="J577" s="18" t="s">
        <v>841</v>
      </c>
      <c r="K577" s="18"/>
      <c r="L577" s="18"/>
      <c r="AC577" s="1261"/>
    </row>
    <row r="578">
      <c r="B578" s="18"/>
      <c r="C578" s="18"/>
      <c r="D578" s="18"/>
      <c r="E578" s="314"/>
      <c r="F578" s="18"/>
      <c r="G578" s="18"/>
      <c r="H578" s="18"/>
      <c r="I578" s="18"/>
      <c r="J578" s="18" t="s">
        <v>841</v>
      </c>
      <c r="K578" s="18"/>
      <c r="L578" s="18"/>
      <c r="AC578" s="1261"/>
    </row>
    <row r="579">
      <c r="B579" s="18"/>
      <c r="C579" s="18"/>
      <c r="D579" s="18"/>
      <c r="E579" s="314"/>
      <c r="F579" s="18"/>
      <c r="G579" s="18"/>
      <c r="H579" s="18"/>
      <c r="I579" s="18"/>
      <c r="J579" s="18" t="s">
        <v>841</v>
      </c>
      <c r="K579" s="18"/>
      <c r="L579" s="18"/>
      <c r="AC579" s="1261"/>
    </row>
    <row r="580">
      <c r="B580" s="18"/>
      <c r="C580" s="18"/>
      <c r="D580" s="18"/>
      <c r="E580" s="314"/>
      <c r="F580" s="18"/>
      <c r="G580" s="18"/>
      <c r="H580" s="18"/>
      <c r="I580" s="18"/>
      <c r="J580" s="18" t="s">
        <v>841</v>
      </c>
      <c r="K580" s="18"/>
      <c r="L580" s="18"/>
      <c r="AC580" s="1261"/>
    </row>
    <row r="581">
      <c r="B581" s="18"/>
      <c r="C581" s="18"/>
      <c r="D581" s="18"/>
      <c r="E581" s="314"/>
      <c r="F581" s="18"/>
      <c r="G581" s="18"/>
      <c r="H581" s="18"/>
      <c r="I581" s="18"/>
      <c r="J581" s="18" t="s">
        <v>841</v>
      </c>
      <c r="K581" s="18"/>
      <c r="L581" s="18"/>
      <c r="AC581" s="1261"/>
    </row>
    <row r="582">
      <c r="B582" s="18"/>
      <c r="C582" s="18"/>
      <c r="D582" s="18"/>
      <c r="E582" s="314"/>
      <c r="F582" s="18"/>
      <c r="G582" s="18"/>
      <c r="H582" s="18"/>
      <c r="I582" s="18"/>
      <c r="J582" s="18" t="s">
        <v>841</v>
      </c>
      <c r="K582" s="18"/>
      <c r="L582" s="18"/>
      <c r="AC582" s="1261"/>
    </row>
    <row r="583">
      <c r="B583" s="18"/>
      <c r="C583" s="18"/>
      <c r="D583" s="18"/>
      <c r="E583" s="314"/>
      <c r="F583" s="18"/>
      <c r="G583" s="18"/>
      <c r="H583" s="18"/>
      <c r="I583" s="18"/>
      <c r="J583" s="18" t="s">
        <v>841</v>
      </c>
      <c r="K583" s="18"/>
      <c r="L583" s="18"/>
      <c r="AC583" s="1261"/>
    </row>
    <row r="584">
      <c r="B584" s="18"/>
      <c r="C584" s="18"/>
      <c r="D584" s="18"/>
      <c r="E584" s="314"/>
      <c r="F584" s="18"/>
      <c r="G584" s="18"/>
      <c r="H584" s="18"/>
      <c r="I584" s="18"/>
      <c r="J584" s="18" t="s">
        <v>841</v>
      </c>
      <c r="K584" s="18"/>
      <c r="L584" s="18"/>
      <c r="AC584" s="1261"/>
    </row>
    <row r="585">
      <c r="B585" s="18"/>
      <c r="C585" s="18"/>
      <c r="D585" s="18"/>
      <c r="E585" s="314"/>
      <c r="F585" s="18"/>
      <c r="G585" s="18"/>
      <c r="H585" s="18"/>
      <c r="I585" s="18"/>
      <c r="J585" s="18" t="s">
        <v>841</v>
      </c>
      <c r="K585" s="18"/>
      <c r="L585" s="18"/>
      <c r="AC585" s="1261"/>
    </row>
    <row r="586">
      <c r="B586" s="18"/>
      <c r="C586" s="18"/>
      <c r="D586" s="18"/>
      <c r="E586" s="314"/>
      <c r="F586" s="18"/>
      <c r="G586" s="18"/>
      <c r="H586" s="18"/>
      <c r="I586" s="18"/>
      <c r="J586" s="18" t="s">
        <v>841</v>
      </c>
      <c r="K586" s="18"/>
      <c r="L586" s="18"/>
      <c r="AC586" s="1261"/>
    </row>
    <row r="587">
      <c r="B587" s="18"/>
      <c r="C587" s="18"/>
      <c r="D587" s="18"/>
      <c r="E587" s="314"/>
      <c r="F587" s="18"/>
      <c r="G587" s="18"/>
      <c r="H587" s="18"/>
      <c r="I587" s="18"/>
      <c r="J587" s="18" t="s">
        <v>841</v>
      </c>
      <c r="K587" s="18"/>
      <c r="L587" s="18"/>
      <c r="AC587" s="1261"/>
    </row>
    <row r="588">
      <c r="B588" s="18"/>
      <c r="C588" s="18"/>
      <c r="D588" s="18"/>
      <c r="E588" s="314"/>
      <c r="F588" s="18"/>
      <c r="G588" s="18"/>
      <c r="H588" s="18"/>
      <c r="I588" s="18"/>
      <c r="J588" s="18" t="s">
        <v>841</v>
      </c>
      <c r="K588" s="18"/>
      <c r="L588" s="18"/>
      <c r="AC588" s="1261"/>
    </row>
    <row r="589">
      <c r="B589" s="18"/>
      <c r="C589" s="18"/>
      <c r="D589" s="18"/>
      <c r="E589" s="314"/>
      <c r="F589" s="18"/>
      <c r="G589" s="18"/>
      <c r="H589" s="18"/>
      <c r="I589" s="18"/>
      <c r="J589" s="18" t="s">
        <v>841</v>
      </c>
      <c r="K589" s="18"/>
      <c r="L589" s="18"/>
      <c r="AC589" s="1261"/>
    </row>
    <row r="590">
      <c r="B590" s="18"/>
      <c r="C590" s="18"/>
      <c r="D590" s="18"/>
      <c r="E590" s="314"/>
      <c r="F590" s="18"/>
      <c r="G590" s="18"/>
      <c r="H590" s="18"/>
      <c r="I590" s="18"/>
      <c r="J590" s="18" t="s">
        <v>841</v>
      </c>
      <c r="K590" s="18"/>
      <c r="L590" s="18"/>
      <c r="AC590" s="1261"/>
    </row>
    <row r="591">
      <c r="B591" s="18"/>
      <c r="C591" s="18"/>
      <c r="D591" s="18"/>
      <c r="E591" s="314"/>
      <c r="F591" s="18"/>
      <c r="G591" s="18"/>
      <c r="H591" s="18"/>
      <c r="I591" s="18"/>
      <c r="J591" s="18" t="s">
        <v>841</v>
      </c>
      <c r="K591" s="18"/>
      <c r="L591" s="18"/>
      <c r="AC591" s="1261"/>
    </row>
    <row r="592">
      <c r="B592" s="18"/>
      <c r="C592" s="18"/>
      <c r="D592" s="18"/>
      <c r="E592" s="314"/>
      <c r="F592" s="18"/>
      <c r="G592" s="18"/>
      <c r="H592" s="18"/>
      <c r="I592" s="18"/>
      <c r="J592" s="18" t="s">
        <v>841</v>
      </c>
      <c r="K592" s="18"/>
      <c r="L592" s="18"/>
      <c r="AC592" s="1261"/>
    </row>
    <row r="593">
      <c r="B593" s="18"/>
      <c r="C593" s="18"/>
      <c r="D593" s="18"/>
      <c r="E593" s="314"/>
      <c r="F593" s="18"/>
      <c r="G593" s="18"/>
      <c r="H593" s="18"/>
      <c r="I593" s="18"/>
      <c r="J593" s="18" t="s">
        <v>841</v>
      </c>
      <c r="K593" s="18"/>
      <c r="L593" s="18"/>
      <c r="AC593" s="1261"/>
    </row>
    <row r="594">
      <c r="B594" s="18"/>
      <c r="C594" s="18"/>
      <c r="D594" s="18"/>
      <c r="E594" s="314"/>
      <c r="F594" s="18"/>
      <c r="G594" s="18"/>
      <c r="H594" s="18"/>
      <c r="I594" s="18"/>
      <c r="J594" s="18" t="s">
        <v>841</v>
      </c>
      <c r="K594" s="18"/>
      <c r="L594" s="18"/>
      <c r="AC594" s="1261"/>
    </row>
    <row r="595">
      <c r="B595" s="18"/>
      <c r="C595" s="18"/>
      <c r="D595" s="18"/>
      <c r="E595" s="314"/>
      <c r="F595" s="18"/>
      <c r="G595" s="18"/>
      <c r="H595" s="18"/>
      <c r="I595" s="18"/>
      <c r="J595" s="18" t="s">
        <v>841</v>
      </c>
      <c r="K595" s="18"/>
      <c r="L595" s="18"/>
      <c r="AC595" s="1261"/>
    </row>
    <row r="596">
      <c r="B596" s="18"/>
      <c r="C596" s="18"/>
      <c r="D596" s="18"/>
      <c r="E596" s="314"/>
      <c r="F596" s="18"/>
      <c r="G596" s="18"/>
      <c r="H596" s="18"/>
      <c r="I596" s="18"/>
      <c r="J596" s="18" t="s">
        <v>841</v>
      </c>
      <c r="K596" s="18"/>
      <c r="L596" s="18"/>
      <c r="AC596" s="1261"/>
    </row>
    <row r="597">
      <c r="B597" s="18"/>
      <c r="C597" s="18"/>
      <c r="D597" s="18"/>
      <c r="E597" s="314"/>
      <c r="F597" s="18"/>
      <c r="G597" s="18"/>
      <c r="H597" s="18"/>
      <c r="I597" s="18"/>
      <c r="J597" s="18" t="s">
        <v>841</v>
      </c>
      <c r="K597" s="18"/>
      <c r="L597" s="18"/>
      <c r="AC597" s="1261"/>
    </row>
    <row r="598">
      <c r="B598" s="18"/>
      <c r="C598" s="18"/>
      <c r="D598" s="18"/>
      <c r="E598" s="314"/>
      <c r="F598" s="18"/>
      <c r="G598" s="18"/>
      <c r="H598" s="18"/>
      <c r="I598" s="18"/>
      <c r="J598" s="18" t="s">
        <v>841</v>
      </c>
      <c r="K598" s="18"/>
      <c r="L598" s="18"/>
      <c r="AC598" s="1261"/>
    </row>
    <row r="599">
      <c r="B599" s="18"/>
      <c r="C599" s="18"/>
      <c r="D599" s="18"/>
      <c r="E599" s="314"/>
      <c r="F599" s="18"/>
      <c r="G599" s="18"/>
      <c r="H599" s="18"/>
      <c r="I599" s="18"/>
      <c r="J599" s="18" t="s">
        <v>841</v>
      </c>
      <c r="K599" s="18"/>
      <c r="L599" s="18"/>
      <c r="AC599" s="1261"/>
    </row>
    <row r="600">
      <c r="B600" s="18"/>
      <c r="C600" s="18"/>
      <c r="D600" s="18"/>
      <c r="E600" s="314"/>
      <c r="F600" s="18"/>
      <c r="G600" s="18"/>
      <c r="H600" s="18"/>
      <c r="I600" s="18"/>
      <c r="J600" s="18" t="s">
        <v>841</v>
      </c>
      <c r="K600" s="18"/>
      <c r="L600" s="18"/>
      <c r="AC600" s="1261"/>
    </row>
    <row r="601">
      <c r="B601" s="18"/>
      <c r="C601" s="18"/>
      <c r="D601" s="18"/>
      <c r="E601" s="314"/>
      <c r="F601" s="18"/>
      <c r="G601" s="18"/>
      <c r="H601" s="18"/>
      <c r="I601" s="18"/>
      <c r="J601" s="18" t="s">
        <v>841</v>
      </c>
      <c r="K601" s="18"/>
      <c r="L601" s="18"/>
      <c r="AC601" s="1261"/>
    </row>
    <row r="602">
      <c r="B602" s="18"/>
      <c r="C602" s="18"/>
      <c r="D602" s="18"/>
      <c r="E602" s="314"/>
      <c r="F602" s="18"/>
      <c r="G602" s="18"/>
      <c r="H602" s="18"/>
      <c r="I602" s="18"/>
      <c r="J602" s="18" t="s">
        <v>841</v>
      </c>
      <c r="K602" s="18"/>
      <c r="L602" s="18"/>
      <c r="AC602" s="1261"/>
    </row>
    <row r="603">
      <c r="B603" s="18"/>
      <c r="C603" s="18"/>
      <c r="D603" s="18"/>
      <c r="E603" s="314"/>
      <c r="F603" s="18"/>
      <c r="G603" s="18"/>
      <c r="H603" s="18"/>
      <c r="I603" s="18"/>
      <c r="J603" s="18" t="s">
        <v>841</v>
      </c>
      <c r="K603" s="18"/>
      <c r="L603" s="18"/>
      <c r="AC603" s="1261"/>
    </row>
    <row r="604">
      <c r="B604" s="18"/>
      <c r="C604" s="18"/>
      <c r="D604" s="18"/>
      <c r="E604" s="314"/>
      <c r="F604" s="18"/>
      <c r="G604" s="18"/>
      <c r="H604" s="18"/>
      <c r="I604" s="18"/>
      <c r="J604" s="18" t="s">
        <v>841</v>
      </c>
      <c r="K604" s="18"/>
      <c r="L604" s="18"/>
      <c r="AC604" s="1261"/>
    </row>
    <row r="605">
      <c r="B605" s="18"/>
      <c r="C605" s="18"/>
      <c r="D605" s="18"/>
      <c r="E605" s="314"/>
      <c r="F605" s="18"/>
      <c r="G605" s="18"/>
      <c r="H605" s="18"/>
      <c r="I605" s="18"/>
      <c r="J605" s="18" t="s">
        <v>841</v>
      </c>
      <c r="K605" s="18"/>
      <c r="L605" s="18"/>
      <c r="AC605" s="1261"/>
    </row>
    <row r="606">
      <c r="B606" s="18"/>
      <c r="C606" s="18"/>
      <c r="D606" s="18"/>
      <c r="E606" s="314"/>
      <c r="F606" s="18"/>
      <c r="G606" s="18"/>
      <c r="H606" s="18"/>
      <c r="I606" s="18"/>
      <c r="J606" s="18" t="s">
        <v>841</v>
      </c>
      <c r="K606" s="18"/>
      <c r="L606" s="18"/>
      <c r="AC606" s="1261"/>
    </row>
    <row r="607">
      <c r="B607" s="18"/>
      <c r="C607" s="18"/>
      <c r="D607" s="18"/>
      <c r="E607" s="314"/>
      <c r="F607" s="18"/>
      <c r="G607" s="18"/>
      <c r="H607" s="18"/>
      <c r="I607" s="18"/>
      <c r="J607" s="18" t="s">
        <v>841</v>
      </c>
      <c r="K607" s="18"/>
      <c r="L607" s="18"/>
      <c r="AC607" s="1261"/>
    </row>
    <row r="608">
      <c r="B608" s="18"/>
      <c r="C608" s="18"/>
      <c r="D608" s="18"/>
      <c r="E608" s="314"/>
      <c r="F608" s="18"/>
      <c r="G608" s="18"/>
      <c r="H608" s="18"/>
      <c r="I608" s="18"/>
      <c r="J608" s="18" t="s">
        <v>841</v>
      </c>
      <c r="K608" s="18"/>
      <c r="L608" s="18"/>
      <c r="AC608" s="1261"/>
    </row>
    <row r="609">
      <c r="B609" s="18"/>
      <c r="C609" s="18"/>
      <c r="D609" s="18"/>
      <c r="E609" s="314"/>
      <c r="F609" s="18"/>
      <c r="G609" s="18"/>
      <c r="H609" s="18"/>
      <c r="I609" s="18"/>
      <c r="J609" s="18" t="s">
        <v>841</v>
      </c>
      <c r="K609" s="18"/>
      <c r="L609" s="18"/>
      <c r="AC609" s="1261"/>
    </row>
    <row r="610">
      <c r="B610" s="18"/>
      <c r="C610" s="18"/>
      <c r="D610" s="18"/>
      <c r="E610" s="314"/>
      <c r="F610" s="18"/>
      <c r="G610" s="18"/>
      <c r="H610" s="18"/>
      <c r="I610" s="18"/>
      <c r="J610" s="18" t="s">
        <v>841</v>
      </c>
      <c r="K610" s="18"/>
      <c r="L610" s="18"/>
      <c r="AC610" s="1261"/>
    </row>
    <row r="611">
      <c r="B611" s="18"/>
      <c r="C611" s="18"/>
      <c r="D611" s="18"/>
      <c r="E611" s="314"/>
      <c r="F611" s="18"/>
      <c r="G611" s="18"/>
      <c r="H611" s="18"/>
      <c r="I611" s="18"/>
      <c r="J611" s="18" t="s">
        <v>841</v>
      </c>
      <c r="K611" s="18"/>
      <c r="L611" s="18"/>
      <c r="AC611" s="1261"/>
    </row>
    <row r="612">
      <c r="B612" s="18"/>
      <c r="C612" s="18"/>
      <c r="D612" s="18"/>
      <c r="E612" s="314"/>
      <c r="F612" s="18"/>
      <c r="G612" s="18"/>
      <c r="H612" s="18"/>
      <c r="I612" s="18"/>
      <c r="J612" s="18" t="s">
        <v>841</v>
      </c>
      <c r="K612" s="18"/>
      <c r="L612" s="18"/>
      <c r="AC612" s="1261"/>
    </row>
    <row r="613">
      <c r="B613" s="18"/>
      <c r="C613" s="18"/>
      <c r="D613" s="18"/>
      <c r="E613" s="314"/>
      <c r="F613" s="18"/>
      <c r="G613" s="18"/>
      <c r="H613" s="18"/>
      <c r="I613" s="18"/>
      <c r="J613" s="18" t="s">
        <v>841</v>
      </c>
      <c r="K613" s="18"/>
      <c r="L613" s="18"/>
      <c r="AC613" s="1261"/>
    </row>
    <row r="614">
      <c r="B614" s="18"/>
      <c r="C614" s="18"/>
      <c r="D614" s="18"/>
      <c r="E614" s="314"/>
      <c r="F614" s="18"/>
      <c r="G614" s="18"/>
      <c r="H614" s="18"/>
      <c r="I614" s="18"/>
      <c r="J614" s="18" t="s">
        <v>841</v>
      </c>
      <c r="K614" s="18"/>
      <c r="L614" s="18"/>
      <c r="AC614" s="1261"/>
    </row>
    <row r="615">
      <c r="B615" s="18"/>
      <c r="C615" s="18"/>
      <c r="D615" s="18"/>
      <c r="E615" s="314"/>
      <c r="F615" s="18"/>
      <c r="G615" s="18"/>
      <c r="H615" s="18"/>
      <c r="I615" s="18"/>
      <c r="J615" s="18" t="s">
        <v>841</v>
      </c>
      <c r="K615" s="18"/>
      <c r="L615" s="18"/>
      <c r="AC615" s="1261"/>
    </row>
    <row r="616">
      <c r="B616" s="18"/>
      <c r="C616" s="18"/>
      <c r="D616" s="18"/>
      <c r="E616" s="314"/>
      <c r="F616" s="18"/>
      <c r="G616" s="18"/>
      <c r="H616" s="18"/>
      <c r="I616" s="18"/>
      <c r="J616" s="18" t="s">
        <v>841</v>
      </c>
      <c r="K616" s="18"/>
      <c r="L616" s="18"/>
      <c r="AC616" s="1261"/>
    </row>
    <row r="617">
      <c r="B617" s="18"/>
      <c r="C617" s="18"/>
      <c r="D617" s="18"/>
      <c r="E617" s="314"/>
      <c r="F617" s="18"/>
      <c r="G617" s="18"/>
      <c r="H617" s="18"/>
      <c r="I617" s="18"/>
      <c r="J617" s="18" t="s">
        <v>841</v>
      </c>
      <c r="K617" s="18"/>
      <c r="L617" s="18"/>
      <c r="AC617" s="1261"/>
    </row>
    <row r="618">
      <c r="B618" s="18"/>
      <c r="C618" s="18"/>
      <c r="D618" s="18"/>
      <c r="E618" s="314"/>
      <c r="F618" s="18"/>
      <c r="G618" s="18"/>
      <c r="H618" s="18"/>
      <c r="I618" s="18"/>
      <c r="J618" s="18" t="s">
        <v>841</v>
      </c>
      <c r="K618" s="18"/>
      <c r="L618" s="18"/>
      <c r="AC618" s="1261"/>
    </row>
    <row r="619">
      <c r="B619" s="18"/>
      <c r="C619" s="18"/>
      <c r="D619" s="18"/>
      <c r="E619" s="314"/>
      <c r="F619" s="18"/>
      <c r="G619" s="18"/>
      <c r="H619" s="18"/>
      <c r="I619" s="18"/>
      <c r="J619" s="18" t="s">
        <v>841</v>
      </c>
      <c r="K619" s="18"/>
      <c r="L619" s="18"/>
      <c r="AC619" s="1261"/>
    </row>
    <row r="620">
      <c r="B620" s="18"/>
      <c r="C620" s="18"/>
      <c r="D620" s="18"/>
      <c r="E620" s="314"/>
      <c r="F620" s="18"/>
      <c r="G620" s="18"/>
      <c r="H620" s="18"/>
      <c r="I620" s="18"/>
      <c r="J620" s="18" t="s">
        <v>841</v>
      </c>
      <c r="K620" s="18"/>
      <c r="L620" s="18"/>
      <c r="AC620" s="1261"/>
    </row>
    <row r="621">
      <c r="B621" s="18"/>
      <c r="C621" s="18"/>
      <c r="D621" s="18"/>
      <c r="E621" s="314"/>
      <c r="F621" s="18"/>
      <c r="G621" s="18"/>
      <c r="H621" s="18"/>
      <c r="I621" s="18"/>
      <c r="J621" s="18" t="s">
        <v>841</v>
      </c>
      <c r="K621" s="18"/>
      <c r="L621" s="18"/>
      <c r="AC621" s="1261"/>
    </row>
    <row r="622">
      <c r="B622" s="18"/>
      <c r="C622" s="18"/>
      <c r="D622" s="18"/>
      <c r="E622" s="314"/>
      <c r="F622" s="18"/>
      <c r="G622" s="18"/>
      <c r="H622" s="18"/>
      <c r="I622" s="18"/>
      <c r="J622" s="18" t="s">
        <v>841</v>
      </c>
      <c r="K622" s="18"/>
      <c r="L622" s="18"/>
      <c r="AC622" s="1261"/>
    </row>
    <row r="623">
      <c r="B623" s="18"/>
      <c r="C623" s="18"/>
      <c r="D623" s="18"/>
      <c r="E623" s="314"/>
      <c r="F623" s="18"/>
      <c r="G623" s="18"/>
      <c r="H623" s="18"/>
      <c r="I623" s="18"/>
      <c r="J623" s="18" t="s">
        <v>841</v>
      </c>
      <c r="K623" s="18"/>
      <c r="L623" s="18"/>
      <c r="AC623" s="1261"/>
    </row>
    <row r="624">
      <c r="B624" s="18"/>
      <c r="C624" s="18"/>
      <c r="D624" s="18"/>
      <c r="E624" s="314"/>
      <c r="F624" s="18"/>
      <c r="G624" s="18"/>
      <c r="H624" s="18"/>
      <c r="I624" s="18"/>
      <c r="J624" s="18" t="s">
        <v>841</v>
      </c>
      <c r="K624" s="18"/>
      <c r="L624" s="18"/>
      <c r="AC624" s="1261"/>
    </row>
    <row r="625">
      <c r="B625" s="18"/>
      <c r="C625" s="18"/>
      <c r="D625" s="18"/>
      <c r="E625" s="314"/>
      <c r="F625" s="18"/>
      <c r="G625" s="18"/>
      <c r="H625" s="18"/>
      <c r="I625" s="18"/>
      <c r="J625" s="18" t="s">
        <v>841</v>
      </c>
      <c r="K625" s="18"/>
      <c r="L625" s="18"/>
      <c r="AC625" s="1261"/>
    </row>
    <row r="626">
      <c r="B626" s="18"/>
      <c r="C626" s="18"/>
      <c r="D626" s="18"/>
      <c r="E626" s="314"/>
      <c r="F626" s="18"/>
      <c r="G626" s="18"/>
      <c r="H626" s="18"/>
      <c r="I626" s="18"/>
      <c r="J626" s="18" t="s">
        <v>841</v>
      </c>
      <c r="K626" s="18"/>
      <c r="L626" s="18"/>
      <c r="AC626" s="1261"/>
    </row>
    <row r="627">
      <c r="B627" s="18"/>
      <c r="C627" s="18"/>
      <c r="D627" s="18"/>
      <c r="E627" s="314"/>
      <c r="F627" s="18"/>
      <c r="G627" s="18"/>
      <c r="H627" s="18"/>
      <c r="I627" s="18"/>
      <c r="J627" s="18" t="s">
        <v>841</v>
      </c>
      <c r="K627" s="18"/>
      <c r="L627" s="18"/>
      <c r="AC627" s="1261"/>
    </row>
    <row r="628">
      <c r="B628" s="18"/>
      <c r="C628" s="18"/>
      <c r="D628" s="18"/>
      <c r="E628" s="314"/>
      <c r="F628" s="18"/>
      <c r="G628" s="18"/>
      <c r="H628" s="18"/>
      <c r="I628" s="18"/>
      <c r="J628" s="18" t="s">
        <v>841</v>
      </c>
      <c r="K628" s="18"/>
      <c r="L628" s="18"/>
      <c r="AC628" s="1261"/>
    </row>
    <row r="629">
      <c r="B629" s="18"/>
      <c r="C629" s="18"/>
      <c r="D629" s="18"/>
      <c r="E629" s="314"/>
      <c r="F629" s="18"/>
      <c r="G629" s="18"/>
      <c r="H629" s="18"/>
      <c r="I629" s="18"/>
      <c r="J629" s="18" t="s">
        <v>841</v>
      </c>
      <c r="K629" s="18"/>
      <c r="L629" s="18"/>
      <c r="AC629" s="1261"/>
    </row>
    <row r="630">
      <c r="B630" s="18"/>
      <c r="C630" s="18"/>
      <c r="D630" s="18"/>
      <c r="E630" s="314"/>
      <c r="F630" s="18"/>
      <c r="G630" s="18"/>
      <c r="H630" s="18"/>
      <c r="I630" s="18"/>
      <c r="J630" s="18" t="s">
        <v>841</v>
      </c>
      <c r="K630" s="18"/>
      <c r="L630" s="18"/>
      <c r="AC630" s="1261"/>
    </row>
    <row r="631">
      <c r="B631" s="18"/>
      <c r="C631" s="18"/>
      <c r="D631" s="18"/>
      <c r="E631" s="314"/>
      <c r="F631" s="18"/>
      <c r="G631" s="18"/>
      <c r="H631" s="18"/>
      <c r="I631" s="18"/>
      <c r="J631" s="18" t="s">
        <v>841</v>
      </c>
      <c r="K631" s="18"/>
      <c r="L631" s="18"/>
      <c r="AC631" s="1261"/>
    </row>
    <row r="632">
      <c r="B632" s="18"/>
      <c r="C632" s="18"/>
      <c r="D632" s="18"/>
      <c r="E632" s="314"/>
      <c r="F632" s="18"/>
      <c r="G632" s="18"/>
      <c r="H632" s="18"/>
      <c r="I632" s="18"/>
      <c r="J632" s="18" t="s">
        <v>841</v>
      </c>
      <c r="K632" s="18"/>
      <c r="L632" s="18"/>
      <c r="AC632" s="1261"/>
    </row>
    <row r="633">
      <c r="B633" s="18"/>
      <c r="C633" s="18"/>
      <c r="D633" s="18"/>
      <c r="E633" s="314"/>
      <c r="F633" s="18"/>
      <c r="G633" s="18"/>
      <c r="H633" s="18"/>
      <c r="I633" s="18"/>
      <c r="J633" s="18" t="s">
        <v>841</v>
      </c>
      <c r="K633" s="18"/>
      <c r="L633" s="18"/>
      <c r="AC633" s="1261"/>
    </row>
    <row r="634">
      <c r="B634" s="18"/>
      <c r="C634" s="18"/>
      <c r="D634" s="18"/>
      <c r="E634" s="314"/>
      <c r="F634" s="18"/>
      <c r="G634" s="18"/>
      <c r="H634" s="18"/>
      <c r="I634" s="18"/>
      <c r="J634" s="18" t="s">
        <v>841</v>
      </c>
      <c r="K634" s="18"/>
      <c r="L634" s="18"/>
      <c r="AC634" s="1261"/>
    </row>
    <row r="635">
      <c r="B635" s="18"/>
      <c r="C635" s="18"/>
      <c r="D635" s="18"/>
      <c r="E635" s="314"/>
      <c r="F635" s="18"/>
      <c r="G635" s="18"/>
      <c r="H635" s="18"/>
      <c r="I635" s="18"/>
      <c r="J635" s="18" t="s">
        <v>841</v>
      </c>
      <c r="K635" s="18"/>
      <c r="L635" s="18"/>
      <c r="AC635" s="1261"/>
    </row>
    <row r="636">
      <c r="B636" s="18"/>
      <c r="C636" s="18"/>
      <c r="D636" s="18"/>
      <c r="E636" s="314"/>
      <c r="F636" s="18"/>
      <c r="G636" s="18"/>
      <c r="H636" s="18"/>
      <c r="I636" s="18"/>
      <c r="J636" s="18" t="s">
        <v>841</v>
      </c>
      <c r="K636" s="18"/>
      <c r="L636" s="18"/>
      <c r="AC636" s="1261"/>
    </row>
    <row r="637">
      <c r="B637" s="18"/>
      <c r="C637" s="18"/>
      <c r="D637" s="18"/>
      <c r="E637" s="314"/>
      <c r="F637" s="18"/>
      <c r="G637" s="18"/>
      <c r="H637" s="18"/>
      <c r="I637" s="18"/>
      <c r="J637" s="18" t="s">
        <v>841</v>
      </c>
      <c r="K637" s="18"/>
      <c r="L637" s="18"/>
      <c r="AC637" s="1261"/>
    </row>
    <row r="638">
      <c r="B638" s="18"/>
      <c r="C638" s="18"/>
      <c r="D638" s="18"/>
      <c r="E638" s="314"/>
      <c r="F638" s="18"/>
      <c r="G638" s="18"/>
      <c r="H638" s="18"/>
      <c r="I638" s="18"/>
      <c r="J638" s="18" t="s">
        <v>841</v>
      </c>
      <c r="K638" s="18"/>
      <c r="L638" s="18"/>
      <c r="AC638" s="1261"/>
    </row>
    <row r="639">
      <c r="B639" s="18"/>
      <c r="C639" s="18"/>
      <c r="D639" s="18"/>
      <c r="E639" s="314"/>
      <c r="F639" s="18"/>
      <c r="G639" s="18"/>
      <c r="H639" s="18"/>
      <c r="I639" s="18"/>
      <c r="J639" s="18" t="s">
        <v>841</v>
      </c>
      <c r="K639" s="18"/>
      <c r="L639" s="18"/>
      <c r="AC639" s="1261"/>
    </row>
    <row r="640">
      <c r="B640" s="18"/>
      <c r="C640" s="18"/>
      <c r="D640" s="18"/>
      <c r="E640" s="314"/>
      <c r="F640" s="18"/>
      <c r="G640" s="18"/>
      <c r="H640" s="18"/>
      <c r="I640" s="18"/>
      <c r="J640" s="18" t="s">
        <v>841</v>
      </c>
      <c r="K640" s="18"/>
      <c r="L640" s="18"/>
      <c r="AC640" s="1261"/>
    </row>
    <row r="641">
      <c r="B641" s="18"/>
      <c r="C641" s="18"/>
      <c r="D641" s="18"/>
      <c r="E641" s="314"/>
      <c r="F641" s="18"/>
      <c r="G641" s="18"/>
      <c r="H641" s="18"/>
      <c r="I641" s="18"/>
      <c r="J641" s="18" t="s">
        <v>841</v>
      </c>
      <c r="K641" s="18"/>
      <c r="L641" s="18"/>
      <c r="AC641" s="1261"/>
    </row>
    <row r="642">
      <c r="B642" s="18"/>
      <c r="C642" s="18"/>
      <c r="D642" s="18"/>
      <c r="E642" s="314"/>
      <c r="F642" s="18"/>
      <c r="G642" s="18"/>
      <c r="H642" s="18"/>
      <c r="I642" s="18"/>
      <c r="J642" s="18" t="s">
        <v>841</v>
      </c>
      <c r="K642" s="18"/>
      <c r="L642" s="18"/>
      <c r="AC642" s="1261"/>
    </row>
    <row r="643">
      <c r="B643" s="18"/>
      <c r="C643" s="18"/>
      <c r="D643" s="18"/>
      <c r="E643" s="314"/>
      <c r="F643" s="18"/>
      <c r="G643" s="18"/>
      <c r="H643" s="18"/>
      <c r="I643" s="18"/>
      <c r="J643" s="18" t="s">
        <v>841</v>
      </c>
      <c r="K643" s="18"/>
      <c r="L643" s="18"/>
      <c r="AC643" s="1261"/>
    </row>
    <row r="644">
      <c r="B644" s="18"/>
      <c r="C644" s="18"/>
      <c r="D644" s="18"/>
      <c r="E644" s="314"/>
      <c r="F644" s="18"/>
      <c r="G644" s="18"/>
      <c r="H644" s="18"/>
      <c r="I644" s="18"/>
      <c r="J644" s="18" t="s">
        <v>841</v>
      </c>
      <c r="K644" s="18"/>
      <c r="L644" s="18"/>
      <c r="AC644" s="1261"/>
    </row>
    <row r="645">
      <c r="B645" s="18"/>
      <c r="C645" s="18"/>
      <c r="D645" s="18"/>
      <c r="E645" s="314"/>
      <c r="F645" s="18"/>
      <c r="G645" s="18"/>
      <c r="H645" s="18"/>
      <c r="I645" s="18"/>
      <c r="J645" s="18" t="s">
        <v>841</v>
      </c>
      <c r="K645" s="18"/>
      <c r="L645" s="18"/>
      <c r="AC645" s="1261"/>
    </row>
    <row r="646">
      <c r="B646" s="18"/>
      <c r="C646" s="18"/>
      <c r="D646" s="18"/>
      <c r="E646" s="314"/>
      <c r="F646" s="18"/>
      <c r="G646" s="18"/>
      <c r="H646" s="18"/>
      <c r="I646" s="18"/>
      <c r="J646" s="18" t="s">
        <v>841</v>
      </c>
      <c r="K646" s="18"/>
      <c r="L646" s="18"/>
      <c r="AC646" s="1261"/>
    </row>
    <row r="647">
      <c r="B647" s="18"/>
      <c r="C647" s="18"/>
      <c r="D647" s="18"/>
      <c r="E647" s="314"/>
      <c r="F647" s="18"/>
      <c r="G647" s="18"/>
      <c r="H647" s="18"/>
      <c r="I647" s="18"/>
      <c r="J647" s="18" t="s">
        <v>841</v>
      </c>
      <c r="K647" s="18"/>
      <c r="L647" s="18"/>
      <c r="AC647" s="1261"/>
    </row>
    <row r="648">
      <c r="B648" s="18"/>
      <c r="C648" s="18"/>
      <c r="D648" s="18"/>
      <c r="E648" s="314"/>
      <c r="F648" s="18"/>
      <c r="G648" s="18"/>
      <c r="H648" s="18"/>
      <c r="I648" s="18"/>
      <c r="J648" s="18" t="s">
        <v>841</v>
      </c>
      <c r="K648" s="18"/>
      <c r="L648" s="18"/>
      <c r="AC648" s="1261"/>
    </row>
    <row r="649">
      <c r="B649" s="18"/>
      <c r="C649" s="18"/>
      <c r="D649" s="18"/>
      <c r="E649" s="314"/>
      <c r="F649" s="18"/>
      <c r="G649" s="18"/>
      <c r="H649" s="18"/>
      <c r="I649" s="18"/>
      <c r="J649" s="18" t="s">
        <v>841</v>
      </c>
      <c r="K649" s="18"/>
      <c r="L649" s="18"/>
      <c r="AC649" s="1261"/>
    </row>
    <row r="650">
      <c r="B650" s="18"/>
      <c r="C650" s="18"/>
      <c r="D650" s="18"/>
      <c r="E650" s="314"/>
      <c r="F650" s="18"/>
      <c r="G650" s="18"/>
      <c r="H650" s="18"/>
      <c r="I650" s="18"/>
      <c r="J650" s="18" t="s">
        <v>841</v>
      </c>
      <c r="K650" s="18"/>
      <c r="L650" s="18"/>
      <c r="AC650" s="1261"/>
    </row>
    <row r="651">
      <c r="B651" s="18"/>
      <c r="C651" s="18"/>
      <c r="D651" s="18"/>
      <c r="E651" s="314"/>
      <c r="F651" s="18"/>
      <c r="G651" s="18"/>
      <c r="H651" s="18"/>
      <c r="I651" s="18"/>
      <c r="J651" s="18" t="s">
        <v>841</v>
      </c>
      <c r="K651" s="18"/>
      <c r="L651" s="18"/>
      <c r="AC651" s="1261"/>
    </row>
    <row r="652">
      <c r="B652" s="18"/>
      <c r="C652" s="18"/>
      <c r="D652" s="18"/>
      <c r="E652" s="314"/>
      <c r="F652" s="18"/>
      <c r="G652" s="18"/>
      <c r="H652" s="18"/>
      <c r="I652" s="18"/>
      <c r="J652" s="18" t="s">
        <v>841</v>
      </c>
      <c r="K652" s="18"/>
      <c r="L652" s="18"/>
      <c r="AC652" s="1261"/>
    </row>
    <row r="653">
      <c r="B653" s="18"/>
      <c r="C653" s="18"/>
      <c r="D653" s="18"/>
      <c r="E653" s="314"/>
      <c r="F653" s="18"/>
      <c r="G653" s="18"/>
      <c r="H653" s="18"/>
      <c r="I653" s="18"/>
      <c r="J653" s="18" t="s">
        <v>841</v>
      </c>
      <c r="K653" s="18"/>
      <c r="L653" s="18"/>
      <c r="AC653" s="1261"/>
    </row>
    <row r="654">
      <c r="B654" s="18"/>
      <c r="C654" s="18"/>
      <c r="D654" s="18"/>
      <c r="E654" s="314"/>
      <c r="F654" s="18"/>
      <c r="G654" s="18"/>
      <c r="H654" s="18"/>
      <c r="I654" s="18"/>
      <c r="J654" s="18" t="s">
        <v>841</v>
      </c>
      <c r="K654" s="18"/>
      <c r="L654" s="18"/>
      <c r="AC654" s="1261"/>
    </row>
    <row r="655">
      <c r="B655" s="18"/>
      <c r="C655" s="18"/>
      <c r="D655" s="18"/>
      <c r="E655" s="314"/>
      <c r="F655" s="18"/>
      <c r="G655" s="18"/>
      <c r="H655" s="18"/>
      <c r="I655" s="18"/>
      <c r="J655" s="18" t="s">
        <v>841</v>
      </c>
      <c r="K655" s="18"/>
      <c r="L655" s="18"/>
      <c r="AC655" s="1261"/>
    </row>
    <row r="656">
      <c r="B656" s="18"/>
      <c r="C656" s="18"/>
      <c r="D656" s="18"/>
      <c r="E656" s="314"/>
      <c r="F656" s="18"/>
      <c r="G656" s="18"/>
      <c r="H656" s="18"/>
      <c r="I656" s="18"/>
      <c r="J656" s="18" t="s">
        <v>841</v>
      </c>
      <c r="K656" s="18"/>
      <c r="L656" s="18"/>
      <c r="AC656" s="1261"/>
    </row>
    <row r="657">
      <c r="B657" s="18"/>
      <c r="C657" s="18"/>
      <c r="D657" s="18"/>
      <c r="E657" s="314"/>
      <c r="F657" s="18"/>
      <c r="G657" s="18"/>
      <c r="H657" s="18"/>
      <c r="I657" s="18"/>
      <c r="J657" s="18" t="s">
        <v>841</v>
      </c>
      <c r="K657" s="18"/>
      <c r="L657" s="18"/>
      <c r="AC657" s="1261"/>
    </row>
    <row r="658">
      <c r="B658" s="18"/>
      <c r="C658" s="18"/>
      <c r="D658" s="18"/>
      <c r="E658" s="314"/>
      <c r="F658" s="18"/>
      <c r="G658" s="18"/>
      <c r="H658" s="18"/>
      <c r="I658" s="18"/>
      <c r="J658" s="18" t="s">
        <v>841</v>
      </c>
      <c r="K658" s="18"/>
      <c r="L658" s="18"/>
      <c r="AC658" s="1261"/>
    </row>
    <row r="659">
      <c r="B659" s="18"/>
      <c r="C659" s="18"/>
      <c r="D659" s="18"/>
      <c r="E659" s="314"/>
      <c r="F659" s="18"/>
      <c r="G659" s="18"/>
      <c r="H659" s="18"/>
      <c r="I659" s="18"/>
      <c r="J659" s="18" t="s">
        <v>841</v>
      </c>
      <c r="K659" s="18"/>
      <c r="L659" s="18"/>
      <c r="AC659" s="1261"/>
    </row>
    <row r="660">
      <c r="B660" s="18"/>
      <c r="C660" s="18"/>
      <c r="D660" s="18"/>
      <c r="E660" s="314"/>
      <c r="F660" s="18"/>
      <c r="G660" s="18"/>
      <c r="H660" s="18"/>
      <c r="I660" s="18"/>
      <c r="J660" s="18" t="s">
        <v>841</v>
      </c>
      <c r="K660" s="18"/>
      <c r="L660" s="18"/>
      <c r="AC660" s="1261"/>
    </row>
    <row r="661">
      <c r="B661" s="18"/>
      <c r="C661" s="18"/>
      <c r="D661" s="18"/>
      <c r="E661" s="314"/>
      <c r="F661" s="18"/>
      <c r="G661" s="18"/>
      <c r="H661" s="18"/>
      <c r="I661" s="18"/>
      <c r="J661" s="18" t="s">
        <v>841</v>
      </c>
      <c r="K661" s="18"/>
      <c r="L661" s="18"/>
      <c r="AC661" s="1261"/>
    </row>
    <row r="662">
      <c r="B662" s="18"/>
      <c r="C662" s="18"/>
      <c r="D662" s="18"/>
      <c r="E662" s="314"/>
      <c r="F662" s="18"/>
      <c r="G662" s="18"/>
      <c r="H662" s="18"/>
      <c r="I662" s="18"/>
      <c r="J662" s="18" t="s">
        <v>841</v>
      </c>
      <c r="K662" s="18"/>
      <c r="L662" s="18"/>
      <c r="AC662" s="1261"/>
    </row>
    <row r="663">
      <c r="B663" s="18"/>
      <c r="C663" s="18"/>
      <c r="D663" s="18"/>
      <c r="E663" s="314"/>
      <c r="F663" s="18"/>
      <c r="G663" s="18"/>
      <c r="H663" s="18"/>
      <c r="I663" s="18"/>
      <c r="J663" s="18" t="s">
        <v>841</v>
      </c>
      <c r="K663" s="18"/>
      <c r="L663" s="18"/>
      <c r="AC663" s="1261"/>
    </row>
    <row r="664">
      <c r="B664" s="18"/>
      <c r="C664" s="18"/>
      <c r="D664" s="18"/>
      <c r="E664" s="314"/>
      <c r="F664" s="18"/>
      <c r="G664" s="18"/>
      <c r="H664" s="18"/>
      <c r="I664" s="18"/>
      <c r="J664" s="18" t="s">
        <v>841</v>
      </c>
      <c r="K664" s="18"/>
      <c r="L664" s="18"/>
      <c r="AC664" s="1261"/>
    </row>
    <row r="665">
      <c r="B665" s="18"/>
      <c r="C665" s="18"/>
      <c r="D665" s="18"/>
      <c r="E665" s="314"/>
      <c r="F665" s="18"/>
      <c r="G665" s="18"/>
      <c r="H665" s="18"/>
      <c r="I665" s="18"/>
      <c r="J665" s="18" t="s">
        <v>841</v>
      </c>
      <c r="K665" s="18"/>
      <c r="L665" s="18"/>
      <c r="AC665" s="1261"/>
    </row>
    <row r="666">
      <c r="B666" s="18"/>
      <c r="C666" s="18"/>
      <c r="D666" s="18"/>
      <c r="E666" s="314"/>
      <c r="F666" s="18"/>
      <c r="G666" s="18"/>
      <c r="H666" s="18"/>
      <c r="I666" s="18"/>
      <c r="J666" s="18" t="s">
        <v>841</v>
      </c>
      <c r="K666" s="18"/>
      <c r="L666" s="18"/>
      <c r="AC666" s="1261"/>
    </row>
    <row r="667">
      <c r="B667" s="18"/>
      <c r="C667" s="18"/>
      <c r="D667" s="18"/>
      <c r="E667" s="314"/>
      <c r="F667" s="18"/>
      <c r="G667" s="18"/>
      <c r="H667" s="18"/>
      <c r="I667" s="18"/>
      <c r="J667" s="18" t="s">
        <v>841</v>
      </c>
      <c r="K667" s="18"/>
      <c r="L667" s="18"/>
      <c r="AC667" s="1261"/>
    </row>
    <row r="668">
      <c r="B668" s="18"/>
      <c r="C668" s="18"/>
      <c r="D668" s="18"/>
      <c r="E668" s="314"/>
      <c r="F668" s="18"/>
      <c r="G668" s="18"/>
      <c r="H668" s="18"/>
      <c r="I668" s="18"/>
      <c r="J668" s="18" t="s">
        <v>841</v>
      </c>
      <c r="K668" s="18"/>
      <c r="L668" s="18"/>
      <c r="AC668" s="1261"/>
    </row>
    <row r="669">
      <c r="B669" s="18"/>
      <c r="C669" s="18"/>
      <c r="D669" s="18"/>
      <c r="E669" s="314"/>
      <c r="F669" s="18"/>
      <c r="G669" s="18"/>
      <c r="H669" s="18"/>
      <c r="I669" s="18"/>
      <c r="J669" s="18" t="s">
        <v>841</v>
      </c>
      <c r="K669" s="18"/>
      <c r="L669" s="18"/>
      <c r="AC669" s="1261"/>
    </row>
    <row r="670">
      <c r="B670" s="18"/>
      <c r="C670" s="18"/>
      <c r="D670" s="18"/>
      <c r="E670" s="314"/>
      <c r="F670" s="18"/>
      <c r="G670" s="18"/>
      <c r="H670" s="18"/>
      <c r="I670" s="18"/>
      <c r="J670" s="18" t="s">
        <v>841</v>
      </c>
      <c r="K670" s="18"/>
      <c r="L670" s="18"/>
      <c r="AC670" s="1261"/>
    </row>
    <row r="671">
      <c r="B671" s="18"/>
      <c r="C671" s="18"/>
      <c r="D671" s="18"/>
      <c r="E671" s="314"/>
      <c r="F671" s="18"/>
      <c r="G671" s="18"/>
      <c r="H671" s="18"/>
      <c r="I671" s="18"/>
      <c r="J671" s="18" t="s">
        <v>841</v>
      </c>
      <c r="K671" s="18"/>
      <c r="L671" s="18"/>
      <c r="AC671" s="1261"/>
    </row>
    <row r="672">
      <c r="B672" s="18"/>
      <c r="C672" s="18"/>
      <c r="D672" s="18"/>
      <c r="E672" s="314"/>
      <c r="F672" s="18"/>
      <c r="G672" s="18"/>
      <c r="H672" s="18"/>
      <c r="I672" s="18"/>
      <c r="J672" s="18" t="s">
        <v>841</v>
      </c>
      <c r="K672" s="18"/>
      <c r="L672" s="18"/>
      <c r="AC672" s="1261"/>
    </row>
    <row r="673">
      <c r="B673" s="18"/>
      <c r="C673" s="18"/>
      <c r="D673" s="18"/>
      <c r="E673" s="314"/>
      <c r="F673" s="18"/>
      <c r="G673" s="18"/>
      <c r="H673" s="18"/>
      <c r="I673" s="18"/>
      <c r="J673" s="18" t="s">
        <v>841</v>
      </c>
      <c r="K673" s="18"/>
      <c r="L673" s="18"/>
      <c r="AC673" s="1261"/>
    </row>
    <row r="674">
      <c r="B674" s="18"/>
      <c r="C674" s="18"/>
      <c r="D674" s="18"/>
      <c r="E674" s="314"/>
      <c r="F674" s="18"/>
      <c r="G674" s="18"/>
      <c r="H674" s="18"/>
      <c r="I674" s="18"/>
      <c r="J674" s="18" t="s">
        <v>841</v>
      </c>
      <c r="K674" s="18"/>
      <c r="L674" s="18"/>
      <c r="AC674" s="1261"/>
    </row>
    <row r="675">
      <c r="B675" s="18"/>
      <c r="C675" s="18"/>
      <c r="D675" s="18"/>
      <c r="E675" s="314"/>
      <c r="F675" s="18"/>
      <c r="G675" s="18"/>
      <c r="H675" s="18"/>
      <c r="I675" s="18"/>
      <c r="J675" s="18" t="s">
        <v>841</v>
      </c>
      <c r="K675" s="18"/>
      <c r="L675" s="18"/>
      <c r="AC675" s="1261"/>
    </row>
    <row r="676">
      <c r="B676" s="18"/>
      <c r="C676" s="18"/>
      <c r="D676" s="18"/>
      <c r="E676" s="314"/>
      <c r="F676" s="18"/>
      <c r="G676" s="18"/>
      <c r="H676" s="18"/>
      <c r="I676" s="18"/>
      <c r="J676" s="18" t="s">
        <v>841</v>
      </c>
      <c r="K676" s="18"/>
      <c r="L676" s="18"/>
      <c r="AC676" s="1261"/>
    </row>
    <row r="677">
      <c r="B677" s="18"/>
      <c r="C677" s="18"/>
      <c r="D677" s="18"/>
      <c r="E677" s="314"/>
      <c r="F677" s="18"/>
      <c r="G677" s="18"/>
      <c r="H677" s="18"/>
      <c r="I677" s="18"/>
      <c r="J677" s="18" t="s">
        <v>841</v>
      </c>
      <c r="K677" s="18"/>
      <c r="L677" s="18"/>
      <c r="AC677" s="1261"/>
    </row>
    <row r="678">
      <c r="B678" s="18"/>
      <c r="C678" s="18"/>
      <c r="D678" s="18"/>
      <c r="E678" s="314"/>
      <c r="F678" s="18"/>
      <c r="G678" s="18"/>
      <c r="H678" s="18"/>
      <c r="I678" s="18"/>
      <c r="J678" s="18" t="s">
        <v>841</v>
      </c>
      <c r="K678" s="18"/>
      <c r="L678" s="18"/>
      <c r="AC678" s="1261"/>
    </row>
    <row r="679">
      <c r="B679" s="18"/>
      <c r="C679" s="18"/>
      <c r="D679" s="18"/>
      <c r="E679" s="314"/>
      <c r="F679" s="18"/>
      <c r="G679" s="18"/>
      <c r="H679" s="18"/>
      <c r="I679" s="18"/>
      <c r="J679" s="18" t="s">
        <v>841</v>
      </c>
      <c r="K679" s="18"/>
      <c r="L679" s="18"/>
      <c r="AC679" s="1261"/>
    </row>
    <row r="680">
      <c r="B680" s="18"/>
      <c r="C680" s="18"/>
      <c r="D680" s="18"/>
      <c r="E680" s="314"/>
      <c r="F680" s="18"/>
      <c r="G680" s="18"/>
      <c r="H680" s="18"/>
      <c r="I680" s="18"/>
      <c r="J680" s="18" t="s">
        <v>841</v>
      </c>
      <c r="K680" s="18"/>
      <c r="L680" s="18"/>
      <c r="AC680" s="1261"/>
    </row>
    <row r="681">
      <c r="B681" s="18"/>
      <c r="C681" s="18"/>
      <c r="D681" s="18"/>
      <c r="E681" s="314"/>
      <c r="F681" s="18"/>
      <c r="G681" s="18"/>
      <c r="H681" s="18"/>
      <c r="I681" s="18"/>
      <c r="J681" s="18" t="s">
        <v>841</v>
      </c>
      <c r="K681" s="18"/>
      <c r="L681" s="18"/>
      <c r="AC681" s="1261"/>
    </row>
    <row r="682">
      <c r="B682" s="18"/>
      <c r="C682" s="18"/>
      <c r="D682" s="18"/>
      <c r="E682" s="314"/>
      <c r="F682" s="18"/>
      <c r="G682" s="18"/>
      <c r="H682" s="18"/>
      <c r="I682" s="18"/>
      <c r="J682" s="18" t="s">
        <v>841</v>
      </c>
      <c r="K682" s="18"/>
      <c r="L682" s="18"/>
      <c r="AC682" s="1261"/>
    </row>
    <row r="683">
      <c r="B683" s="18"/>
      <c r="C683" s="18"/>
      <c r="D683" s="18"/>
      <c r="E683" s="314"/>
      <c r="F683" s="18"/>
      <c r="G683" s="18"/>
      <c r="H683" s="18"/>
      <c r="I683" s="18"/>
      <c r="J683" s="18" t="s">
        <v>841</v>
      </c>
      <c r="K683" s="18"/>
      <c r="L683" s="18"/>
      <c r="AC683" s="1261"/>
    </row>
    <row r="684">
      <c r="B684" s="18"/>
      <c r="C684" s="18"/>
      <c r="D684" s="18"/>
      <c r="E684" s="314"/>
      <c r="F684" s="18"/>
      <c r="G684" s="18"/>
      <c r="H684" s="18"/>
      <c r="I684" s="18"/>
      <c r="J684" s="18" t="s">
        <v>841</v>
      </c>
      <c r="K684" s="18"/>
      <c r="L684" s="18"/>
      <c r="AC684" s="1261"/>
    </row>
    <row r="685">
      <c r="B685" s="18"/>
      <c r="C685" s="18"/>
      <c r="D685" s="18"/>
      <c r="E685" s="314"/>
      <c r="F685" s="18"/>
      <c r="G685" s="18"/>
      <c r="H685" s="18"/>
      <c r="I685" s="18"/>
      <c r="J685" s="18" t="s">
        <v>841</v>
      </c>
      <c r="K685" s="18"/>
      <c r="L685" s="18"/>
      <c r="AC685" s="1261"/>
    </row>
    <row r="686">
      <c r="B686" s="18"/>
      <c r="C686" s="18"/>
      <c r="D686" s="18"/>
      <c r="E686" s="314"/>
      <c r="F686" s="18"/>
      <c r="G686" s="18"/>
      <c r="H686" s="18"/>
      <c r="I686" s="18"/>
      <c r="J686" s="18" t="s">
        <v>841</v>
      </c>
      <c r="K686" s="18"/>
      <c r="L686" s="18"/>
      <c r="AC686" s="1261"/>
    </row>
    <row r="687">
      <c r="B687" s="18"/>
      <c r="C687" s="18"/>
      <c r="D687" s="18"/>
      <c r="E687" s="314"/>
      <c r="F687" s="18"/>
      <c r="G687" s="18"/>
      <c r="H687" s="18"/>
      <c r="I687" s="18"/>
      <c r="J687" s="18" t="s">
        <v>841</v>
      </c>
      <c r="K687" s="18"/>
      <c r="L687" s="18"/>
      <c r="AC687" s="1261"/>
    </row>
    <row r="688">
      <c r="B688" s="18"/>
      <c r="C688" s="18"/>
      <c r="D688" s="18"/>
      <c r="E688" s="314"/>
      <c r="F688" s="18"/>
      <c r="G688" s="18"/>
      <c r="H688" s="18"/>
      <c r="I688" s="18"/>
      <c r="J688" s="18" t="s">
        <v>841</v>
      </c>
      <c r="K688" s="18"/>
      <c r="L688" s="18"/>
      <c r="AC688" s="1261"/>
    </row>
    <row r="689">
      <c r="B689" s="18"/>
      <c r="C689" s="18"/>
      <c r="D689" s="18"/>
      <c r="E689" s="314"/>
      <c r="F689" s="18"/>
      <c r="G689" s="18"/>
      <c r="H689" s="18"/>
      <c r="I689" s="18"/>
      <c r="J689" s="18" t="s">
        <v>841</v>
      </c>
      <c r="K689" s="18"/>
      <c r="L689" s="18"/>
      <c r="AC689" s="1261"/>
    </row>
    <row r="690">
      <c r="B690" s="18"/>
      <c r="C690" s="18"/>
      <c r="D690" s="18"/>
      <c r="E690" s="314"/>
      <c r="F690" s="18"/>
      <c r="G690" s="18"/>
      <c r="H690" s="18"/>
      <c r="I690" s="18"/>
      <c r="J690" s="18" t="s">
        <v>841</v>
      </c>
      <c r="K690" s="18"/>
      <c r="L690" s="18"/>
      <c r="AC690" s="1261"/>
    </row>
    <row r="691">
      <c r="B691" s="18"/>
      <c r="C691" s="18"/>
      <c r="D691" s="18"/>
      <c r="E691" s="314"/>
      <c r="F691" s="18"/>
      <c r="G691" s="18"/>
      <c r="H691" s="18"/>
      <c r="I691" s="18"/>
      <c r="J691" s="18" t="s">
        <v>841</v>
      </c>
      <c r="K691" s="18"/>
      <c r="L691" s="18"/>
      <c r="AC691" s="1261"/>
    </row>
    <row r="692">
      <c r="B692" s="18"/>
      <c r="C692" s="18"/>
      <c r="D692" s="18"/>
      <c r="E692" s="314"/>
      <c r="F692" s="18"/>
      <c r="G692" s="18"/>
      <c r="H692" s="18"/>
      <c r="I692" s="18"/>
      <c r="J692" s="18" t="s">
        <v>841</v>
      </c>
      <c r="K692" s="18"/>
      <c r="L692" s="18"/>
      <c r="AC692" s="1261"/>
    </row>
    <row r="693">
      <c r="B693" s="18"/>
      <c r="C693" s="18"/>
      <c r="D693" s="18"/>
      <c r="E693" s="314"/>
      <c r="F693" s="18"/>
      <c r="G693" s="18"/>
      <c r="H693" s="18"/>
      <c r="I693" s="18"/>
      <c r="J693" s="18" t="s">
        <v>841</v>
      </c>
      <c r="K693" s="18"/>
      <c r="L693" s="18"/>
      <c r="AC693" s="1261"/>
    </row>
    <row r="694">
      <c r="B694" s="18"/>
      <c r="C694" s="18"/>
      <c r="D694" s="18"/>
      <c r="E694" s="314"/>
      <c r="F694" s="18"/>
      <c r="G694" s="18"/>
      <c r="H694" s="18"/>
      <c r="I694" s="18"/>
      <c r="J694" s="18" t="s">
        <v>841</v>
      </c>
      <c r="K694" s="18"/>
      <c r="L694" s="18"/>
      <c r="AC694" s="1261"/>
    </row>
    <row r="695">
      <c r="B695" s="18"/>
      <c r="C695" s="18"/>
      <c r="D695" s="18"/>
      <c r="E695" s="314"/>
      <c r="F695" s="18"/>
      <c r="G695" s="18"/>
      <c r="H695" s="18"/>
      <c r="I695" s="18"/>
      <c r="J695" s="18" t="s">
        <v>841</v>
      </c>
      <c r="K695" s="18"/>
      <c r="L695" s="18"/>
      <c r="AC695" s="1261"/>
    </row>
    <row r="696">
      <c r="B696" s="18"/>
      <c r="C696" s="18"/>
      <c r="D696" s="18"/>
      <c r="E696" s="314"/>
      <c r="F696" s="18"/>
      <c r="G696" s="18"/>
      <c r="H696" s="18"/>
      <c r="I696" s="18"/>
      <c r="J696" s="18" t="s">
        <v>841</v>
      </c>
      <c r="K696" s="18"/>
      <c r="L696" s="18"/>
      <c r="AC696" s="1261"/>
    </row>
    <row r="697">
      <c r="B697" s="18"/>
      <c r="C697" s="18"/>
      <c r="D697" s="18"/>
      <c r="E697" s="314"/>
      <c r="F697" s="18"/>
      <c r="G697" s="18"/>
      <c r="H697" s="18"/>
      <c r="I697" s="18"/>
      <c r="J697" s="18" t="s">
        <v>841</v>
      </c>
      <c r="K697" s="18"/>
      <c r="L697" s="18"/>
      <c r="AC697" s="1261"/>
    </row>
    <row r="698">
      <c r="B698" s="18"/>
      <c r="C698" s="18"/>
      <c r="D698" s="18"/>
      <c r="E698" s="314"/>
      <c r="F698" s="18"/>
      <c r="G698" s="18"/>
      <c r="H698" s="18"/>
      <c r="I698" s="18"/>
      <c r="J698" s="18" t="s">
        <v>841</v>
      </c>
      <c r="K698" s="18"/>
      <c r="L698" s="18"/>
      <c r="AC698" s="1261"/>
    </row>
    <row r="699">
      <c r="B699" s="18"/>
      <c r="C699" s="18"/>
      <c r="D699" s="18"/>
      <c r="E699" s="314"/>
      <c r="F699" s="18"/>
      <c r="G699" s="18"/>
      <c r="H699" s="18"/>
      <c r="I699" s="18"/>
      <c r="J699" s="18" t="s">
        <v>841</v>
      </c>
      <c r="K699" s="18"/>
      <c r="L699" s="18"/>
      <c r="AC699" s="1261"/>
    </row>
    <row r="700">
      <c r="B700" s="18"/>
      <c r="C700" s="18"/>
      <c r="D700" s="18"/>
      <c r="E700" s="314"/>
      <c r="F700" s="18"/>
      <c r="G700" s="18"/>
      <c r="H700" s="18"/>
      <c r="I700" s="18"/>
      <c r="J700" s="18" t="s">
        <v>841</v>
      </c>
      <c r="K700" s="18"/>
      <c r="L700" s="18"/>
      <c r="AC700" s="1261"/>
    </row>
    <row r="701">
      <c r="B701" s="18"/>
      <c r="C701" s="18"/>
      <c r="D701" s="18"/>
      <c r="E701" s="314"/>
      <c r="F701" s="18"/>
      <c r="G701" s="18"/>
      <c r="H701" s="18"/>
      <c r="I701" s="18"/>
      <c r="J701" s="18" t="s">
        <v>841</v>
      </c>
      <c r="K701" s="18"/>
      <c r="L701" s="18"/>
      <c r="AC701" s="1261"/>
    </row>
    <row r="702">
      <c r="B702" s="18"/>
      <c r="C702" s="18"/>
      <c r="D702" s="18"/>
      <c r="E702" s="314"/>
      <c r="F702" s="18"/>
      <c r="G702" s="18"/>
      <c r="H702" s="18"/>
      <c r="I702" s="18"/>
      <c r="J702" s="18" t="s">
        <v>841</v>
      </c>
      <c r="K702" s="18"/>
      <c r="L702" s="18"/>
      <c r="AC702" s="1261"/>
    </row>
    <row r="703">
      <c r="B703" s="18"/>
      <c r="C703" s="18"/>
      <c r="D703" s="18"/>
      <c r="E703" s="314"/>
      <c r="F703" s="18"/>
      <c r="G703" s="18"/>
      <c r="H703" s="18"/>
      <c r="I703" s="18"/>
      <c r="J703" s="18" t="s">
        <v>841</v>
      </c>
      <c r="K703" s="18"/>
      <c r="L703" s="18"/>
      <c r="AC703" s="1261"/>
    </row>
    <row r="704">
      <c r="B704" s="18"/>
      <c r="C704" s="18"/>
      <c r="D704" s="18"/>
      <c r="E704" s="314"/>
      <c r="F704" s="18"/>
      <c r="G704" s="18"/>
      <c r="H704" s="18"/>
      <c r="I704" s="18"/>
      <c r="J704" s="18" t="s">
        <v>841</v>
      </c>
      <c r="K704" s="18"/>
      <c r="L704" s="18"/>
      <c r="AC704" s="1261"/>
    </row>
    <row r="705">
      <c r="B705" s="18"/>
      <c r="C705" s="18"/>
      <c r="D705" s="18"/>
      <c r="E705" s="314"/>
      <c r="F705" s="18"/>
      <c r="G705" s="18"/>
      <c r="H705" s="18"/>
      <c r="I705" s="18"/>
      <c r="J705" s="18" t="s">
        <v>841</v>
      </c>
      <c r="K705" s="18"/>
      <c r="L705" s="18"/>
      <c r="AC705" s="1261"/>
    </row>
    <row r="706">
      <c r="B706" s="18"/>
      <c r="C706" s="18"/>
      <c r="D706" s="18"/>
      <c r="E706" s="314"/>
      <c r="F706" s="18"/>
      <c r="G706" s="18"/>
      <c r="H706" s="18"/>
      <c r="I706" s="18"/>
      <c r="J706" s="18" t="s">
        <v>841</v>
      </c>
      <c r="K706" s="18"/>
      <c r="L706" s="18"/>
      <c r="AC706" s="1261"/>
    </row>
    <row r="707">
      <c r="B707" s="18"/>
      <c r="C707" s="18"/>
      <c r="D707" s="18"/>
      <c r="E707" s="314"/>
      <c r="F707" s="18"/>
      <c r="G707" s="18"/>
      <c r="H707" s="18"/>
      <c r="I707" s="18"/>
      <c r="J707" s="18" t="s">
        <v>841</v>
      </c>
      <c r="K707" s="18"/>
      <c r="L707" s="18"/>
      <c r="AC707" s="1261"/>
    </row>
    <row r="708">
      <c r="B708" s="18"/>
      <c r="C708" s="18"/>
      <c r="D708" s="18"/>
      <c r="E708" s="314"/>
      <c r="F708" s="18"/>
      <c r="G708" s="18"/>
      <c r="H708" s="18"/>
      <c r="I708" s="18"/>
      <c r="J708" s="18" t="s">
        <v>841</v>
      </c>
      <c r="K708" s="18"/>
      <c r="L708" s="18"/>
      <c r="AC708" s="1261"/>
    </row>
    <row r="709">
      <c r="B709" s="18"/>
      <c r="C709" s="18"/>
      <c r="D709" s="18"/>
      <c r="E709" s="314"/>
      <c r="F709" s="18"/>
      <c r="G709" s="18"/>
      <c r="H709" s="18"/>
      <c r="I709" s="18"/>
      <c r="J709" s="18" t="s">
        <v>841</v>
      </c>
      <c r="K709" s="18"/>
      <c r="L709" s="18"/>
      <c r="AC709" s="1261"/>
    </row>
    <row r="710">
      <c r="B710" s="18"/>
      <c r="C710" s="18"/>
      <c r="D710" s="18"/>
      <c r="E710" s="314"/>
      <c r="F710" s="18"/>
      <c r="G710" s="18"/>
      <c r="H710" s="18"/>
      <c r="I710" s="18"/>
      <c r="J710" s="18" t="s">
        <v>841</v>
      </c>
      <c r="K710" s="18"/>
      <c r="L710" s="18"/>
      <c r="AC710" s="1261"/>
    </row>
    <row r="711">
      <c r="B711" s="18"/>
      <c r="C711" s="18"/>
      <c r="D711" s="18"/>
      <c r="E711" s="314"/>
      <c r="F711" s="18"/>
      <c r="G711" s="18"/>
      <c r="H711" s="18"/>
      <c r="I711" s="18"/>
      <c r="J711" s="18" t="s">
        <v>841</v>
      </c>
      <c r="K711" s="18"/>
      <c r="L711" s="18"/>
      <c r="AC711" s="1261"/>
    </row>
    <row r="712">
      <c r="B712" s="18"/>
      <c r="C712" s="18"/>
      <c r="D712" s="18"/>
      <c r="E712" s="314"/>
      <c r="F712" s="18"/>
      <c r="G712" s="18"/>
      <c r="H712" s="18"/>
      <c r="I712" s="18"/>
      <c r="J712" s="18" t="s">
        <v>841</v>
      </c>
      <c r="K712" s="18"/>
      <c r="L712" s="18"/>
      <c r="AC712" s="1261"/>
    </row>
    <row r="713">
      <c r="B713" s="18"/>
      <c r="C713" s="18"/>
      <c r="D713" s="18"/>
      <c r="E713" s="314"/>
      <c r="F713" s="18"/>
      <c r="G713" s="18"/>
      <c r="H713" s="18"/>
      <c r="I713" s="18"/>
      <c r="J713" s="18" t="s">
        <v>841</v>
      </c>
      <c r="K713" s="18"/>
      <c r="L713" s="18"/>
      <c r="AC713" s="1261"/>
    </row>
    <row r="714">
      <c r="B714" s="18"/>
      <c r="C714" s="18"/>
      <c r="D714" s="18"/>
      <c r="E714" s="314"/>
      <c r="F714" s="18"/>
      <c r="G714" s="18"/>
      <c r="H714" s="18"/>
      <c r="I714" s="18"/>
      <c r="J714" s="18" t="s">
        <v>841</v>
      </c>
      <c r="K714" s="18"/>
      <c r="L714" s="18"/>
      <c r="AC714" s="1261"/>
    </row>
    <row r="715">
      <c r="B715" s="18"/>
      <c r="C715" s="18"/>
      <c r="D715" s="18"/>
      <c r="E715" s="314"/>
      <c r="F715" s="18"/>
      <c r="G715" s="18"/>
      <c r="H715" s="18"/>
      <c r="I715" s="18"/>
      <c r="J715" s="18" t="s">
        <v>841</v>
      </c>
      <c r="K715" s="18"/>
      <c r="L715" s="18"/>
      <c r="AC715" s="1261"/>
    </row>
    <row r="716">
      <c r="B716" s="18"/>
      <c r="C716" s="18"/>
      <c r="D716" s="18"/>
      <c r="E716" s="314"/>
      <c r="F716" s="18"/>
      <c r="G716" s="18"/>
      <c r="H716" s="18"/>
      <c r="I716" s="18"/>
      <c r="J716" s="18" t="s">
        <v>841</v>
      </c>
      <c r="K716" s="18"/>
      <c r="L716" s="18"/>
      <c r="AC716" s="1261"/>
    </row>
    <row r="717">
      <c r="B717" s="18"/>
      <c r="C717" s="18"/>
      <c r="D717" s="18"/>
      <c r="E717" s="314"/>
      <c r="F717" s="18"/>
      <c r="G717" s="18"/>
      <c r="H717" s="18"/>
      <c r="I717" s="18"/>
      <c r="J717" s="18" t="s">
        <v>841</v>
      </c>
      <c r="K717" s="18"/>
      <c r="L717" s="18"/>
      <c r="AC717" s="1261"/>
    </row>
    <row r="718">
      <c r="B718" s="18"/>
      <c r="C718" s="18"/>
      <c r="D718" s="18"/>
      <c r="E718" s="314"/>
      <c r="F718" s="18"/>
      <c r="G718" s="18"/>
      <c r="H718" s="18"/>
      <c r="I718" s="18"/>
      <c r="J718" s="18" t="s">
        <v>841</v>
      </c>
      <c r="K718" s="18"/>
      <c r="L718" s="18"/>
      <c r="AC718" s="1261"/>
    </row>
    <row r="719">
      <c r="B719" s="18"/>
      <c r="C719" s="18"/>
      <c r="D719" s="18"/>
      <c r="E719" s="314"/>
      <c r="F719" s="18"/>
      <c r="G719" s="18"/>
      <c r="H719" s="18"/>
      <c r="I719" s="18"/>
      <c r="J719" s="18" t="s">
        <v>841</v>
      </c>
      <c r="K719" s="18"/>
      <c r="L719" s="18"/>
      <c r="AC719" s="1261"/>
    </row>
    <row r="720">
      <c r="B720" s="18"/>
      <c r="C720" s="18"/>
      <c r="D720" s="18"/>
      <c r="E720" s="314"/>
      <c r="F720" s="18"/>
      <c r="G720" s="18"/>
      <c r="H720" s="18"/>
      <c r="I720" s="18"/>
      <c r="J720" s="18" t="s">
        <v>841</v>
      </c>
      <c r="K720" s="18"/>
      <c r="L720" s="18"/>
      <c r="AC720" s="1261"/>
    </row>
    <row r="721">
      <c r="B721" s="18"/>
      <c r="C721" s="18"/>
      <c r="D721" s="18"/>
      <c r="E721" s="314"/>
      <c r="F721" s="18"/>
      <c r="G721" s="18"/>
      <c r="H721" s="18"/>
      <c r="I721" s="18"/>
      <c r="J721" s="18" t="s">
        <v>841</v>
      </c>
      <c r="K721" s="18"/>
      <c r="L721" s="18"/>
      <c r="AC721" s="1261"/>
    </row>
    <row r="722">
      <c r="B722" s="18"/>
      <c r="C722" s="18"/>
      <c r="D722" s="18"/>
      <c r="E722" s="314"/>
      <c r="F722" s="18"/>
      <c r="G722" s="18"/>
      <c r="H722" s="18"/>
      <c r="I722" s="18"/>
      <c r="J722" s="18" t="s">
        <v>841</v>
      </c>
      <c r="K722" s="18"/>
      <c r="L722" s="18"/>
      <c r="AC722" s="1261"/>
    </row>
    <row r="723">
      <c r="B723" s="18"/>
      <c r="C723" s="18"/>
      <c r="D723" s="18"/>
      <c r="E723" s="314"/>
      <c r="F723" s="18"/>
      <c r="G723" s="18"/>
      <c r="H723" s="18"/>
      <c r="I723" s="18"/>
      <c r="J723" s="18" t="s">
        <v>841</v>
      </c>
      <c r="K723" s="18"/>
      <c r="L723" s="18"/>
      <c r="AC723" s="1261"/>
    </row>
    <row r="724">
      <c r="B724" s="18"/>
      <c r="C724" s="18"/>
      <c r="D724" s="18"/>
      <c r="E724" s="314"/>
      <c r="F724" s="18"/>
      <c r="G724" s="18"/>
      <c r="H724" s="18"/>
      <c r="I724" s="18"/>
      <c r="J724" s="18" t="s">
        <v>841</v>
      </c>
      <c r="K724" s="18"/>
      <c r="L724" s="18"/>
      <c r="AC724" s="1261"/>
    </row>
    <row r="725">
      <c r="B725" s="18"/>
      <c r="C725" s="18"/>
      <c r="D725" s="18"/>
      <c r="E725" s="314"/>
      <c r="F725" s="18"/>
      <c r="G725" s="18"/>
      <c r="H725" s="18"/>
      <c r="I725" s="18"/>
      <c r="J725" s="18" t="s">
        <v>841</v>
      </c>
      <c r="K725" s="18"/>
      <c r="L725" s="18"/>
      <c r="AC725" s="1261"/>
    </row>
    <row r="726">
      <c r="B726" s="18"/>
      <c r="C726" s="18"/>
      <c r="D726" s="18"/>
      <c r="E726" s="314"/>
      <c r="F726" s="18"/>
      <c r="G726" s="18"/>
      <c r="H726" s="18"/>
      <c r="I726" s="18"/>
      <c r="J726" s="18" t="s">
        <v>841</v>
      </c>
      <c r="K726" s="18"/>
      <c r="L726" s="18"/>
      <c r="AC726" s="1261"/>
    </row>
    <row r="727">
      <c r="B727" s="18"/>
      <c r="C727" s="18"/>
      <c r="D727" s="18"/>
      <c r="E727" s="314"/>
      <c r="F727" s="18"/>
      <c r="G727" s="18"/>
      <c r="H727" s="18"/>
      <c r="I727" s="18"/>
      <c r="J727" s="18" t="s">
        <v>841</v>
      </c>
      <c r="K727" s="18"/>
      <c r="L727" s="18"/>
      <c r="AC727" s="1261"/>
    </row>
    <row r="728">
      <c r="B728" s="18"/>
      <c r="C728" s="18"/>
      <c r="D728" s="18"/>
      <c r="E728" s="314"/>
      <c r="F728" s="18"/>
      <c r="G728" s="18"/>
      <c r="H728" s="18"/>
      <c r="I728" s="18"/>
      <c r="J728" s="18" t="s">
        <v>841</v>
      </c>
      <c r="K728" s="18"/>
      <c r="L728" s="18"/>
      <c r="AC728" s="1261"/>
    </row>
    <row r="729">
      <c r="B729" s="18"/>
      <c r="C729" s="18"/>
      <c r="D729" s="18"/>
      <c r="E729" s="314"/>
      <c r="F729" s="18"/>
      <c r="G729" s="18"/>
      <c r="H729" s="18"/>
      <c r="I729" s="18"/>
      <c r="J729" s="18" t="s">
        <v>841</v>
      </c>
      <c r="K729" s="18"/>
      <c r="L729" s="18"/>
      <c r="AC729" s="1261"/>
    </row>
    <row r="730">
      <c r="B730" s="18"/>
      <c r="C730" s="18"/>
      <c r="D730" s="18"/>
      <c r="E730" s="314"/>
      <c r="F730" s="18"/>
      <c r="G730" s="18"/>
      <c r="H730" s="18"/>
      <c r="I730" s="18"/>
      <c r="J730" s="18" t="s">
        <v>841</v>
      </c>
      <c r="K730" s="18"/>
      <c r="L730" s="18"/>
      <c r="AC730" s="1261"/>
    </row>
    <row r="731">
      <c r="B731" s="18"/>
      <c r="C731" s="18"/>
      <c r="D731" s="18"/>
      <c r="E731" s="314"/>
      <c r="F731" s="18"/>
      <c r="G731" s="18"/>
      <c r="H731" s="18"/>
      <c r="I731" s="18"/>
      <c r="J731" s="18" t="s">
        <v>841</v>
      </c>
      <c r="K731" s="18"/>
      <c r="L731" s="18"/>
      <c r="AC731" s="1261"/>
    </row>
    <row r="732">
      <c r="B732" s="18"/>
      <c r="C732" s="18"/>
      <c r="D732" s="18"/>
      <c r="E732" s="314"/>
      <c r="F732" s="18"/>
      <c r="G732" s="18"/>
      <c r="H732" s="18"/>
      <c r="I732" s="18"/>
      <c r="J732" s="18" t="s">
        <v>841</v>
      </c>
      <c r="K732" s="18"/>
      <c r="L732" s="18"/>
      <c r="AC732" s="1261"/>
    </row>
    <row r="733">
      <c r="B733" s="18"/>
      <c r="C733" s="18"/>
      <c r="D733" s="18"/>
      <c r="E733" s="314"/>
      <c r="F733" s="18"/>
      <c r="G733" s="18"/>
      <c r="H733" s="18"/>
      <c r="I733" s="18"/>
      <c r="J733" s="18" t="s">
        <v>841</v>
      </c>
      <c r="K733" s="18"/>
      <c r="L733" s="18"/>
      <c r="AC733" s="1261"/>
    </row>
    <row r="734">
      <c r="B734" s="18"/>
      <c r="C734" s="18"/>
      <c r="D734" s="18"/>
      <c r="E734" s="314"/>
      <c r="F734" s="18"/>
      <c r="G734" s="18"/>
      <c r="H734" s="18"/>
      <c r="I734" s="18"/>
      <c r="J734" s="18" t="s">
        <v>841</v>
      </c>
      <c r="K734" s="18"/>
      <c r="L734" s="18"/>
      <c r="AC734" s="1261"/>
    </row>
    <row r="735">
      <c r="B735" s="18"/>
      <c r="C735" s="18"/>
      <c r="D735" s="18"/>
      <c r="E735" s="314"/>
      <c r="F735" s="18"/>
      <c r="G735" s="18"/>
      <c r="H735" s="18"/>
      <c r="I735" s="18"/>
      <c r="J735" s="18" t="s">
        <v>841</v>
      </c>
      <c r="K735" s="18"/>
      <c r="L735" s="18"/>
      <c r="AC735" s="1261"/>
    </row>
    <row r="736">
      <c r="B736" s="18"/>
      <c r="C736" s="18"/>
      <c r="D736" s="18"/>
      <c r="E736" s="314"/>
      <c r="F736" s="18"/>
      <c r="G736" s="18"/>
      <c r="H736" s="18"/>
      <c r="I736" s="18"/>
      <c r="J736" s="18" t="s">
        <v>841</v>
      </c>
      <c r="K736" s="18"/>
      <c r="L736" s="18"/>
      <c r="AC736" s="1261"/>
    </row>
    <row r="737">
      <c r="B737" s="18"/>
      <c r="C737" s="18"/>
      <c r="D737" s="18"/>
      <c r="E737" s="314"/>
      <c r="F737" s="18"/>
      <c r="G737" s="18"/>
      <c r="H737" s="18"/>
      <c r="I737" s="18"/>
      <c r="J737" s="18" t="s">
        <v>841</v>
      </c>
      <c r="K737" s="18"/>
      <c r="L737" s="18"/>
      <c r="AC737" s="1261"/>
    </row>
    <row r="738">
      <c r="B738" s="18"/>
      <c r="C738" s="18"/>
      <c r="D738" s="18"/>
      <c r="E738" s="314"/>
      <c r="F738" s="18"/>
      <c r="G738" s="18"/>
      <c r="H738" s="18"/>
      <c r="I738" s="18"/>
      <c r="J738" s="18" t="s">
        <v>841</v>
      </c>
      <c r="K738" s="18"/>
      <c r="L738" s="18"/>
      <c r="AC738" s="1261"/>
    </row>
    <row r="739">
      <c r="B739" s="18"/>
      <c r="C739" s="18"/>
      <c r="D739" s="18"/>
      <c r="E739" s="314"/>
      <c r="F739" s="18"/>
      <c r="G739" s="18"/>
      <c r="H739" s="18"/>
      <c r="I739" s="18"/>
      <c r="J739" s="18" t="s">
        <v>841</v>
      </c>
      <c r="K739" s="18"/>
      <c r="L739" s="18"/>
      <c r="AC739" s="1261"/>
    </row>
    <row r="740">
      <c r="B740" s="18"/>
      <c r="C740" s="18"/>
      <c r="D740" s="18"/>
      <c r="E740" s="314"/>
      <c r="F740" s="18"/>
      <c r="G740" s="18"/>
      <c r="H740" s="18"/>
      <c r="I740" s="18"/>
      <c r="J740" s="18" t="s">
        <v>841</v>
      </c>
      <c r="K740" s="18"/>
      <c r="L740" s="18"/>
      <c r="AC740" s="1261"/>
    </row>
    <row r="741">
      <c r="B741" s="18"/>
      <c r="C741" s="18"/>
      <c r="D741" s="18"/>
      <c r="E741" s="314"/>
      <c r="F741" s="18"/>
      <c r="G741" s="18"/>
      <c r="H741" s="18"/>
      <c r="I741" s="18"/>
      <c r="J741" s="18" t="s">
        <v>841</v>
      </c>
      <c r="K741" s="18"/>
      <c r="L741" s="18"/>
      <c r="AC741" s="1261"/>
    </row>
    <row r="742">
      <c r="B742" s="18"/>
      <c r="C742" s="18"/>
      <c r="D742" s="18"/>
      <c r="E742" s="314"/>
      <c r="F742" s="18"/>
      <c r="G742" s="18"/>
      <c r="H742" s="18"/>
      <c r="I742" s="18"/>
      <c r="J742" s="18" t="s">
        <v>841</v>
      </c>
      <c r="K742" s="18"/>
      <c r="L742" s="18"/>
      <c r="AC742" s="1261"/>
    </row>
    <row r="743">
      <c r="B743" s="18"/>
      <c r="C743" s="18"/>
      <c r="D743" s="18"/>
      <c r="E743" s="314"/>
      <c r="F743" s="18"/>
      <c r="G743" s="18"/>
      <c r="H743" s="18"/>
      <c r="I743" s="18"/>
      <c r="J743" s="18" t="s">
        <v>841</v>
      </c>
      <c r="K743" s="18"/>
      <c r="L743" s="18"/>
      <c r="AC743" s="1261"/>
    </row>
    <row r="744">
      <c r="B744" s="18"/>
      <c r="C744" s="18"/>
      <c r="D744" s="18"/>
      <c r="E744" s="314"/>
      <c r="F744" s="18"/>
      <c r="G744" s="18"/>
      <c r="H744" s="18"/>
      <c r="I744" s="18"/>
      <c r="J744" s="18" t="s">
        <v>841</v>
      </c>
      <c r="K744" s="18"/>
      <c r="L744" s="18"/>
      <c r="AC744" s="1261"/>
    </row>
    <row r="745">
      <c r="B745" s="18"/>
      <c r="C745" s="18"/>
      <c r="D745" s="18"/>
      <c r="E745" s="314"/>
      <c r="F745" s="18"/>
      <c r="G745" s="18"/>
      <c r="H745" s="18"/>
      <c r="I745" s="18"/>
      <c r="J745" s="18" t="s">
        <v>841</v>
      </c>
      <c r="K745" s="18"/>
      <c r="L745" s="18"/>
      <c r="AC745" s="1261"/>
    </row>
    <row r="746">
      <c r="B746" s="18"/>
      <c r="C746" s="18"/>
      <c r="D746" s="18"/>
      <c r="E746" s="314"/>
      <c r="F746" s="18"/>
      <c r="G746" s="18"/>
      <c r="H746" s="18"/>
      <c r="I746" s="18"/>
      <c r="J746" s="18" t="s">
        <v>841</v>
      </c>
      <c r="K746" s="18"/>
      <c r="L746" s="18"/>
      <c r="AC746" s="1261"/>
    </row>
    <row r="747">
      <c r="B747" s="18"/>
      <c r="C747" s="18"/>
      <c r="D747" s="18"/>
      <c r="E747" s="314"/>
      <c r="F747" s="18"/>
      <c r="G747" s="18"/>
      <c r="H747" s="18"/>
      <c r="I747" s="18"/>
      <c r="J747" s="18" t="s">
        <v>841</v>
      </c>
      <c r="K747" s="18"/>
      <c r="L747" s="18"/>
      <c r="AC747" s="1261"/>
    </row>
    <row r="748">
      <c r="B748" s="18"/>
      <c r="C748" s="18"/>
      <c r="D748" s="18"/>
      <c r="E748" s="314"/>
      <c r="F748" s="18"/>
      <c r="G748" s="18"/>
      <c r="H748" s="18"/>
      <c r="I748" s="18"/>
      <c r="J748" s="18" t="s">
        <v>841</v>
      </c>
      <c r="K748" s="18"/>
      <c r="L748" s="18"/>
      <c r="AC748" s="1261"/>
    </row>
    <row r="749">
      <c r="B749" s="18"/>
      <c r="C749" s="18"/>
      <c r="D749" s="18"/>
      <c r="E749" s="314"/>
      <c r="F749" s="18"/>
      <c r="G749" s="18"/>
      <c r="H749" s="18"/>
      <c r="I749" s="18"/>
      <c r="J749" s="18" t="s">
        <v>841</v>
      </c>
      <c r="K749" s="18"/>
      <c r="L749" s="18"/>
      <c r="AC749" s="1261"/>
    </row>
    <row r="750">
      <c r="B750" s="18"/>
      <c r="C750" s="18"/>
      <c r="D750" s="18"/>
      <c r="E750" s="314"/>
      <c r="F750" s="18"/>
      <c r="G750" s="18"/>
      <c r="H750" s="18"/>
      <c r="I750" s="18"/>
      <c r="J750" s="18" t="s">
        <v>841</v>
      </c>
      <c r="K750" s="18"/>
      <c r="L750" s="18"/>
      <c r="AC750" s="1261"/>
    </row>
    <row r="751">
      <c r="B751" s="18"/>
      <c r="C751" s="18"/>
      <c r="D751" s="18"/>
      <c r="E751" s="314"/>
      <c r="F751" s="18"/>
      <c r="G751" s="18"/>
      <c r="H751" s="18"/>
      <c r="I751" s="18"/>
      <c r="J751" s="18" t="s">
        <v>841</v>
      </c>
      <c r="K751" s="18"/>
      <c r="L751" s="18"/>
      <c r="AC751" s="1261"/>
    </row>
    <row r="752">
      <c r="B752" s="18"/>
      <c r="C752" s="18"/>
      <c r="D752" s="18"/>
      <c r="E752" s="314"/>
      <c r="F752" s="18"/>
      <c r="G752" s="18"/>
      <c r="H752" s="18"/>
      <c r="I752" s="18"/>
      <c r="J752" s="18" t="s">
        <v>841</v>
      </c>
      <c r="K752" s="18"/>
      <c r="L752" s="18"/>
      <c r="AC752" s="1261"/>
    </row>
    <row r="753">
      <c r="B753" s="18"/>
      <c r="C753" s="18"/>
      <c r="D753" s="18"/>
      <c r="E753" s="314"/>
      <c r="F753" s="18"/>
      <c r="G753" s="18"/>
      <c r="H753" s="18"/>
      <c r="I753" s="18"/>
      <c r="J753" s="18" t="s">
        <v>841</v>
      </c>
      <c r="K753" s="18"/>
      <c r="L753" s="18"/>
      <c r="AC753" s="1261"/>
    </row>
    <row r="754">
      <c r="B754" s="18"/>
      <c r="C754" s="18"/>
      <c r="D754" s="18"/>
      <c r="E754" s="314"/>
      <c r="F754" s="18"/>
      <c r="G754" s="18"/>
      <c r="H754" s="18"/>
      <c r="I754" s="18"/>
      <c r="J754" s="18" t="s">
        <v>841</v>
      </c>
      <c r="K754" s="18"/>
      <c r="L754" s="18"/>
      <c r="AC754" s="1261"/>
    </row>
    <row r="755">
      <c r="B755" s="18"/>
      <c r="C755" s="18"/>
      <c r="D755" s="18"/>
      <c r="E755" s="314"/>
      <c r="F755" s="18"/>
      <c r="G755" s="18"/>
      <c r="H755" s="18"/>
      <c r="I755" s="18"/>
      <c r="J755" s="18" t="s">
        <v>841</v>
      </c>
      <c r="K755" s="18"/>
      <c r="L755" s="18"/>
      <c r="AC755" s="1261"/>
    </row>
    <row r="756">
      <c r="B756" s="18"/>
      <c r="C756" s="18"/>
      <c r="D756" s="18"/>
      <c r="E756" s="314"/>
      <c r="F756" s="18"/>
      <c r="G756" s="18"/>
      <c r="H756" s="18"/>
      <c r="I756" s="18"/>
      <c r="J756" s="18" t="s">
        <v>841</v>
      </c>
      <c r="K756" s="18"/>
      <c r="L756" s="18"/>
      <c r="AC756" s="1261"/>
    </row>
    <row r="757">
      <c r="B757" s="18"/>
      <c r="C757" s="18"/>
      <c r="D757" s="18"/>
      <c r="E757" s="314"/>
      <c r="F757" s="18"/>
      <c r="G757" s="18"/>
      <c r="H757" s="18"/>
      <c r="I757" s="18"/>
      <c r="J757" s="18" t="s">
        <v>841</v>
      </c>
      <c r="K757" s="18"/>
      <c r="L757" s="18"/>
      <c r="AC757" s="1261"/>
    </row>
    <row r="758">
      <c r="B758" s="18"/>
      <c r="C758" s="18"/>
      <c r="D758" s="18"/>
      <c r="E758" s="314"/>
      <c r="F758" s="18"/>
      <c r="G758" s="18"/>
      <c r="H758" s="18"/>
      <c r="I758" s="18"/>
      <c r="J758" s="18" t="s">
        <v>841</v>
      </c>
      <c r="K758" s="18"/>
      <c r="L758" s="18"/>
      <c r="AC758" s="1261"/>
    </row>
    <row r="759">
      <c r="B759" s="18"/>
      <c r="C759" s="18"/>
      <c r="D759" s="18"/>
      <c r="E759" s="314"/>
      <c r="F759" s="18"/>
      <c r="G759" s="18"/>
      <c r="H759" s="18"/>
      <c r="I759" s="18"/>
      <c r="J759" s="18" t="s">
        <v>841</v>
      </c>
      <c r="K759" s="18"/>
      <c r="L759" s="18"/>
      <c r="AC759" s="1261"/>
    </row>
    <row r="760">
      <c r="B760" s="18"/>
      <c r="C760" s="18"/>
      <c r="D760" s="18"/>
      <c r="E760" s="314"/>
      <c r="F760" s="18"/>
      <c r="G760" s="18"/>
      <c r="H760" s="18"/>
      <c r="I760" s="18"/>
      <c r="J760" s="18" t="s">
        <v>841</v>
      </c>
      <c r="K760" s="18"/>
      <c r="L760" s="18"/>
      <c r="AC760" s="1261"/>
    </row>
    <row r="761">
      <c r="B761" s="18"/>
      <c r="C761" s="18"/>
      <c r="D761" s="18"/>
      <c r="E761" s="314"/>
      <c r="F761" s="18"/>
      <c r="G761" s="18"/>
      <c r="H761" s="18"/>
      <c r="I761" s="18"/>
      <c r="J761" s="18" t="s">
        <v>841</v>
      </c>
      <c r="K761" s="18"/>
      <c r="L761" s="18"/>
      <c r="AC761" s="1261"/>
    </row>
    <row r="762">
      <c r="B762" s="18"/>
      <c r="C762" s="18"/>
      <c r="D762" s="18"/>
      <c r="E762" s="314"/>
      <c r="F762" s="18"/>
      <c r="G762" s="18"/>
      <c r="H762" s="18"/>
      <c r="I762" s="18"/>
      <c r="J762" s="18" t="s">
        <v>841</v>
      </c>
      <c r="K762" s="18"/>
      <c r="L762" s="18"/>
      <c r="AC762" s="1261"/>
    </row>
    <row r="763">
      <c r="B763" s="18"/>
      <c r="C763" s="18"/>
      <c r="D763" s="18"/>
      <c r="E763" s="314"/>
      <c r="F763" s="18"/>
      <c r="G763" s="18"/>
      <c r="H763" s="18"/>
      <c r="I763" s="18"/>
      <c r="J763" s="18" t="s">
        <v>841</v>
      </c>
      <c r="K763" s="18"/>
      <c r="L763" s="18"/>
      <c r="AC763" s="1261"/>
    </row>
    <row r="764">
      <c r="B764" s="18"/>
      <c r="C764" s="18"/>
      <c r="D764" s="18"/>
      <c r="E764" s="314"/>
      <c r="F764" s="18"/>
      <c r="G764" s="18"/>
      <c r="H764" s="18"/>
      <c r="I764" s="18"/>
      <c r="J764" s="18" t="s">
        <v>841</v>
      </c>
      <c r="K764" s="18"/>
      <c r="L764" s="18"/>
      <c r="AC764" s="1261"/>
    </row>
    <row r="765">
      <c r="B765" s="18"/>
      <c r="C765" s="18"/>
      <c r="D765" s="18"/>
      <c r="E765" s="314"/>
      <c r="F765" s="18"/>
      <c r="G765" s="18"/>
      <c r="H765" s="18"/>
      <c r="I765" s="18"/>
      <c r="J765" s="18" t="s">
        <v>841</v>
      </c>
      <c r="K765" s="18"/>
      <c r="L765" s="18"/>
      <c r="AC765" s="1261"/>
    </row>
    <row r="766">
      <c r="B766" s="18"/>
      <c r="C766" s="18"/>
      <c r="D766" s="18"/>
      <c r="E766" s="314"/>
      <c r="F766" s="18"/>
      <c r="G766" s="18"/>
      <c r="H766" s="18"/>
      <c r="I766" s="18"/>
      <c r="J766" s="18" t="s">
        <v>841</v>
      </c>
      <c r="K766" s="18"/>
      <c r="L766" s="18"/>
      <c r="AC766" s="1261"/>
    </row>
    <row r="767">
      <c r="B767" s="18"/>
      <c r="C767" s="18"/>
      <c r="D767" s="18"/>
      <c r="E767" s="314"/>
      <c r="F767" s="18"/>
      <c r="G767" s="18"/>
      <c r="H767" s="18"/>
      <c r="I767" s="18"/>
      <c r="J767" s="18" t="s">
        <v>841</v>
      </c>
      <c r="K767" s="18"/>
      <c r="L767" s="18"/>
      <c r="AC767" s="1261"/>
    </row>
    <row r="768">
      <c r="B768" s="18"/>
      <c r="C768" s="18"/>
      <c r="D768" s="18"/>
      <c r="E768" s="314"/>
      <c r="F768" s="18"/>
      <c r="G768" s="18"/>
      <c r="H768" s="18"/>
      <c r="I768" s="18"/>
      <c r="J768" s="18" t="s">
        <v>841</v>
      </c>
      <c r="K768" s="18"/>
      <c r="L768" s="18"/>
      <c r="AC768" s="1261"/>
    </row>
    <row r="769">
      <c r="B769" s="18"/>
      <c r="C769" s="18"/>
      <c r="D769" s="18"/>
      <c r="E769" s="314"/>
      <c r="F769" s="18"/>
      <c r="G769" s="18"/>
      <c r="H769" s="18"/>
      <c r="I769" s="18"/>
      <c r="J769" s="18" t="s">
        <v>841</v>
      </c>
      <c r="K769" s="18"/>
      <c r="L769" s="18"/>
      <c r="AC769" s="1261"/>
    </row>
    <row r="770">
      <c r="B770" s="18"/>
      <c r="C770" s="18"/>
      <c r="D770" s="18"/>
      <c r="E770" s="314"/>
      <c r="F770" s="18"/>
      <c r="G770" s="18"/>
      <c r="H770" s="18"/>
      <c r="I770" s="18"/>
      <c r="J770" s="18" t="s">
        <v>841</v>
      </c>
      <c r="K770" s="18"/>
      <c r="L770" s="18"/>
      <c r="AC770" s="1261"/>
    </row>
    <row r="771">
      <c r="B771" s="18"/>
      <c r="C771" s="18"/>
      <c r="D771" s="18"/>
      <c r="E771" s="314"/>
      <c r="F771" s="18"/>
      <c r="G771" s="18"/>
      <c r="H771" s="18"/>
      <c r="I771" s="18"/>
      <c r="J771" s="18" t="s">
        <v>841</v>
      </c>
      <c r="K771" s="18"/>
      <c r="L771" s="18"/>
      <c r="AC771" s="1261"/>
    </row>
    <row r="772">
      <c r="B772" s="18"/>
      <c r="C772" s="18"/>
      <c r="D772" s="18"/>
      <c r="E772" s="314"/>
      <c r="F772" s="18"/>
      <c r="G772" s="18"/>
      <c r="H772" s="18"/>
      <c r="I772" s="18"/>
      <c r="J772" s="18" t="s">
        <v>841</v>
      </c>
      <c r="K772" s="18"/>
      <c r="L772" s="18"/>
      <c r="AC772" s="1261"/>
    </row>
    <row r="773">
      <c r="B773" s="18"/>
      <c r="C773" s="18"/>
      <c r="D773" s="18"/>
      <c r="E773" s="314"/>
      <c r="F773" s="18"/>
      <c r="G773" s="18"/>
      <c r="H773" s="18"/>
      <c r="I773" s="18"/>
      <c r="J773" s="18" t="s">
        <v>841</v>
      </c>
      <c r="K773" s="18"/>
      <c r="L773" s="18"/>
      <c r="AC773" s="1261"/>
    </row>
    <row r="774">
      <c r="B774" s="18"/>
      <c r="C774" s="18"/>
      <c r="D774" s="18"/>
      <c r="E774" s="314"/>
      <c r="F774" s="18"/>
      <c r="G774" s="18"/>
      <c r="H774" s="18"/>
      <c r="I774" s="18"/>
      <c r="J774" s="18" t="s">
        <v>841</v>
      </c>
      <c r="K774" s="18"/>
      <c r="L774" s="18"/>
      <c r="AC774" s="1261"/>
    </row>
    <row r="775">
      <c r="B775" s="18"/>
      <c r="C775" s="18"/>
      <c r="D775" s="18"/>
      <c r="E775" s="314"/>
      <c r="F775" s="18"/>
      <c r="G775" s="18"/>
      <c r="H775" s="18"/>
      <c r="I775" s="18"/>
      <c r="J775" s="18" t="s">
        <v>841</v>
      </c>
      <c r="K775" s="18"/>
      <c r="L775" s="18"/>
      <c r="AC775" s="1261"/>
    </row>
    <row r="776">
      <c r="B776" s="18"/>
      <c r="C776" s="18"/>
      <c r="D776" s="18"/>
      <c r="E776" s="314"/>
      <c r="F776" s="18"/>
      <c r="G776" s="18"/>
      <c r="H776" s="18"/>
      <c r="I776" s="18"/>
      <c r="J776" s="18" t="s">
        <v>841</v>
      </c>
      <c r="K776" s="18"/>
      <c r="L776" s="18"/>
      <c r="AC776" s="1261"/>
    </row>
    <row r="777">
      <c r="B777" s="18"/>
      <c r="C777" s="18"/>
      <c r="D777" s="18"/>
      <c r="E777" s="314"/>
      <c r="F777" s="18"/>
      <c r="G777" s="18"/>
      <c r="H777" s="18"/>
      <c r="I777" s="18"/>
      <c r="J777" s="18" t="s">
        <v>841</v>
      </c>
      <c r="K777" s="18"/>
      <c r="L777" s="18"/>
      <c r="AC777" s="1261"/>
    </row>
    <row r="778">
      <c r="B778" s="18"/>
      <c r="C778" s="18"/>
      <c r="D778" s="18"/>
      <c r="E778" s="314"/>
      <c r="F778" s="18"/>
      <c r="G778" s="18"/>
      <c r="H778" s="18"/>
      <c r="I778" s="18"/>
      <c r="J778" s="18" t="s">
        <v>841</v>
      </c>
      <c r="K778" s="18"/>
      <c r="L778" s="18"/>
      <c r="AC778" s="1261"/>
    </row>
    <row r="779">
      <c r="B779" s="18"/>
      <c r="C779" s="18"/>
      <c r="D779" s="18"/>
      <c r="E779" s="314"/>
      <c r="F779" s="18"/>
      <c r="G779" s="18"/>
      <c r="H779" s="18"/>
      <c r="I779" s="18"/>
      <c r="J779" s="18" t="s">
        <v>841</v>
      </c>
      <c r="K779" s="18"/>
      <c r="L779" s="18"/>
      <c r="AC779" s="1261"/>
    </row>
    <row r="780">
      <c r="B780" s="18"/>
      <c r="C780" s="18"/>
      <c r="D780" s="18"/>
      <c r="E780" s="314"/>
      <c r="F780" s="18"/>
      <c r="G780" s="18"/>
      <c r="H780" s="18"/>
      <c r="I780" s="18"/>
      <c r="J780" s="18" t="s">
        <v>841</v>
      </c>
      <c r="K780" s="18"/>
      <c r="L780" s="18"/>
      <c r="AC780" s="1261"/>
    </row>
    <row r="781">
      <c r="B781" s="18"/>
      <c r="C781" s="18"/>
      <c r="D781" s="18"/>
      <c r="E781" s="314"/>
      <c r="F781" s="18"/>
      <c r="G781" s="18"/>
      <c r="H781" s="18"/>
      <c r="I781" s="18"/>
      <c r="J781" s="18" t="s">
        <v>841</v>
      </c>
      <c r="K781" s="18"/>
      <c r="L781" s="18"/>
      <c r="AC781" s="1261"/>
    </row>
    <row r="782">
      <c r="B782" s="18"/>
      <c r="C782" s="18"/>
      <c r="D782" s="18"/>
      <c r="E782" s="314"/>
      <c r="F782" s="18"/>
      <c r="G782" s="18"/>
      <c r="H782" s="18"/>
      <c r="I782" s="18"/>
      <c r="J782" s="18" t="s">
        <v>841</v>
      </c>
      <c r="K782" s="18"/>
      <c r="L782" s="18"/>
      <c r="AC782" s="1261"/>
    </row>
    <row r="783">
      <c r="B783" s="18"/>
      <c r="C783" s="18"/>
      <c r="D783" s="18"/>
      <c r="E783" s="314"/>
      <c r="F783" s="18"/>
      <c r="G783" s="18"/>
      <c r="H783" s="18"/>
      <c r="I783" s="18"/>
      <c r="J783" s="18" t="s">
        <v>841</v>
      </c>
      <c r="K783" s="18"/>
      <c r="L783" s="18"/>
      <c r="AC783" s="1261"/>
    </row>
    <row r="784">
      <c r="B784" s="18"/>
      <c r="C784" s="18"/>
      <c r="D784" s="18"/>
      <c r="E784" s="314"/>
      <c r="F784" s="18"/>
      <c r="G784" s="18"/>
      <c r="H784" s="18"/>
      <c r="I784" s="18"/>
      <c r="J784" s="18" t="s">
        <v>841</v>
      </c>
      <c r="K784" s="18"/>
      <c r="L784" s="18"/>
      <c r="AC784" s="1261"/>
    </row>
    <row r="785">
      <c r="B785" s="18"/>
      <c r="C785" s="18"/>
      <c r="D785" s="18"/>
      <c r="E785" s="314"/>
      <c r="F785" s="18"/>
      <c r="G785" s="18"/>
      <c r="H785" s="18"/>
      <c r="I785" s="18"/>
      <c r="J785" s="18" t="s">
        <v>841</v>
      </c>
      <c r="K785" s="18"/>
      <c r="L785" s="18"/>
      <c r="AC785" s="1261"/>
    </row>
    <row r="786">
      <c r="B786" s="18"/>
      <c r="C786" s="18"/>
      <c r="D786" s="18"/>
      <c r="E786" s="314"/>
      <c r="F786" s="18"/>
      <c r="G786" s="18"/>
      <c r="H786" s="18"/>
      <c r="I786" s="18"/>
      <c r="J786" s="18" t="s">
        <v>841</v>
      </c>
      <c r="K786" s="18"/>
      <c r="L786" s="18"/>
      <c r="AC786" s="1261"/>
    </row>
    <row r="787">
      <c r="B787" s="18"/>
      <c r="C787" s="18"/>
      <c r="D787" s="18"/>
      <c r="E787" s="314"/>
      <c r="F787" s="18"/>
      <c r="G787" s="18"/>
      <c r="H787" s="18"/>
      <c r="I787" s="18"/>
      <c r="J787" s="18" t="s">
        <v>841</v>
      </c>
      <c r="K787" s="18"/>
      <c r="L787" s="18"/>
      <c r="AC787" s="1261"/>
    </row>
    <row r="788">
      <c r="B788" s="18"/>
      <c r="C788" s="18"/>
      <c r="D788" s="18"/>
      <c r="E788" s="314"/>
      <c r="F788" s="18"/>
      <c r="G788" s="18"/>
      <c r="H788" s="18"/>
      <c r="I788" s="18"/>
      <c r="J788" s="18" t="s">
        <v>841</v>
      </c>
      <c r="K788" s="18"/>
      <c r="L788" s="18"/>
      <c r="AC788" s="1261"/>
    </row>
    <row r="789">
      <c r="B789" s="18"/>
      <c r="C789" s="18"/>
      <c r="D789" s="18"/>
      <c r="E789" s="314"/>
      <c r="F789" s="18"/>
      <c r="G789" s="18"/>
      <c r="H789" s="18"/>
      <c r="I789" s="18"/>
      <c r="J789" s="18" t="s">
        <v>841</v>
      </c>
      <c r="K789" s="18"/>
      <c r="L789" s="18"/>
      <c r="AC789" s="1261"/>
    </row>
    <row r="790">
      <c r="B790" s="18"/>
      <c r="C790" s="18"/>
      <c r="D790" s="18"/>
      <c r="E790" s="314"/>
      <c r="F790" s="18"/>
      <c r="G790" s="18"/>
      <c r="H790" s="18"/>
      <c r="I790" s="18"/>
      <c r="J790" s="18" t="s">
        <v>841</v>
      </c>
      <c r="K790" s="18"/>
      <c r="L790" s="18"/>
      <c r="AC790" s="1261"/>
    </row>
    <row r="791">
      <c r="B791" s="18"/>
      <c r="C791" s="18"/>
      <c r="D791" s="18"/>
      <c r="E791" s="314"/>
      <c r="F791" s="18"/>
      <c r="G791" s="18"/>
      <c r="H791" s="18"/>
      <c r="I791" s="18"/>
      <c r="J791" s="18" t="s">
        <v>841</v>
      </c>
      <c r="K791" s="18"/>
      <c r="L791" s="18"/>
      <c r="AC791" s="1261"/>
    </row>
    <row r="792">
      <c r="B792" s="18"/>
      <c r="C792" s="18"/>
      <c r="D792" s="18"/>
      <c r="E792" s="314"/>
      <c r="F792" s="18"/>
      <c r="G792" s="18"/>
      <c r="H792" s="18"/>
      <c r="I792" s="18"/>
      <c r="J792" s="18" t="s">
        <v>841</v>
      </c>
      <c r="K792" s="18"/>
      <c r="L792" s="18"/>
      <c r="AC792" s="1261"/>
    </row>
    <row r="793">
      <c r="B793" s="18"/>
      <c r="C793" s="18"/>
      <c r="D793" s="18"/>
      <c r="E793" s="314"/>
      <c r="F793" s="18"/>
      <c r="G793" s="18"/>
      <c r="H793" s="18"/>
      <c r="I793" s="18"/>
      <c r="J793" s="18" t="s">
        <v>841</v>
      </c>
      <c r="K793" s="18"/>
      <c r="L793" s="18"/>
      <c r="AC793" s="1261"/>
    </row>
    <row r="794">
      <c r="B794" s="18"/>
      <c r="C794" s="18"/>
      <c r="D794" s="18"/>
      <c r="E794" s="314"/>
      <c r="F794" s="18"/>
      <c r="G794" s="18"/>
      <c r="H794" s="18"/>
      <c r="I794" s="18"/>
      <c r="J794" s="18" t="s">
        <v>841</v>
      </c>
      <c r="K794" s="18"/>
      <c r="L794" s="18"/>
      <c r="AC794" s="1261"/>
    </row>
    <row r="795">
      <c r="B795" s="18"/>
      <c r="C795" s="18"/>
      <c r="D795" s="18"/>
      <c r="E795" s="314"/>
      <c r="F795" s="18"/>
      <c r="G795" s="18"/>
      <c r="H795" s="18"/>
      <c r="I795" s="18"/>
      <c r="J795" s="18" t="s">
        <v>841</v>
      </c>
      <c r="K795" s="18"/>
      <c r="L795" s="18"/>
      <c r="AC795" s="1261"/>
    </row>
    <row r="796">
      <c r="B796" s="18"/>
      <c r="C796" s="18"/>
      <c r="D796" s="18"/>
      <c r="E796" s="314"/>
      <c r="F796" s="18"/>
      <c r="G796" s="18"/>
      <c r="H796" s="18"/>
      <c r="I796" s="18"/>
      <c r="J796" s="18" t="s">
        <v>841</v>
      </c>
      <c r="K796" s="18"/>
      <c r="L796" s="18"/>
      <c r="AC796" s="1261"/>
    </row>
    <row r="797">
      <c r="B797" s="18"/>
      <c r="C797" s="18"/>
      <c r="D797" s="18"/>
      <c r="E797" s="314"/>
      <c r="F797" s="18"/>
      <c r="G797" s="18"/>
      <c r="H797" s="18"/>
      <c r="I797" s="18"/>
      <c r="J797" s="18" t="s">
        <v>841</v>
      </c>
      <c r="K797" s="18"/>
      <c r="L797" s="18"/>
      <c r="AC797" s="1261"/>
    </row>
    <row r="798">
      <c r="B798" s="18"/>
      <c r="C798" s="18"/>
      <c r="D798" s="18"/>
      <c r="E798" s="314"/>
      <c r="F798" s="18"/>
      <c r="G798" s="18"/>
      <c r="H798" s="18"/>
      <c r="I798" s="18"/>
      <c r="J798" s="18" t="s">
        <v>841</v>
      </c>
      <c r="K798" s="18"/>
      <c r="L798" s="18"/>
      <c r="AC798" s="1261"/>
    </row>
    <row r="799">
      <c r="B799" s="18"/>
      <c r="C799" s="18"/>
      <c r="D799" s="18"/>
      <c r="E799" s="314"/>
      <c r="F799" s="18"/>
      <c r="G799" s="18"/>
      <c r="H799" s="18"/>
      <c r="I799" s="18"/>
      <c r="J799" s="18" t="s">
        <v>841</v>
      </c>
      <c r="K799" s="18"/>
      <c r="L799" s="18"/>
      <c r="AC799" s="1261"/>
    </row>
    <row r="800">
      <c r="B800" s="18"/>
      <c r="C800" s="18"/>
      <c r="D800" s="18"/>
      <c r="E800" s="314"/>
      <c r="F800" s="18"/>
      <c r="G800" s="18"/>
      <c r="H800" s="18"/>
      <c r="I800" s="18"/>
      <c r="J800" s="18" t="s">
        <v>841</v>
      </c>
      <c r="K800" s="18"/>
      <c r="L800" s="18"/>
      <c r="AC800" s="1261"/>
    </row>
    <row r="801">
      <c r="B801" s="18"/>
      <c r="C801" s="18"/>
      <c r="D801" s="18"/>
      <c r="E801" s="314"/>
      <c r="F801" s="18"/>
      <c r="G801" s="18"/>
      <c r="H801" s="18"/>
      <c r="I801" s="18"/>
      <c r="J801" s="18" t="s">
        <v>841</v>
      </c>
      <c r="K801" s="18"/>
      <c r="L801" s="18"/>
      <c r="AC801" s="1261"/>
    </row>
    <row r="802">
      <c r="B802" s="18"/>
      <c r="C802" s="18"/>
      <c r="D802" s="18"/>
      <c r="E802" s="314"/>
      <c r="F802" s="18"/>
      <c r="G802" s="18"/>
      <c r="H802" s="18"/>
      <c r="I802" s="18"/>
      <c r="J802" s="18" t="s">
        <v>841</v>
      </c>
      <c r="K802" s="18"/>
      <c r="L802" s="18"/>
      <c r="AC802" s="1261"/>
    </row>
    <row r="803">
      <c r="B803" s="18"/>
      <c r="C803" s="18"/>
      <c r="D803" s="18"/>
      <c r="E803" s="314"/>
      <c r="F803" s="18"/>
      <c r="G803" s="18"/>
      <c r="H803" s="18"/>
      <c r="I803" s="18"/>
      <c r="J803" s="18" t="s">
        <v>841</v>
      </c>
      <c r="K803" s="18"/>
      <c r="L803" s="18"/>
      <c r="AC803" s="1261"/>
    </row>
    <row r="804">
      <c r="B804" s="18"/>
      <c r="C804" s="18"/>
      <c r="D804" s="18"/>
      <c r="E804" s="314"/>
      <c r="F804" s="18"/>
      <c r="G804" s="18"/>
      <c r="H804" s="18"/>
      <c r="I804" s="18"/>
      <c r="J804" s="18" t="s">
        <v>841</v>
      </c>
      <c r="K804" s="18"/>
      <c r="L804" s="18"/>
      <c r="AC804" s="1261"/>
    </row>
    <row r="805">
      <c r="B805" s="18"/>
      <c r="C805" s="18"/>
      <c r="D805" s="18"/>
      <c r="E805" s="314"/>
      <c r="F805" s="18"/>
      <c r="G805" s="18"/>
      <c r="H805" s="18"/>
      <c r="I805" s="18"/>
      <c r="J805" s="18" t="s">
        <v>841</v>
      </c>
      <c r="K805" s="18"/>
      <c r="L805" s="18"/>
      <c r="AC805" s="1261"/>
    </row>
    <row r="806">
      <c r="B806" s="18"/>
      <c r="C806" s="18"/>
      <c r="D806" s="18"/>
      <c r="E806" s="314"/>
      <c r="F806" s="18"/>
      <c r="G806" s="18"/>
      <c r="H806" s="18"/>
      <c r="I806" s="18"/>
      <c r="J806" s="18" t="s">
        <v>841</v>
      </c>
      <c r="K806" s="18"/>
      <c r="L806" s="18"/>
      <c r="AC806" s="1261"/>
    </row>
    <row r="807">
      <c r="B807" s="18"/>
      <c r="C807" s="18"/>
      <c r="D807" s="18"/>
      <c r="E807" s="314"/>
      <c r="F807" s="18"/>
      <c r="G807" s="18"/>
      <c r="H807" s="18"/>
      <c r="I807" s="18"/>
      <c r="J807" s="18" t="s">
        <v>841</v>
      </c>
      <c r="K807" s="18"/>
      <c r="L807" s="18"/>
      <c r="AC807" s="1261"/>
    </row>
    <row r="808">
      <c r="B808" s="18"/>
      <c r="C808" s="18"/>
      <c r="D808" s="18"/>
      <c r="E808" s="314"/>
      <c r="F808" s="18"/>
      <c r="G808" s="18"/>
      <c r="H808" s="18"/>
      <c r="I808" s="18"/>
      <c r="J808" s="18" t="s">
        <v>841</v>
      </c>
      <c r="K808" s="18"/>
      <c r="L808" s="18"/>
      <c r="AC808" s="1261"/>
    </row>
    <row r="809">
      <c r="B809" s="18"/>
      <c r="C809" s="18"/>
      <c r="D809" s="18"/>
      <c r="E809" s="314"/>
      <c r="F809" s="18"/>
      <c r="G809" s="18"/>
      <c r="H809" s="18"/>
      <c r="I809" s="18"/>
      <c r="J809" s="18" t="s">
        <v>841</v>
      </c>
      <c r="K809" s="18"/>
      <c r="L809" s="18"/>
      <c r="AC809" s="1261"/>
    </row>
    <row r="810">
      <c r="B810" s="18"/>
      <c r="C810" s="18"/>
      <c r="D810" s="18"/>
      <c r="E810" s="314"/>
      <c r="F810" s="18"/>
      <c r="G810" s="18"/>
      <c r="H810" s="18"/>
      <c r="I810" s="18"/>
      <c r="J810" s="18" t="s">
        <v>841</v>
      </c>
      <c r="K810" s="18"/>
      <c r="L810" s="18"/>
      <c r="AC810" s="1261"/>
    </row>
    <row r="811">
      <c r="B811" s="18"/>
      <c r="C811" s="18"/>
      <c r="D811" s="18"/>
      <c r="E811" s="314"/>
      <c r="F811" s="18"/>
      <c r="G811" s="18"/>
      <c r="H811" s="18"/>
      <c r="I811" s="18"/>
      <c r="J811" s="18" t="s">
        <v>841</v>
      </c>
      <c r="K811" s="18"/>
      <c r="L811" s="18"/>
      <c r="AC811" s="1261"/>
    </row>
    <row r="812">
      <c r="B812" s="18"/>
      <c r="C812" s="18"/>
      <c r="D812" s="18"/>
      <c r="E812" s="314"/>
      <c r="F812" s="18"/>
      <c r="G812" s="18"/>
      <c r="H812" s="18"/>
      <c r="I812" s="18"/>
      <c r="J812" s="18" t="s">
        <v>841</v>
      </c>
      <c r="K812" s="18"/>
      <c r="L812" s="18"/>
      <c r="AC812" s="1261"/>
    </row>
    <row r="813">
      <c r="B813" s="18"/>
      <c r="C813" s="18"/>
      <c r="D813" s="18"/>
      <c r="E813" s="314"/>
      <c r="F813" s="18"/>
      <c r="G813" s="18"/>
      <c r="H813" s="18"/>
      <c r="I813" s="18"/>
      <c r="J813" s="18" t="s">
        <v>841</v>
      </c>
      <c r="K813" s="18"/>
      <c r="L813" s="18"/>
      <c r="AC813" s="1261"/>
    </row>
    <row r="814">
      <c r="B814" s="18"/>
      <c r="C814" s="18"/>
      <c r="D814" s="18"/>
      <c r="E814" s="314"/>
      <c r="F814" s="18"/>
      <c r="G814" s="18"/>
      <c r="H814" s="18"/>
      <c r="I814" s="18"/>
      <c r="J814" s="18" t="s">
        <v>841</v>
      </c>
      <c r="K814" s="18"/>
      <c r="L814" s="18"/>
      <c r="AC814" s="1261"/>
    </row>
    <row r="815">
      <c r="B815" s="18"/>
      <c r="C815" s="18"/>
      <c r="D815" s="18"/>
      <c r="E815" s="314"/>
      <c r="F815" s="18"/>
      <c r="G815" s="18"/>
      <c r="H815" s="18"/>
      <c r="I815" s="18"/>
      <c r="J815" s="18" t="s">
        <v>841</v>
      </c>
      <c r="K815" s="18"/>
      <c r="L815" s="18"/>
      <c r="AC815" s="1261"/>
    </row>
    <row r="816">
      <c r="B816" s="18"/>
      <c r="C816" s="18"/>
      <c r="D816" s="18"/>
      <c r="E816" s="314"/>
      <c r="F816" s="18"/>
      <c r="G816" s="18"/>
      <c r="H816" s="18"/>
      <c r="I816" s="18"/>
      <c r="J816" s="18" t="s">
        <v>841</v>
      </c>
      <c r="K816" s="18"/>
      <c r="L816" s="18"/>
      <c r="AC816" s="1261"/>
    </row>
    <row r="817">
      <c r="B817" s="18"/>
      <c r="C817" s="18"/>
      <c r="D817" s="18"/>
      <c r="E817" s="314"/>
      <c r="F817" s="18"/>
      <c r="G817" s="18"/>
      <c r="H817" s="18"/>
      <c r="I817" s="18"/>
      <c r="J817" s="18" t="s">
        <v>841</v>
      </c>
      <c r="K817" s="18"/>
      <c r="L817" s="18"/>
      <c r="AC817" s="1261"/>
    </row>
    <row r="818">
      <c r="B818" s="18"/>
      <c r="C818" s="18"/>
      <c r="D818" s="18"/>
      <c r="E818" s="314"/>
      <c r="F818" s="18"/>
      <c r="G818" s="18"/>
      <c r="H818" s="18"/>
      <c r="I818" s="18"/>
      <c r="J818" s="18" t="s">
        <v>841</v>
      </c>
      <c r="K818" s="18"/>
      <c r="L818" s="18"/>
      <c r="AC818" s="1261"/>
    </row>
    <row r="819">
      <c r="B819" s="18"/>
      <c r="C819" s="18"/>
      <c r="D819" s="18"/>
      <c r="E819" s="314"/>
      <c r="F819" s="18"/>
      <c r="G819" s="18"/>
      <c r="H819" s="18"/>
      <c r="I819" s="18"/>
      <c r="J819" s="18" t="s">
        <v>841</v>
      </c>
      <c r="K819" s="18"/>
      <c r="L819" s="18"/>
      <c r="AC819" s="1261"/>
    </row>
    <row r="820">
      <c r="B820" s="18"/>
      <c r="C820" s="18"/>
      <c r="D820" s="18"/>
      <c r="E820" s="314"/>
      <c r="F820" s="18"/>
      <c r="G820" s="18"/>
      <c r="H820" s="18"/>
      <c r="I820" s="18"/>
      <c r="J820" s="18" t="s">
        <v>841</v>
      </c>
      <c r="K820" s="18"/>
      <c r="L820" s="18"/>
      <c r="AC820" s="1261"/>
    </row>
    <row r="821">
      <c r="B821" s="18"/>
      <c r="C821" s="18"/>
      <c r="D821" s="18"/>
      <c r="E821" s="314"/>
      <c r="F821" s="18"/>
      <c r="G821" s="18"/>
      <c r="H821" s="18"/>
      <c r="I821" s="18"/>
      <c r="J821" s="18" t="s">
        <v>841</v>
      </c>
      <c r="K821" s="18"/>
      <c r="L821" s="18"/>
      <c r="AC821" s="1261"/>
    </row>
    <row r="822">
      <c r="B822" s="18"/>
      <c r="C822" s="18"/>
      <c r="D822" s="18"/>
      <c r="E822" s="314"/>
      <c r="F822" s="18"/>
      <c r="G822" s="18"/>
      <c r="H822" s="18"/>
      <c r="I822" s="18"/>
      <c r="J822" s="18" t="s">
        <v>841</v>
      </c>
      <c r="K822" s="18"/>
      <c r="L822" s="18"/>
      <c r="AC822" s="1261"/>
    </row>
    <row r="823">
      <c r="B823" s="18"/>
      <c r="C823" s="18"/>
      <c r="D823" s="18"/>
      <c r="E823" s="314"/>
      <c r="F823" s="18"/>
      <c r="G823" s="18"/>
      <c r="H823" s="18"/>
      <c r="I823" s="18"/>
      <c r="J823" s="18" t="s">
        <v>841</v>
      </c>
      <c r="K823" s="18"/>
      <c r="L823" s="18"/>
      <c r="AC823" s="1261"/>
    </row>
    <row r="824">
      <c r="B824" s="18"/>
      <c r="C824" s="18"/>
      <c r="D824" s="18"/>
      <c r="E824" s="314"/>
      <c r="F824" s="18"/>
      <c r="G824" s="18"/>
      <c r="H824" s="18"/>
      <c r="I824" s="18"/>
      <c r="J824" s="18" t="s">
        <v>841</v>
      </c>
      <c r="K824" s="18"/>
      <c r="L824" s="18"/>
      <c r="AC824" s="1261"/>
    </row>
    <row r="825">
      <c r="B825" s="18"/>
      <c r="C825" s="18"/>
      <c r="D825" s="18"/>
      <c r="E825" s="314"/>
      <c r="F825" s="18"/>
      <c r="G825" s="18"/>
      <c r="H825" s="18"/>
      <c r="I825" s="18"/>
      <c r="J825" s="18" t="s">
        <v>841</v>
      </c>
      <c r="K825" s="18"/>
      <c r="L825" s="18"/>
      <c r="AC825" s="1261"/>
    </row>
    <row r="826">
      <c r="B826" s="18"/>
      <c r="C826" s="18"/>
      <c r="D826" s="18"/>
      <c r="E826" s="314"/>
      <c r="F826" s="18"/>
      <c r="G826" s="18"/>
      <c r="H826" s="18"/>
      <c r="I826" s="18"/>
      <c r="J826" s="18" t="s">
        <v>841</v>
      </c>
      <c r="K826" s="18"/>
      <c r="L826" s="18"/>
      <c r="AC826" s="1261"/>
    </row>
    <row r="827">
      <c r="B827" s="18"/>
      <c r="C827" s="18"/>
      <c r="D827" s="18"/>
      <c r="E827" s="314"/>
      <c r="F827" s="18"/>
      <c r="G827" s="18"/>
      <c r="H827" s="18"/>
      <c r="I827" s="18"/>
      <c r="J827" s="18" t="s">
        <v>841</v>
      </c>
      <c r="K827" s="18"/>
      <c r="L827" s="18"/>
      <c r="AC827" s="1261"/>
    </row>
    <row r="828">
      <c r="B828" s="18"/>
      <c r="C828" s="18"/>
      <c r="D828" s="18"/>
      <c r="E828" s="314"/>
      <c r="F828" s="18"/>
      <c r="G828" s="18"/>
      <c r="H828" s="18"/>
      <c r="I828" s="18"/>
      <c r="J828" s="18" t="s">
        <v>841</v>
      </c>
      <c r="K828" s="18"/>
      <c r="L828" s="18"/>
      <c r="AC828" s="1261"/>
    </row>
    <row r="829">
      <c r="B829" s="18"/>
      <c r="C829" s="18"/>
      <c r="D829" s="18"/>
      <c r="E829" s="314"/>
      <c r="F829" s="18"/>
      <c r="G829" s="18"/>
      <c r="H829" s="18"/>
      <c r="I829" s="18"/>
      <c r="J829" s="18" t="s">
        <v>841</v>
      </c>
      <c r="K829" s="18"/>
      <c r="L829" s="18"/>
      <c r="AC829" s="1261"/>
    </row>
    <row r="830">
      <c r="B830" s="18"/>
      <c r="C830" s="18"/>
      <c r="D830" s="18"/>
      <c r="E830" s="314"/>
      <c r="F830" s="18"/>
      <c r="G830" s="18"/>
      <c r="H830" s="18"/>
      <c r="I830" s="18"/>
      <c r="J830" s="18" t="s">
        <v>841</v>
      </c>
      <c r="K830" s="18"/>
      <c r="L830" s="18"/>
      <c r="AC830" s="1261"/>
    </row>
    <row r="831">
      <c r="B831" s="18"/>
      <c r="C831" s="18"/>
      <c r="D831" s="18"/>
      <c r="E831" s="314"/>
      <c r="F831" s="18"/>
      <c r="G831" s="18"/>
      <c r="H831" s="18"/>
      <c r="I831" s="18"/>
      <c r="J831" s="18" t="s">
        <v>841</v>
      </c>
      <c r="K831" s="18"/>
      <c r="L831" s="18"/>
      <c r="AC831" s="1261"/>
    </row>
    <row r="832">
      <c r="B832" s="18"/>
      <c r="C832" s="18"/>
      <c r="D832" s="18"/>
      <c r="E832" s="314"/>
      <c r="F832" s="18"/>
      <c r="G832" s="18"/>
      <c r="H832" s="18"/>
      <c r="I832" s="18"/>
      <c r="J832" s="18" t="s">
        <v>841</v>
      </c>
      <c r="K832" s="18"/>
      <c r="L832" s="18"/>
      <c r="AC832" s="1261"/>
    </row>
    <row r="833">
      <c r="B833" s="18"/>
      <c r="C833" s="18"/>
      <c r="D833" s="18"/>
      <c r="E833" s="314"/>
      <c r="F833" s="18"/>
      <c r="G833" s="18"/>
      <c r="H833" s="18"/>
      <c r="I833" s="18"/>
      <c r="J833" s="18" t="s">
        <v>841</v>
      </c>
      <c r="K833" s="18"/>
      <c r="L833" s="18"/>
      <c r="AC833" s="1261"/>
    </row>
    <row r="834">
      <c r="B834" s="18"/>
      <c r="C834" s="18"/>
      <c r="D834" s="18"/>
      <c r="E834" s="314"/>
      <c r="F834" s="18"/>
      <c r="G834" s="18"/>
      <c r="H834" s="18"/>
      <c r="I834" s="18"/>
      <c r="J834" s="18" t="s">
        <v>841</v>
      </c>
      <c r="K834" s="18"/>
      <c r="L834" s="18"/>
      <c r="AC834" s="1261"/>
    </row>
    <row r="835">
      <c r="B835" s="18"/>
      <c r="C835" s="18"/>
      <c r="D835" s="18"/>
      <c r="E835" s="314"/>
      <c r="F835" s="18"/>
      <c r="G835" s="18"/>
      <c r="H835" s="18"/>
      <c r="I835" s="18"/>
      <c r="J835" s="18" t="s">
        <v>841</v>
      </c>
      <c r="K835" s="18"/>
      <c r="L835" s="18"/>
      <c r="AC835" s="1261"/>
    </row>
    <row r="836">
      <c r="B836" s="18"/>
      <c r="C836" s="18"/>
      <c r="D836" s="18"/>
      <c r="E836" s="314"/>
      <c r="F836" s="18"/>
      <c r="G836" s="18"/>
      <c r="H836" s="18"/>
      <c r="I836" s="18"/>
      <c r="J836" s="18" t="s">
        <v>841</v>
      </c>
      <c r="K836" s="18"/>
      <c r="L836" s="18"/>
      <c r="AC836" s="1261"/>
    </row>
    <row r="837">
      <c r="B837" s="18"/>
      <c r="C837" s="18"/>
      <c r="D837" s="18"/>
      <c r="E837" s="314"/>
      <c r="F837" s="18"/>
      <c r="G837" s="18"/>
      <c r="H837" s="18"/>
      <c r="I837" s="18"/>
      <c r="J837" s="18" t="s">
        <v>841</v>
      </c>
      <c r="K837" s="18"/>
      <c r="L837" s="18"/>
      <c r="AC837" s="1261"/>
    </row>
    <row r="838">
      <c r="B838" s="18"/>
      <c r="C838" s="18"/>
      <c r="D838" s="18"/>
      <c r="E838" s="314"/>
      <c r="F838" s="18"/>
      <c r="G838" s="18"/>
      <c r="H838" s="18"/>
      <c r="I838" s="18"/>
      <c r="J838" s="18" t="s">
        <v>841</v>
      </c>
      <c r="K838" s="18"/>
      <c r="L838" s="18"/>
      <c r="AC838" s="1261"/>
    </row>
    <row r="839">
      <c r="B839" s="18"/>
      <c r="C839" s="18"/>
      <c r="D839" s="18"/>
      <c r="E839" s="314"/>
      <c r="F839" s="18"/>
      <c r="G839" s="18"/>
      <c r="H839" s="18"/>
      <c r="I839" s="18"/>
      <c r="J839" s="18" t="s">
        <v>841</v>
      </c>
      <c r="K839" s="18"/>
      <c r="L839" s="18"/>
      <c r="AC839" s="1261"/>
    </row>
    <row r="840">
      <c r="B840" s="18"/>
      <c r="C840" s="18"/>
      <c r="D840" s="18"/>
      <c r="E840" s="314"/>
      <c r="F840" s="18"/>
      <c r="G840" s="18"/>
      <c r="H840" s="18"/>
      <c r="I840" s="18"/>
      <c r="J840" s="18" t="s">
        <v>841</v>
      </c>
      <c r="K840" s="18"/>
      <c r="L840" s="18"/>
      <c r="AC840" s="1261"/>
    </row>
    <row r="841">
      <c r="B841" s="18"/>
      <c r="C841" s="18"/>
      <c r="D841" s="18"/>
      <c r="E841" s="314"/>
      <c r="F841" s="18"/>
      <c r="G841" s="18"/>
      <c r="H841" s="18"/>
      <c r="I841" s="18"/>
      <c r="J841" s="18" t="s">
        <v>841</v>
      </c>
      <c r="K841" s="18"/>
      <c r="L841" s="18"/>
      <c r="AC841" s="1261"/>
    </row>
    <row r="842">
      <c r="B842" s="18"/>
      <c r="C842" s="18"/>
      <c r="D842" s="18"/>
      <c r="E842" s="314"/>
      <c r="F842" s="18"/>
      <c r="G842" s="18"/>
      <c r="H842" s="18"/>
      <c r="I842" s="18"/>
      <c r="J842" s="18" t="s">
        <v>841</v>
      </c>
      <c r="K842" s="18"/>
      <c r="L842" s="18"/>
      <c r="AC842" s="1261"/>
    </row>
    <row r="843">
      <c r="B843" s="18"/>
      <c r="C843" s="18"/>
      <c r="D843" s="18"/>
      <c r="E843" s="314"/>
      <c r="F843" s="18"/>
      <c r="G843" s="18"/>
      <c r="H843" s="18"/>
      <c r="I843" s="18"/>
      <c r="J843" s="18" t="s">
        <v>841</v>
      </c>
      <c r="K843" s="18"/>
      <c r="L843" s="18"/>
      <c r="AC843" s="1261"/>
    </row>
    <row r="844">
      <c r="B844" s="18"/>
      <c r="C844" s="18"/>
      <c r="D844" s="18"/>
      <c r="E844" s="314"/>
      <c r="F844" s="18"/>
      <c r="G844" s="18"/>
      <c r="H844" s="18"/>
      <c r="I844" s="18"/>
      <c r="J844" s="18" t="s">
        <v>841</v>
      </c>
      <c r="K844" s="18"/>
      <c r="L844" s="18"/>
      <c r="AC844" s="1261"/>
    </row>
    <row r="845">
      <c r="B845" s="18"/>
      <c r="C845" s="18"/>
      <c r="D845" s="18"/>
      <c r="E845" s="314"/>
      <c r="F845" s="18"/>
      <c r="G845" s="18"/>
      <c r="H845" s="18"/>
      <c r="I845" s="18"/>
      <c r="J845" s="18" t="s">
        <v>841</v>
      </c>
      <c r="K845" s="18"/>
      <c r="L845" s="18"/>
      <c r="AC845" s="1261"/>
    </row>
    <row r="846">
      <c r="B846" s="18"/>
      <c r="C846" s="18"/>
      <c r="D846" s="18"/>
      <c r="E846" s="314"/>
      <c r="F846" s="18"/>
      <c r="G846" s="18"/>
      <c r="H846" s="18"/>
      <c r="I846" s="18"/>
      <c r="J846" s="18" t="s">
        <v>841</v>
      </c>
      <c r="K846" s="18"/>
      <c r="L846" s="18"/>
      <c r="AC846" s="1261"/>
    </row>
    <row r="847">
      <c r="B847" s="18"/>
      <c r="C847" s="18"/>
      <c r="D847" s="18"/>
      <c r="E847" s="314"/>
      <c r="F847" s="18"/>
      <c r="G847" s="18"/>
      <c r="H847" s="18"/>
      <c r="I847" s="18"/>
      <c r="J847" s="18" t="s">
        <v>841</v>
      </c>
      <c r="K847" s="18"/>
      <c r="L847" s="18"/>
      <c r="AC847" s="1261"/>
    </row>
    <row r="848">
      <c r="B848" s="18"/>
      <c r="C848" s="18"/>
      <c r="D848" s="18"/>
      <c r="E848" s="314"/>
      <c r="F848" s="18"/>
      <c r="G848" s="18"/>
      <c r="H848" s="18"/>
      <c r="I848" s="18"/>
      <c r="J848" s="18" t="s">
        <v>841</v>
      </c>
      <c r="K848" s="18"/>
      <c r="L848" s="18"/>
      <c r="AC848" s="1261"/>
    </row>
    <row r="849">
      <c r="B849" s="18"/>
      <c r="C849" s="18"/>
      <c r="D849" s="18"/>
      <c r="E849" s="314"/>
      <c r="F849" s="18"/>
      <c r="G849" s="18"/>
      <c r="H849" s="18"/>
      <c r="I849" s="18"/>
      <c r="J849" s="18" t="s">
        <v>841</v>
      </c>
      <c r="K849" s="18"/>
      <c r="L849" s="18"/>
      <c r="AC849" s="1261"/>
    </row>
    <row r="850">
      <c r="B850" s="18"/>
      <c r="C850" s="18"/>
      <c r="D850" s="18"/>
      <c r="E850" s="314"/>
      <c r="F850" s="18"/>
      <c r="G850" s="18"/>
      <c r="H850" s="18"/>
      <c r="I850" s="18"/>
      <c r="J850" s="18" t="s">
        <v>841</v>
      </c>
      <c r="K850" s="18"/>
      <c r="L850" s="18"/>
      <c r="AC850" s="1261"/>
    </row>
    <row r="851">
      <c r="B851" s="18"/>
      <c r="C851" s="18"/>
      <c r="D851" s="18"/>
      <c r="E851" s="314"/>
      <c r="F851" s="18"/>
      <c r="G851" s="18"/>
      <c r="H851" s="18"/>
      <c r="I851" s="18"/>
      <c r="J851" s="18" t="s">
        <v>841</v>
      </c>
      <c r="K851" s="18"/>
      <c r="L851" s="18"/>
      <c r="AC851" s="1261"/>
    </row>
    <row r="852">
      <c r="B852" s="18"/>
      <c r="C852" s="18"/>
      <c r="D852" s="18"/>
      <c r="E852" s="314"/>
      <c r="F852" s="18"/>
      <c r="G852" s="18"/>
      <c r="H852" s="18"/>
      <c r="I852" s="18"/>
      <c r="J852" s="18" t="s">
        <v>841</v>
      </c>
      <c r="K852" s="18"/>
      <c r="L852" s="18"/>
      <c r="AC852" s="1261"/>
    </row>
    <row r="853">
      <c r="B853" s="18"/>
      <c r="C853" s="18"/>
      <c r="D853" s="18"/>
      <c r="E853" s="314"/>
      <c r="F853" s="18"/>
      <c r="G853" s="18"/>
      <c r="H853" s="18"/>
      <c r="I853" s="18"/>
      <c r="J853" s="18" t="s">
        <v>841</v>
      </c>
      <c r="K853" s="18"/>
      <c r="L853" s="18"/>
      <c r="AC853" s="1261"/>
    </row>
    <row r="854">
      <c r="B854" s="18"/>
      <c r="C854" s="18"/>
      <c r="D854" s="18"/>
      <c r="E854" s="314"/>
      <c r="F854" s="18"/>
      <c r="G854" s="18"/>
      <c r="H854" s="18"/>
      <c r="I854" s="18"/>
      <c r="J854" s="18" t="s">
        <v>841</v>
      </c>
      <c r="K854" s="18"/>
      <c r="L854" s="18"/>
      <c r="AC854" s="1261"/>
    </row>
    <row r="855">
      <c r="B855" s="18"/>
      <c r="C855" s="18"/>
      <c r="D855" s="18"/>
      <c r="E855" s="314"/>
      <c r="F855" s="18"/>
      <c r="G855" s="18"/>
      <c r="H855" s="18"/>
      <c r="I855" s="18"/>
      <c r="J855" s="18" t="s">
        <v>841</v>
      </c>
      <c r="K855" s="18"/>
      <c r="L855" s="18"/>
      <c r="AC855" s="1261"/>
    </row>
    <row r="856">
      <c r="B856" s="18"/>
      <c r="C856" s="18"/>
      <c r="D856" s="18"/>
      <c r="E856" s="314"/>
      <c r="F856" s="18"/>
      <c r="G856" s="18"/>
      <c r="H856" s="18"/>
      <c r="I856" s="18"/>
      <c r="J856" s="18" t="s">
        <v>841</v>
      </c>
      <c r="K856" s="18"/>
      <c r="L856" s="18"/>
      <c r="AC856" s="1261"/>
    </row>
    <row r="857">
      <c r="B857" s="18"/>
      <c r="C857" s="18"/>
      <c r="D857" s="18"/>
      <c r="E857" s="314"/>
      <c r="F857" s="18"/>
      <c r="G857" s="18"/>
      <c r="H857" s="18"/>
      <c r="I857" s="18"/>
      <c r="J857" s="18" t="s">
        <v>841</v>
      </c>
      <c r="K857" s="18"/>
      <c r="L857" s="18"/>
      <c r="AC857" s="1261"/>
    </row>
    <row r="858">
      <c r="B858" s="18"/>
      <c r="C858" s="18"/>
      <c r="D858" s="18"/>
      <c r="E858" s="314"/>
      <c r="F858" s="18"/>
      <c r="G858" s="18"/>
      <c r="H858" s="18"/>
      <c r="I858" s="18"/>
      <c r="J858" s="18" t="s">
        <v>841</v>
      </c>
      <c r="K858" s="18"/>
      <c r="L858" s="18"/>
      <c r="AC858" s="1261"/>
    </row>
    <row r="859">
      <c r="B859" s="18"/>
      <c r="C859" s="18"/>
      <c r="D859" s="18"/>
      <c r="E859" s="314"/>
      <c r="F859" s="18"/>
      <c r="G859" s="18"/>
      <c r="H859" s="18"/>
      <c r="I859" s="18"/>
      <c r="J859" s="18" t="s">
        <v>841</v>
      </c>
      <c r="K859" s="18"/>
      <c r="L859" s="18"/>
      <c r="AC859" s="1261"/>
    </row>
    <row r="860">
      <c r="B860" s="18"/>
      <c r="C860" s="18"/>
      <c r="D860" s="18"/>
      <c r="E860" s="314"/>
      <c r="F860" s="18"/>
      <c r="G860" s="18"/>
      <c r="H860" s="18"/>
      <c r="I860" s="18"/>
      <c r="J860" s="18" t="s">
        <v>841</v>
      </c>
      <c r="K860" s="18"/>
      <c r="L860" s="18"/>
      <c r="AC860" s="1261"/>
    </row>
    <row r="861">
      <c r="B861" s="18"/>
      <c r="C861" s="18"/>
      <c r="D861" s="18"/>
      <c r="E861" s="314"/>
      <c r="F861" s="18"/>
      <c r="G861" s="18"/>
      <c r="H861" s="18"/>
      <c r="I861" s="18"/>
      <c r="J861" s="18" t="s">
        <v>841</v>
      </c>
      <c r="K861" s="18"/>
      <c r="L861" s="18"/>
      <c r="AC861" s="1261"/>
    </row>
    <row r="862">
      <c r="B862" s="18"/>
      <c r="C862" s="18"/>
      <c r="D862" s="18"/>
      <c r="E862" s="314"/>
      <c r="F862" s="18"/>
      <c r="G862" s="18"/>
      <c r="H862" s="18"/>
      <c r="I862" s="18"/>
      <c r="J862" s="18" t="s">
        <v>841</v>
      </c>
      <c r="K862" s="18"/>
      <c r="L862" s="18"/>
      <c r="AC862" s="1261"/>
    </row>
    <row r="863">
      <c r="B863" s="18"/>
      <c r="C863" s="18"/>
      <c r="D863" s="18"/>
      <c r="E863" s="314"/>
      <c r="F863" s="18"/>
      <c r="G863" s="18"/>
      <c r="H863" s="18"/>
      <c r="I863" s="18"/>
      <c r="J863" s="18" t="s">
        <v>841</v>
      </c>
      <c r="K863" s="18"/>
      <c r="L863" s="18"/>
      <c r="AC863" s="1261"/>
    </row>
    <row r="864">
      <c r="B864" s="18"/>
      <c r="C864" s="18"/>
      <c r="D864" s="18"/>
      <c r="E864" s="314"/>
      <c r="F864" s="18"/>
      <c r="G864" s="18"/>
      <c r="H864" s="18"/>
      <c r="I864" s="18"/>
      <c r="J864" s="18" t="s">
        <v>841</v>
      </c>
      <c r="K864" s="18"/>
      <c r="L864" s="18"/>
      <c r="AC864" s="1261"/>
    </row>
    <row r="865">
      <c r="B865" s="18"/>
      <c r="C865" s="18"/>
      <c r="D865" s="18"/>
      <c r="E865" s="314"/>
      <c r="F865" s="18"/>
      <c r="G865" s="18"/>
      <c r="H865" s="18"/>
      <c r="I865" s="18"/>
      <c r="J865" s="18" t="s">
        <v>841</v>
      </c>
      <c r="K865" s="18"/>
      <c r="L865" s="18"/>
      <c r="AC865" s="1261"/>
    </row>
    <row r="866">
      <c r="B866" s="18"/>
      <c r="C866" s="18"/>
      <c r="D866" s="18"/>
      <c r="E866" s="314"/>
      <c r="F866" s="18"/>
      <c r="G866" s="18"/>
      <c r="H866" s="18"/>
      <c r="I866" s="18"/>
      <c r="J866" s="18" t="s">
        <v>841</v>
      </c>
      <c r="K866" s="18"/>
      <c r="L866" s="18"/>
      <c r="AC866" s="1261"/>
    </row>
    <row r="867">
      <c r="B867" s="18"/>
      <c r="C867" s="18"/>
      <c r="D867" s="18"/>
      <c r="E867" s="314"/>
      <c r="F867" s="18"/>
      <c r="G867" s="18"/>
      <c r="H867" s="18"/>
      <c r="I867" s="18"/>
      <c r="J867" s="18" t="s">
        <v>841</v>
      </c>
      <c r="K867" s="18"/>
      <c r="L867" s="18"/>
      <c r="AC867" s="1261"/>
    </row>
    <row r="868">
      <c r="B868" s="18"/>
      <c r="C868" s="18"/>
      <c r="D868" s="18"/>
      <c r="E868" s="314"/>
      <c r="F868" s="18"/>
      <c r="G868" s="18"/>
      <c r="H868" s="18"/>
      <c r="I868" s="18"/>
      <c r="J868" s="18" t="s">
        <v>841</v>
      </c>
      <c r="K868" s="18"/>
      <c r="L868" s="18"/>
      <c r="AC868" s="1261"/>
    </row>
    <row r="869">
      <c r="B869" s="18"/>
      <c r="C869" s="18"/>
      <c r="D869" s="18"/>
      <c r="E869" s="314"/>
      <c r="F869" s="18"/>
      <c r="G869" s="18"/>
      <c r="H869" s="18"/>
      <c r="I869" s="18"/>
      <c r="J869" s="18" t="s">
        <v>841</v>
      </c>
      <c r="K869" s="18"/>
      <c r="L869" s="18"/>
      <c r="AC869" s="1261"/>
    </row>
    <row r="870">
      <c r="B870" s="18"/>
      <c r="C870" s="18"/>
      <c r="D870" s="18"/>
      <c r="E870" s="314"/>
      <c r="F870" s="18"/>
      <c r="G870" s="18"/>
      <c r="H870" s="18"/>
      <c r="I870" s="18"/>
      <c r="J870" s="18" t="s">
        <v>841</v>
      </c>
      <c r="K870" s="18"/>
      <c r="L870" s="18"/>
      <c r="AC870" s="1261"/>
    </row>
    <row r="871">
      <c r="B871" s="18"/>
      <c r="C871" s="18"/>
      <c r="D871" s="18"/>
      <c r="E871" s="314"/>
      <c r="F871" s="18"/>
      <c r="G871" s="18"/>
      <c r="H871" s="18"/>
      <c r="I871" s="18"/>
      <c r="J871" s="18" t="s">
        <v>841</v>
      </c>
      <c r="K871" s="18"/>
      <c r="L871" s="18"/>
      <c r="AC871" s="1261"/>
    </row>
    <row r="872">
      <c r="B872" s="18"/>
      <c r="C872" s="18"/>
      <c r="D872" s="18"/>
      <c r="E872" s="314"/>
      <c r="F872" s="18"/>
      <c r="G872" s="18"/>
      <c r="H872" s="18"/>
      <c r="I872" s="18"/>
      <c r="J872" s="18" t="s">
        <v>841</v>
      </c>
      <c r="K872" s="18"/>
      <c r="L872" s="18"/>
      <c r="AC872" s="1261"/>
    </row>
    <row r="873">
      <c r="B873" s="18"/>
      <c r="C873" s="18"/>
      <c r="D873" s="18"/>
      <c r="E873" s="314"/>
      <c r="F873" s="18"/>
      <c r="G873" s="18"/>
      <c r="H873" s="18"/>
      <c r="I873" s="18"/>
      <c r="J873" s="18" t="s">
        <v>841</v>
      </c>
      <c r="K873" s="18"/>
      <c r="L873" s="18"/>
      <c r="AC873" s="1261"/>
    </row>
    <row r="874">
      <c r="B874" s="18"/>
      <c r="C874" s="18"/>
      <c r="D874" s="18"/>
      <c r="E874" s="314"/>
      <c r="F874" s="18"/>
      <c r="G874" s="18"/>
      <c r="H874" s="18"/>
      <c r="I874" s="18"/>
      <c r="J874" s="18" t="s">
        <v>841</v>
      </c>
      <c r="K874" s="18"/>
      <c r="L874" s="18"/>
      <c r="AC874" s="1261"/>
    </row>
    <row r="875">
      <c r="B875" s="18"/>
      <c r="C875" s="18"/>
      <c r="D875" s="18"/>
      <c r="E875" s="314"/>
      <c r="F875" s="18"/>
      <c r="G875" s="18"/>
      <c r="H875" s="18"/>
      <c r="I875" s="18"/>
      <c r="J875" s="18" t="s">
        <v>841</v>
      </c>
      <c r="K875" s="18"/>
      <c r="L875" s="18"/>
      <c r="AC875" s="1261"/>
    </row>
    <row r="876">
      <c r="B876" s="18"/>
      <c r="C876" s="18"/>
      <c r="D876" s="18"/>
      <c r="E876" s="314"/>
      <c r="F876" s="18"/>
      <c r="G876" s="18"/>
      <c r="H876" s="18"/>
      <c r="I876" s="18"/>
      <c r="J876" s="18" t="s">
        <v>841</v>
      </c>
      <c r="K876" s="18"/>
      <c r="L876" s="18"/>
      <c r="AC876" s="1261"/>
    </row>
    <row r="877">
      <c r="B877" s="18"/>
      <c r="C877" s="18"/>
      <c r="D877" s="18"/>
      <c r="E877" s="314"/>
      <c r="F877" s="18"/>
      <c r="G877" s="18"/>
      <c r="H877" s="18"/>
      <c r="I877" s="18"/>
      <c r="J877" s="18" t="s">
        <v>841</v>
      </c>
      <c r="K877" s="18"/>
      <c r="L877" s="18"/>
      <c r="AC877" s="1261"/>
    </row>
    <row r="878">
      <c r="B878" s="18"/>
      <c r="C878" s="18"/>
      <c r="D878" s="18"/>
      <c r="E878" s="314"/>
      <c r="F878" s="18"/>
      <c r="G878" s="18"/>
      <c r="H878" s="18"/>
      <c r="I878" s="18"/>
      <c r="J878" s="18" t="s">
        <v>841</v>
      </c>
      <c r="K878" s="18"/>
      <c r="L878" s="18"/>
      <c r="AC878" s="1261"/>
    </row>
    <row r="879">
      <c r="B879" s="18"/>
      <c r="C879" s="18"/>
      <c r="D879" s="18"/>
      <c r="E879" s="314"/>
      <c r="F879" s="18"/>
      <c r="G879" s="18"/>
      <c r="H879" s="18"/>
      <c r="I879" s="18"/>
      <c r="J879" s="18" t="s">
        <v>841</v>
      </c>
      <c r="K879" s="18"/>
      <c r="L879" s="18"/>
      <c r="AC879" s="1261"/>
    </row>
    <row r="880">
      <c r="B880" s="18"/>
      <c r="C880" s="18"/>
      <c r="D880" s="18"/>
      <c r="E880" s="314"/>
      <c r="F880" s="18"/>
      <c r="G880" s="18"/>
      <c r="H880" s="18"/>
      <c r="I880" s="18"/>
      <c r="J880" s="18" t="s">
        <v>841</v>
      </c>
      <c r="K880" s="18"/>
      <c r="L880" s="18"/>
      <c r="AC880" s="1261"/>
    </row>
    <row r="881">
      <c r="B881" s="18"/>
      <c r="C881" s="18"/>
      <c r="D881" s="18"/>
      <c r="E881" s="314"/>
      <c r="F881" s="18"/>
      <c r="G881" s="18"/>
      <c r="H881" s="18"/>
      <c r="I881" s="18"/>
      <c r="J881" s="18" t="s">
        <v>841</v>
      </c>
      <c r="K881" s="18"/>
      <c r="L881" s="18"/>
      <c r="AC881" s="1261"/>
    </row>
    <row r="882">
      <c r="B882" s="18"/>
      <c r="C882" s="18"/>
      <c r="D882" s="18"/>
      <c r="E882" s="314"/>
      <c r="F882" s="18"/>
      <c r="G882" s="18"/>
      <c r="H882" s="18"/>
      <c r="I882" s="18"/>
      <c r="J882" s="18" t="s">
        <v>841</v>
      </c>
      <c r="K882" s="18"/>
      <c r="L882" s="18"/>
      <c r="AC882" s="1261"/>
    </row>
    <row r="883">
      <c r="B883" s="18"/>
      <c r="C883" s="18"/>
      <c r="D883" s="18"/>
      <c r="E883" s="314"/>
      <c r="F883" s="18"/>
      <c r="G883" s="18"/>
      <c r="H883" s="18"/>
      <c r="I883" s="18"/>
      <c r="J883" s="18" t="s">
        <v>841</v>
      </c>
      <c r="K883" s="18"/>
      <c r="L883" s="18"/>
      <c r="AC883" s="1261"/>
    </row>
    <row r="884">
      <c r="B884" s="18"/>
      <c r="C884" s="18"/>
      <c r="D884" s="18"/>
      <c r="E884" s="314"/>
      <c r="F884" s="18"/>
      <c r="G884" s="18"/>
      <c r="H884" s="18"/>
      <c r="I884" s="18"/>
      <c r="J884" s="18" t="s">
        <v>841</v>
      </c>
      <c r="K884" s="18"/>
      <c r="L884" s="18"/>
      <c r="AC884" s="1261"/>
    </row>
    <row r="885">
      <c r="B885" s="18"/>
      <c r="C885" s="18"/>
      <c r="D885" s="18"/>
      <c r="E885" s="314"/>
      <c r="F885" s="18"/>
      <c r="G885" s="18"/>
      <c r="H885" s="18"/>
      <c r="I885" s="18"/>
      <c r="J885" s="18" t="s">
        <v>841</v>
      </c>
      <c r="K885" s="18"/>
      <c r="L885" s="18"/>
      <c r="AC885" s="1261"/>
    </row>
    <row r="886">
      <c r="B886" s="18"/>
      <c r="C886" s="18"/>
      <c r="D886" s="18"/>
      <c r="E886" s="314"/>
      <c r="F886" s="18"/>
      <c r="G886" s="18"/>
      <c r="H886" s="18"/>
      <c r="I886" s="18"/>
      <c r="J886" s="18" t="s">
        <v>841</v>
      </c>
      <c r="K886" s="18"/>
      <c r="L886" s="18"/>
      <c r="AC886" s="1261"/>
    </row>
    <row r="887">
      <c r="B887" s="18"/>
      <c r="C887" s="18"/>
      <c r="D887" s="18"/>
      <c r="E887" s="314"/>
      <c r="F887" s="18"/>
      <c r="G887" s="18"/>
      <c r="H887" s="18"/>
      <c r="I887" s="18"/>
      <c r="J887" s="18" t="s">
        <v>841</v>
      </c>
      <c r="K887" s="18"/>
      <c r="L887" s="18"/>
      <c r="AC887" s="1261"/>
    </row>
    <row r="888">
      <c r="B888" s="18"/>
      <c r="C888" s="18"/>
      <c r="D888" s="18"/>
      <c r="E888" s="314"/>
      <c r="F888" s="18"/>
      <c r="G888" s="18"/>
      <c r="H888" s="18"/>
      <c r="I888" s="18"/>
      <c r="J888" s="18" t="s">
        <v>841</v>
      </c>
      <c r="K888" s="18"/>
      <c r="L888" s="18"/>
      <c r="AC888" s="1261"/>
    </row>
    <row r="889">
      <c r="B889" s="18"/>
      <c r="C889" s="18"/>
      <c r="D889" s="18"/>
      <c r="E889" s="314"/>
      <c r="F889" s="18"/>
      <c r="G889" s="18"/>
      <c r="H889" s="18"/>
      <c r="I889" s="18"/>
      <c r="J889" s="18" t="s">
        <v>841</v>
      </c>
      <c r="K889" s="18"/>
      <c r="L889" s="18"/>
      <c r="AC889" s="1261"/>
    </row>
    <row r="890">
      <c r="B890" s="18"/>
      <c r="C890" s="18"/>
      <c r="D890" s="18"/>
      <c r="E890" s="314"/>
      <c r="F890" s="18"/>
      <c r="G890" s="18"/>
      <c r="H890" s="18"/>
      <c r="I890" s="18"/>
      <c r="J890" s="18" t="s">
        <v>841</v>
      </c>
      <c r="K890" s="18"/>
      <c r="L890" s="18"/>
      <c r="AC890" s="1261"/>
    </row>
    <row r="891">
      <c r="B891" s="18"/>
      <c r="C891" s="18"/>
      <c r="D891" s="18"/>
      <c r="E891" s="314"/>
      <c r="F891" s="18"/>
      <c r="G891" s="18"/>
      <c r="H891" s="18"/>
      <c r="I891" s="18"/>
      <c r="J891" s="18" t="s">
        <v>841</v>
      </c>
      <c r="K891" s="18"/>
      <c r="L891" s="18"/>
      <c r="AC891" s="1261"/>
    </row>
    <row r="892">
      <c r="B892" s="18"/>
      <c r="C892" s="18"/>
      <c r="D892" s="18"/>
      <c r="E892" s="314"/>
      <c r="F892" s="18"/>
      <c r="G892" s="18"/>
      <c r="H892" s="18"/>
      <c r="I892" s="18"/>
      <c r="J892" s="18" t="s">
        <v>841</v>
      </c>
      <c r="K892" s="18"/>
      <c r="L892" s="18"/>
      <c r="AC892" s="1261"/>
    </row>
    <row r="893">
      <c r="B893" s="18"/>
      <c r="C893" s="18"/>
      <c r="D893" s="18"/>
      <c r="E893" s="314"/>
      <c r="F893" s="18"/>
      <c r="G893" s="18"/>
      <c r="H893" s="18"/>
      <c r="I893" s="18"/>
      <c r="J893" s="18" t="s">
        <v>841</v>
      </c>
      <c r="K893" s="18"/>
      <c r="L893" s="18"/>
      <c r="AC893" s="1261"/>
    </row>
    <row r="894">
      <c r="B894" s="18"/>
      <c r="C894" s="18"/>
      <c r="D894" s="18"/>
      <c r="E894" s="314"/>
      <c r="F894" s="18"/>
      <c r="G894" s="18"/>
      <c r="H894" s="18"/>
      <c r="I894" s="18"/>
      <c r="J894" s="18" t="s">
        <v>841</v>
      </c>
      <c r="K894" s="18"/>
      <c r="L894" s="18"/>
      <c r="AC894" s="1261"/>
    </row>
    <row r="895">
      <c r="B895" s="18"/>
      <c r="C895" s="18"/>
      <c r="D895" s="18"/>
      <c r="E895" s="314"/>
      <c r="F895" s="18"/>
      <c r="G895" s="18"/>
      <c r="H895" s="18"/>
      <c r="I895" s="18"/>
      <c r="J895" s="18" t="s">
        <v>841</v>
      </c>
      <c r="K895" s="18"/>
      <c r="L895" s="18"/>
      <c r="AC895" s="1261"/>
    </row>
    <row r="896">
      <c r="B896" s="18"/>
      <c r="C896" s="18"/>
      <c r="D896" s="18"/>
      <c r="E896" s="314"/>
      <c r="F896" s="18"/>
      <c r="G896" s="18"/>
      <c r="H896" s="18"/>
      <c r="I896" s="18"/>
      <c r="J896" s="18" t="s">
        <v>841</v>
      </c>
      <c r="K896" s="18"/>
      <c r="L896" s="18"/>
      <c r="AC896" s="1261"/>
    </row>
    <row r="897">
      <c r="B897" s="18"/>
      <c r="C897" s="18"/>
      <c r="D897" s="18"/>
      <c r="E897" s="314"/>
      <c r="F897" s="18"/>
      <c r="G897" s="18"/>
      <c r="H897" s="18"/>
      <c r="I897" s="18"/>
      <c r="J897" s="18" t="s">
        <v>841</v>
      </c>
      <c r="K897" s="18"/>
      <c r="L897" s="18"/>
      <c r="AC897" s="1261"/>
    </row>
    <row r="898">
      <c r="B898" s="18"/>
      <c r="C898" s="18"/>
      <c r="D898" s="18"/>
      <c r="E898" s="314"/>
      <c r="F898" s="18"/>
      <c r="G898" s="18"/>
      <c r="H898" s="18"/>
      <c r="I898" s="18"/>
      <c r="J898" s="18" t="s">
        <v>841</v>
      </c>
      <c r="K898" s="18"/>
      <c r="L898" s="18"/>
      <c r="AC898" s="1261"/>
    </row>
    <row r="899">
      <c r="B899" s="18"/>
      <c r="C899" s="18"/>
      <c r="D899" s="18"/>
      <c r="E899" s="314"/>
      <c r="F899" s="18"/>
      <c r="G899" s="18"/>
      <c r="H899" s="18"/>
      <c r="I899" s="18"/>
      <c r="J899" s="18" t="s">
        <v>841</v>
      </c>
      <c r="K899" s="18"/>
      <c r="L899" s="18"/>
      <c r="AC899" s="1261"/>
    </row>
    <row r="900">
      <c r="B900" s="18"/>
      <c r="C900" s="18"/>
      <c r="D900" s="18"/>
      <c r="E900" s="314"/>
      <c r="F900" s="18"/>
      <c r="G900" s="18"/>
      <c r="H900" s="18"/>
      <c r="I900" s="18"/>
      <c r="J900" s="18" t="s">
        <v>841</v>
      </c>
      <c r="K900" s="18"/>
      <c r="L900" s="18"/>
      <c r="AC900" s="1261"/>
    </row>
    <row r="901">
      <c r="B901" s="18"/>
      <c r="C901" s="18"/>
      <c r="D901" s="18"/>
      <c r="E901" s="314"/>
      <c r="F901" s="18"/>
      <c r="G901" s="18"/>
      <c r="H901" s="18"/>
      <c r="I901" s="18"/>
      <c r="J901" s="18" t="s">
        <v>841</v>
      </c>
      <c r="K901" s="18"/>
      <c r="L901" s="18"/>
      <c r="AC901" s="1261"/>
    </row>
    <row r="902">
      <c r="B902" s="18"/>
      <c r="C902" s="18"/>
      <c r="D902" s="18"/>
      <c r="E902" s="314"/>
      <c r="F902" s="18"/>
      <c r="G902" s="18"/>
      <c r="H902" s="18"/>
      <c r="I902" s="18"/>
      <c r="J902" s="18" t="s">
        <v>841</v>
      </c>
      <c r="K902" s="18"/>
      <c r="L902" s="18"/>
      <c r="AC902" s="1261"/>
    </row>
    <row r="903">
      <c r="B903" s="18"/>
      <c r="C903" s="18"/>
      <c r="D903" s="18"/>
      <c r="E903" s="314"/>
      <c r="F903" s="18"/>
      <c r="G903" s="18"/>
      <c r="H903" s="18"/>
      <c r="I903" s="18"/>
      <c r="J903" s="18" t="s">
        <v>841</v>
      </c>
      <c r="K903" s="18"/>
      <c r="L903" s="18"/>
      <c r="AC903" s="1261"/>
    </row>
    <row r="904">
      <c r="B904" s="18"/>
      <c r="C904" s="18"/>
      <c r="D904" s="18"/>
      <c r="E904" s="314"/>
      <c r="F904" s="18"/>
      <c r="G904" s="18"/>
      <c r="H904" s="18"/>
      <c r="I904" s="18"/>
      <c r="J904" s="18" t="s">
        <v>841</v>
      </c>
      <c r="K904" s="18"/>
      <c r="L904" s="18"/>
      <c r="AC904" s="1261"/>
    </row>
    <row r="905">
      <c r="B905" s="18"/>
      <c r="C905" s="18"/>
      <c r="D905" s="18"/>
      <c r="E905" s="314"/>
      <c r="F905" s="18"/>
      <c r="G905" s="18"/>
      <c r="H905" s="18"/>
      <c r="I905" s="18"/>
      <c r="J905" s="18" t="s">
        <v>841</v>
      </c>
      <c r="K905" s="18"/>
      <c r="L905" s="18"/>
      <c r="AC905" s="1261"/>
    </row>
    <row r="906">
      <c r="B906" s="18"/>
      <c r="C906" s="18"/>
      <c r="D906" s="18"/>
      <c r="E906" s="314"/>
      <c r="F906" s="18"/>
      <c r="G906" s="18"/>
      <c r="H906" s="18"/>
      <c r="I906" s="18"/>
      <c r="J906" s="18" t="s">
        <v>841</v>
      </c>
      <c r="K906" s="18"/>
      <c r="L906" s="18"/>
      <c r="AC906" s="1261"/>
    </row>
    <row r="907">
      <c r="B907" s="18"/>
      <c r="C907" s="18"/>
      <c r="D907" s="18"/>
      <c r="E907" s="314"/>
      <c r="F907" s="18"/>
      <c r="G907" s="18"/>
      <c r="H907" s="18"/>
      <c r="I907" s="18"/>
      <c r="J907" s="18" t="s">
        <v>841</v>
      </c>
      <c r="K907" s="18"/>
      <c r="L907" s="18"/>
      <c r="AC907" s="1261"/>
    </row>
    <row r="908">
      <c r="B908" s="18"/>
      <c r="C908" s="18"/>
      <c r="D908" s="18"/>
      <c r="E908" s="314"/>
      <c r="F908" s="18"/>
      <c r="G908" s="18"/>
      <c r="H908" s="18"/>
      <c r="I908" s="18"/>
      <c r="J908" s="18" t="s">
        <v>841</v>
      </c>
      <c r="K908" s="18"/>
      <c r="L908" s="18"/>
      <c r="AC908" s="1261"/>
    </row>
    <row r="909">
      <c r="B909" s="18"/>
      <c r="C909" s="18"/>
      <c r="D909" s="18"/>
      <c r="E909" s="314"/>
      <c r="F909" s="18"/>
      <c r="G909" s="18"/>
      <c r="H909" s="18"/>
      <c r="I909" s="18"/>
      <c r="J909" s="18" t="s">
        <v>841</v>
      </c>
      <c r="K909" s="18"/>
      <c r="L909" s="18"/>
      <c r="AC909" s="1261"/>
    </row>
    <row r="910">
      <c r="B910" s="18"/>
      <c r="C910" s="18"/>
      <c r="D910" s="18"/>
      <c r="E910" s="314"/>
      <c r="F910" s="18"/>
      <c r="G910" s="18"/>
      <c r="H910" s="18"/>
      <c r="I910" s="18"/>
      <c r="J910" s="18" t="s">
        <v>841</v>
      </c>
      <c r="K910" s="18"/>
      <c r="L910" s="18"/>
      <c r="AC910" s="1261"/>
    </row>
    <row r="911">
      <c r="B911" s="18"/>
      <c r="C911" s="18"/>
      <c r="D911" s="18"/>
      <c r="E911" s="314"/>
      <c r="F911" s="18"/>
      <c r="G911" s="18"/>
      <c r="H911" s="18"/>
      <c r="I911" s="18"/>
      <c r="J911" s="18" t="s">
        <v>841</v>
      </c>
      <c r="K911" s="18"/>
      <c r="L911" s="18"/>
      <c r="AC911" s="1261"/>
    </row>
    <row r="912">
      <c r="B912" s="18"/>
      <c r="C912" s="18"/>
      <c r="D912" s="18"/>
      <c r="E912" s="314"/>
      <c r="F912" s="18"/>
      <c r="G912" s="18"/>
      <c r="H912" s="18"/>
      <c r="I912" s="18"/>
      <c r="J912" s="18" t="s">
        <v>841</v>
      </c>
      <c r="K912" s="18"/>
      <c r="L912" s="18"/>
      <c r="AC912" s="1261"/>
    </row>
    <row r="913">
      <c r="B913" s="18"/>
      <c r="C913" s="18"/>
      <c r="D913" s="18"/>
      <c r="E913" s="314"/>
      <c r="F913" s="18"/>
      <c r="G913" s="18"/>
      <c r="H913" s="18"/>
      <c r="I913" s="18"/>
      <c r="J913" s="18" t="s">
        <v>841</v>
      </c>
      <c r="K913" s="18"/>
      <c r="L913" s="18"/>
      <c r="AC913" s="1261"/>
    </row>
    <row r="914">
      <c r="B914" s="18"/>
      <c r="C914" s="18"/>
      <c r="D914" s="18"/>
      <c r="E914" s="314"/>
      <c r="F914" s="18"/>
      <c r="G914" s="18"/>
      <c r="H914" s="18"/>
      <c r="I914" s="18"/>
      <c r="J914" s="18" t="s">
        <v>841</v>
      </c>
      <c r="K914" s="18"/>
      <c r="L914" s="18"/>
      <c r="AC914" s="1261"/>
    </row>
    <row r="915">
      <c r="B915" s="18"/>
      <c r="C915" s="18"/>
      <c r="D915" s="18"/>
      <c r="E915" s="314"/>
      <c r="F915" s="18"/>
      <c r="G915" s="18"/>
      <c r="H915" s="18"/>
      <c r="I915" s="18"/>
      <c r="J915" s="18" t="s">
        <v>841</v>
      </c>
      <c r="K915" s="18"/>
      <c r="L915" s="18"/>
      <c r="AC915" s="1261"/>
    </row>
    <row r="916">
      <c r="B916" s="18"/>
      <c r="C916" s="18"/>
      <c r="D916" s="18"/>
      <c r="E916" s="314"/>
      <c r="F916" s="18"/>
      <c r="G916" s="18"/>
      <c r="H916" s="18"/>
      <c r="I916" s="18"/>
      <c r="J916" s="18" t="s">
        <v>841</v>
      </c>
      <c r="K916" s="18"/>
      <c r="L916" s="18"/>
      <c r="AC916" s="1261"/>
    </row>
    <row r="917">
      <c r="B917" s="18"/>
      <c r="C917" s="18"/>
      <c r="D917" s="18"/>
      <c r="E917" s="314"/>
      <c r="F917" s="18"/>
      <c r="G917" s="18"/>
      <c r="H917" s="18"/>
      <c r="I917" s="18"/>
      <c r="J917" s="18" t="s">
        <v>841</v>
      </c>
      <c r="K917" s="18"/>
      <c r="L917" s="18"/>
      <c r="AC917" s="1261"/>
    </row>
    <row r="918">
      <c r="B918" s="18"/>
      <c r="C918" s="18"/>
      <c r="D918" s="18"/>
      <c r="E918" s="314"/>
      <c r="F918" s="18"/>
      <c r="G918" s="18"/>
      <c r="H918" s="18"/>
      <c r="I918" s="18"/>
      <c r="J918" s="18" t="s">
        <v>841</v>
      </c>
      <c r="K918" s="18"/>
      <c r="L918" s="18"/>
      <c r="AC918" s="1261"/>
    </row>
    <row r="919">
      <c r="B919" s="18"/>
      <c r="C919" s="18"/>
      <c r="D919" s="18"/>
      <c r="E919" s="314"/>
      <c r="F919" s="18"/>
      <c r="G919" s="18"/>
      <c r="H919" s="18"/>
      <c r="I919" s="18"/>
      <c r="J919" s="18" t="s">
        <v>841</v>
      </c>
      <c r="K919" s="18"/>
      <c r="L919" s="18"/>
      <c r="AC919" s="1261"/>
    </row>
    <row r="920">
      <c r="B920" s="18"/>
      <c r="C920" s="18"/>
      <c r="D920" s="18"/>
      <c r="E920" s="314"/>
      <c r="F920" s="18"/>
      <c r="G920" s="18"/>
      <c r="H920" s="18"/>
      <c r="I920" s="18"/>
      <c r="J920" s="18" t="s">
        <v>841</v>
      </c>
      <c r="K920" s="18"/>
      <c r="L920" s="18"/>
      <c r="AC920" s="1261"/>
    </row>
    <row r="921">
      <c r="B921" s="18"/>
      <c r="C921" s="18"/>
      <c r="D921" s="18"/>
      <c r="E921" s="314"/>
      <c r="F921" s="18"/>
      <c r="G921" s="18"/>
      <c r="H921" s="18"/>
      <c r="I921" s="18"/>
      <c r="J921" s="18" t="s">
        <v>841</v>
      </c>
      <c r="K921" s="18"/>
      <c r="L921" s="18"/>
      <c r="AC921" s="1261"/>
    </row>
    <row r="922">
      <c r="B922" s="18"/>
      <c r="C922" s="18"/>
      <c r="D922" s="18"/>
      <c r="E922" s="314"/>
      <c r="F922" s="18"/>
      <c r="G922" s="18"/>
      <c r="H922" s="18"/>
      <c r="I922" s="18"/>
      <c r="J922" s="18" t="s">
        <v>841</v>
      </c>
      <c r="K922" s="18"/>
      <c r="L922" s="18"/>
      <c r="AC922" s="1261"/>
    </row>
    <row r="923">
      <c r="B923" s="18"/>
      <c r="C923" s="18"/>
      <c r="D923" s="18"/>
      <c r="E923" s="314"/>
      <c r="F923" s="18"/>
      <c r="G923" s="18"/>
      <c r="H923" s="18"/>
      <c r="I923" s="18"/>
      <c r="J923" s="18" t="s">
        <v>841</v>
      </c>
      <c r="K923" s="18"/>
      <c r="L923" s="18"/>
      <c r="AC923" s="1261"/>
    </row>
    <row r="924">
      <c r="B924" s="18"/>
      <c r="C924" s="18"/>
      <c r="D924" s="18"/>
      <c r="E924" s="314"/>
      <c r="F924" s="18"/>
      <c r="G924" s="18"/>
      <c r="H924" s="18"/>
      <c r="I924" s="18"/>
      <c r="J924" s="18" t="s">
        <v>841</v>
      </c>
      <c r="K924" s="18"/>
      <c r="L924" s="18"/>
      <c r="AC924" s="1261"/>
    </row>
    <row r="925">
      <c r="B925" s="18"/>
      <c r="C925" s="18"/>
      <c r="D925" s="18"/>
      <c r="E925" s="314"/>
      <c r="F925" s="18"/>
      <c r="G925" s="18"/>
      <c r="H925" s="18"/>
      <c r="I925" s="18"/>
      <c r="J925" s="18" t="s">
        <v>841</v>
      </c>
      <c r="K925" s="18"/>
      <c r="L925" s="18"/>
      <c r="AC925" s="1261"/>
    </row>
    <row r="926">
      <c r="B926" s="18"/>
      <c r="C926" s="18"/>
      <c r="D926" s="18"/>
      <c r="E926" s="314"/>
      <c r="F926" s="18"/>
      <c r="G926" s="18"/>
      <c r="H926" s="18"/>
      <c r="I926" s="18"/>
      <c r="J926" s="18" t="s">
        <v>841</v>
      </c>
      <c r="K926" s="18"/>
      <c r="L926" s="18"/>
      <c r="AC926" s="1261"/>
    </row>
    <row r="927">
      <c r="B927" s="18"/>
      <c r="C927" s="18"/>
      <c r="D927" s="18"/>
      <c r="E927" s="314"/>
      <c r="F927" s="18"/>
      <c r="G927" s="18"/>
      <c r="H927" s="18"/>
      <c r="I927" s="18"/>
      <c r="J927" s="18" t="s">
        <v>841</v>
      </c>
      <c r="K927" s="18"/>
      <c r="L927" s="18"/>
      <c r="AC927" s="1261"/>
    </row>
    <row r="928">
      <c r="B928" s="18"/>
      <c r="C928" s="18"/>
      <c r="D928" s="18"/>
      <c r="E928" s="314"/>
      <c r="F928" s="18"/>
      <c r="G928" s="18"/>
      <c r="H928" s="18"/>
      <c r="I928" s="18"/>
      <c r="J928" s="18" t="s">
        <v>841</v>
      </c>
      <c r="K928" s="18"/>
      <c r="L928" s="18"/>
      <c r="AC928" s="1261"/>
    </row>
    <row r="929">
      <c r="B929" s="18"/>
      <c r="C929" s="18"/>
      <c r="D929" s="18"/>
      <c r="E929" s="314"/>
      <c r="F929" s="18"/>
      <c r="G929" s="18"/>
      <c r="H929" s="18"/>
      <c r="I929" s="18"/>
      <c r="J929" s="18" t="s">
        <v>841</v>
      </c>
      <c r="K929" s="18"/>
      <c r="L929" s="18"/>
      <c r="AC929" s="1261"/>
    </row>
    <row r="930">
      <c r="B930" s="18"/>
      <c r="C930" s="18"/>
      <c r="D930" s="18"/>
      <c r="E930" s="314"/>
      <c r="F930" s="18"/>
      <c r="G930" s="18"/>
      <c r="H930" s="18"/>
      <c r="I930" s="18"/>
      <c r="J930" s="18" t="s">
        <v>841</v>
      </c>
      <c r="K930" s="18"/>
      <c r="L930" s="18"/>
      <c r="AC930" s="1261"/>
    </row>
    <row r="931">
      <c r="B931" s="18"/>
      <c r="C931" s="18"/>
      <c r="D931" s="18"/>
      <c r="E931" s="314"/>
      <c r="F931" s="18"/>
      <c r="G931" s="18"/>
      <c r="H931" s="18"/>
      <c r="I931" s="18"/>
      <c r="J931" s="18" t="s">
        <v>841</v>
      </c>
      <c r="K931" s="18"/>
      <c r="L931" s="18"/>
      <c r="AC931" s="1261"/>
    </row>
    <row r="932">
      <c r="B932" s="18"/>
      <c r="C932" s="18"/>
      <c r="D932" s="18"/>
      <c r="E932" s="314"/>
      <c r="F932" s="18"/>
      <c r="G932" s="18"/>
      <c r="H932" s="18"/>
      <c r="I932" s="18"/>
      <c r="J932" s="18" t="s">
        <v>841</v>
      </c>
      <c r="K932" s="18"/>
      <c r="L932" s="18"/>
      <c r="AC932" s="1261"/>
    </row>
    <row r="933">
      <c r="B933" s="18"/>
      <c r="C933" s="18"/>
      <c r="D933" s="18"/>
      <c r="E933" s="314"/>
      <c r="F933" s="18"/>
      <c r="G933" s="18"/>
      <c r="H933" s="18"/>
      <c r="I933" s="18"/>
      <c r="J933" s="18" t="s">
        <v>841</v>
      </c>
      <c r="K933" s="18"/>
      <c r="L933" s="18"/>
      <c r="AC933" s="1261"/>
    </row>
    <row r="934">
      <c r="B934" s="18"/>
      <c r="C934" s="18"/>
      <c r="D934" s="18"/>
      <c r="E934" s="314"/>
      <c r="F934" s="18"/>
      <c r="G934" s="18"/>
      <c r="H934" s="18"/>
      <c r="I934" s="18"/>
      <c r="J934" s="18" t="s">
        <v>841</v>
      </c>
      <c r="K934" s="18"/>
      <c r="L934" s="18"/>
      <c r="AC934" s="1261"/>
    </row>
    <row r="935">
      <c r="B935" s="18"/>
      <c r="C935" s="18"/>
      <c r="D935" s="18"/>
      <c r="E935" s="314"/>
      <c r="F935" s="18"/>
      <c r="G935" s="18"/>
      <c r="H935" s="18"/>
      <c r="I935" s="18"/>
      <c r="J935" s="18" t="s">
        <v>841</v>
      </c>
      <c r="K935" s="18"/>
      <c r="L935" s="18"/>
      <c r="AC935" s="1261"/>
    </row>
    <row r="936">
      <c r="B936" s="18"/>
      <c r="C936" s="18"/>
      <c r="D936" s="18"/>
      <c r="E936" s="314"/>
      <c r="F936" s="18"/>
      <c r="G936" s="18"/>
      <c r="H936" s="18"/>
      <c r="I936" s="18"/>
      <c r="J936" s="18" t="s">
        <v>841</v>
      </c>
      <c r="K936" s="18"/>
      <c r="L936" s="18"/>
      <c r="AC936" s="1261"/>
    </row>
    <row r="937">
      <c r="B937" s="18"/>
      <c r="C937" s="18"/>
      <c r="D937" s="18"/>
      <c r="E937" s="314"/>
      <c r="F937" s="18"/>
      <c r="G937" s="18"/>
      <c r="H937" s="18"/>
      <c r="I937" s="18"/>
      <c r="J937" s="18" t="s">
        <v>841</v>
      </c>
      <c r="K937" s="18"/>
      <c r="L937" s="18"/>
      <c r="AC937" s="1261"/>
    </row>
    <row r="938">
      <c r="B938" s="18"/>
      <c r="C938" s="18"/>
      <c r="D938" s="18"/>
      <c r="E938" s="314"/>
      <c r="F938" s="18"/>
      <c r="G938" s="18"/>
      <c r="H938" s="18"/>
      <c r="I938" s="18"/>
      <c r="J938" s="18" t="s">
        <v>841</v>
      </c>
      <c r="K938" s="18"/>
      <c r="L938" s="18"/>
      <c r="AC938" s="1261"/>
    </row>
    <row r="939">
      <c r="B939" s="18"/>
      <c r="C939" s="18"/>
      <c r="D939" s="18"/>
      <c r="E939" s="314"/>
      <c r="F939" s="18"/>
      <c r="G939" s="18"/>
      <c r="H939" s="18"/>
      <c r="I939" s="18"/>
      <c r="J939" s="18" t="s">
        <v>841</v>
      </c>
      <c r="K939" s="18"/>
      <c r="L939" s="18"/>
      <c r="AC939" s="1261"/>
    </row>
    <row r="940">
      <c r="B940" s="18"/>
      <c r="C940" s="18"/>
      <c r="D940" s="18"/>
      <c r="E940" s="314"/>
      <c r="F940" s="18"/>
      <c r="G940" s="18"/>
      <c r="H940" s="18"/>
      <c r="I940" s="18"/>
      <c r="J940" s="18" t="s">
        <v>841</v>
      </c>
      <c r="K940" s="18"/>
      <c r="L940" s="18"/>
      <c r="AC940" s="1261"/>
    </row>
    <row r="941">
      <c r="B941" s="18"/>
      <c r="C941" s="18"/>
      <c r="D941" s="18"/>
      <c r="E941" s="314"/>
      <c r="F941" s="18"/>
      <c r="G941" s="18"/>
      <c r="H941" s="18"/>
      <c r="I941" s="18"/>
      <c r="J941" s="18" t="s">
        <v>841</v>
      </c>
      <c r="K941" s="18"/>
      <c r="L941" s="18"/>
      <c r="AC941" s="1261"/>
    </row>
    <row r="942">
      <c r="B942" s="18"/>
      <c r="C942" s="18"/>
      <c r="D942" s="18"/>
      <c r="E942" s="314"/>
      <c r="F942" s="18"/>
      <c r="G942" s="18"/>
      <c r="H942" s="18"/>
      <c r="I942" s="18"/>
      <c r="J942" s="18" t="s">
        <v>841</v>
      </c>
      <c r="K942" s="18"/>
      <c r="L942" s="18"/>
      <c r="AC942" s="1261"/>
    </row>
    <row r="943">
      <c r="B943" s="18"/>
      <c r="C943" s="18"/>
      <c r="D943" s="18"/>
      <c r="E943" s="314"/>
      <c r="F943" s="18"/>
      <c r="G943" s="18"/>
      <c r="H943" s="18"/>
      <c r="I943" s="18"/>
      <c r="J943" s="18" t="s">
        <v>841</v>
      </c>
      <c r="K943" s="18"/>
      <c r="L943" s="18"/>
      <c r="AC943" s="1261"/>
    </row>
    <row r="944">
      <c r="B944" s="18"/>
      <c r="C944" s="18"/>
      <c r="D944" s="18"/>
      <c r="E944" s="314"/>
      <c r="F944" s="18"/>
      <c r="G944" s="18"/>
      <c r="H944" s="18"/>
      <c r="I944" s="18"/>
      <c r="J944" s="18" t="s">
        <v>841</v>
      </c>
      <c r="K944" s="18"/>
      <c r="L944" s="18"/>
      <c r="AC944" s="1261"/>
    </row>
    <row r="945">
      <c r="B945" s="18"/>
      <c r="C945" s="18"/>
      <c r="D945" s="18"/>
      <c r="E945" s="314"/>
      <c r="F945" s="18"/>
      <c r="G945" s="18"/>
      <c r="H945" s="18"/>
      <c r="I945" s="18"/>
      <c r="J945" s="18" t="s">
        <v>841</v>
      </c>
      <c r="K945" s="18"/>
      <c r="L945" s="18"/>
      <c r="AC945" s="1261"/>
    </row>
    <row r="946">
      <c r="B946" s="18"/>
      <c r="C946" s="18"/>
      <c r="D946" s="18"/>
      <c r="E946" s="314"/>
      <c r="F946" s="18"/>
      <c r="G946" s="18"/>
      <c r="H946" s="18"/>
      <c r="I946" s="18"/>
      <c r="J946" s="18" t="s">
        <v>841</v>
      </c>
      <c r="K946" s="18"/>
      <c r="L946" s="18"/>
      <c r="AC946" s="1261"/>
    </row>
    <row r="947">
      <c r="B947" s="18"/>
      <c r="C947" s="18"/>
      <c r="D947" s="18"/>
      <c r="E947" s="314"/>
      <c r="F947" s="18"/>
      <c r="G947" s="18"/>
      <c r="H947" s="18"/>
      <c r="I947" s="18"/>
      <c r="J947" s="18" t="s">
        <v>841</v>
      </c>
      <c r="K947" s="18"/>
      <c r="L947" s="18"/>
      <c r="AC947" s="1261"/>
    </row>
    <row r="948">
      <c r="B948" s="18"/>
      <c r="C948" s="18"/>
      <c r="D948" s="18"/>
      <c r="E948" s="314"/>
      <c r="F948" s="18"/>
      <c r="G948" s="18"/>
      <c r="H948" s="18"/>
      <c r="I948" s="18"/>
      <c r="J948" s="18" t="s">
        <v>841</v>
      </c>
      <c r="K948" s="18"/>
      <c r="L948" s="18"/>
      <c r="AC948" s="1261"/>
    </row>
    <row r="949">
      <c r="B949" s="18"/>
      <c r="C949" s="18"/>
      <c r="D949" s="18"/>
      <c r="E949" s="314"/>
      <c r="F949" s="18"/>
      <c r="G949" s="18"/>
      <c r="H949" s="18"/>
      <c r="I949" s="18"/>
      <c r="J949" s="18" t="s">
        <v>841</v>
      </c>
      <c r="K949" s="18"/>
      <c r="L949" s="18"/>
      <c r="AC949" s="1261"/>
    </row>
    <row r="950">
      <c r="B950" s="18"/>
      <c r="C950" s="18"/>
      <c r="D950" s="18"/>
      <c r="E950" s="314"/>
      <c r="F950" s="18"/>
      <c r="G950" s="18"/>
      <c r="H950" s="18"/>
      <c r="I950" s="18"/>
      <c r="J950" s="18" t="s">
        <v>841</v>
      </c>
      <c r="K950" s="18"/>
      <c r="L950" s="18"/>
      <c r="AC950" s="1261"/>
    </row>
    <row r="951">
      <c r="B951" s="18"/>
      <c r="C951" s="18"/>
      <c r="D951" s="18"/>
      <c r="E951" s="314"/>
      <c r="F951" s="18"/>
      <c r="G951" s="18"/>
      <c r="H951" s="18"/>
      <c r="I951" s="18"/>
      <c r="J951" s="18" t="s">
        <v>841</v>
      </c>
      <c r="K951" s="18"/>
      <c r="L951" s="18"/>
      <c r="AC951" s="1261"/>
    </row>
    <row r="952">
      <c r="B952" s="18"/>
      <c r="C952" s="18"/>
      <c r="D952" s="18"/>
      <c r="E952" s="314"/>
      <c r="F952" s="18"/>
      <c r="G952" s="18"/>
      <c r="H952" s="18"/>
      <c r="I952" s="18"/>
      <c r="J952" s="18" t="s">
        <v>841</v>
      </c>
      <c r="K952" s="18"/>
      <c r="L952" s="18"/>
      <c r="AC952" s="1261"/>
    </row>
    <row r="953">
      <c r="B953" s="18"/>
      <c r="C953" s="18"/>
      <c r="D953" s="18"/>
      <c r="E953" s="314"/>
      <c r="F953" s="18"/>
      <c r="G953" s="18"/>
      <c r="H953" s="18"/>
      <c r="I953" s="18"/>
      <c r="J953" s="18" t="s">
        <v>841</v>
      </c>
      <c r="K953" s="18"/>
      <c r="L953" s="18"/>
      <c r="AC953" s="1261"/>
    </row>
    <row r="954">
      <c r="B954" s="18"/>
      <c r="C954" s="18"/>
      <c r="D954" s="18"/>
      <c r="E954" s="314"/>
      <c r="F954" s="18"/>
      <c r="G954" s="18"/>
      <c r="H954" s="18"/>
      <c r="I954" s="18"/>
      <c r="J954" s="18" t="s">
        <v>841</v>
      </c>
      <c r="K954" s="18"/>
      <c r="L954" s="18"/>
      <c r="AC954" s="1261"/>
    </row>
    <row r="955">
      <c r="B955" s="18"/>
      <c r="C955" s="18"/>
      <c r="D955" s="18"/>
      <c r="E955" s="314"/>
      <c r="F955" s="18"/>
      <c r="G955" s="18"/>
      <c r="H955" s="18"/>
      <c r="I955" s="18"/>
      <c r="J955" s="18" t="s">
        <v>841</v>
      </c>
      <c r="K955" s="18"/>
      <c r="L955" s="18"/>
      <c r="AC955" s="1261"/>
    </row>
    <row r="956">
      <c r="B956" s="18"/>
      <c r="C956" s="18"/>
      <c r="D956" s="18"/>
      <c r="E956" s="314"/>
      <c r="F956" s="18"/>
      <c r="G956" s="18"/>
      <c r="H956" s="18"/>
      <c r="I956" s="18"/>
      <c r="J956" s="18" t="s">
        <v>841</v>
      </c>
      <c r="K956" s="18"/>
      <c r="L956" s="18"/>
      <c r="AC956" s="1261"/>
    </row>
    <row r="957">
      <c r="B957" s="18"/>
      <c r="C957" s="18"/>
      <c r="D957" s="18"/>
      <c r="E957" s="314"/>
      <c r="F957" s="18"/>
      <c r="G957" s="18"/>
      <c r="H957" s="18"/>
      <c r="I957" s="18"/>
      <c r="J957" s="18" t="s">
        <v>841</v>
      </c>
      <c r="K957" s="18"/>
      <c r="L957" s="18"/>
      <c r="AC957" s="1261"/>
    </row>
    <row r="958">
      <c r="B958" s="18"/>
      <c r="C958" s="18"/>
      <c r="D958" s="18"/>
      <c r="E958" s="314"/>
      <c r="F958" s="18"/>
      <c r="G958" s="18"/>
      <c r="H958" s="18"/>
      <c r="I958" s="18"/>
      <c r="J958" s="18" t="s">
        <v>841</v>
      </c>
      <c r="K958" s="18"/>
      <c r="L958" s="18"/>
      <c r="AC958" s="1261"/>
    </row>
    <row r="959">
      <c r="B959" s="18"/>
      <c r="C959" s="18"/>
      <c r="D959" s="18"/>
      <c r="E959" s="314"/>
      <c r="F959" s="18"/>
      <c r="G959" s="18"/>
      <c r="H959" s="18"/>
      <c r="I959" s="18"/>
      <c r="J959" s="18" t="s">
        <v>841</v>
      </c>
      <c r="K959" s="18"/>
      <c r="L959" s="18"/>
      <c r="AC959" s="1261"/>
    </row>
    <row r="960">
      <c r="B960" s="18"/>
      <c r="C960" s="18"/>
      <c r="D960" s="18"/>
      <c r="E960" s="314"/>
      <c r="F960" s="18"/>
      <c r="G960" s="18"/>
      <c r="H960" s="18"/>
      <c r="I960" s="18"/>
      <c r="J960" s="18" t="s">
        <v>841</v>
      </c>
      <c r="K960" s="18"/>
      <c r="L960" s="18"/>
      <c r="AC960" s="1261"/>
    </row>
    <row r="961">
      <c r="B961" s="18"/>
      <c r="C961" s="18"/>
      <c r="D961" s="18"/>
      <c r="E961" s="314"/>
      <c r="F961" s="18"/>
      <c r="G961" s="18"/>
      <c r="H961" s="18"/>
      <c r="I961" s="18"/>
      <c r="J961" s="18" t="s">
        <v>841</v>
      </c>
      <c r="K961" s="18"/>
      <c r="L961" s="18"/>
      <c r="AC961" s="1261"/>
    </row>
    <row r="962">
      <c r="B962" s="18"/>
      <c r="C962" s="18"/>
      <c r="D962" s="18"/>
      <c r="E962" s="314"/>
      <c r="F962" s="18"/>
      <c r="G962" s="18"/>
      <c r="H962" s="18"/>
      <c r="I962" s="18"/>
      <c r="J962" s="18" t="s">
        <v>841</v>
      </c>
      <c r="K962" s="18"/>
      <c r="L962" s="18"/>
      <c r="AC962" s="1261"/>
    </row>
    <row r="963">
      <c r="B963" s="18"/>
      <c r="C963" s="18"/>
      <c r="D963" s="18"/>
      <c r="E963" s="314"/>
      <c r="F963" s="18"/>
      <c r="G963" s="18"/>
      <c r="H963" s="18"/>
      <c r="I963" s="18"/>
      <c r="J963" s="18" t="s">
        <v>841</v>
      </c>
      <c r="K963" s="18"/>
      <c r="L963" s="18"/>
      <c r="AC963" s="1261"/>
    </row>
    <row r="964">
      <c r="B964" s="18"/>
      <c r="C964" s="18"/>
      <c r="D964" s="18"/>
      <c r="E964" s="314"/>
      <c r="F964" s="18"/>
      <c r="G964" s="18"/>
      <c r="H964" s="18"/>
      <c r="I964" s="18"/>
      <c r="J964" s="18" t="s">
        <v>841</v>
      </c>
      <c r="K964" s="18"/>
      <c r="L964" s="18"/>
      <c r="AC964" s="1261"/>
    </row>
    <row r="965">
      <c r="B965" s="18"/>
      <c r="C965" s="18"/>
      <c r="D965" s="18"/>
      <c r="E965" s="314"/>
      <c r="F965" s="18"/>
      <c r="G965" s="18"/>
      <c r="H965" s="18"/>
      <c r="I965" s="18"/>
      <c r="J965" s="18" t="s">
        <v>841</v>
      </c>
      <c r="K965" s="18"/>
      <c r="L965" s="18"/>
      <c r="AC965" s="1261"/>
    </row>
    <row r="966">
      <c r="B966" s="18"/>
      <c r="C966" s="18"/>
      <c r="D966" s="18"/>
      <c r="E966" s="314"/>
      <c r="F966" s="18"/>
      <c r="G966" s="18"/>
      <c r="H966" s="18"/>
      <c r="I966" s="18"/>
      <c r="J966" s="18" t="s">
        <v>841</v>
      </c>
      <c r="K966" s="18"/>
      <c r="L966" s="18"/>
      <c r="AC966" s="1261"/>
    </row>
    <row r="967">
      <c r="B967" s="18"/>
      <c r="C967" s="18"/>
      <c r="D967" s="18"/>
      <c r="E967" s="314"/>
      <c r="F967" s="18"/>
      <c r="G967" s="18"/>
      <c r="H967" s="18"/>
      <c r="I967" s="18"/>
      <c r="J967" s="18" t="s">
        <v>841</v>
      </c>
      <c r="K967" s="18"/>
      <c r="L967" s="18"/>
      <c r="AC967" s="1261"/>
    </row>
    <row r="968">
      <c r="B968" s="18"/>
      <c r="C968" s="18"/>
      <c r="D968" s="18"/>
      <c r="E968" s="314"/>
      <c r="F968" s="18"/>
      <c r="G968" s="18"/>
      <c r="H968" s="18"/>
      <c r="I968" s="18"/>
      <c r="J968" s="18" t="s">
        <v>841</v>
      </c>
      <c r="K968" s="18"/>
      <c r="L968" s="18"/>
      <c r="AC968" s="1261"/>
    </row>
    <row r="969">
      <c r="B969" s="18"/>
      <c r="C969" s="18"/>
      <c r="D969" s="18"/>
      <c r="E969" s="314"/>
      <c r="F969" s="18"/>
      <c r="G969" s="18"/>
      <c r="H969" s="18"/>
      <c r="I969" s="18"/>
      <c r="J969" s="18" t="s">
        <v>841</v>
      </c>
      <c r="K969" s="18"/>
      <c r="L969" s="18"/>
      <c r="AC969" s="1261"/>
    </row>
    <row r="970">
      <c r="B970" s="18"/>
      <c r="C970" s="18"/>
      <c r="D970" s="18"/>
      <c r="E970" s="314"/>
      <c r="F970" s="18"/>
      <c r="G970" s="18"/>
      <c r="H970" s="18"/>
      <c r="I970" s="18"/>
      <c r="J970" s="18" t="s">
        <v>841</v>
      </c>
      <c r="K970" s="18"/>
      <c r="L970" s="18"/>
      <c r="AC970" s="1261"/>
    </row>
    <row r="971">
      <c r="B971" s="18"/>
      <c r="C971" s="18"/>
      <c r="D971" s="18"/>
      <c r="E971" s="314"/>
      <c r="F971" s="18"/>
      <c r="G971" s="18"/>
      <c r="H971" s="18"/>
      <c r="I971" s="18"/>
      <c r="J971" s="18" t="s">
        <v>841</v>
      </c>
      <c r="K971" s="18"/>
      <c r="L971" s="18"/>
      <c r="AC971" s="1261"/>
    </row>
    <row r="972">
      <c r="B972" s="18"/>
      <c r="C972" s="18"/>
      <c r="D972" s="18"/>
      <c r="E972" s="314"/>
      <c r="F972" s="18"/>
      <c r="G972" s="18"/>
      <c r="H972" s="18"/>
      <c r="I972" s="18"/>
      <c r="J972" s="18" t="s">
        <v>841</v>
      </c>
      <c r="K972" s="18"/>
      <c r="L972" s="18"/>
      <c r="AC972" s="1261"/>
    </row>
    <row r="973">
      <c r="B973" s="18"/>
      <c r="C973" s="18"/>
      <c r="D973" s="18"/>
      <c r="E973" s="314"/>
      <c r="F973" s="18"/>
      <c r="G973" s="18"/>
      <c r="H973" s="18"/>
      <c r="I973" s="18"/>
      <c r="J973" s="18" t="s">
        <v>841</v>
      </c>
      <c r="K973" s="18"/>
      <c r="L973" s="18"/>
      <c r="AC973" s="1261"/>
    </row>
    <row r="974">
      <c r="B974" s="18"/>
      <c r="C974" s="18"/>
      <c r="D974" s="18"/>
      <c r="E974" s="314"/>
      <c r="F974" s="18"/>
      <c r="G974" s="18"/>
      <c r="H974" s="18"/>
      <c r="I974" s="18"/>
      <c r="J974" s="18" t="s">
        <v>841</v>
      </c>
      <c r="K974" s="18"/>
      <c r="L974" s="18"/>
      <c r="AC974" s="1261"/>
    </row>
    <row r="975">
      <c r="B975" s="18"/>
      <c r="C975" s="18"/>
      <c r="D975" s="18"/>
      <c r="E975" s="314"/>
      <c r="F975" s="18"/>
      <c r="G975" s="18"/>
      <c r="H975" s="18"/>
      <c r="I975" s="18"/>
      <c r="J975" s="18" t="s">
        <v>841</v>
      </c>
      <c r="K975" s="18"/>
      <c r="L975" s="18"/>
      <c r="AC975" s="1261"/>
    </row>
    <row r="976">
      <c r="B976" s="18"/>
      <c r="C976" s="18"/>
      <c r="D976" s="18"/>
      <c r="E976" s="314"/>
      <c r="F976" s="18"/>
      <c r="G976" s="18"/>
      <c r="H976" s="18"/>
      <c r="I976" s="18"/>
      <c r="J976" s="18" t="s">
        <v>841</v>
      </c>
      <c r="K976" s="18"/>
      <c r="L976" s="18"/>
      <c r="AC976" s="1261"/>
    </row>
    <row r="977">
      <c r="B977" s="18"/>
      <c r="C977" s="18"/>
      <c r="D977" s="18"/>
      <c r="E977" s="314"/>
      <c r="F977" s="18"/>
      <c r="G977" s="18"/>
      <c r="H977" s="18"/>
      <c r="I977" s="18"/>
      <c r="J977" s="18" t="s">
        <v>841</v>
      </c>
      <c r="K977" s="18"/>
      <c r="L977" s="18"/>
      <c r="AC977" s="1261"/>
    </row>
    <row r="978">
      <c r="B978" s="18"/>
      <c r="C978" s="18"/>
      <c r="D978" s="18"/>
      <c r="E978" s="314"/>
      <c r="F978" s="18"/>
      <c r="G978" s="18"/>
      <c r="H978" s="18"/>
      <c r="I978" s="18"/>
      <c r="J978" s="18" t="s">
        <v>841</v>
      </c>
      <c r="K978" s="18"/>
      <c r="L978" s="18"/>
      <c r="AC978" s="1261"/>
    </row>
    <row r="979">
      <c r="B979" s="18"/>
      <c r="C979" s="18"/>
      <c r="D979" s="18"/>
      <c r="E979" s="314"/>
      <c r="F979" s="18"/>
      <c r="G979" s="18"/>
      <c r="H979" s="18"/>
      <c r="I979" s="18"/>
      <c r="J979" s="18" t="s">
        <v>841</v>
      </c>
      <c r="K979" s="18"/>
      <c r="L979" s="18"/>
      <c r="AC979" s="1261"/>
    </row>
    <row r="980">
      <c r="B980" s="18"/>
      <c r="C980" s="18"/>
      <c r="D980" s="18"/>
      <c r="E980" s="314"/>
      <c r="F980" s="18"/>
      <c r="G980" s="18"/>
      <c r="H980" s="18"/>
      <c r="I980" s="18"/>
      <c r="J980" s="18" t="s">
        <v>841</v>
      </c>
      <c r="K980" s="18"/>
      <c r="L980" s="18"/>
      <c r="AC980" s="1261"/>
    </row>
    <row r="981">
      <c r="B981" s="18"/>
      <c r="C981" s="18"/>
      <c r="D981" s="18"/>
      <c r="E981" s="314"/>
      <c r="F981" s="18"/>
      <c r="G981" s="18"/>
      <c r="H981" s="18"/>
      <c r="I981" s="18"/>
      <c r="J981" s="18" t="s">
        <v>841</v>
      </c>
      <c r="K981" s="18"/>
      <c r="L981" s="18"/>
      <c r="AC981" s="1261"/>
    </row>
    <row r="982">
      <c r="B982" s="18"/>
      <c r="C982" s="18"/>
      <c r="D982" s="18"/>
      <c r="E982" s="314"/>
      <c r="F982" s="18"/>
      <c r="G982" s="18"/>
      <c r="H982" s="18"/>
      <c r="I982" s="18"/>
      <c r="J982" s="18" t="s">
        <v>841</v>
      </c>
      <c r="K982" s="18"/>
      <c r="L982" s="18"/>
      <c r="AC982" s="1261"/>
    </row>
    <row r="983">
      <c r="B983" s="18"/>
      <c r="C983" s="18"/>
      <c r="D983" s="18"/>
      <c r="E983" s="314"/>
      <c r="F983" s="18"/>
      <c r="G983" s="18"/>
      <c r="H983" s="18"/>
      <c r="I983" s="18"/>
      <c r="J983" s="18" t="s">
        <v>841</v>
      </c>
      <c r="K983" s="18"/>
      <c r="L983" s="18"/>
      <c r="AC983" s="1261"/>
    </row>
    <row r="984">
      <c r="B984" s="18"/>
      <c r="C984" s="18"/>
      <c r="D984" s="18"/>
      <c r="E984" s="314"/>
      <c r="F984" s="18"/>
      <c r="G984" s="18"/>
      <c r="H984" s="18"/>
      <c r="I984" s="18"/>
      <c r="J984" s="18" t="s">
        <v>841</v>
      </c>
      <c r="K984" s="18"/>
      <c r="L984" s="18"/>
      <c r="AC984" s="1261"/>
    </row>
    <row r="985">
      <c r="B985" s="18"/>
      <c r="C985" s="18"/>
      <c r="D985" s="18"/>
      <c r="E985" s="314"/>
      <c r="F985" s="18"/>
      <c r="G985" s="18"/>
      <c r="H985" s="18"/>
      <c r="I985" s="18"/>
      <c r="J985" s="18" t="s">
        <v>841</v>
      </c>
      <c r="K985" s="18"/>
      <c r="L985" s="18"/>
      <c r="AC985" s="1261"/>
    </row>
    <row r="986">
      <c r="B986" s="18"/>
      <c r="C986" s="18"/>
      <c r="D986" s="18"/>
      <c r="E986" s="314"/>
      <c r="F986" s="18"/>
      <c r="G986" s="18"/>
      <c r="H986" s="18"/>
      <c r="I986" s="18"/>
      <c r="J986" s="18" t="s">
        <v>841</v>
      </c>
      <c r="K986" s="18"/>
      <c r="L986" s="18"/>
      <c r="AC986" s="1261"/>
    </row>
    <row r="987">
      <c r="B987" s="18"/>
      <c r="C987" s="18"/>
      <c r="D987" s="18"/>
      <c r="E987" s="314"/>
      <c r="F987" s="18"/>
      <c r="G987" s="18"/>
      <c r="H987" s="18"/>
      <c r="I987" s="18"/>
      <c r="J987" s="18" t="s">
        <v>841</v>
      </c>
      <c r="K987" s="18"/>
      <c r="L987" s="18"/>
      <c r="AC987" s="1261"/>
    </row>
    <row r="988">
      <c r="B988" s="18"/>
      <c r="C988" s="18"/>
      <c r="D988" s="18"/>
      <c r="E988" s="314"/>
      <c r="F988" s="18"/>
      <c r="G988" s="18"/>
      <c r="H988" s="18"/>
      <c r="I988" s="18"/>
      <c r="J988" s="18" t="s">
        <v>841</v>
      </c>
      <c r="K988" s="18"/>
      <c r="L988" s="18"/>
      <c r="AC988" s="1261"/>
    </row>
    <row r="989">
      <c r="B989" s="18"/>
      <c r="C989" s="18"/>
      <c r="D989" s="18"/>
      <c r="E989" s="314"/>
      <c r="F989" s="18"/>
      <c r="G989" s="18"/>
      <c r="H989" s="18"/>
      <c r="I989" s="18"/>
      <c r="J989" s="18" t="s">
        <v>841</v>
      </c>
      <c r="K989" s="18"/>
      <c r="L989" s="18"/>
      <c r="AC989" s="1261"/>
    </row>
    <row r="990">
      <c r="B990" s="18"/>
      <c r="C990" s="18"/>
      <c r="D990" s="18"/>
      <c r="E990" s="314"/>
      <c r="F990" s="18"/>
      <c r="G990" s="18"/>
      <c r="H990" s="18"/>
      <c r="I990" s="18"/>
      <c r="J990" s="18" t="s">
        <v>841</v>
      </c>
      <c r="K990" s="18"/>
      <c r="L990" s="18"/>
      <c r="AC990" s="1261"/>
    </row>
    <row r="991">
      <c r="B991" s="18"/>
      <c r="C991" s="18"/>
      <c r="D991" s="18"/>
      <c r="E991" s="314"/>
      <c r="F991" s="18"/>
      <c r="G991" s="18"/>
      <c r="H991" s="18"/>
      <c r="I991" s="18"/>
      <c r="J991" s="18" t="s">
        <v>841</v>
      </c>
      <c r="K991" s="18"/>
      <c r="L991" s="18"/>
      <c r="AC991" s="1261"/>
    </row>
    <row r="992">
      <c r="B992" s="18"/>
      <c r="C992" s="18"/>
      <c r="D992" s="18"/>
      <c r="E992" s="314"/>
      <c r="F992" s="18"/>
      <c r="G992" s="18"/>
      <c r="H992" s="18"/>
      <c r="I992" s="18"/>
      <c r="J992" s="18" t="s">
        <v>841</v>
      </c>
      <c r="K992" s="18"/>
      <c r="L992" s="18"/>
      <c r="AC992" s="1261"/>
    </row>
    <row r="993">
      <c r="B993" s="18"/>
      <c r="C993" s="18"/>
      <c r="D993" s="18"/>
      <c r="E993" s="314"/>
      <c r="F993" s="18"/>
      <c r="G993" s="18"/>
      <c r="H993" s="18"/>
      <c r="I993" s="18"/>
      <c r="J993" s="18" t="s">
        <v>841</v>
      </c>
      <c r="K993" s="18"/>
      <c r="L993" s="18"/>
      <c r="AC993" s="1261"/>
    </row>
    <row r="994">
      <c r="B994" s="18"/>
      <c r="C994" s="18"/>
      <c r="D994" s="18"/>
      <c r="E994" s="314"/>
      <c r="F994" s="18"/>
      <c r="G994" s="18"/>
      <c r="H994" s="18"/>
      <c r="I994" s="18"/>
      <c r="J994" s="18" t="s">
        <v>841</v>
      </c>
      <c r="K994" s="18"/>
      <c r="L994" s="18"/>
      <c r="AC994" s="1261"/>
    </row>
    <row r="995">
      <c r="B995" s="18"/>
      <c r="C995" s="18"/>
      <c r="D995" s="18"/>
      <c r="E995" s="314"/>
      <c r="F995" s="18"/>
      <c r="G995" s="18"/>
      <c r="H995" s="18"/>
      <c r="I995" s="18"/>
      <c r="J995" s="18" t="s">
        <v>841</v>
      </c>
      <c r="K995" s="18"/>
      <c r="L995" s="18"/>
      <c r="AC995" s="1261"/>
    </row>
    <row r="996">
      <c r="B996" s="18"/>
      <c r="C996" s="18"/>
      <c r="D996" s="18"/>
      <c r="E996" s="314"/>
      <c r="F996" s="18"/>
      <c r="G996" s="18"/>
      <c r="H996" s="18"/>
      <c r="I996" s="18"/>
      <c r="J996" s="18" t="s">
        <v>841</v>
      </c>
      <c r="K996" s="18"/>
      <c r="L996" s="18"/>
      <c r="AC996" s="1261"/>
    </row>
    <row r="997">
      <c r="B997" s="18"/>
      <c r="C997" s="18"/>
      <c r="D997" s="18"/>
      <c r="E997" s="314"/>
      <c r="F997" s="18"/>
      <c r="G997" s="18"/>
      <c r="H997" s="18"/>
      <c r="I997" s="18"/>
      <c r="J997" s="18" t="s">
        <v>841</v>
      </c>
      <c r="K997" s="18"/>
      <c r="L997" s="18"/>
      <c r="AC997" s="1261"/>
    </row>
    <row r="998">
      <c r="B998" s="18"/>
      <c r="C998" s="18"/>
      <c r="D998" s="18"/>
      <c r="E998" s="314"/>
      <c r="F998" s="18"/>
      <c r="G998" s="18"/>
      <c r="H998" s="18"/>
      <c r="I998" s="18"/>
      <c r="J998" s="18" t="s">
        <v>841</v>
      </c>
      <c r="K998" s="18"/>
      <c r="L998" s="18"/>
      <c r="AC998" s="1261"/>
    </row>
    <row r="999">
      <c r="B999" s="18"/>
      <c r="C999" s="18"/>
      <c r="D999" s="18"/>
      <c r="E999" s="314"/>
      <c r="F999" s="18"/>
      <c r="G999" s="18"/>
      <c r="H999" s="18"/>
      <c r="I999" s="18"/>
      <c r="J999" s="18" t="s">
        <v>841</v>
      </c>
      <c r="K999" s="18"/>
      <c r="L999" s="18"/>
      <c r="AC999" s="1261"/>
    </row>
    <row r="1000">
      <c r="B1000" s="18"/>
      <c r="C1000" s="18"/>
      <c r="D1000" s="18"/>
      <c r="E1000" s="314"/>
      <c r="F1000" s="18"/>
      <c r="G1000" s="18"/>
      <c r="H1000" s="18"/>
      <c r="I1000" s="18"/>
      <c r="J1000" s="18" t="s">
        <v>841</v>
      </c>
      <c r="K1000" s="18"/>
      <c r="L1000" s="18"/>
      <c r="AC1000" s="1261"/>
    </row>
    <row r="1001">
      <c r="B1001" s="18"/>
      <c r="C1001" s="18"/>
      <c r="D1001" s="18"/>
      <c r="E1001" s="314"/>
      <c r="F1001" s="18"/>
      <c r="G1001" s="18"/>
      <c r="H1001" s="18"/>
      <c r="I1001" s="18"/>
      <c r="J1001" s="18" t="s">
        <v>841</v>
      </c>
      <c r="K1001" s="18"/>
      <c r="L1001" s="18"/>
      <c r="AC1001" s="1261"/>
    </row>
    <row r="1002">
      <c r="B1002" s="18"/>
      <c r="C1002" s="18"/>
      <c r="D1002" s="18"/>
      <c r="E1002" s="314"/>
      <c r="F1002" s="18"/>
      <c r="G1002" s="18"/>
      <c r="H1002" s="18"/>
      <c r="I1002" s="18"/>
      <c r="J1002" s="18" t="s">
        <v>841</v>
      </c>
      <c r="K1002" s="18"/>
      <c r="L1002" s="18"/>
      <c r="AC1002" s="1261"/>
    </row>
    <row r="1003">
      <c r="B1003" s="18"/>
      <c r="C1003" s="18"/>
      <c r="D1003" s="18"/>
      <c r="E1003" s="314"/>
      <c r="F1003" s="18"/>
      <c r="G1003" s="18"/>
      <c r="H1003" s="18"/>
      <c r="I1003" s="18"/>
      <c r="J1003" s="18" t="s">
        <v>841</v>
      </c>
      <c r="K1003" s="18"/>
      <c r="L1003" s="18"/>
      <c r="AC1003" s="1261"/>
    </row>
    <row r="1004">
      <c r="B1004" s="18"/>
      <c r="C1004" s="18"/>
      <c r="D1004" s="18"/>
      <c r="E1004" s="314"/>
      <c r="F1004" s="18"/>
      <c r="G1004" s="18"/>
      <c r="H1004" s="18"/>
      <c r="I1004" s="18"/>
      <c r="J1004" s="18" t="s">
        <v>841</v>
      </c>
      <c r="K1004" s="18"/>
      <c r="L1004" s="18"/>
      <c r="AC1004" s="1261"/>
    </row>
    <row r="1005">
      <c r="B1005" s="18"/>
      <c r="C1005" s="18"/>
      <c r="D1005" s="18"/>
      <c r="E1005" s="314"/>
      <c r="F1005" s="18"/>
      <c r="G1005" s="18"/>
      <c r="H1005" s="18"/>
      <c r="I1005" s="18"/>
      <c r="J1005" s="18" t="s">
        <v>841</v>
      </c>
      <c r="K1005" s="18"/>
      <c r="L1005" s="18"/>
      <c r="AC1005" s="1261"/>
    </row>
    <row r="1006">
      <c r="B1006" s="18"/>
      <c r="C1006" s="18"/>
      <c r="D1006" s="18"/>
      <c r="E1006" s="314"/>
      <c r="F1006" s="18"/>
      <c r="G1006" s="18"/>
      <c r="H1006" s="18"/>
      <c r="I1006" s="18"/>
      <c r="J1006" s="18" t="s">
        <v>841</v>
      </c>
      <c r="K1006" s="18"/>
      <c r="L1006" s="18"/>
      <c r="AC1006" s="1261"/>
    </row>
    <row r="1007">
      <c r="B1007" s="18"/>
      <c r="C1007" s="18"/>
      <c r="D1007" s="18"/>
      <c r="E1007" s="314"/>
      <c r="F1007" s="18"/>
      <c r="G1007" s="18"/>
      <c r="H1007" s="18"/>
      <c r="I1007" s="18"/>
      <c r="J1007" s="18" t="s">
        <v>841</v>
      </c>
      <c r="K1007" s="18"/>
      <c r="L1007" s="18"/>
      <c r="AC1007" s="1261"/>
    </row>
    <row r="1008">
      <c r="B1008" s="18"/>
      <c r="C1008" s="18"/>
      <c r="D1008" s="18"/>
      <c r="E1008" s="314"/>
      <c r="F1008" s="18"/>
      <c r="G1008" s="18"/>
      <c r="H1008" s="18"/>
      <c r="I1008" s="18"/>
      <c r="J1008" s="18" t="s">
        <v>841</v>
      </c>
      <c r="K1008" s="18"/>
      <c r="L1008" s="18"/>
      <c r="AC1008" s="1261"/>
    </row>
    <row r="1009">
      <c r="B1009" s="18"/>
      <c r="C1009" s="18"/>
      <c r="D1009" s="18"/>
      <c r="E1009" s="314"/>
      <c r="F1009" s="18"/>
      <c r="G1009" s="18"/>
      <c r="H1009" s="18"/>
      <c r="I1009" s="18"/>
      <c r="J1009" s="18" t="s">
        <v>841</v>
      </c>
      <c r="K1009" s="18"/>
      <c r="L1009" s="18"/>
      <c r="AC1009" s="1261"/>
    </row>
    <row r="1010">
      <c r="B1010" s="18"/>
      <c r="C1010" s="18"/>
      <c r="D1010" s="18"/>
      <c r="E1010" s="314"/>
      <c r="F1010" s="18"/>
      <c r="G1010" s="18"/>
      <c r="H1010" s="18"/>
      <c r="I1010" s="18"/>
      <c r="J1010" s="18" t="s">
        <v>841</v>
      </c>
      <c r="K1010" s="18"/>
      <c r="L1010" s="18"/>
      <c r="AC1010" s="1261"/>
    </row>
    <row r="1011">
      <c r="B1011" s="18"/>
      <c r="C1011" s="18"/>
      <c r="D1011" s="18"/>
      <c r="E1011" s="314"/>
      <c r="F1011" s="18"/>
      <c r="G1011" s="18"/>
      <c r="H1011" s="18"/>
      <c r="I1011" s="18"/>
      <c r="J1011" s="18" t="s">
        <v>841</v>
      </c>
      <c r="K1011" s="18"/>
      <c r="L1011" s="18"/>
      <c r="AC1011" s="1261"/>
    </row>
    <row r="1012">
      <c r="B1012" s="18"/>
      <c r="C1012" s="18"/>
      <c r="D1012" s="18"/>
      <c r="E1012" s="314"/>
      <c r="F1012" s="18"/>
      <c r="G1012" s="18"/>
      <c r="H1012" s="18"/>
      <c r="I1012" s="18"/>
      <c r="J1012" s="18" t="s">
        <v>841</v>
      </c>
      <c r="K1012" s="18"/>
      <c r="L1012" s="18"/>
      <c r="AC1012" s="1261"/>
    </row>
    <row r="1013">
      <c r="B1013" s="18"/>
      <c r="C1013" s="18"/>
      <c r="D1013" s="18"/>
      <c r="E1013" s="314"/>
      <c r="F1013" s="18"/>
      <c r="G1013" s="18"/>
      <c r="H1013" s="18"/>
      <c r="I1013" s="18"/>
      <c r="J1013" s="18" t="s">
        <v>841</v>
      </c>
      <c r="K1013" s="18"/>
      <c r="L1013" s="18"/>
      <c r="AC1013" s="1261"/>
    </row>
    <row r="1014">
      <c r="B1014" s="18"/>
      <c r="C1014" s="18"/>
      <c r="D1014" s="18"/>
      <c r="E1014" s="314"/>
      <c r="F1014" s="18"/>
      <c r="G1014" s="18"/>
      <c r="H1014" s="18"/>
      <c r="I1014" s="18"/>
      <c r="J1014" s="18" t="s">
        <v>841</v>
      </c>
      <c r="K1014" s="18"/>
      <c r="L1014" s="18"/>
      <c r="AC1014" s="1261"/>
    </row>
    <row r="1015">
      <c r="B1015" s="18"/>
      <c r="C1015" s="18"/>
      <c r="D1015" s="18"/>
      <c r="E1015" s="314"/>
      <c r="F1015" s="18"/>
      <c r="G1015" s="18"/>
      <c r="H1015" s="18"/>
      <c r="I1015" s="18"/>
      <c r="J1015" s="18" t="s">
        <v>841</v>
      </c>
      <c r="K1015" s="18"/>
      <c r="L1015" s="18"/>
      <c r="AC1015" s="1261"/>
    </row>
    <row r="1016">
      <c r="B1016" s="18"/>
      <c r="C1016" s="18"/>
      <c r="D1016" s="18"/>
      <c r="E1016" s="314"/>
      <c r="F1016" s="18"/>
      <c r="G1016" s="18"/>
      <c r="H1016" s="18"/>
      <c r="I1016" s="18"/>
      <c r="J1016" s="18" t="s">
        <v>841</v>
      </c>
      <c r="K1016" s="18"/>
      <c r="L1016" s="18"/>
      <c r="AC1016" s="1261"/>
    </row>
    <row r="1017">
      <c r="B1017" s="18"/>
      <c r="C1017" s="18"/>
      <c r="D1017" s="18"/>
      <c r="E1017" s="314"/>
      <c r="F1017" s="18"/>
      <c r="G1017" s="18"/>
      <c r="H1017" s="18"/>
      <c r="I1017" s="18"/>
      <c r="J1017" s="18" t="s">
        <v>841</v>
      </c>
      <c r="K1017" s="18"/>
      <c r="L1017" s="18"/>
      <c r="AC1017" s="1261"/>
    </row>
    <row r="1018">
      <c r="B1018" s="18"/>
      <c r="C1018" s="18"/>
      <c r="D1018" s="18"/>
      <c r="E1018" s="314"/>
      <c r="F1018" s="18"/>
      <c r="G1018" s="18"/>
      <c r="H1018" s="18"/>
      <c r="I1018" s="18"/>
      <c r="J1018" s="18" t="s">
        <v>841</v>
      </c>
      <c r="K1018" s="18"/>
      <c r="L1018" s="18"/>
      <c r="AC1018" s="1261"/>
    </row>
    <row r="1019">
      <c r="B1019" s="18"/>
      <c r="C1019" s="18"/>
      <c r="D1019" s="18"/>
      <c r="E1019" s="314"/>
      <c r="F1019" s="18"/>
      <c r="G1019" s="18"/>
      <c r="H1019" s="18"/>
      <c r="I1019" s="18"/>
      <c r="J1019" s="18" t="s">
        <v>841</v>
      </c>
      <c r="K1019" s="18"/>
      <c r="L1019" s="18"/>
      <c r="AC1019" s="1261"/>
    </row>
    <row r="1020">
      <c r="B1020" s="18"/>
      <c r="C1020" s="18"/>
      <c r="D1020" s="18"/>
      <c r="E1020" s="314"/>
      <c r="F1020" s="18"/>
      <c r="G1020" s="18"/>
      <c r="H1020" s="18"/>
      <c r="I1020" s="18"/>
      <c r="J1020" s="18" t="s">
        <v>841</v>
      </c>
      <c r="K1020" s="18"/>
      <c r="L1020" s="18"/>
      <c r="AC1020" s="1261"/>
    </row>
    <row r="1021">
      <c r="B1021" s="18"/>
      <c r="C1021" s="18"/>
      <c r="D1021" s="18"/>
      <c r="E1021" s="314"/>
      <c r="F1021" s="18"/>
      <c r="G1021" s="18"/>
      <c r="H1021" s="18"/>
      <c r="I1021" s="18"/>
      <c r="J1021" s="18" t="s">
        <v>841</v>
      </c>
      <c r="K1021" s="18"/>
      <c r="L1021" s="18"/>
      <c r="AC1021" s="1261"/>
    </row>
    <row r="1022">
      <c r="B1022" s="18"/>
      <c r="C1022" s="18"/>
      <c r="D1022" s="18"/>
      <c r="E1022" s="314"/>
      <c r="F1022" s="18"/>
      <c r="G1022" s="18"/>
      <c r="H1022" s="18"/>
      <c r="I1022" s="18"/>
      <c r="J1022" s="18" t="s">
        <v>841</v>
      </c>
      <c r="K1022" s="18"/>
      <c r="L1022" s="18"/>
      <c r="AC1022" s="1261"/>
    </row>
    <row r="1023">
      <c r="B1023" s="18"/>
      <c r="C1023" s="18"/>
      <c r="D1023" s="18"/>
      <c r="E1023" s="314"/>
      <c r="F1023" s="18"/>
      <c r="G1023" s="18"/>
      <c r="H1023" s="18"/>
      <c r="I1023" s="18"/>
      <c r="J1023" s="18" t="s">
        <v>841</v>
      </c>
      <c r="K1023" s="18"/>
      <c r="L1023" s="18"/>
      <c r="AC1023" s="1261"/>
    </row>
    <row r="1024">
      <c r="B1024" s="18"/>
      <c r="C1024" s="18"/>
      <c r="D1024" s="18"/>
      <c r="E1024" s="314"/>
      <c r="F1024" s="18"/>
      <c r="G1024" s="18"/>
      <c r="H1024" s="18"/>
      <c r="I1024" s="18"/>
      <c r="J1024" s="18" t="s">
        <v>841</v>
      </c>
      <c r="K1024" s="18"/>
      <c r="L1024" s="18"/>
      <c r="AC1024" s="1261"/>
    </row>
    <row r="1025">
      <c r="B1025" s="18"/>
      <c r="C1025" s="18"/>
      <c r="D1025" s="18"/>
      <c r="E1025" s="314"/>
      <c r="F1025" s="18"/>
      <c r="G1025" s="18"/>
      <c r="H1025" s="18"/>
      <c r="I1025" s="18"/>
      <c r="J1025" s="18" t="s">
        <v>841</v>
      </c>
      <c r="K1025" s="18"/>
      <c r="L1025" s="18"/>
      <c r="AC1025" s="1261"/>
    </row>
    <row r="1026">
      <c r="B1026" s="18"/>
      <c r="C1026" s="18"/>
      <c r="D1026" s="18"/>
      <c r="E1026" s="314"/>
      <c r="F1026" s="18"/>
      <c r="G1026" s="18"/>
      <c r="H1026" s="18"/>
      <c r="I1026" s="18"/>
      <c r="J1026" s="18" t="s">
        <v>841</v>
      </c>
      <c r="K1026" s="18"/>
      <c r="L1026" s="18"/>
      <c r="AC1026" s="1261"/>
    </row>
    <row r="1027">
      <c r="B1027" s="18"/>
      <c r="C1027" s="18"/>
      <c r="D1027" s="18"/>
      <c r="E1027" s="314"/>
      <c r="F1027" s="18"/>
      <c r="G1027" s="18"/>
      <c r="H1027" s="18"/>
      <c r="I1027" s="18"/>
      <c r="J1027" s="18" t="s">
        <v>841</v>
      </c>
      <c r="K1027" s="18"/>
      <c r="L1027" s="18"/>
      <c r="AC1027" s="1261"/>
    </row>
    <row r="1028">
      <c r="B1028" s="18"/>
      <c r="C1028" s="18"/>
      <c r="D1028" s="18"/>
      <c r="E1028" s="314"/>
      <c r="F1028" s="18"/>
      <c r="G1028" s="18"/>
      <c r="H1028" s="18"/>
      <c r="I1028" s="18"/>
      <c r="J1028" s="18" t="s">
        <v>841</v>
      </c>
      <c r="K1028" s="18"/>
      <c r="L1028" s="18"/>
      <c r="AC1028" s="1261"/>
    </row>
    <row r="1029">
      <c r="B1029" s="18"/>
      <c r="C1029" s="18"/>
      <c r="D1029" s="18"/>
      <c r="E1029" s="314"/>
      <c r="F1029" s="18"/>
      <c r="G1029" s="18"/>
      <c r="H1029" s="18"/>
      <c r="I1029" s="18"/>
      <c r="J1029" s="18" t="s">
        <v>841</v>
      </c>
      <c r="K1029" s="18"/>
      <c r="L1029" s="18"/>
      <c r="AC1029" s="1261"/>
    </row>
    <row r="1030">
      <c r="B1030" s="18"/>
      <c r="C1030" s="18"/>
      <c r="D1030" s="18"/>
      <c r="E1030" s="314"/>
      <c r="F1030" s="18"/>
      <c r="G1030" s="18"/>
      <c r="H1030" s="18"/>
      <c r="I1030" s="18"/>
      <c r="J1030" s="18" t="s">
        <v>841</v>
      </c>
      <c r="K1030" s="18"/>
      <c r="L1030" s="18"/>
      <c r="AC1030" s="1261"/>
    </row>
    <row r="1031">
      <c r="B1031" s="18"/>
      <c r="C1031" s="18"/>
      <c r="D1031" s="18"/>
      <c r="E1031" s="314"/>
      <c r="F1031" s="18"/>
      <c r="G1031" s="18"/>
      <c r="H1031" s="18"/>
      <c r="I1031" s="18"/>
      <c r="J1031" s="18" t="s">
        <v>841</v>
      </c>
      <c r="K1031" s="18"/>
      <c r="L1031" s="18"/>
      <c r="AC1031" s="1261"/>
    </row>
    <row r="1032">
      <c r="B1032" s="18"/>
      <c r="C1032" s="18"/>
      <c r="D1032" s="18"/>
      <c r="E1032" s="314"/>
      <c r="F1032" s="18"/>
      <c r="G1032" s="18"/>
      <c r="H1032" s="18"/>
      <c r="I1032" s="18"/>
      <c r="J1032" s="18" t="s">
        <v>841</v>
      </c>
      <c r="K1032" s="18"/>
      <c r="L1032" s="18"/>
      <c r="AC1032" s="1261"/>
    </row>
    <row r="1033">
      <c r="B1033" s="18"/>
      <c r="C1033" s="18"/>
      <c r="D1033" s="18"/>
      <c r="E1033" s="314"/>
      <c r="F1033" s="18"/>
      <c r="G1033" s="18"/>
      <c r="H1033" s="18"/>
      <c r="I1033" s="18"/>
      <c r="J1033" s="18" t="s">
        <v>841</v>
      </c>
      <c r="K1033" s="18"/>
      <c r="L1033" s="18"/>
      <c r="AC1033" s="1261"/>
    </row>
    <row r="1034">
      <c r="B1034" s="18"/>
      <c r="C1034" s="18"/>
      <c r="D1034" s="18"/>
      <c r="E1034" s="314"/>
      <c r="F1034" s="18"/>
      <c r="G1034" s="18"/>
      <c r="H1034" s="18"/>
      <c r="I1034" s="18"/>
      <c r="J1034" s="18" t="s">
        <v>841</v>
      </c>
      <c r="K1034" s="18"/>
      <c r="L1034" s="18"/>
      <c r="AC1034" s="1261"/>
    </row>
    <row r="1035">
      <c r="B1035" s="18"/>
      <c r="C1035" s="18"/>
      <c r="D1035" s="18"/>
      <c r="E1035" s="314"/>
      <c r="F1035" s="18"/>
      <c r="G1035" s="18"/>
      <c r="H1035" s="18"/>
      <c r="I1035" s="18"/>
      <c r="J1035" s="18" t="s">
        <v>841</v>
      </c>
      <c r="K1035" s="18"/>
      <c r="L1035" s="18"/>
      <c r="AC1035" s="1261"/>
    </row>
    <row r="1036">
      <c r="B1036" s="18"/>
      <c r="C1036" s="18"/>
      <c r="D1036" s="18"/>
      <c r="E1036" s="314"/>
      <c r="F1036" s="18"/>
      <c r="G1036" s="18"/>
      <c r="H1036" s="18"/>
      <c r="I1036" s="18"/>
      <c r="J1036" s="18" t="s">
        <v>841</v>
      </c>
      <c r="K1036" s="18"/>
      <c r="L1036" s="18"/>
      <c r="AC1036" s="1261"/>
    </row>
    <row r="1037">
      <c r="B1037" s="18"/>
      <c r="C1037" s="18"/>
      <c r="D1037" s="18"/>
      <c r="E1037" s="314"/>
      <c r="F1037" s="18"/>
      <c r="G1037" s="18"/>
      <c r="H1037" s="18"/>
      <c r="I1037" s="18"/>
      <c r="J1037" s="18" t="s">
        <v>841</v>
      </c>
      <c r="K1037" s="18"/>
      <c r="L1037" s="18"/>
      <c r="AC1037" s="1261"/>
    </row>
    <row r="1038">
      <c r="B1038" s="18"/>
      <c r="C1038" s="18"/>
      <c r="D1038" s="18"/>
      <c r="E1038" s="314"/>
      <c r="F1038" s="18"/>
      <c r="G1038" s="18"/>
      <c r="H1038" s="18"/>
      <c r="I1038" s="18"/>
      <c r="J1038" s="18" t="s">
        <v>841</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